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ndelet 2019\Egységes szerkezetbe foglalva\"/>
    </mc:Choice>
  </mc:AlternateContent>
  <xr:revisionPtr revIDLastSave="0" documentId="13_ncr:1_{29F6111A-7263-4C30-9E8F-9ACE347F9475}" xr6:coauthVersionLast="45" xr6:coauthVersionMax="45" xr10:uidLastSave="{00000000-0000-0000-0000-000000000000}"/>
  <bookViews>
    <workbookView minimized="1" xWindow="5115" yWindow="465" windowWidth="15375" windowHeight="7875" tabRatio="853" firstSheet="1" activeTab="1" xr2:uid="{00000000-000D-0000-FFFF-FFFF00000000}"/>
  </bookViews>
  <sheets>
    <sheet name="Egyenlegmutató" sheetId="1" state="hidden" r:id="rId1"/>
    <sheet name="0.Mérleg" sheetId="2" r:id="rId2"/>
    <sheet name="1.1. Fő bev" sheetId="3" r:id="rId3"/>
    <sheet name="1.2. Fő kiad" sheetId="4" r:id="rId4"/>
    <sheet name="1.3. Bev kiad fel" sheetId="5" r:id="rId5"/>
    <sheet name="2.1. Önk bev" sheetId="6" r:id="rId6"/>
    <sheet name="2.2. Önk kiad" sheetId="7" r:id="rId7"/>
    <sheet name="2.3.Önk kiad fel" sheetId="8" r:id="rId8"/>
    <sheet name="2D Céltartalék" sheetId="9" state="hidden" r:id="rId9"/>
    <sheet name="2E VÉA" sheetId="10" state="hidden" r:id="rId10"/>
    <sheet name="2F KVA" sheetId="11" state="hidden" r:id="rId11"/>
    <sheet name="3.1. PH" sheetId="12" r:id="rId12"/>
    <sheet name="3.2. PH fel" sheetId="13" r:id="rId13"/>
    <sheet name="4.1. Vesz" sheetId="14" r:id="rId14"/>
    <sheet name="4.2. Vesz fa." sheetId="15" r:id="rId15"/>
    <sheet name="5. Eszi" sheetId="16" r:id="rId16"/>
    <sheet name="6.1. Óvoda" sheetId="17" r:id="rId17"/>
    <sheet name="6.2. Kalandpark" sheetId="18" r:id="rId18"/>
    <sheet name="6.3. KLMK" sheetId="19" r:id="rId19"/>
    <sheet name="6.4. Könyvtár" sheetId="20" r:id="rId20"/>
    <sheet name="5F Segítő Kéz" sheetId="21" state="hidden" r:id="rId21"/>
    <sheet name="5G Szérüskert" sheetId="22" state="hidden" r:id="rId22"/>
    <sheet name="Walla" sheetId="23" state="hidden" r:id="rId23"/>
    <sheet name="5H GSZNR fel" sheetId="24" state="hidden" r:id="rId24"/>
    <sheet name="Könyvtár" sheetId="25" state="hidden" r:id="rId25"/>
    <sheet name="7. létszámkeret" sheetId="26" r:id="rId26"/>
    <sheet name="8. beruházás" sheetId="27" r:id="rId27"/>
    <sheet name="9. felújítás" sheetId="28" r:id="rId28"/>
    <sheet name="10. stab tv" sheetId="29" r:id="rId29"/>
    <sheet name="11. Uniós tám" sheetId="30" r:id="rId30"/>
    <sheet name="12. címrend" sheetId="31" r:id="rId31"/>
    <sheet name="ÖK kiad" sheetId="32" state="hidden" r:id="rId32"/>
    <sheet name="MMMH" sheetId="33" state="hidden" r:id="rId33"/>
    <sheet name="Nyitnikék" sheetId="34" state="hidden" r:id="rId34"/>
    <sheet name="Bóbita" sheetId="35" state="hidden" r:id="rId35"/>
    <sheet name="SKSZ" sheetId="36" state="hidden" r:id="rId36"/>
    <sheet name="PH" sheetId="37" state="hidden" r:id="rId37"/>
  </sheets>
  <externalReferences>
    <externalReference r:id="rId38"/>
    <externalReference r:id="rId39"/>
    <externalReference r:id="rId40"/>
  </externalReferences>
  <definedNames>
    <definedName name="_1999._Évi_felhalmozási_és_felújítási_kiadások">"$#HIV!.$A$29:$E$29"</definedName>
    <definedName name="_xlnm._FilterDatabase" localSheetId="4" hidden="1">'1.3. Bev kiad fel'!$A$4:$G$67</definedName>
    <definedName name="_xlnm._FilterDatabase" localSheetId="7" hidden="1">'2.3.Önk kiad fel'!$A$6:$S$205</definedName>
    <definedName name="_xlnm._FilterDatabase" localSheetId="12" hidden="1">'3.2. PH fel'!$A$5:$X$40</definedName>
    <definedName name="_xlnm._FilterDatabase" localSheetId="14" hidden="1">'4.2. Vesz fa.'!$A$6:$R$93</definedName>
    <definedName name="_xlnm._FilterDatabase" localSheetId="23" hidden="1">'5H GSZNR fel'!$A$6:$R$128</definedName>
    <definedName name="_xlnm._FilterDatabase" localSheetId="26" hidden="1">'8. beruházás'!#REF!</definedName>
    <definedName name="Excel_BuiltIn_Print_Area_1">"$#HIV!.$A$2:$C$155"</definedName>
    <definedName name="Excel_BuiltIn_Print_Area_10">"$#HIV!.$B$1:$G$95"</definedName>
    <definedName name="Excel_BuiltIn_Print_Area_11">"$#HIV!.$B$2:$H$40"</definedName>
    <definedName name="Excel_BuiltIn_Print_Area_12">"$#HIV!.$B$1:$E$25"</definedName>
    <definedName name="Excel_BuiltIn_Print_Area_13">"$#HIV!.$A$7:$E$53"</definedName>
    <definedName name="Excel_BuiltIn_Print_Area_14">"$#HIV!.$A$1:$M$59"</definedName>
    <definedName name="Excel_BuiltIn_Print_Area_15">"$#HIV!.$E$1:$F$98"</definedName>
    <definedName name="Excel_BuiltIn_Print_Area_16">"$#HIV!.$A$1:$D$139"</definedName>
    <definedName name="Excel_BuiltIn_Print_Area_2">"$#HIV!.$D$2:$H$55"</definedName>
    <definedName name="Excel_BuiltIn_Print_Area_3">"$#HIV!.$A$1:$F$131"</definedName>
    <definedName name="Excel_BuiltIn_Print_Area_4">"$#HIV!.$A$1:$F$115"</definedName>
    <definedName name="Excel_BuiltIn_Print_Area_5">"$#HIV!.$A$2:$B$22"</definedName>
    <definedName name="Excel_BuiltIn_Print_Area_6">"$#HIV!.$A$2:$C$143"</definedName>
    <definedName name="Excel_BuiltIn_Print_Area_7">"$#HIV!.$A$2:$C$143"</definedName>
    <definedName name="Excel_BuiltIn_Print_Area_8">"$#HIV!.$A$1:$I$144"</definedName>
    <definedName name="Excel_BuiltIn_Print_Area_9">"$#HIV!.$A$1:$H$98"</definedName>
    <definedName name="Excel_BuiltIn_Print_Titles_1">"$#HIV!.$A$2:$IQ$2"</definedName>
    <definedName name="Excel_BuiltIn_Print_Titles_10">"$#HIV!.$A$1:$IT$2"</definedName>
    <definedName name="Excel_BuiltIn_Print_Titles_14">"$#HIV!.$A$61:$IU$61"</definedName>
    <definedName name="Excel_BuiltIn_Print_Titles_19">"$#HIV!.$A$1:$IV$1"</definedName>
    <definedName name="Excel_BuiltIn_Print_Titles_2">"$Összesítő.$#HIV!$1:$#HIV!$31999"</definedName>
    <definedName name="Excel_BuiltIn_Print_Titles_21">"$#HIV!.$A$1:$IV$2"</definedName>
    <definedName name="Excel_BuiltIn_Print_Titles_4">"$#HIV!.$A$2:$IV$4"</definedName>
    <definedName name="Excel_BuiltIn_Print_Titles_6">"$#HIV!.$A$2:$II$3"</definedName>
    <definedName name="Excel_BuiltIn_Print_Titles_7">"$#HIV!.$A$2:$IR$3"</definedName>
    <definedName name="Excel_BuiltIn_Print_Titles_8">"$#HIV!.$A$2:$IS$3"</definedName>
    <definedName name="Excel_BuiltIn_Print_Titles_9">"$#HIV!.$A$1:$IT$2"</definedName>
    <definedName name="_xlnm.Print_Titles" localSheetId="2">'1.1. Fő bev'!$A:$B,'1.1. Fő bev'!$1:$2</definedName>
    <definedName name="_xlnm.Print_Titles" localSheetId="3">'1.2. Fő kiad'!$A:$B,'1.2. Fő kiad'!$1:$2</definedName>
    <definedName name="_xlnm.Print_Titles" localSheetId="4">'1.3. Bev kiad fel'!$A:$B,'1.3. Bev kiad fel'!$1:$4</definedName>
    <definedName name="_xlnm.Print_Titles" localSheetId="5">'2.1. Önk bev'!$A:$B,'2.1. Önk bev'!$1:$4</definedName>
    <definedName name="_xlnm.Print_Titles" localSheetId="6">'2.2. Önk kiad'!$B:$B,'2.2. Önk kiad'!$3:$4</definedName>
    <definedName name="_xlnm.Print_Titles" localSheetId="7">'2.3.Önk kiad fel'!$A:$B,'2.3.Önk kiad fel'!$2:$5</definedName>
    <definedName name="_xlnm.Print_Titles" localSheetId="11">'3.1. PH'!$A:$B,'3.1. PH'!$1:$3</definedName>
    <definedName name="_xlnm.Print_Titles" localSheetId="12">'3.2. PH fel'!$A:$B,'3.2. PH fel'!$1:$4</definedName>
    <definedName name="_xlnm.Print_Titles" localSheetId="13">'4.1. Vesz'!$A:$B,'4.1. Vesz'!$2:$4</definedName>
    <definedName name="_xlnm.Print_Titles" localSheetId="14">'4.2. Vesz fa.'!$A:$B,'4.2. Vesz fa.'!$1:$5</definedName>
    <definedName name="_xlnm.Print_Titles" localSheetId="15">'5. Eszi'!$A:$B,'5. Eszi'!$1:$4</definedName>
    <definedName name="_xlnm.Print_Titles" localSheetId="20">'5F Segítő Kéz'!$A:$B,'5F Segítő Kéz'!$1:$4</definedName>
    <definedName name="_xlnm.Print_Titles" localSheetId="21">'5G Szérüskert'!$A:$B,'5G Szérüskert'!$1:$4</definedName>
    <definedName name="_xlnm.Print_Titles" localSheetId="23">'5H GSZNR fel'!$A:$B,'5H GSZNR fel'!$1:$5</definedName>
    <definedName name="_xlnm.Print_Titles" localSheetId="16">'6.1. Óvoda'!$A:$B,'6.1. Óvoda'!$1:$4</definedName>
    <definedName name="_xlnm.Print_Titles" localSheetId="17">'6.2. Kalandpark'!$A:$B,'6.2. Kalandpark'!$1:$4</definedName>
    <definedName name="_xlnm.Print_Titles" localSheetId="18">'6.3. KLMK'!$A:$B,'6.3. KLMK'!$1:$4</definedName>
    <definedName name="_xlnm.Print_Titles" localSheetId="19">'6.4. Könyvtár'!$A:$B,'6.4. Könyvtár'!$1:$4</definedName>
    <definedName name="_xlnm.Print_Titles" localSheetId="24">Könyvtár!$1:$3</definedName>
    <definedName name="_xlnm.Print_Titles" localSheetId="32">MMMH!$1:$3</definedName>
    <definedName name="_xlnm.Print_Titles" localSheetId="31">'ÖK kiad'!$1:$1</definedName>
    <definedName name="_xlnm.Print_Titles" localSheetId="36">PH!$A:$C</definedName>
    <definedName name="_xlnm.Print_Titles" localSheetId="35">SKSZ!$A:$C</definedName>
    <definedName name="_xlnm.Print_Titles" localSheetId="22">Walla!$1:$3</definedName>
    <definedName name="_xlnm.Print_Area" localSheetId="1">'0.Mérleg'!$A$1:$P$24</definedName>
    <definedName name="_xlnm.Print_Area" localSheetId="2">'1.1. Fő bev'!$A$1:$AI$60</definedName>
    <definedName name="_xlnm.Print_Area" localSheetId="3">'1.2. Fő kiad'!$A$1:$AN$35</definedName>
    <definedName name="_xlnm.Print_Area" localSheetId="4">'1.3. Bev kiad fel'!$A$1:$Z$68</definedName>
    <definedName name="_xlnm.Print_Area" localSheetId="28">'10. stab tv'!$A$1:$C$30</definedName>
    <definedName name="_xlnm.Print_Area" localSheetId="30">'12. címrend'!$A$1:$C$13</definedName>
    <definedName name="_xlnm.Print_Area" localSheetId="5">'2.1. Önk bev'!$A$1:$AI$109</definedName>
    <definedName name="_xlnm.Print_Area" localSheetId="6">'2.2. Önk kiad'!$A$1:$AL$44</definedName>
    <definedName name="_xlnm.Print_Area" localSheetId="7">'2.3.Önk kiad fel'!$A$1:$U$205</definedName>
    <definedName name="_xlnm.Print_Area" localSheetId="8">'2D Céltartalék'!$A$1:$F$34</definedName>
    <definedName name="_xlnm.Print_Area" localSheetId="9">'2E VÉA'!$A$1:$L$33</definedName>
    <definedName name="_xlnm.Print_Area" localSheetId="10">'2F KVA'!$A$1:$L$35</definedName>
    <definedName name="_xlnm.Print_Area" localSheetId="11">'3.1. PH'!$B$1:$AM$49</definedName>
    <definedName name="_xlnm.Print_Area" localSheetId="12">'3.2. PH fel'!$A$1:$Z$40</definedName>
    <definedName name="_xlnm.Print_Area" localSheetId="13">'4.1. Vesz'!$A$1:$AI$46</definedName>
    <definedName name="_xlnm.Print_Area" localSheetId="14">'4.2. Vesz fa.'!$A$1:$U$75</definedName>
    <definedName name="_xlnm.Print_Area" localSheetId="15">'5. Eszi'!$A$1:$AI$46</definedName>
    <definedName name="_xlnm.Print_Area" localSheetId="20">'5F Segítő Kéz'!$A$1:$W$46</definedName>
    <definedName name="_xlnm.Print_Area" localSheetId="21">'5G Szérüskert'!$A$1:$W$46</definedName>
    <definedName name="_xlnm.Print_Area" localSheetId="23">'5H GSZNR fel'!$A$1:$R$128</definedName>
    <definedName name="_xlnm.Print_Area" localSheetId="16">'6.1. Óvoda'!$A$1:$AI$46</definedName>
    <definedName name="_xlnm.Print_Area" localSheetId="17">'6.2. Kalandpark'!$A$1:$AI$46</definedName>
    <definedName name="_xlnm.Print_Area" localSheetId="18">'6.3. KLMK'!$A$1:$AJ$46</definedName>
    <definedName name="_xlnm.Print_Area" localSheetId="19">'6.4. Könyvtár'!$A$1:$AI$46</definedName>
    <definedName name="_xlnm.Print_Area" localSheetId="25">'7. létszámkeret'!$A$1:$J$20</definedName>
    <definedName name="_xlnm.Print_Area" localSheetId="26">'8. beruházás'!$A$1:$U$42</definedName>
    <definedName name="_xlnm.Print_Area" localSheetId="27">'9. felújítás'!$A$1:$V$11</definedName>
    <definedName name="Print_Titles_1" localSheetId="4">[1]Bóbita!$A:$B,[1]Bóbita!$1:$1</definedName>
    <definedName name="Print_Titles_1" localSheetId="28">[2]Bóbita!$A:$B,[2]Bóbita!$1:$1</definedName>
    <definedName name="Print_Titles_1" localSheetId="29">[2]Bóbita!$A:$B,[2]Bóbita!$1:$1</definedName>
    <definedName name="Print_Titles_1" localSheetId="30">[2]Bóbita!$A:$B,[2]Bóbita!$1:$1</definedName>
    <definedName name="Print_Titles_1" localSheetId="25">[2]Bóbita!$A:$B,[2]Bóbita!$1:$1</definedName>
    <definedName name="Print_Titles_1">[3]Bóbita!$A:$B,[3]Bóbita!$1:$1</definedName>
    <definedName name="Z_4DCB1349_1166_4B69_AE14_D6B08F9FCE74_.wvu.Cols" localSheetId="1" hidden="1">'0.Mérleg'!$C:$E,'0.Mérleg'!$I:$I,'0.Mérleg'!$K:$M,'0.Mérleg'!$Q:$Q</definedName>
    <definedName name="Z_4DCB1349_1166_4B69_AE14_D6B08F9FCE74_.wvu.Cols" localSheetId="2" hidden="1">'1.1. Fő bev'!$C:$W,'1.1. Fő bev'!$AJ:$AM</definedName>
    <definedName name="Z_4DCB1349_1166_4B69_AE14_D6B08F9FCE74_.wvu.Cols" localSheetId="3" hidden="1">'1.2. Fő kiad'!$C:$X,'1.2. Fő kiad'!$AK:$AN</definedName>
    <definedName name="Z_4DCB1349_1166_4B69_AE14_D6B08F9FCE74_.wvu.Cols" localSheetId="4" hidden="1">'1.3. Bev kiad fel'!$C:$V,'1.3. Bev kiad fel'!$AA:$AA</definedName>
    <definedName name="Z_4DCB1349_1166_4B69_AE14_D6B08F9FCE74_.wvu.Cols" localSheetId="5" hidden="1">'2.1. Önk bev'!$C:$O,'2.1. Önk bev'!$T:$AA,'2.1. Önk bev'!$AJ:$AM</definedName>
    <definedName name="Z_4DCB1349_1166_4B69_AE14_D6B08F9FCE74_.wvu.Cols" localSheetId="6" hidden="1">'2.2. Önk kiad'!$C:$Z,'2.2. Önk kiad'!$AM:$AP</definedName>
    <definedName name="Z_4DCB1349_1166_4B69_AE14_D6B08F9FCE74_.wvu.Cols" localSheetId="7" hidden="1">'2.3.Önk kiad fel'!$C:$R,'2.3.Önk kiad fel'!$V:$V</definedName>
    <definedName name="Z_4DCB1349_1166_4B69_AE14_D6B08F9FCE74_.wvu.Cols" localSheetId="8" hidden="1">'2D Céltartalék'!$B:$E</definedName>
    <definedName name="Z_4DCB1349_1166_4B69_AE14_D6B08F9FCE74_.wvu.Cols" localSheetId="9" hidden="1">'2E VÉA'!$C:$J</definedName>
    <definedName name="Z_4DCB1349_1166_4B69_AE14_D6B08F9FCE74_.wvu.Cols" localSheetId="10" hidden="1">'2F KVA'!$C:$J</definedName>
    <definedName name="Z_4DCB1349_1166_4B69_AE14_D6B08F9FCE74_.wvu.Cols" localSheetId="11" hidden="1">'3.1. PH'!$A:$A,'3.1. PH'!$C:$X,'3.1. PH'!$AK:$AN</definedName>
    <definedName name="Z_4DCB1349_1166_4B69_AE14_D6B08F9FCE74_.wvu.Cols" localSheetId="12" hidden="1">'3.2. PH fel'!$C:$W,'3.2. PH fel'!$AA:$AA</definedName>
    <definedName name="Z_4DCB1349_1166_4B69_AE14_D6B08F9FCE74_.wvu.Cols" localSheetId="13" hidden="1">'4.1. Vesz'!$C:$W,'4.1. Vesz'!$AJ:$AM</definedName>
    <definedName name="Z_4DCB1349_1166_4B69_AE14_D6B08F9FCE74_.wvu.Cols" localSheetId="14" hidden="1">'4.2. Vesz fa.'!$C:$R,'4.2. Vesz fa.'!$V:$V</definedName>
    <definedName name="Z_4DCB1349_1166_4B69_AE14_D6B08F9FCE74_.wvu.Cols" localSheetId="15" hidden="1">'5. Eszi'!$C:$W,'5. Eszi'!$AJ:$AM</definedName>
    <definedName name="Z_4DCB1349_1166_4B69_AE14_D6B08F9FCE74_.wvu.Cols" localSheetId="20" hidden="1">'5F Segítő Kéz'!$C:$S</definedName>
    <definedName name="Z_4DCB1349_1166_4B69_AE14_D6B08F9FCE74_.wvu.Cols" localSheetId="21" hidden="1">'5G Szérüskert'!$C:$S</definedName>
    <definedName name="Z_4DCB1349_1166_4B69_AE14_D6B08F9FCE74_.wvu.Cols" localSheetId="23" hidden="1">'5H GSZNR fel'!$C:$O</definedName>
    <definedName name="Z_4DCB1349_1166_4B69_AE14_D6B08F9FCE74_.wvu.Cols" localSheetId="16" hidden="1">'6.1. Óvoda'!$C:$W,'6.1. Óvoda'!$AJ:$AM</definedName>
    <definedName name="Z_4DCB1349_1166_4B69_AE14_D6B08F9FCE74_.wvu.Cols" localSheetId="17" hidden="1">'6.2. Kalandpark'!$C:$W,'6.2. Kalandpark'!$AJ:$AM</definedName>
    <definedName name="Z_4DCB1349_1166_4B69_AE14_D6B08F9FCE74_.wvu.Cols" localSheetId="18" hidden="1">'6.3. KLMK'!$C:$X,'6.3. KLMK'!$AK:$AN</definedName>
    <definedName name="Z_4DCB1349_1166_4B69_AE14_D6B08F9FCE74_.wvu.Cols" localSheetId="19" hidden="1">'6.4. Könyvtár'!$C:$W,'6.4. Könyvtár'!$AJ:$AM</definedName>
    <definedName name="Z_4DCB1349_1166_4B69_AE14_D6B08F9FCE74_.wvu.Cols" localSheetId="25" hidden="1">'7. létszámkeret'!$B:$F,'7. létszámkeret'!$H:$I,'7. létszámkeret'!$K:$K</definedName>
    <definedName name="Z_4DCB1349_1166_4B69_AE14_D6B08F9FCE74_.wvu.Cols" localSheetId="26" hidden="1">'8. beruházás'!$C:$S,'8. beruházás'!$W:$W</definedName>
    <definedName name="Z_4DCB1349_1166_4B69_AE14_D6B08F9FCE74_.wvu.Cols" localSheetId="27" hidden="1">'9. felújítás'!$C:$T,'9. felújítás'!$X:$X</definedName>
    <definedName name="Z_4DCB1349_1166_4B69_AE14_D6B08F9FCE74_.wvu.FilterData" localSheetId="4" hidden="1">'1.3. Bev kiad fel'!$A$4:$G$67</definedName>
    <definedName name="Z_4DCB1349_1166_4B69_AE14_D6B08F9FCE74_.wvu.FilterData" localSheetId="7" hidden="1">'2.3.Önk kiad fel'!$A$6:$S$205</definedName>
    <definedName name="Z_4DCB1349_1166_4B69_AE14_D6B08F9FCE74_.wvu.FilterData" localSheetId="12" hidden="1">'3.2. PH fel'!$A$5:$X$40</definedName>
    <definedName name="Z_4DCB1349_1166_4B69_AE14_D6B08F9FCE74_.wvu.FilterData" localSheetId="14" hidden="1">'4.2. Vesz fa.'!$A$6:$R$93</definedName>
    <definedName name="Z_4DCB1349_1166_4B69_AE14_D6B08F9FCE74_.wvu.FilterData" localSheetId="23" hidden="1">'5H GSZNR fel'!$A$6:$R$128</definedName>
    <definedName name="Z_4DCB1349_1166_4B69_AE14_D6B08F9FCE74_.wvu.PrintArea" localSheetId="1" hidden="1">'0.Mérleg'!$A$1:$P$24</definedName>
    <definedName name="Z_4DCB1349_1166_4B69_AE14_D6B08F9FCE74_.wvu.PrintArea" localSheetId="2" hidden="1">'1.1. Fő bev'!$A$1:$AI$60</definedName>
    <definedName name="Z_4DCB1349_1166_4B69_AE14_D6B08F9FCE74_.wvu.PrintArea" localSheetId="3" hidden="1">'1.2. Fő kiad'!$A$1:$AN$35</definedName>
    <definedName name="Z_4DCB1349_1166_4B69_AE14_D6B08F9FCE74_.wvu.PrintArea" localSheetId="4" hidden="1">'1.3. Bev kiad fel'!$A$1:$Z$68</definedName>
    <definedName name="Z_4DCB1349_1166_4B69_AE14_D6B08F9FCE74_.wvu.PrintArea" localSheetId="28" hidden="1">'10. stab tv'!$A$1:$C$30</definedName>
    <definedName name="Z_4DCB1349_1166_4B69_AE14_D6B08F9FCE74_.wvu.PrintArea" localSheetId="30" hidden="1">'12. címrend'!$A$1:$C$13</definedName>
    <definedName name="Z_4DCB1349_1166_4B69_AE14_D6B08F9FCE74_.wvu.PrintArea" localSheetId="5" hidden="1">'2.1. Önk bev'!$A$1:$AI$109</definedName>
    <definedName name="Z_4DCB1349_1166_4B69_AE14_D6B08F9FCE74_.wvu.PrintArea" localSheetId="6" hidden="1">'2.2. Önk kiad'!$A$1:$AL$44</definedName>
    <definedName name="Z_4DCB1349_1166_4B69_AE14_D6B08F9FCE74_.wvu.PrintArea" localSheetId="7" hidden="1">'2.3.Önk kiad fel'!$A$1:$U$205</definedName>
    <definedName name="Z_4DCB1349_1166_4B69_AE14_D6B08F9FCE74_.wvu.PrintArea" localSheetId="8" hidden="1">'2D Céltartalék'!$A$1:$F$34</definedName>
    <definedName name="Z_4DCB1349_1166_4B69_AE14_D6B08F9FCE74_.wvu.PrintArea" localSheetId="9" hidden="1">'2E VÉA'!$A$1:$L$33</definedName>
    <definedName name="Z_4DCB1349_1166_4B69_AE14_D6B08F9FCE74_.wvu.PrintArea" localSheetId="10" hidden="1">'2F KVA'!$A$1:$L$35</definedName>
    <definedName name="Z_4DCB1349_1166_4B69_AE14_D6B08F9FCE74_.wvu.PrintArea" localSheetId="11" hidden="1">'3.1. PH'!$B$1:$AM$49</definedName>
    <definedName name="Z_4DCB1349_1166_4B69_AE14_D6B08F9FCE74_.wvu.PrintArea" localSheetId="12" hidden="1">'3.2. PH fel'!$A$1:$Z$40</definedName>
    <definedName name="Z_4DCB1349_1166_4B69_AE14_D6B08F9FCE74_.wvu.PrintArea" localSheetId="13" hidden="1">'4.1. Vesz'!$A$1:$AI$46</definedName>
    <definedName name="Z_4DCB1349_1166_4B69_AE14_D6B08F9FCE74_.wvu.PrintArea" localSheetId="14" hidden="1">'4.2. Vesz fa.'!$A$1:$U$75</definedName>
    <definedName name="Z_4DCB1349_1166_4B69_AE14_D6B08F9FCE74_.wvu.PrintArea" localSheetId="15" hidden="1">'5. Eszi'!$A$1:$AI$46</definedName>
    <definedName name="Z_4DCB1349_1166_4B69_AE14_D6B08F9FCE74_.wvu.PrintArea" localSheetId="20" hidden="1">'5F Segítő Kéz'!$A$1:$W$46</definedName>
    <definedName name="Z_4DCB1349_1166_4B69_AE14_D6B08F9FCE74_.wvu.PrintArea" localSheetId="21" hidden="1">'5G Szérüskert'!$A$1:$W$46</definedName>
    <definedName name="Z_4DCB1349_1166_4B69_AE14_D6B08F9FCE74_.wvu.PrintArea" localSheetId="23" hidden="1">'5H GSZNR fel'!$A$1:$R$128</definedName>
    <definedName name="Z_4DCB1349_1166_4B69_AE14_D6B08F9FCE74_.wvu.PrintArea" localSheetId="16" hidden="1">'6.1. Óvoda'!$A$1:$AI$46</definedName>
    <definedName name="Z_4DCB1349_1166_4B69_AE14_D6B08F9FCE74_.wvu.PrintArea" localSheetId="17" hidden="1">'6.2. Kalandpark'!$A$1:$AI$46</definedName>
    <definedName name="Z_4DCB1349_1166_4B69_AE14_D6B08F9FCE74_.wvu.PrintArea" localSheetId="18" hidden="1">'6.3. KLMK'!$A$1:$AJ$46</definedName>
    <definedName name="Z_4DCB1349_1166_4B69_AE14_D6B08F9FCE74_.wvu.PrintArea" localSheetId="19" hidden="1">'6.4. Könyvtár'!$A$1:$AI$46</definedName>
    <definedName name="Z_4DCB1349_1166_4B69_AE14_D6B08F9FCE74_.wvu.PrintArea" localSheetId="25" hidden="1">'7. létszámkeret'!$A$1:$J$20</definedName>
    <definedName name="Z_4DCB1349_1166_4B69_AE14_D6B08F9FCE74_.wvu.PrintArea" localSheetId="26" hidden="1">'8. beruházás'!$A$1:$U$42</definedName>
    <definedName name="Z_4DCB1349_1166_4B69_AE14_D6B08F9FCE74_.wvu.PrintArea" localSheetId="27" hidden="1">'9. felújítás'!$A$1:$V$11</definedName>
    <definedName name="Z_4DCB1349_1166_4B69_AE14_D6B08F9FCE74_.wvu.PrintTitles" localSheetId="2" hidden="1">'1.1. Fő bev'!$A:$B,'1.1. Fő bev'!$1:$2</definedName>
    <definedName name="Z_4DCB1349_1166_4B69_AE14_D6B08F9FCE74_.wvu.PrintTitles" localSheetId="3" hidden="1">'1.2. Fő kiad'!$A:$B,'1.2. Fő kiad'!$1:$2</definedName>
    <definedName name="Z_4DCB1349_1166_4B69_AE14_D6B08F9FCE74_.wvu.PrintTitles" localSheetId="4" hidden="1">'1.3. Bev kiad fel'!$A:$B,'1.3. Bev kiad fel'!$1:$4</definedName>
    <definedName name="Z_4DCB1349_1166_4B69_AE14_D6B08F9FCE74_.wvu.PrintTitles" localSheetId="5" hidden="1">'2.1. Önk bev'!$A:$B,'2.1. Önk bev'!$1:$4</definedName>
    <definedName name="Z_4DCB1349_1166_4B69_AE14_D6B08F9FCE74_.wvu.PrintTitles" localSheetId="6" hidden="1">'2.2. Önk kiad'!$B:$B,'2.2. Önk kiad'!$3:$4</definedName>
    <definedName name="Z_4DCB1349_1166_4B69_AE14_D6B08F9FCE74_.wvu.PrintTitles" localSheetId="7" hidden="1">'2.3.Önk kiad fel'!$A:$B,'2.3.Önk kiad fel'!$2:$5</definedName>
    <definedName name="Z_4DCB1349_1166_4B69_AE14_D6B08F9FCE74_.wvu.PrintTitles" localSheetId="11" hidden="1">'3.1. PH'!$A:$B,'3.1. PH'!$1:$3</definedName>
    <definedName name="Z_4DCB1349_1166_4B69_AE14_D6B08F9FCE74_.wvu.PrintTitles" localSheetId="12" hidden="1">'3.2. PH fel'!$A:$B,'3.2. PH fel'!$1:$4</definedName>
    <definedName name="Z_4DCB1349_1166_4B69_AE14_D6B08F9FCE74_.wvu.PrintTitles" localSheetId="13" hidden="1">'4.1. Vesz'!$A:$B,'4.1. Vesz'!$2:$4</definedName>
    <definedName name="Z_4DCB1349_1166_4B69_AE14_D6B08F9FCE74_.wvu.PrintTitles" localSheetId="14" hidden="1">'4.2. Vesz fa.'!$A:$B,'4.2. Vesz fa.'!$1:$5</definedName>
    <definedName name="Z_4DCB1349_1166_4B69_AE14_D6B08F9FCE74_.wvu.PrintTitles" localSheetId="15" hidden="1">'5. Eszi'!$A:$B,'5. Eszi'!$1:$4</definedName>
    <definedName name="Z_4DCB1349_1166_4B69_AE14_D6B08F9FCE74_.wvu.PrintTitles" localSheetId="20" hidden="1">'5F Segítő Kéz'!$A:$B,'5F Segítő Kéz'!$1:$4</definedName>
    <definedName name="Z_4DCB1349_1166_4B69_AE14_D6B08F9FCE74_.wvu.PrintTitles" localSheetId="21" hidden="1">'5G Szérüskert'!$A:$B,'5G Szérüskert'!$1:$4</definedName>
    <definedName name="Z_4DCB1349_1166_4B69_AE14_D6B08F9FCE74_.wvu.PrintTitles" localSheetId="23" hidden="1">'5H GSZNR fel'!$A:$B,'5H GSZNR fel'!$1:$5</definedName>
    <definedName name="Z_4DCB1349_1166_4B69_AE14_D6B08F9FCE74_.wvu.PrintTitles" localSheetId="16" hidden="1">'6.1. Óvoda'!$A:$B,'6.1. Óvoda'!$1:$4</definedName>
    <definedName name="Z_4DCB1349_1166_4B69_AE14_D6B08F9FCE74_.wvu.PrintTitles" localSheetId="17" hidden="1">'6.2. Kalandpark'!$A:$B,'6.2. Kalandpark'!$1:$4</definedName>
    <definedName name="Z_4DCB1349_1166_4B69_AE14_D6B08F9FCE74_.wvu.PrintTitles" localSheetId="18" hidden="1">'6.3. KLMK'!$A:$B,'6.3. KLMK'!$1:$4</definedName>
    <definedName name="Z_4DCB1349_1166_4B69_AE14_D6B08F9FCE74_.wvu.PrintTitles" localSheetId="19" hidden="1">'6.4. Könyvtár'!$A:$B,'6.4. Könyvtár'!$1:$4</definedName>
    <definedName name="Z_4DCB1349_1166_4B69_AE14_D6B08F9FCE74_.wvu.PrintTitles" localSheetId="24" hidden="1">Könyvtár!$1:$3</definedName>
    <definedName name="Z_4DCB1349_1166_4B69_AE14_D6B08F9FCE74_.wvu.PrintTitles" localSheetId="32" hidden="1">MMMH!$1:$3</definedName>
    <definedName name="Z_4DCB1349_1166_4B69_AE14_D6B08F9FCE74_.wvu.PrintTitles" localSheetId="31" hidden="1">'ÖK kiad'!$1:$1</definedName>
    <definedName name="Z_4DCB1349_1166_4B69_AE14_D6B08F9FCE74_.wvu.PrintTitles" localSheetId="36" hidden="1">PH!$A:$C</definedName>
    <definedName name="Z_4DCB1349_1166_4B69_AE14_D6B08F9FCE74_.wvu.PrintTitles" localSheetId="35" hidden="1">SKSZ!$A:$C</definedName>
    <definedName name="Z_4DCB1349_1166_4B69_AE14_D6B08F9FCE74_.wvu.PrintTitles" localSheetId="22" hidden="1">Walla!$1:$3</definedName>
    <definedName name="Z_4DCB1349_1166_4B69_AE14_D6B08F9FCE74_.wvu.Rows" localSheetId="3" hidden="1">'1.2. Fő kiad'!$10:$14,'1.2. Fő kiad'!$19:$23</definedName>
    <definedName name="Z_4DCB1349_1166_4B69_AE14_D6B08F9FCE74_.wvu.Rows" localSheetId="4" hidden="1">'1.3. Bev kiad fel'!$16:$41,'1.3. Bev kiad fel'!$44:$44,'1.3. Bev kiad fel'!$47:$48,'1.3. Bev kiad fel'!$51:$51,'1.3. Bev kiad fel'!$61:$62,'1.3. Bev kiad fel'!$65:$66</definedName>
    <definedName name="Z_4DCB1349_1166_4B69_AE14_D6B08F9FCE74_.wvu.Rows" localSheetId="5" hidden="1">'2.1. Önk bev'!$24:$24,'2.1. Önk bev'!$59:$60,'2.1. Önk bev'!$73:$75,'2.1. Önk bev'!$84:$84,'2.1. Önk bev'!$86:$91,'2.1. Önk bev'!$96:$99,'2.1. Önk bev'!$107:$108</definedName>
    <definedName name="Z_4DCB1349_1166_4B69_AE14_D6B08F9FCE74_.wvu.Rows" localSheetId="6" hidden="1">'2.2. Önk kiad'!$5:$6,'2.2. Önk kiad'!$34:$35</definedName>
    <definedName name="Z_4DCB1349_1166_4B69_AE14_D6B08F9FCE74_.wvu.Rows" localSheetId="7" hidden="1">'2.3.Önk kiad fel'!$17:$17,'2.3.Önk kiad fel'!$41:$42,'2.3.Önk kiad fel'!$58:$74,'2.3.Önk kiad fel'!$79:$81,'2.3.Önk kiad fel'!$83:$84,'2.3.Önk kiad fel'!$88:$89,'2.3.Önk kiad fel'!$91:$92,'2.3.Önk kiad fel'!$97:$99,'2.3.Önk kiad fel'!$121:$123,'2.3.Önk kiad fel'!$127:$200</definedName>
    <definedName name="Z_4DCB1349_1166_4B69_AE14_D6B08F9FCE74_.wvu.Rows" localSheetId="8" hidden="1">'2D Céltartalék'!$5:$5,'2D Céltartalék'!$9:$9,'2D Céltartalék'!$14:$15,'2D Céltartalék'!$27:$32</definedName>
    <definedName name="Z_4DCB1349_1166_4B69_AE14_D6B08F9FCE74_.wvu.Rows" localSheetId="9" hidden="1">'2E VÉA'!$17:$18,'2E VÉA'!$22:$26</definedName>
    <definedName name="Z_4DCB1349_1166_4B69_AE14_D6B08F9FCE74_.wvu.Rows" localSheetId="10" hidden="1">'2F KVA'!$27:$27,'2F KVA'!$32:$32</definedName>
    <definedName name="Z_4DCB1349_1166_4B69_AE14_D6B08F9FCE74_.wvu.Rows" localSheetId="11" hidden="1">'3.1. PH'!$5:$7</definedName>
    <definedName name="Z_4DCB1349_1166_4B69_AE14_D6B08F9FCE74_.wvu.Rows" localSheetId="12" hidden="1">'3.2. PH fel'!$12:$15,'3.2. PH fel'!$25:$32,'3.2. PH fel'!$34:$35</definedName>
    <definedName name="Z_4DCB1349_1166_4B69_AE14_D6B08F9FCE74_.wvu.Rows" localSheetId="13" hidden="1">'4.1. Vesz'!$6:$7</definedName>
    <definedName name="Z_4DCB1349_1166_4B69_AE14_D6B08F9FCE74_.wvu.Rows" localSheetId="14" hidden="1">'4.2. Vesz fa.'!$19:$19,'4.2. Vesz fa.'!$22:$22,'4.2. Vesz fa.'!$44:$44,'4.2. Vesz fa.'!$65:$74,'4.2. Vesz fa.'!$76:$102,'4.2. Vesz fa.'!$107:$112</definedName>
    <definedName name="Z_4DCB1349_1166_4B69_AE14_D6B08F9FCE74_.wvu.Rows" localSheetId="15" hidden="1">'5. Eszi'!$6:$7</definedName>
    <definedName name="Z_4DCB1349_1166_4B69_AE14_D6B08F9FCE74_.wvu.Rows" localSheetId="16" hidden="1">'6.1. Óvoda'!$6:$7</definedName>
    <definedName name="Z_4DCB1349_1166_4B69_AE14_D6B08F9FCE74_.wvu.Rows" localSheetId="17" hidden="1">'6.2. Kalandpark'!$6:$7</definedName>
    <definedName name="Z_4DCB1349_1166_4B69_AE14_D6B08F9FCE74_.wvu.Rows" localSheetId="18" hidden="1">'6.3. KLMK'!$6:$7</definedName>
    <definedName name="Z_4DCB1349_1166_4B69_AE14_D6B08F9FCE74_.wvu.Rows" localSheetId="19" hidden="1">'6.4. Könyvtár'!$6:$7</definedName>
    <definedName name="Z_4DCB1349_1166_4B69_AE14_D6B08F9FCE74_.wvu.Rows" localSheetId="24" hidden="1">Könyvtár!$7:$19</definedName>
    <definedName name="Z_4DCB1349_1166_4B69_AE14_D6B08F9FCE74_.wvu.Rows" localSheetId="35" hidden="1">SKSZ!$64:$64</definedName>
    <definedName name="Z_7F1DC213_A29D_4C8C_BAC3_F1BD898020FD_.wvu.Cols" localSheetId="1" hidden="1">'0.Mérleg'!$C:$E,'0.Mérleg'!$I:$I,'0.Mérleg'!$K:$M,'0.Mérleg'!$Q:$Q</definedName>
    <definedName name="Z_7F1DC213_A29D_4C8C_BAC3_F1BD898020FD_.wvu.Cols" localSheetId="2" hidden="1">'1.1. Fő bev'!$C:$W,'1.1. Fő bev'!$AJ:$AM</definedName>
    <definedName name="Z_7F1DC213_A29D_4C8C_BAC3_F1BD898020FD_.wvu.Cols" localSheetId="3" hidden="1">'1.2. Fő kiad'!$C:$X,'1.2. Fő kiad'!$AK:$AN</definedName>
    <definedName name="Z_7F1DC213_A29D_4C8C_BAC3_F1BD898020FD_.wvu.Cols" localSheetId="4" hidden="1">'1.3. Bev kiad fel'!$C:$V,'1.3. Bev kiad fel'!$AA:$AA</definedName>
    <definedName name="Z_7F1DC213_A29D_4C8C_BAC3_F1BD898020FD_.wvu.Cols" localSheetId="5" hidden="1">'2.1. Önk bev'!$C:$O,'2.1. Önk bev'!$T:$AA,'2.1. Önk bev'!$AJ:$AM</definedName>
    <definedName name="Z_7F1DC213_A29D_4C8C_BAC3_F1BD898020FD_.wvu.Cols" localSheetId="6" hidden="1">'2.2. Önk kiad'!$C:$Z,'2.2. Önk kiad'!$AM:$AP</definedName>
    <definedName name="Z_7F1DC213_A29D_4C8C_BAC3_F1BD898020FD_.wvu.Cols" localSheetId="7" hidden="1">'2.3.Önk kiad fel'!$C:$R,'2.3.Önk kiad fel'!$V:$V</definedName>
    <definedName name="Z_7F1DC213_A29D_4C8C_BAC3_F1BD898020FD_.wvu.Cols" localSheetId="8" hidden="1">'2D Céltartalék'!$B:$E</definedName>
    <definedName name="Z_7F1DC213_A29D_4C8C_BAC3_F1BD898020FD_.wvu.Cols" localSheetId="9" hidden="1">'2E VÉA'!$C:$J</definedName>
    <definedName name="Z_7F1DC213_A29D_4C8C_BAC3_F1BD898020FD_.wvu.Cols" localSheetId="10" hidden="1">'2F KVA'!$C:$J</definedName>
    <definedName name="Z_7F1DC213_A29D_4C8C_BAC3_F1BD898020FD_.wvu.Cols" localSheetId="11" hidden="1">'3.1. PH'!$A:$A,'3.1. PH'!$C:$X,'3.1. PH'!$AK:$AN</definedName>
    <definedName name="Z_7F1DC213_A29D_4C8C_BAC3_F1BD898020FD_.wvu.Cols" localSheetId="12" hidden="1">'3.2. PH fel'!$C:$W,'3.2. PH fel'!$AA:$AA</definedName>
    <definedName name="Z_7F1DC213_A29D_4C8C_BAC3_F1BD898020FD_.wvu.Cols" localSheetId="13" hidden="1">'4.1. Vesz'!$C:$W,'4.1. Vesz'!$AJ:$AM</definedName>
    <definedName name="Z_7F1DC213_A29D_4C8C_BAC3_F1BD898020FD_.wvu.Cols" localSheetId="14" hidden="1">'4.2. Vesz fa.'!$C:$R,'4.2. Vesz fa.'!$V:$V</definedName>
    <definedName name="Z_7F1DC213_A29D_4C8C_BAC3_F1BD898020FD_.wvu.Cols" localSheetId="15" hidden="1">'5. Eszi'!$C:$W,'5. Eszi'!$AJ:$AM</definedName>
    <definedName name="Z_7F1DC213_A29D_4C8C_BAC3_F1BD898020FD_.wvu.Cols" localSheetId="20" hidden="1">'5F Segítő Kéz'!$C:$S</definedName>
    <definedName name="Z_7F1DC213_A29D_4C8C_BAC3_F1BD898020FD_.wvu.Cols" localSheetId="21" hidden="1">'5G Szérüskert'!$C:$S</definedName>
    <definedName name="Z_7F1DC213_A29D_4C8C_BAC3_F1BD898020FD_.wvu.Cols" localSheetId="23" hidden="1">'5H GSZNR fel'!$C:$O</definedName>
    <definedName name="Z_7F1DC213_A29D_4C8C_BAC3_F1BD898020FD_.wvu.Cols" localSheetId="16" hidden="1">'6.1. Óvoda'!$C:$W,'6.1. Óvoda'!$AJ:$AM</definedName>
    <definedName name="Z_7F1DC213_A29D_4C8C_BAC3_F1BD898020FD_.wvu.Cols" localSheetId="17" hidden="1">'6.2. Kalandpark'!$C:$W,'6.2. Kalandpark'!$AJ:$AM</definedName>
    <definedName name="Z_7F1DC213_A29D_4C8C_BAC3_F1BD898020FD_.wvu.Cols" localSheetId="18" hidden="1">'6.3. KLMK'!$C:$X,'6.3. KLMK'!$AK:$AN</definedName>
    <definedName name="Z_7F1DC213_A29D_4C8C_BAC3_F1BD898020FD_.wvu.Cols" localSheetId="19" hidden="1">'6.4. Könyvtár'!$C:$W,'6.4. Könyvtár'!$AJ:$AM</definedName>
    <definedName name="Z_7F1DC213_A29D_4C8C_BAC3_F1BD898020FD_.wvu.Cols" localSheetId="25" hidden="1">'7. létszámkeret'!$B:$F,'7. létszámkeret'!$H:$I,'7. létszámkeret'!$K:$K</definedName>
    <definedName name="Z_7F1DC213_A29D_4C8C_BAC3_F1BD898020FD_.wvu.Cols" localSheetId="26" hidden="1">'8. beruházás'!$C:$S,'8. beruházás'!$W:$W</definedName>
    <definedName name="Z_7F1DC213_A29D_4C8C_BAC3_F1BD898020FD_.wvu.Cols" localSheetId="27" hidden="1">'9. felújítás'!$C:$T,'9. felújítás'!$X:$X</definedName>
    <definedName name="Z_7F1DC213_A29D_4C8C_BAC3_F1BD898020FD_.wvu.FilterData" localSheetId="4" hidden="1">'1.3. Bev kiad fel'!$A$4:$G$67</definedName>
    <definedName name="Z_7F1DC213_A29D_4C8C_BAC3_F1BD898020FD_.wvu.FilterData" localSheetId="7" hidden="1">'2.3.Önk kiad fel'!$A$6:$S$205</definedName>
    <definedName name="Z_7F1DC213_A29D_4C8C_BAC3_F1BD898020FD_.wvu.FilterData" localSheetId="12" hidden="1">'3.2. PH fel'!$A$5:$X$40</definedName>
    <definedName name="Z_7F1DC213_A29D_4C8C_BAC3_F1BD898020FD_.wvu.FilterData" localSheetId="14" hidden="1">'4.2. Vesz fa.'!$A$6:$R$93</definedName>
    <definedName name="Z_7F1DC213_A29D_4C8C_BAC3_F1BD898020FD_.wvu.FilterData" localSheetId="23" hidden="1">'5H GSZNR fel'!$A$6:$R$128</definedName>
    <definedName name="Z_7F1DC213_A29D_4C8C_BAC3_F1BD898020FD_.wvu.PrintArea" localSheetId="1" hidden="1">'0.Mérleg'!$A$1:$P$24</definedName>
    <definedName name="Z_7F1DC213_A29D_4C8C_BAC3_F1BD898020FD_.wvu.PrintArea" localSheetId="2" hidden="1">'1.1. Fő bev'!$A$1:$AI$60</definedName>
    <definedName name="Z_7F1DC213_A29D_4C8C_BAC3_F1BD898020FD_.wvu.PrintArea" localSheetId="3" hidden="1">'1.2. Fő kiad'!$A$1:$AN$35</definedName>
    <definedName name="Z_7F1DC213_A29D_4C8C_BAC3_F1BD898020FD_.wvu.PrintArea" localSheetId="4" hidden="1">'1.3. Bev kiad fel'!$A$1:$Z$68</definedName>
    <definedName name="Z_7F1DC213_A29D_4C8C_BAC3_F1BD898020FD_.wvu.PrintArea" localSheetId="28" hidden="1">'10. stab tv'!$A$1:$C$30</definedName>
    <definedName name="Z_7F1DC213_A29D_4C8C_BAC3_F1BD898020FD_.wvu.PrintArea" localSheetId="30" hidden="1">'12. címrend'!$A$1:$C$13</definedName>
    <definedName name="Z_7F1DC213_A29D_4C8C_BAC3_F1BD898020FD_.wvu.PrintArea" localSheetId="5" hidden="1">'2.1. Önk bev'!$A$1:$AI$109</definedName>
    <definedName name="Z_7F1DC213_A29D_4C8C_BAC3_F1BD898020FD_.wvu.PrintArea" localSheetId="6" hidden="1">'2.2. Önk kiad'!$A$1:$AL$44</definedName>
    <definedName name="Z_7F1DC213_A29D_4C8C_BAC3_F1BD898020FD_.wvu.PrintArea" localSheetId="7" hidden="1">'2.3.Önk kiad fel'!$A$1:$U$205</definedName>
    <definedName name="Z_7F1DC213_A29D_4C8C_BAC3_F1BD898020FD_.wvu.PrintArea" localSheetId="8" hidden="1">'2D Céltartalék'!$A$1:$F$34</definedName>
    <definedName name="Z_7F1DC213_A29D_4C8C_BAC3_F1BD898020FD_.wvu.PrintArea" localSheetId="9" hidden="1">'2E VÉA'!$A$1:$L$33</definedName>
    <definedName name="Z_7F1DC213_A29D_4C8C_BAC3_F1BD898020FD_.wvu.PrintArea" localSheetId="10" hidden="1">'2F KVA'!$A$1:$L$35</definedName>
    <definedName name="Z_7F1DC213_A29D_4C8C_BAC3_F1BD898020FD_.wvu.PrintArea" localSheetId="11" hidden="1">'3.1. PH'!$B$1:$AM$49</definedName>
    <definedName name="Z_7F1DC213_A29D_4C8C_BAC3_F1BD898020FD_.wvu.PrintArea" localSheetId="12" hidden="1">'3.2. PH fel'!$A$1:$Z$40</definedName>
    <definedName name="Z_7F1DC213_A29D_4C8C_BAC3_F1BD898020FD_.wvu.PrintArea" localSheetId="13" hidden="1">'4.1. Vesz'!$A$1:$AI$46</definedName>
    <definedName name="Z_7F1DC213_A29D_4C8C_BAC3_F1BD898020FD_.wvu.PrintArea" localSheetId="14" hidden="1">'4.2. Vesz fa.'!$A$1:$U$75</definedName>
    <definedName name="Z_7F1DC213_A29D_4C8C_BAC3_F1BD898020FD_.wvu.PrintArea" localSheetId="15" hidden="1">'5. Eszi'!$A$1:$AI$46</definedName>
    <definedName name="Z_7F1DC213_A29D_4C8C_BAC3_F1BD898020FD_.wvu.PrintArea" localSheetId="20" hidden="1">'5F Segítő Kéz'!$A$1:$W$46</definedName>
    <definedName name="Z_7F1DC213_A29D_4C8C_BAC3_F1BD898020FD_.wvu.PrintArea" localSheetId="21" hidden="1">'5G Szérüskert'!$A$1:$W$46</definedName>
    <definedName name="Z_7F1DC213_A29D_4C8C_BAC3_F1BD898020FD_.wvu.PrintArea" localSheetId="23" hidden="1">'5H GSZNR fel'!$A$1:$R$128</definedName>
    <definedName name="Z_7F1DC213_A29D_4C8C_BAC3_F1BD898020FD_.wvu.PrintArea" localSheetId="16" hidden="1">'6.1. Óvoda'!$A$1:$AI$46</definedName>
    <definedName name="Z_7F1DC213_A29D_4C8C_BAC3_F1BD898020FD_.wvu.PrintArea" localSheetId="17" hidden="1">'6.2. Kalandpark'!$A$1:$AI$46</definedName>
    <definedName name="Z_7F1DC213_A29D_4C8C_BAC3_F1BD898020FD_.wvu.PrintArea" localSheetId="18" hidden="1">'6.3. KLMK'!$A$1:$AJ$46</definedName>
    <definedName name="Z_7F1DC213_A29D_4C8C_BAC3_F1BD898020FD_.wvu.PrintArea" localSheetId="19" hidden="1">'6.4. Könyvtár'!$A$1:$AI$46</definedName>
    <definedName name="Z_7F1DC213_A29D_4C8C_BAC3_F1BD898020FD_.wvu.PrintArea" localSheetId="25" hidden="1">'7. létszámkeret'!$A$1:$J$20</definedName>
    <definedName name="Z_7F1DC213_A29D_4C8C_BAC3_F1BD898020FD_.wvu.PrintArea" localSheetId="26" hidden="1">'8. beruházás'!$A$1:$U$42</definedName>
    <definedName name="Z_7F1DC213_A29D_4C8C_BAC3_F1BD898020FD_.wvu.PrintArea" localSheetId="27" hidden="1">'9. felújítás'!$A$1:$V$11</definedName>
    <definedName name="Z_7F1DC213_A29D_4C8C_BAC3_F1BD898020FD_.wvu.PrintTitles" localSheetId="2" hidden="1">'1.1. Fő bev'!$A:$B,'1.1. Fő bev'!$1:$2</definedName>
    <definedName name="Z_7F1DC213_A29D_4C8C_BAC3_F1BD898020FD_.wvu.PrintTitles" localSheetId="3" hidden="1">'1.2. Fő kiad'!$A:$B,'1.2. Fő kiad'!$1:$2</definedName>
    <definedName name="Z_7F1DC213_A29D_4C8C_BAC3_F1BD898020FD_.wvu.PrintTitles" localSheetId="4" hidden="1">'1.3. Bev kiad fel'!$A:$B,'1.3. Bev kiad fel'!$1:$4</definedName>
    <definedName name="Z_7F1DC213_A29D_4C8C_BAC3_F1BD898020FD_.wvu.PrintTitles" localSheetId="5" hidden="1">'2.1. Önk bev'!$A:$B,'2.1. Önk bev'!$1:$4</definedName>
    <definedName name="Z_7F1DC213_A29D_4C8C_BAC3_F1BD898020FD_.wvu.PrintTitles" localSheetId="6" hidden="1">'2.2. Önk kiad'!$B:$B,'2.2. Önk kiad'!$3:$4</definedName>
    <definedName name="Z_7F1DC213_A29D_4C8C_BAC3_F1BD898020FD_.wvu.PrintTitles" localSheetId="7" hidden="1">'2.3.Önk kiad fel'!$A:$B,'2.3.Önk kiad fel'!$2:$5</definedName>
    <definedName name="Z_7F1DC213_A29D_4C8C_BAC3_F1BD898020FD_.wvu.PrintTitles" localSheetId="11" hidden="1">'3.1. PH'!$A:$B,'3.1. PH'!$1:$3</definedName>
    <definedName name="Z_7F1DC213_A29D_4C8C_BAC3_F1BD898020FD_.wvu.PrintTitles" localSheetId="12" hidden="1">'3.2. PH fel'!$A:$B,'3.2. PH fel'!$1:$4</definedName>
    <definedName name="Z_7F1DC213_A29D_4C8C_BAC3_F1BD898020FD_.wvu.PrintTitles" localSheetId="13" hidden="1">'4.1. Vesz'!$A:$B,'4.1. Vesz'!$2:$4</definedName>
    <definedName name="Z_7F1DC213_A29D_4C8C_BAC3_F1BD898020FD_.wvu.PrintTitles" localSheetId="14" hidden="1">'4.2. Vesz fa.'!$A:$B,'4.2. Vesz fa.'!$1:$5</definedName>
    <definedName name="Z_7F1DC213_A29D_4C8C_BAC3_F1BD898020FD_.wvu.PrintTitles" localSheetId="15" hidden="1">'5. Eszi'!$A:$B,'5. Eszi'!$1:$4</definedName>
    <definedName name="Z_7F1DC213_A29D_4C8C_BAC3_F1BD898020FD_.wvu.PrintTitles" localSheetId="20" hidden="1">'5F Segítő Kéz'!$A:$B,'5F Segítő Kéz'!$1:$4</definedName>
    <definedName name="Z_7F1DC213_A29D_4C8C_BAC3_F1BD898020FD_.wvu.PrintTitles" localSheetId="21" hidden="1">'5G Szérüskert'!$A:$B,'5G Szérüskert'!$1:$4</definedName>
    <definedName name="Z_7F1DC213_A29D_4C8C_BAC3_F1BD898020FD_.wvu.PrintTitles" localSheetId="23" hidden="1">'5H GSZNR fel'!$A:$B,'5H GSZNR fel'!$1:$5</definedName>
    <definedName name="Z_7F1DC213_A29D_4C8C_BAC3_F1BD898020FD_.wvu.PrintTitles" localSheetId="16" hidden="1">'6.1. Óvoda'!$A:$B,'6.1. Óvoda'!$1:$4</definedName>
    <definedName name="Z_7F1DC213_A29D_4C8C_BAC3_F1BD898020FD_.wvu.PrintTitles" localSheetId="17" hidden="1">'6.2. Kalandpark'!$A:$B,'6.2. Kalandpark'!$1:$4</definedName>
    <definedName name="Z_7F1DC213_A29D_4C8C_BAC3_F1BD898020FD_.wvu.PrintTitles" localSheetId="18" hidden="1">'6.3. KLMK'!$A:$B,'6.3. KLMK'!$1:$4</definedName>
    <definedName name="Z_7F1DC213_A29D_4C8C_BAC3_F1BD898020FD_.wvu.PrintTitles" localSheetId="19" hidden="1">'6.4. Könyvtár'!$A:$B,'6.4. Könyvtár'!$1:$4</definedName>
    <definedName name="Z_7F1DC213_A29D_4C8C_BAC3_F1BD898020FD_.wvu.PrintTitles" localSheetId="24" hidden="1">Könyvtár!$1:$3</definedName>
    <definedName name="Z_7F1DC213_A29D_4C8C_BAC3_F1BD898020FD_.wvu.PrintTitles" localSheetId="32" hidden="1">MMMH!$1:$3</definedName>
    <definedName name="Z_7F1DC213_A29D_4C8C_BAC3_F1BD898020FD_.wvu.PrintTitles" localSheetId="31" hidden="1">'ÖK kiad'!$1:$1</definedName>
    <definedName name="Z_7F1DC213_A29D_4C8C_BAC3_F1BD898020FD_.wvu.PrintTitles" localSheetId="36" hidden="1">PH!$A:$C</definedName>
    <definedName name="Z_7F1DC213_A29D_4C8C_BAC3_F1BD898020FD_.wvu.PrintTitles" localSheetId="35" hidden="1">SKSZ!$A:$C</definedName>
    <definedName name="Z_7F1DC213_A29D_4C8C_BAC3_F1BD898020FD_.wvu.PrintTitles" localSheetId="22" hidden="1">Walla!$1:$3</definedName>
    <definedName name="Z_7F1DC213_A29D_4C8C_BAC3_F1BD898020FD_.wvu.Rows" localSheetId="3" hidden="1">'1.2. Fő kiad'!$10:$14,'1.2. Fő kiad'!$19:$23</definedName>
    <definedName name="Z_7F1DC213_A29D_4C8C_BAC3_F1BD898020FD_.wvu.Rows" localSheetId="4" hidden="1">'1.3. Bev kiad fel'!$16:$41,'1.3. Bev kiad fel'!$44:$44,'1.3. Bev kiad fel'!$47:$48,'1.3. Bev kiad fel'!$51:$51,'1.3. Bev kiad fel'!$61:$62,'1.3. Bev kiad fel'!$65:$66</definedName>
    <definedName name="Z_7F1DC213_A29D_4C8C_BAC3_F1BD898020FD_.wvu.Rows" localSheetId="5" hidden="1">'2.1. Önk bev'!$24:$24,'2.1. Önk bev'!$59:$60,'2.1. Önk bev'!$73:$75,'2.1. Önk bev'!$84:$84,'2.1. Önk bev'!$86:$91,'2.1. Önk bev'!$96:$99,'2.1. Önk bev'!$107:$108</definedName>
    <definedName name="Z_7F1DC213_A29D_4C8C_BAC3_F1BD898020FD_.wvu.Rows" localSheetId="6" hidden="1">'2.2. Önk kiad'!$5:$6,'2.2. Önk kiad'!$34:$35</definedName>
    <definedName name="Z_7F1DC213_A29D_4C8C_BAC3_F1BD898020FD_.wvu.Rows" localSheetId="7" hidden="1">'2.3.Önk kiad fel'!$17:$17,'2.3.Önk kiad fel'!$41:$42,'2.3.Önk kiad fel'!$58:$74,'2.3.Önk kiad fel'!$79:$81,'2.3.Önk kiad fel'!$83:$84,'2.3.Önk kiad fel'!$88:$89,'2.3.Önk kiad fel'!$91:$92,'2.3.Önk kiad fel'!$97:$99,'2.3.Önk kiad fel'!$121:$123,'2.3.Önk kiad fel'!$127:$200</definedName>
    <definedName name="Z_7F1DC213_A29D_4C8C_BAC3_F1BD898020FD_.wvu.Rows" localSheetId="8" hidden="1">'2D Céltartalék'!$5:$5,'2D Céltartalék'!$9:$9,'2D Céltartalék'!$14:$15,'2D Céltartalék'!$27:$32</definedName>
    <definedName name="Z_7F1DC213_A29D_4C8C_BAC3_F1BD898020FD_.wvu.Rows" localSheetId="9" hidden="1">'2E VÉA'!$17:$18,'2E VÉA'!$22:$26</definedName>
    <definedName name="Z_7F1DC213_A29D_4C8C_BAC3_F1BD898020FD_.wvu.Rows" localSheetId="10" hidden="1">'2F KVA'!$27:$27,'2F KVA'!$32:$32</definedName>
    <definedName name="Z_7F1DC213_A29D_4C8C_BAC3_F1BD898020FD_.wvu.Rows" localSheetId="11" hidden="1">'3.1. PH'!$5:$7</definedName>
    <definedName name="Z_7F1DC213_A29D_4C8C_BAC3_F1BD898020FD_.wvu.Rows" localSheetId="12" hidden="1">'3.2. PH fel'!$12:$15,'3.2. PH fel'!$25:$32,'3.2. PH fel'!$34:$35</definedName>
    <definedName name="Z_7F1DC213_A29D_4C8C_BAC3_F1BD898020FD_.wvu.Rows" localSheetId="13" hidden="1">'4.1. Vesz'!$6:$7</definedName>
    <definedName name="Z_7F1DC213_A29D_4C8C_BAC3_F1BD898020FD_.wvu.Rows" localSheetId="14" hidden="1">'4.2. Vesz fa.'!$19:$19,'4.2. Vesz fa.'!$22:$22,'4.2. Vesz fa.'!$44:$44,'4.2. Vesz fa.'!$65:$74,'4.2. Vesz fa.'!$76:$102,'4.2. Vesz fa.'!$107:$112</definedName>
    <definedName name="Z_7F1DC213_A29D_4C8C_BAC3_F1BD898020FD_.wvu.Rows" localSheetId="15" hidden="1">'5. Eszi'!$6:$7</definedName>
    <definedName name="Z_7F1DC213_A29D_4C8C_BAC3_F1BD898020FD_.wvu.Rows" localSheetId="16" hidden="1">'6.1. Óvoda'!$6:$7</definedName>
    <definedName name="Z_7F1DC213_A29D_4C8C_BAC3_F1BD898020FD_.wvu.Rows" localSheetId="17" hidden="1">'6.2. Kalandpark'!$6:$7</definedName>
    <definedName name="Z_7F1DC213_A29D_4C8C_BAC3_F1BD898020FD_.wvu.Rows" localSheetId="18" hidden="1">'6.3. KLMK'!$6:$7</definedName>
    <definedName name="Z_7F1DC213_A29D_4C8C_BAC3_F1BD898020FD_.wvu.Rows" localSheetId="19" hidden="1">'6.4. Könyvtár'!$6:$7</definedName>
    <definedName name="Z_7F1DC213_A29D_4C8C_BAC3_F1BD898020FD_.wvu.Rows" localSheetId="24" hidden="1">Könyvtár!$7:$19</definedName>
    <definedName name="Z_7F1DC213_A29D_4C8C_BAC3_F1BD898020FD_.wvu.Rows" localSheetId="35" hidden="1">SKSZ!$64:$64</definedName>
  </definedNames>
  <calcPr calcId="181029"/>
  <customWorkbookViews>
    <customWorkbookView name="Tagaine.Fabok.Timea - Egyéni nézet" guid="{7F1DC213-A29D-4C8C-BAC3-F1BD898020FD}" mergeInterval="0" personalView="1" maximized="1" xWindow="-8" yWindow="-8" windowWidth="1936" windowHeight="1056" tabRatio="853" activeSheetId="16"/>
    <customWorkbookView name="Horváth Szilvia - Egyéni nézet" guid="{4DCB1349-1166-4B69-AE14-D6B08F9FCE74}" mergeInterval="0" personalView="1" maximized="1" xWindow="-8" yWindow="-8" windowWidth="1936" windowHeight="1056" tabRatio="853" activeSheetId="16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4" i="27" l="1"/>
  <c r="AF32" i="3"/>
  <c r="AF19" i="3"/>
  <c r="AG23" i="3"/>
  <c r="AG18" i="3"/>
  <c r="AG19" i="3"/>
  <c r="AG9" i="4"/>
  <c r="AI8" i="4"/>
  <c r="AI9" i="4"/>
  <c r="AI6" i="4"/>
  <c r="AI7" i="4"/>
  <c r="AI5" i="4"/>
  <c r="U211" i="8"/>
  <c r="U210" i="8"/>
  <c r="U209" i="8"/>
  <c r="U208" i="8"/>
  <c r="AG47" i="12" l="1"/>
  <c r="AH47" i="12"/>
  <c r="AG48" i="12"/>
  <c r="AH48" i="12"/>
  <c r="AG43" i="12"/>
  <c r="U99" i="15" l="1"/>
  <c r="AF44" i="14" s="1"/>
  <c r="AG17" i="4" s="1"/>
  <c r="U98" i="15"/>
  <c r="AF43" i="14" s="1"/>
  <c r="U95" i="15"/>
  <c r="AF37" i="14" s="1"/>
  <c r="U96" i="15"/>
  <c r="AF38" i="14" s="1"/>
  <c r="U97" i="15"/>
  <c r="AF39" i="14" s="1"/>
  <c r="T98" i="15"/>
  <c r="T99" i="15"/>
  <c r="T97" i="15"/>
  <c r="T96" i="15"/>
  <c r="T95" i="15"/>
  <c r="T100" i="15" l="1"/>
  <c r="U100" i="15"/>
  <c r="AI40" i="20"/>
  <c r="AI41" i="20"/>
  <c r="AF42" i="20"/>
  <c r="AI42" i="20" s="1"/>
  <c r="AG39" i="19"/>
  <c r="AG38" i="19"/>
  <c r="AG37" i="19"/>
  <c r="AF13" i="19"/>
  <c r="AB47" i="3"/>
  <c r="AE50" i="3"/>
  <c r="AD17" i="3"/>
  <c r="AC18" i="3"/>
  <c r="AC20" i="3"/>
  <c r="AC21" i="3"/>
  <c r="AC22" i="3"/>
  <c r="AC23" i="3"/>
  <c r="AC24" i="3"/>
  <c r="AC25" i="3"/>
  <c r="AC26" i="3"/>
  <c r="AB26" i="3"/>
  <c r="AB25" i="3"/>
  <c r="AB24" i="3"/>
  <c r="AB23" i="3"/>
  <c r="AB21" i="3"/>
  <c r="AB20" i="3"/>
  <c r="AB18" i="3"/>
  <c r="AB5" i="3"/>
  <c r="G4" i="2" s="1"/>
  <c r="AD17" i="4"/>
  <c r="AE17" i="4"/>
  <c r="AD18" i="4"/>
  <c r="AE18" i="4"/>
  <c r="AC18" i="4"/>
  <c r="AC17" i="4"/>
  <c r="AC16" i="4"/>
  <c r="AE5" i="4"/>
  <c r="AE6" i="4"/>
  <c r="AE7" i="4"/>
  <c r="AE8" i="4"/>
  <c r="AD5" i="4"/>
  <c r="AD6" i="4"/>
  <c r="AD7" i="4"/>
  <c r="AD8" i="4"/>
  <c r="AC8" i="4"/>
  <c r="O7" i="2" s="1"/>
  <c r="AC7" i="4"/>
  <c r="AC6" i="4"/>
  <c r="AC5" i="4"/>
  <c r="Y64" i="5"/>
  <c r="Y67" i="5"/>
  <c r="Y44" i="5"/>
  <c r="Y48" i="5"/>
  <c r="Y51" i="5"/>
  <c r="Y12" i="5"/>
  <c r="AB32" i="20"/>
  <c r="AE33" i="20"/>
  <c r="AF41" i="19"/>
  <c r="AF44" i="19"/>
  <c r="AF45" i="19"/>
  <c r="AD42" i="19"/>
  <c r="AE42" i="19"/>
  <c r="AF43" i="19"/>
  <c r="AC42" i="19"/>
  <c r="AF33" i="19"/>
  <c r="AC32" i="19"/>
  <c r="AC31" i="19" s="1"/>
  <c r="AE44" i="18"/>
  <c r="AE45" i="18"/>
  <c r="AE43" i="18"/>
  <c r="AB42" i="18"/>
  <c r="AC32" i="18"/>
  <c r="AD32" i="18"/>
  <c r="AB32" i="18"/>
  <c r="AE34" i="18"/>
  <c r="AE33" i="18"/>
  <c r="AE43" i="17"/>
  <c r="AE33" i="17"/>
  <c r="AE33" i="16"/>
  <c r="AB32" i="14"/>
  <c r="AE34" i="14"/>
  <c r="AE33" i="14"/>
  <c r="AB42" i="14"/>
  <c r="AE44" i="14"/>
  <c r="AE45" i="14"/>
  <c r="AE43" i="14"/>
  <c r="AG9" i="12"/>
  <c r="AC9" i="12"/>
  <c r="T50" i="8"/>
  <c r="Y14" i="5" s="1"/>
  <c r="T14" i="8"/>
  <c r="AB57" i="6"/>
  <c r="AE32" i="14" l="1"/>
  <c r="AE32" i="18"/>
  <c r="AC17" i="3"/>
  <c r="AB17" i="3"/>
  <c r="AE42" i="18"/>
  <c r="AF31" i="19"/>
  <c r="AF42" i="19"/>
  <c r="AL17" i="3"/>
  <c r="AK47" i="3"/>
  <c r="AL47" i="3"/>
  <c r="AM50" i="3"/>
  <c r="AM16" i="4"/>
  <c r="AL17" i="4"/>
  <c r="AM17" i="4"/>
  <c r="AK17" i="4"/>
  <c r="Q12" i="2" s="1"/>
  <c r="AH16" i="4"/>
  <c r="AH17" i="4"/>
  <c r="AM9" i="4"/>
  <c r="AL9" i="4"/>
  <c r="AK9" i="4"/>
  <c r="AK8" i="4"/>
  <c r="AN8" i="4" s="1"/>
  <c r="Q7" i="2" s="1"/>
  <c r="AG8" i="4"/>
  <c r="AJ48" i="6"/>
  <c r="AJ12" i="7"/>
  <c r="AH9" i="4" s="1"/>
  <c r="H18" i="2" l="1"/>
  <c r="I18" i="2"/>
  <c r="AJ47" i="3"/>
  <c r="AM47" i="3" s="1"/>
  <c r="AI51" i="3"/>
  <c r="AI52" i="3"/>
  <c r="AI53" i="3"/>
  <c r="AI54" i="3"/>
  <c r="AI55" i="3"/>
  <c r="AI50" i="3"/>
  <c r="AF47" i="3"/>
  <c r="I13" i="2"/>
  <c r="AL40" i="3" l="1"/>
  <c r="AJ40" i="3"/>
  <c r="AK42" i="3"/>
  <c r="AK41" i="3"/>
  <c r="AH40" i="3"/>
  <c r="AF40" i="3"/>
  <c r="AG42" i="3"/>
  <c r="AG41" i="3"/>
  <c r="AG35" i="3"/>
  <c r="AH35" i="3"/>
  <c r="AK35" i="3"/>
  <c r="AL35" i="3"/>
  <c r="AJ37" i="3"/>
  <c r="AJ36" i="3"/>
  <c r="AF37" i="3"/>
  <c r="AF38" i="3"/>
  <c r="AF36" i="3"/>
  <c r="AJ33" i="3"/>
  <c r="AJ32" i="3"/>
  <c r="AF33" i="3"/>
  <c r="X32" i="3"/>
  <c r="X33" i="3"/>
  <c r="AJ29" i="3"/>
  <c r="AF29" i="3"/>
  <c r="AK18" i="3"/>
  <c r="AK20" i="3"/>
  <c r="AK21" i="3"/>
  <c r="AK22" i="3"/>
  <c r="AK23" i="3"/>
  <c r="AK24" i="3"/>
  <c r="AK25" i="3"/>
  <c r="AK26" i="3"/>
  <c r="AJ26" i="3"/>
  <c r="AJ25" i="3"/>
  <c r="AJ24" i="3"/>
  <c r="AJ23" i="3"/>
  <c r="AJ22" i="3"/>
  <c r="AJ21" i="3"/>
  <c r="AJ20" i="3"/>
  <c r="AJ18" i="3"/>
  <c r="AF24" i="3"/>
  <c r="AF26" i="3"/>
  <c r="AF25" i="3"/>
  <c r="AF23" i="3"/>
  <c r="AF18" i="3"/>
  <c r="AG20" i="3"/>
  <c r="AG22" i="3"/>
  <c r="AG24" i="3"/>
  <c r="AG25" i="3"/>
  <c r="AG26" i="3"/>
  <c r="AF22" i="3"/>
  <c r="AF20" i="3"/>
  <c r="AK12" i="3"/>
  <c r="AJ15" i="3"/>
  <c r="AG11" i="3"/>
  <c r="AG13" i="3"/>
  <c r="AG14" i="3"/>
  <c r="AG15" i="3"/>
  <c r="AF15" i="3"/>
  <c r="AJ35" i="3" l="1"/>
  <c r="AM35" i="3"/>
  <c r="I12" i="2"/>
  <c r="AJ17" i="3"/>
  <c r="AF35" i="3"/>
  <c r="AI35" i="3" s="1"/>
  <c r="H12" i="2" s="1"/>
  <c r="Q10" i="2"/>
  <c r="G21" i="2"/>
  <c r="H21" i="2"/>
  <c r="H17" i="2" s="1"/>
  <c r="I21" i="2"/>
  <c r="I17" i="2" s="1"/>
  <c r="H13" i="2"/>
  <c r="AA64" i="5"/>
  <c r="AA67" i="5"/>
  <c r="Z67" i="5"/>
  <c r="Z64" i="5"/>
  <c r="AA12" i="5"/>
  <c r="Z12" i="5"/>
  <c r="AA44" i="5"/>
  <c r="AA48" i="5"/>
  <c r="AA51" i="5"/>
  <c r="Z51" i="5"/>
  <c r="Z48" i="5"/>
  <c r="Z44" i="5"/>
  <c r="V14" i="8"/>
  <c r="V13" i="8" s="1"/>
  <c r="V50" i="8"/>
  <c r="AA14" i="5" s="1"/>
  <c r="U50" i="8"/>
  <c r="Z14" i="5" s="1"/>
  <c r="U104" i="8"/>
  <c r="Z53" i="5" s="1"/>
  <c r="U87" i="8"/>
  <c r="Z46" i="5" s="1"/>
  <c r="U76" i="8"/>
  <c r="Z43" i="5" s="1"/>
  <c r="U14" i="8"/>
  <c r="V12" i="15" l="1"/>
  <c r="V110" i="15"/>
  <c r="V109" i="15"/>
  <c r="V108" i="15"/>
  <c r="V107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C111" i="15"/>
  <c r="H107" i="15"/>
  <c r="G107" i="15"/>
  <c r="V60" i="15"/>
  <c r="V55" i="15"/>
  <c r="V51" i="15"/>
  <c r="V45" i="15"/>
  <c r="V41" i="15"/>
  <c r="V37" i="15"/>
  <c r="V32" i="15"/>
  <c r="V27" i="15"/>
  <c r="V23" i="15"/>
  <c r="V20" i="15"/>
  <c r="V17" i="15"/>
  <c r="V7" i="15"/>
  <c r="V6" i="15" l="1"/>
  <c r="V112" i="15"/>
  <c r="AN36" i="12" l="1"/>
  <c r="AJ36" i="12"/>
  <c r="AG14" i="12"/>
  <c r="AM32" i="18"/>
  <c r="AM34" i="18"/>
  <c r="AM33" i="18"/>
  <c r="AG32" i="18"/>
  <c r="AG31" i="18" s="1"/>
  <c r="AH32" i="18"/>
  <c r="AH31" i="18" s="1"/>
  <c r="AF32" i="18"/>
  <c r="AF31" i="18" s="1"/>
  <c r="AI34" i="18"/>
  <c r="AI33" i="18"/>
  <c r="AK31" i="19"/>
  <c r="AN34" i="19"/>
  <c r="AN33" i="19"/>
  <c r="AG31" i="19"/>
  <c r="AI31" i="18" l="1"/>
  <c r="AI32" i="18"/>
  <c r="AJ33" i="19"/>
  <c r="AH32" i="19"/>
  <c r="AI32" i="19"/>
  <c r="AK42" i="19"/>
  <c r="AG42" i="19"/>
  <c r="AJ38" i="19"/>
  <c r="AJ39" i="19"/>
  <c r="AJ40" i="19"/>
  <c r="AJ41" i="19"/>
  <c r="AJ37" i="19"/>
  <c r="AG36" i="19"/>
  <c r="AJ36" i="20"/>
  <c r="AM34" i="20" l="1"/>
  <c r="AM33" i="20"/>
  <c r="AI34" i="20"/>
  <c r="AI33" i="20"/>
  <c r="AM34" i="17"/>
  <c r="AM33" i="17"/>
  <c r="AI34" i="17"/>
  <c r="AI33" i="17"/>
  <c r="AK25" i="17"/>
  <c r="AK22" i="17" s="1"/>
  <c r="AL25" i="17"/>
  <c r="AL22" i="17" s="1"/>
  <c r="AJ25" i="17"/>
  <c r="AM27" i="17"/>
  <c r="AE38" i="16"/>
  <c r="AE39" i="16"/>
  <c r="AE40" i="16"/>
  <c r="AE41" i="16"/>
  <c r="AE37" i="16"/>
  <c r="AM25" i="17" l="1"/>
  <c r="AJ22" i="17"/>
  <c r="AM22" i="17" s="1"/>
  <c r="AM33" i="16"/>
  <c r="AI34" i="16"/>
  <c r="AI33" i="16"/>
  <c r="AK32" i="14"/>
  <c r="AL32" i="14"/>
  <c r="AJ32" i="14"/>
  <c r="AG32" i="14"/>
  <c r="AH32" i="14"/>
  <c r="AF32" i="14"/>
  <c r="AI34" i="14"/>
  <c r="AI33" i="14"/>
  <c r="AK42" i="14"/>
  <c r="AL42" i="14"/>
  <c r="AJ42" i="14"/>
  <c r="AG42" i="14"/>
  <c r="AH42" i="14"/>
  <c r="AF42" i="14"/>
  <c r="AI44" i="14"/>
  <c r="AI45" i="14"/>
  <c r="AI43" i="14"/>
  <c r="AK25" i="14"/>
  <c r="AL25" i="14"/>
  <c r="AJ25" i="14"/>
  <c r="AJ11" i="14"/>
  <c r="AE10" i="14"/>
  <c r="AN45" i="12"/>
  <c r="AK46" i="12"/>
  <c r="AK16" i="4" s="1"/>
  <c r="AN16" i="4" s="1"/>
  <c r="AG46" i="12"/>
  <c r="AG16" i="4" s="1"/>
  <c r="AM41" i="12"/>
  <c r="AM6" i="4" s="1"/>
  <c r="AM42" i="12"/>
  <c r="AM7" i="4" s="1"/>
  <c r="AL41" i="12"/>
  <c r="AL6" i="4" s="1"/>
  <c r="AL42" i="12"/>
  <c r="AL7" i="4" s="1"/>
  <c r="AK41" i="12"/>
  <c r="AK6" i="4" s="1"/>
  <c r="AN6" i="4" s="1"/>
  <c r="Q5" i="2" s="1"/>
  <c r="AK42" i="12"/>
  <c r="AK7" i="4" s="1"/>
  <c r="AI41" i="12"/>
  <c r="AI42" i="12"/>
  <c r="AG42" i="12"/>
  <c r="AG7" i="4" s="1"/>
  <c r="AH41" i="12"/>
  <c r="AH6" i="4" s="1"/>
  <c r="AH42" i="12"/>
  <c r="AH7" i="4" s="1"/>
  <c r="AG41" i="12"/>
  <c r="AG6" i="4" s="1"/>
  <c r="AM40" i="12"/>
  <c r="AM5" i="4" s="1"/>
  <c r="AL40" i="12"/>
  <c r="AL5" i="4" s="1"/>
  <c r="AK40" i="12"/>
  <c r="AK5" i="4" s="1"/>
  <c r="AI40" i="12"/>
  <c r="AH40" i="12"/>
  <c r="AH5" i="4" s="1"/>
  <c r="AG40" i="12"/>
  <c r="AG5" i="4" s="1"/>
  <c r="AN24" i="7"/>
  <c r="AL18" i="4" s="1"/>
  <c r="AO24" i="7"/>
  <c r="AM18" i="4" s="1"/>
  <c r="AJ24" i="7"/>
  <c r="AH18" i="4" s="1"/>
  <c r="AK24" i="7"/>
  <c r="AM24" i="7"/>
  <c r="AK18" i="4" s="1"/>
  <c r="AG18" i="4"/>
  <c r="AG45" i="12" l="1"/>
  <c r="AJ45" i="12" s="1"/>
  <c r="AI32" i="14"/>
  <c r="AM32" i="14"/>
  <c r="AM25" i="14"/>
  <c r="AK57" i="6"/>
  <c r="AL57" i="6"/>
  <c r="AJ57" i="6"/>
  <c r="AG57" i="6"/>
  <c r="AH57" i="6"/>
  <c r="AF57" i="6"/>
  <c r="AM58" i="6"/>
  <c r="AI58" i="6"/>
  <c r="AH78" i="6"/>
  <c r="AF78" i="6"/>
  <c r="AI82" i="6"/>
  <c r="AI83" i="6"/>
  <c r="AI84" i="6"/>
  <c r="AI85" i="6"/>
  <c r="AG81" i="6"/>
  <c r="AM82" i="6"/>
  <c r="AM83" i="6"/>
  <c r="AM84" i="6"/>
  <c r="AK81" i="6"/>
  <c r="AL81" i="6"/>
  <c r="AL78" i="6" s="1"/>
  <c r="AJ81" i="6"/>
  <c r="AJ78" i="6" s="1"/>
  <c r="AI69" i="6"/>
  <c r="AM66" i="6"/>
  <c r="AM67" i="6"/>
  <c r="AM68" i="6"/>
  <c r="AM69" i="6"/>
  <c r="AK65" i="6"/>
  <c r="AL65" i="6"/>
  <c r="AJ65" i="6"/>
  <c r="AJ34" i="3" s="1"/>
  <c r="AI66" i="6"/>
  <c r="AI67" i="6"/>
  <c r="AI68" i="6"/>
  <c r="AG65" i="6"/>
  <c r="AH65" i="6"/>
  <c r="AF65" i="6"/>
  <c r="AF34" i="3" s="1"/>
  <c r="AK70" i="6"/>
  <c r="AL70" i="6"/>
  <c r="AG70" i="6"/>
  <c r="AH70" i="6"/>
  <c r="AJ70" i="6"/>
  <c r="AF70" i="6"/>
  <c r="AM72" i="6"/>
  <c r="AI72" i="6"/>
  <c r="AM46" i="6"/>
  <c r="AM47" i="6"/>
  <c r="AM48" i="6"/>
  <c r="AM49" i="6"/>
  <c r="AM50" i="6"/>
  <c r="AM51" i="6"/>
  <c r="AM52" i="6"/>
  <c r="AM53" i="6"/>
  <c r="AM54" i="6"/>
  <c r="AM55" i="6"/>
  <c r="AM56" i="6"/>
  <c r="AF48" i="6"/>
  <c r="AI46" i="6"/>
  <c r="AI47" i="6"/>
  <c r="AI49" i="6"/>
  <c r="AI50" i="6"/>
  <c r="AI51" i="6"/>
  <c r="AI52" i="6"/>
  <c r="AI53" i="6"/>
  <c r="AI54" i="6"/>
  <c r="AI55" i="6"/>
  <c r="AI56" i="6"/>
  <c r="AH26" i="6"/>
  <c r="AG31" i="6"/>
  <c r="AJ38" i="6"/>
  <c r="AJ14" i="3" s="1"/>
  <c r="AJ34" i="6"/>
  <c r="AJ13" i="3" s="1"/>
  <c r="AJ31" i="6"/>
  <c r="AJ12" i="3" s="1"/>
  <c r="AJ27" i="6"/>
  <c r="AJ11" i="3" s="1"/>
  <c r="AM57" i="6" l="1"/>
  <c r="AI65" i="6"/>
  <c r="AM70" i="6"/>
  <c r="AI57" i="6"/>
  <c r="AI81" i="6"/>
  <c r="AG43" i="3"/>
  <c r="AG40" i="3" s="1"/>
  <c r="AI40" i="3" s="1"/>
  <c r="AG26" i="6"/>
  <c r="AG12" i="3"/>
  <c r="AI48" i="6"/>
  <c r="AF21" i="3"/>
  <c r="AI70" i="6"/>
  <c r="AM81" i="6"/>
  <c r="AK43" i="3"/>
  <c r="AK40" i="3" s="1"/>
  <c r="AM40" i="3" s="1"/>
  <c r="AM65" i="6"/>
  <c r="AG78" i="6"/>
  <c r="AI78" i="6" s="1"/>
  <c r="AJ62" i="6"/>
  <c r="AJ61" i="6" s="1"/>
  <c r="AK78" i="6"/>
  <c r="AM78" i="6" s="1"/>
  <c r="AJ26" i="6"/>
  <c r="AK26" i="6"/>
  <c r="AL26" i="6"/>
  <c r="AM28" i="6"/>
  <c r="AM29" i="6"/>
  <c r="AM30" i="6"/>
  <c r="AM32" i="6"/>
  <c r="AM33" i="6"/>
  <c r="AM35" i="6"/>
  <c r="AM36" i="6"/>
  <c r="AM37" i="6"/>
  <c r="AM39" i="6"/>
  <c r="AM40" i="6"/>
  <c r="AM41" i="6"/>
  <c r="AM42" i="6"/>
  <c r="AI28" i="6"/>
  <c r="AI29" i="6"/>
  <c r="AI30" i="6"/>
  <c r="AI32" i="6"/>
  <c r="AI33" i="6"/>
  <c r="AI35" i="6"/>
  <c r="AI36" i="6"/>
  <c r="AI37" i="6"/>
  <c r="AI39" i="6"/>
  <c r="AI40" i="6"/>
  <c r="AI41" i="6"/>
  <c r="AI42" i="6"/>
  <c r="AF38" i="6"/>
  <c r="AF34" i="6"/>
  <c r="AF31" i="6"/>
  <c r="AF12" i="3" s="1"/>
  <c r="AF27" i="6"/>
  <c r="AM34" i="6" l="1"/>
  <c r="AM27" i="6"/>
  <c r="AI27" i="6"/>
  <c r="AF11" i="3"/>
  <c r="AI31" i="6"/>
  <c r="AM31" i="6"/>
  <c r="AI34" i="6"/>
  <c r="AF13" i="3"/>
  <c r="AI13" i="3" s="1"/>
  <c r="AI38" i="6"/>
  <c r="AF14" i="3"/>
  <c r="AI14" i="3" s="1"/>
  <c r="AF26" i="6"/>
  <c r="AM38" i="6"/>
  <c r="V6" i="28"/>
  <c r="V3" i="28" s="1"/>
  <c r="V11" i="28" s="1"/>
  <c r="W6" i="28"/>
  <c r="X6" i="28"/>
  <c r="X3" i="28" s="1"/>
  <c r="X11" i="28" s="1"/>
  <c r="W3" i="28"/>
  <c r="W11" i="28" s="1"/>
  <c r="W29" i="27"/>
  <c r="W34" i="27"/>
  <c r="V29" i="27"/>
  <c r="V3" i="27" s="1"/>
  <c r="V42" i="27"/>
  <c r="AJ9" i="20"/>
  <c r="AM10" i="20"/>
  <c r="AJ11" i="20"/>
  <c r="AK11" i="20"/>
  <c r="AL11" i="20"/>
  <c r="AM12" i="20"/>
  <c r="AM13" i="20"/>
  <c r="AM14" i="20"/>
  <c r="AM15" i="20"/>
  <c r="AM16" i="20"/>
  <c r="AM17" i="20"/>
  <c r="AM18" i="20"/>
  <c r="AM19" i="20"/>
  <c r="AJ20" i="20"/>
  <c r="AK20" i="20"/>
  <c r="AL20" i="20"/>
  <c r="AM21" i="20"/>
  <c r="AJ32" i="20"/>
  <c r="AJ31" i="20" s="1"/>
  <c r="AK32" i="20"/>
  <c r="AK31" i="20" s="1"/>
  <c r="AL32" i="20"/>
  <c r="AL31" i="20" s="1"/>
  <c r="AJ46" i="20"/>
  <c r="AK36" i="20"/>
  <c r="AL36" i="20"/>
  <c r="AL46" i="20" s="1"/>
  <c r="AM37" i="20"/>
  <c r="AM38" i="20"/>
  <c r="AM39" i="20"/>
  <c r="AG32" i="20"/>
  <c r="AH32" i="20"/>
  <c r="AH31" i="20" s="1"/>
  <c r="AF32" i="20"/>
  <c r="AF31" i="20" s="1"/>
  <c r="AG20" i="20"/>
  <c r="AH20" i="20"/>
  <c r="AF20" i="20"/>
  <c r="AG11" i="20"/>
  <c r="AH11" i="20"/>
  <c r="AF11" i="20"/>
  <c r="AI13" i="20"/>
  <c r="AI14" i="20"/>
  <c r="AI15" i="20"/>
  <c r="AI16" i="20"/>
  <c r="AI17" i="20"/>
  <c r="AI18" i="20"/>
  <c r="AI19" i="20"/>
  <c r="AI12" i="20"/>
  <c r="AF9" i="20"/>
  <c r="AI9" i="20" s="1"/>
  <c r="AI10" i="20"/>
  <c r="AI21" i="20"/>
  <c r="AF36" i="20"/>
  <c r="AF46" i="20" s="1"/>
  <c r="AG36" i="20"/>
  <c r="AG46" i="20" s="1"/>
  <c r="AH36" i="20"/>
  <c r="AH46" i="20" s="1"/>
  <c r="AI37" i="20"/>
  <c r="AI38" i="20"/>
  <c r="AI39" i="20"/>
  <c r="AK9" i="19"/>
  <c r="AL9" i="19"/>
  <c r="AM9" i="19"/>
  <c r="AN10" i="19"/>
  <c r="AN9" i="19" s="1"/>
  <c r="AK11" i="19"/>
  <c r="AL11" i="19"/>
  <c r="AM11" i="19"/>
  <c r="AN12" i="19"/>
  <c r="AN13" i="19"/>
  <c r="AN14" i="19"/>
  <c r="AN15" i="19"/>
  <c r="AN16" i="19"/>
  <c r="AN17" i="19"/>
  <c r="AN18" i="19"/>
  <c r="AN19" i="19"/>
  <c r="AK32" i="19"/>
  <c r="AL32" i="19"/>
  <c r="AL31" i="19" s="1"/>
  <c r="AM32" i="19"/>
  <c r="AM31" i="19" s="1"/>
  <c r="AN32" i="19"/>
  <c r="AK36" i="19"/>
  <c r="AL36" i="19"/>
  <c r="AM36" i="19"/>
  <c r="AN37" i="19"/>
  <c r="AN38" i="19"/>
  <c r="AN39" i="19"/>
  <c r="AN40" i="19"/>
  <c r="AN41" i="19"/>
  <c r="AL42" i="19"/>
  <c r="AM42" i="19"/>
  <c r="AN43" i="19"/>
  <c r="AN44" i="19"/>
  <c r="AN45" i="19"/>
  <c r="AH42" i="19"/>
  <c r="AI42" i="19"/>
  <c r="AJ43" i="19"/>
  <c r="AJ44" i="19"/>
  <c r="AJ45" i="19"/>
  <c r="AJ34" i="19"/>
  <c r="AH31" i="19"/>
  <c r="AI31" i="19"/>
  <c r="AG32" i="19"/>
  <c r="AJ32" i="19" s="1"/>
  <c r="AG9" i="19"/>
  <c r="AH9" i="19"/>
  <c r="AI9" i="19"/>
  <c r="AJ10" i="19"/>
  <c r="AJ9" i="19" s="1"/>
  <c r="AG11" i="19"/>
  <c r="AH11" i="19"/>
  <c r="AI11" i="19"/>
  <c r="AJ12" i="19"/>
  <c r="AJ13" i="19"/>
  <c r="AJ14" i="19"/>
  <c r="AJ15" i="19"/>
  <c r="AJ16" i="19"/>
  <c r="AJ17" i="19"/>
  <c r="AJ18" i="19"/>
  <c r="AJ19" i="19"/>
  <c r="AH36" i="19"/>
  <c r="AI36" i="19"/>
  <c r="AI46" i="19" s="1"/>
  <c r="AJ9" i="18"/>
  <c r="AM9" i="18" s="1"/>
  <c r="AM10" i="18"/>
  <c r="AJ11" i="18"/>
  <c r="AK11" i="18"/>
  <c r="AL11" i="18"/>
  <c r="AM12" i="18"/>
  <c r="AM13" i="18"/>
  <c r="AM14" i="18"/>
  <c r="AM15" i="18"/>
  <c r="AM16" i="18"/>
  <c r="AM17" i="18"/>
  <c r="AM18" i="18"/>
  <c r="AM19" i="18"/>
  <c r="AJ20" i="18"/>
  <c r="AK20" i="18"/>
  <c r="AL20" i="18"/>
  <c r="AM21" i="18"/>
  <c r="AJ36" i="18"/>
  <c r="AK36" i="18"/>
  <c r="AL36" i="18"/>
  <c r="AM37" i="18"/>
  <c r="AM38" i="18"/>
  <c r="AM39" i="18"/>
  <c r="AM40" i="18"/>
  <c r="AM41" i="18"/>
  <c r="AJ42" i="18"/>
  <c r="AK42" i="18"/>
  <c r="AK46" i="18" s="1"/>
  <c r="AL42" i="18"/>
  <c r="AM43" i="18"/>
  <c r="AL46" i="18"/>
  <c r="AG42" i="18"/>
  <c r="AH42" i="18"/>
  <c r="AF42" i="18"/>
  <c r="AI43" i="18"/>
  <c r="AG20" i="18"/>
  <c r="AH20" i="18"/>
  <c r="AF20" i="18"/>
  <c r="AI21" i="18"/>
  <c r="AF9" i="18"/>
  <c r="AI9" i="18" s="1"/>
  <c r="AI10" i="18"/>
  <c r="AF11" i="18"/>
  <c r="AG11" i="18"/>
  <c r="AH11" i="18"/>
  <c r="AI12" i="18"/>
  <c r="AI13" i="18"/>
  <c r="AI14" i="18"/>
  <c r="AI15" i="18"/>
  <c r="AI16" i="18"/>
  <c r="AI17" i="18"/>
  <c r="AI18" i="18"/>
  <c r="AI19" i="18"/>
  <c r="AF36" i="18"/>
  <c r="AG36" i="18"/>
  <c r="AH36" i="18"/>
  <c r="AH46" i="18" s="1"/>
  <c r="AI37" i="18"/>
  <c r="AI38" i="18"/>
  <c r="AI39" i="18"/>
  <c r="AI40" i="18"/>
  <c r="AI41" i="18"/>
  <c r="AJ9" i="17"/>
  <c r="AK9" i="17"/>
  <c r="AL9" i="17"/>
  <c r="AM10" i="17"/>
  <c r="AJ11" i="17"/>
  <c r="AK11" i="17"/>
  <c r="AL11" i="17"/>
  <c r="AM12" i="17"/>
  <c r="AM13" i="17"/>
  <c r="AM14" i="17"/>
  <c r="AM15" i="17"/>
  <c r="AM16" i="17"/>
  <c r="AM17" i="17"/>
  <c r="AM18" i="17"/>
  <c r="AM19" i="17"/>
  <c r="AJ20" i="17"/>
  <c r="AK20" i="17"/>
  <c r="AL20" i="17"/>
  <c r="AM21" i="17"/>
  <c r="AJ32" i="17"/>
  <c r="AK32" i="17"/>
  <c r="AK31" i="17" s="1"/>
  <c r="AL32" i="17"/>
  <c r="AL31" i="17" s="1"/>
  <c r="AJ36" i="17"/>
  <c r="AK36" i="17"/>
  <c r="AL36" i="17"/>
  <c r="AM37" i="17"/>
  <c r="AM38" i="17"/>
  <c r="AM39" i="17"/>
  <c r="AJ42" i="17"/>
  <c r="AK42" i="17"/>
  <c r="AL42" i="17"/>
  <c r="AM43" i="17"/>
  <c r="AM42" i="17" s="1"/>
  <c r="AI43" i="17"/>
  <c r="AI42" i="17" s="1"/>
  <c r="AG9" i="17"/>
  <c r="AH9" i="17"/>
  <c r="AG11" i="17"/>
  <c r="AH11" i="17"/>
  <c r="AF11" i="17"/>
  <c r="AG20" i="17"/>
  <c r="AH20" i="17"/>
  <c r="AF20" i="17"/>
  <c r="AI21" i="17"/>
  <c r="AI13" i="17"/>
  <c r="AI14" i="17"/>
  <c r="AI15" i="17"/>
  <c r="AI16" i="17"/>
  <c r="AI17" i="17"/>
  <c r="AI18" i="17"/>
  <c r="AI19" i="17"/>
  <c r="AI12" i="17"/>
  <c r="AF9" i="17"/>
  <c r="AI10" i="17"/>
  <c r="AF36" i="17"/>
  <c r="AG36" i="17"/>
  <c r="AG32" i="17" s="1"/>
  <c r="AG31" i="17" s="1"/>
  <c r="AH36" i="17"/>
  <c r="AI37" i="17"/>
  <c r="AI38" i="17"/>
  <c r="AI39" i="17"/>
  <c r="AF42" i="17"/>
  <c r="AG42" i="17"/>
  <c r="AH42" i="17"/>
  <c r="AM38" i="16"/>
  <c r="AM39" i="16"/>
  <c r="AM40" i="16"/>
  <c r="AM41" i="16"/>
  <c r="AM37" i="16"/>
  <c r="AM21" i="16"/>
  <c r="AK20" i="16"/>
  <c r="AL20" i="16"/>
  <c r="AJ20" i="16"/>
  <c r="AI38" i="16"/>
  <c r="AI39" i="16"/>
  <c r="AI40" i="16"/>
  <c r="AI41" i="16"/>
  <c r="AI37" i="16"/>
  <c r="AG20" i="16"/>
  <c r="AH20" i="16"/>
  <c r="AF20" i="16"/>
  <c r="AI21" i="16"/>
  <c r="AJ9" i="16"/>
  <c r="AM10" i="16"/>
  <c r="AJ11" i="16"/>
  <c r="AK11" i="16"/>
  <c r="AL11" i="16"/>
  <c r="AM12" i="16"/>
  <c r="AM13" i="16"/>
  <c r="AM14" i="16"/>
  <c r="AM15" i="16"/>
  <c r="AM16" i="16"/>
  <c r="AM17" i="16"/>
  <c r="AM18" i="16"/>
  <c r="AM19" i="16"/>
  <c r="AJ36" i="16"/>
  <c r="AK36" i="16"/>
  <c r="AL36" i="16"/>
  <c r="AJ42" i="16"/>
  <c r="AK42" i="16"/>
  <c r="AL42" i="16"/>
  <c r="AM43" i="16"/>
  <c r="AM44" i="16"/>
  <c r="AM45" i="16"/>
  <c r="AF9" i="16"/>
  <c r="AI10" i="16"/>
  <c r="AF11" i="16"/>
  <c r="AG11" i="16"/>
  <c r="AH11" i="16"/>
  <c r="AI12" i="16"/>
  <c r="AI13" i="16"/>
  <c r="AI14" i="16"/>
  <c r="AI15" i="16"/>
  <c r="AI16" i="16"/>
  <c r="AI17" i="16"/>
  <c r="AI18" i="16"/>
  <c r="AI19" i="16"/>
  <c r="AF36" i="16"/>
  <c r="AG36" i="16"/>
  <c r="AH36" i="16"/>
  <c r="AF42" i="16"/>
  <c r="AG42" i="16"/>
  <c r="AH42" i="16"/>
  <c r="AI43" i="16"/>
  <c r="AI44" i="16"/>
  <c r="AI45" i="16"/>
  <c r="T27" i="15"/>
  <c r="U27" i="15"/>
  <c r="U51" i="15"/>
  <c r="U45" i="15"/>
  <c r="U41" i="15"/>
  <c r="U37" i="15"/>
  <c r="U32" i="15"/>
  <c r="U7" i="15"/>
  <c r="U12" i="15"/>
  <c r="U17" i="15"/>
  <c r="U23" i="15"/>
  <c r="U55" i="15"/>
  <c r="U60" i="15"/>
  <c r="AM34" i="14"/>
  <c r="AK11" i="14"/>
  <c r="AL11" i="14"/>
  <c r="AG11" i="14"/>
  <c r="AH11" i="14"/>
  <c r="AF11" i="14"/>
  <c r="AM13" i="14"/>
  <c r="AM14" i="14"/>
  <c r="AM15" i="14"/>
  <c r="AM16" i="14"/>
  <c r="AM17" i="14"/>
  <c r="AM18" i="14"/>
  <c r="AM19" i="14"/>
  <c r="AM12" i="14"/>
  <c r="AM10" i="14"/>
  <c r="AI13" i="14"/>
  <c r="AI14" i="14"/>
  <c r="AI15" i="14"/>
  <c r="AI16" i="14"/>
  <c r="AI17" i="14"/>
  <c r="AI18" i="14"/>
  <c r="AI19" i="14"/>
  <c r="AI12" i="14"/>
  <c r="AI10" i="14"/>
  <c r="AJ9" i="14"/>
  <c r="AK9" i="14"/>
  <c r="AL9" i="14"/>
  <c r="AL8" i="14" s="1"/>
  <c r="AJ31" i="14"/>
  <c r="AK31" i="14"/>
  <c r="AL31" i="14"/>
  <c r="AJ36" i="14"/>
  <c r="AJ46" i="14" s="1"/>
  <c r="AK36" i="14"/>
  <c r="AK46" i="14" s="1"/>
  <c r="AL36" i="14"/>
  <c r="AL46" i="14" s="1"/>
  <c r="AM37" i="14"/>
  <c r="AM38" i="14"/>
  <c r="AM39" i="14"/>
  <c r="AM40" i="14"/>
  <c r="AM41" i="14"/>
  <c r="AM42" i="14"/>
  <c r="AF9" i="14"/>
  <c r="AG9" i="14"/>
  <c r="AH9" i="14"/>
  <c r="AF31" i="14"/>
  <c r="AG31" i="14"/>
  <c r="AH31" i="14"/>
  <c r="AF36" i="14"/>
  <c r="AF46" i="14" s="1"/>
  <c r="AG36" i="14"/>
  <c r="AH36" i="14"/>
  <c r="AH46" i="14" s="1"/>
  <c r="AI37" i="14"/>
  <c r="AI38" i="14"/>
  <c r="AI39" i="14"/>
  <c r="AI40" i="14"/>
  <c r="AI41" i="14"/>
  <c r="AI42" i="14"/>
  <c r="AG46" i="14"/>
  <c r="Y36" i="13"/>
  <c r="Y33" i="13" s="1"/>
  <c r="Z36" i="13"/>
  <c r="Z33" i="13" s="1"/>
  <c r="AA36" i="13"/>
  <c r="AA33" i="13" s="1"/>
  <c r="Y19" i="13"/>
  <c r="Z19" i="13"/>
  <c r="AA19" i="13"/>
  <c r="Y20" i="13"/>
  <c r="Z20" i="13"/>
  <c r="AA20" i="13"/>
  <c r="AA6" i="13"/>
  <c r="AA5" i="13" s="1"/>
  <c r="Z6" i="13"/>
  <c r="Z5" i="13" s="1"/>
  <c r="AF10" i="12"/>
  <c r="AF15" i="12"/>
  <c r="AF16" i="12"/>
  <c r="AF17" i="12"/>
  <c r="AF18" i="12"/>
  <c r="AF19" i="12"/>
  <c r="AF20" i="12"/>
  <c r="AF21" i="12"/>
  <c r="AF22" i="12"/>
  <c r="AN9" i="12"/>
  <c r="AN10" i="12"/>
  <c r="AK14" i="12"/>
  <c r="AK8" i="12" s="1"/>
  <c r="AK33" i="12" s="1"/>
  <c r="AL14" i="12"/>
  <c r="AM14" i="12"/>
  <c r="AN15" i="12"/>
  <c r="AN16" i="12"/>
  <c r="AN17" i="12"/>
  <c r="AN18" i="12"/>
  <c r="AN19" i="12"/>
  <c r="AN20" i="12"/>
  <c r="AN21" i="12"/>
  <c r="AN22" i="12"/>
  <c r="AL33" i="12"/>
  <c r="AM33" i="12"/>
  <c r="AK39" i="12"/>
  <c r="AL39" i="12"/>
  <c r="AL35" i="12" s="1"/>
  <c r="AL34" i="12" s="1"/>
  <c r="AL38" i="12" s="1"/>
  <c r="AM39" i="12"/>
  <c r="AM35" i="12" s="1"/>
  <c r="AM34" i="12" s="1"/>
  <c r="AM38" i="12" s="1"/>
  <c r="AN40" i="12"/>
  <c r="AN41" i="12"/>
  <c r="AN42" i="12"/>
  <c r="AN46" i="12"/>
  <c r="AJ9" i="12"/>
  <c r="AJ10" i="12"/>
  <c r="AH14" i="12"/>
  <c r="AI14" i="12"/>
  <c r="AJ15" i="12"/>
  <c r="AJ16" i="12"/>
  <c r="AJ17" i="12"/>
  <c r="AJ18" i="12"/>
  <c r="AJ19" i="12"/>
  <c r="AJ20" i="12"/>
  <c r="AJ21" i="12"/>
  <c r="AJ22" i="12"/>
  <c r="AH33" i="12"/>
  <c r="AI33" i="12"/>
  <c r="AG39" i="12"/>
  <c r="AH39" i="12"/>
  <c r="AI39" i="12"/>
  <c r="AJ40" i="12"/>
  <c r="AJ41" i="12"/>
  <c r="AJ42" i="12"/>
  <c r="AJ46" i="12"/>
  <c r="T125" i="8"/>
  <c r="Y59" i="5" s="1"/>
  <c r="U125" i="8"/>
  <c r="Z59" i="5" s="1"/>
  <c r="V125" i="8"/>
  <c r="AA59" i="5" s="1"/>
  <c r="T120" i="8"/>
  <c r="Y58" i="5" s="1"/>
  <c r="U120" i="8"/>
  <c r="Z58" i="5" s="1"/>
  <c r="V120" i="8"/>
  <c r="AA58" i="5" s="1"/>
  <c r="T116" i="8"/>
  <c r="Y57" i="5" s="1"/>
  <c r="U116" i="8"/>
  <c r="Z57" i="5" s="1"/>
  <c r="V116" i="8"/>
  <c r="AA57" i="5" s="1"/>
  <c r="T111" i="8"/>
  <c r="Y56" i="5" s="1"/>
  <c r="U111" i="8"/>
  <c r="Z56" i="5" s="1"/>
  <c r="V111" i="8"/>
  <c r="AA56" i="5" s="1"/>
  <c r="T108" i="8"/>
  <c r="Y55" i="5" s="1"/>
  <c r="U108" i="8"/>
  <c r="Z55" i="5" s="1"/>
  <c r="V108" i="8"/>
  <c r="AA55" i="5" s="1"/>
  <c r="T106" i="8"/>
  <c r="Y54" i="5" s="1"/>
  <c r="U106" i="8"/>
  <c r="Z54" i="5" s="1"/>
  <c r="V106" i="8"/>
  <c r="AA54" i="5" s="1"/>
  <c r="T104" i="8"/>
  <c r="Y53" i="5" s="1"/>
  <c r="V104" i="8"/>
  <c r="AA53" i="5" s="1"/>
  <c r="T100" i="8"/>
  <c r="Y52" i="5" s="1"/>
  <c r="U100" i="8"/>
  <c r="Z52" i="5" s="1"/>
  <c r="V100" i="8"/>
  <c r="AA52" i="5" s="1"/>
  <c r="T95" i="8"/>
  <c r="Y50" i="5" s="1"/>
  <c r="U95" i="8"/>
  <c r="Z50" i="5" s="1"/>
  <c r="V95" i="8"/>
  <c r="AA50" i="5" s="1"/>
  <c r="T93" i="8"/>
  <c r="Y49" i="5" s="1"/>
  <c r="U93" i="8"/>
  <c r="Z49" i="5" s="1"/>
  <c r="V93" i="8"/>
  <c r="AA49" i="5" s="1"/>
  <c r="T87" i="8"/>
  <c r="Y46" i="5" s="1"/>
  <c r="V87" i="8"/>
  <c r="AA46" i="5" s="1"/>
  <c r="T82" i="8"/>
  <c r="Y45" i="5" s="1"/>
  <c r="U82" i="8"/>
  <c r="Z45" i="5" s="1"/>
  <c r="V82" i="8"/>
  <c r="AA45" i="5" s="1"/>
  <c r="T76" i="8"/>
  <c r="Y43" i="5" s="1"/>
  <c r="V76" i="8"/>
  <c r="AA43" i="5" s="1"/>
  <c r="T55" i="8"/>
  <c r="Y15" i="5" s="1"/>
  <c r="U55" i="8"/>
  <c r="Z15" i="5" s="1"/>
  <c r="V55" i="8"/>
  <c r="AA15" i="5" s="1"/>
  <c r="T47" i="8"/>
  <c r="Y13" i="5" s="1"/>
  <c r="U47" i="8"/>
  <c r="Z13" i="5" s="1"/>
  <c r="V47" i="8"/>
  <c r="AA13" i="5" s="1"/>
  <c r="T29" i="8"/>
  <c r="Y10" i="5" s="1"/>
  <c r="U29" i="8"/>
  <c r="Z10" i="5" s="1"/>
  <c r="V29" i="8"/>
  <c r="AA10" i="5" s="1"/>
  <c r="T27" i="8"/>
  <c r="Y9" i="5" s="1"/>
  <c r="U27" i="8"/>
  <c r="Z9" i="5" s="1"/>
  <c r="V27" i="8"/>
  <c r="AA9" i="5" s="1"/>
  <c r="T23" i="8"/>
  <c r="Y8" i="5" s="1"/>
  <c r="U23" i="8"/>
  <c r="Z8" i="5" s="1"/>
  <c r="V23" i="8"/>
  <c r="AA8" i="5" s="1"/>
  <c r="T21" i="8"/>
  <c r="Y7" i="5" s="1"/>
  <c r="U21" i="8"/>
  <c r="Z7" i="5" s="1"/>
  <c r="V21" i="8"/>
  <c r="AA7" i="5" s="1"/>
  <c r="V7" i="8"/>
  <c r="AA6" i="5" s="1"/>
  <c r="V31" i="8"/>
  <c r="AA11" i="5" s="1"/>
  <c r="V201" i="8"/>
  <c r="U7" i="8"/>
  <c r="Z6" i="5" s="1"/>
  <c r="U31" i="8"/>
  <c r="U201" i="8"/>
  <c r="AP8" i="7"/>
  <c r="AP9" i="7"/>
  <c r="AP10" i="7"/>
  <c r="AP11" i="7"/>
  <c r="AM7" i="7"/>
  <c r="AN7" i="7"/>
  <c r="AO7" i="7"/>
  <c r="AP12" i="7"/>
  <c r="AP13" i="7"/>
  <c r="AP14" i="7"/>
  <c r="AP15" i="7"/>
  <c r="AP16" i="7"/>
  <c r="AM21" i="7"/>
  <c r="AN21" i="7"/>
  <c r="AO21" i="7"/>
  <c r="AP22" i="7"/>
  <c r="AP23" i="7"/>
  <c r="AP24" i="7"/>
  <c r="AP29" i="7"/>
  <c r="AM32" i="7"/>
  <c r="AN32" i="7"/>
  <c r="AN31" i="7" s="1"/>
  <c r="AO32" i="7"/>
  <c r="AO31" i="7" s="1"/>
  <c r="AP33" i="7"/>
  <c r="AP34" i="7"/>
  <c r="AP35" i="7"/>
  <c r="AP36" i="7"/>
  <c r="AP37" i="7"/>
  <c r="AP38" i="7"/>
  <c r="AP39" i="7"/>
  <c r="AP40" i="7"/>
  <c r="AL8" i="7"/>
  <c r="AL9" i="7"/>
  <c r="AL10" i="7"/>
  <c r="AL11" i="7"/>
  <c r="AI7" i="7"/>
  <c r="AJ7" i="7"/>
  <c r="AK7" i="7"/>
  <c r="AL12" i="7"/>
  <c r="AL13" i="7"/>
  <c r="AL14" i="7"/>
  <c r="AL15" i="7"/>
  <c r="AL16" i="7"/>
  <c r="AI21" i="7"/>
  <c r="AJ21" i="7"/>
  <c r="AK21" i="7"/>
  <c r="AL22" i="7"/>
  <c r="AL23" i="7"/>
  <c r="AL24" i="7"/>
  <c r="AL29" i="7"/>
  <c r="AI32" i="7"/>
  <c r="AJ32" i="7"/>
  <c r="AJ31" i="7" s="1"/>
  <c r="AK32" i="7"/>
  <c r="AK31" i="7" s="1"/>
  <c r="AL33" i="7"/>
  <c r="AL34" i="7"/>
  <c r="AL35" i="7"/>
  <c r="AL36" i="7"/>
  <c r="AL37" i="7"/>
  <c r="AL38" i="7"/>
  <c r="AL39" i="7"/>
  <c r="AL40" i="7"/>
  <c r="AM14" i="6"/>
  <c r="AM15" i="6"/>
  <c r="AI14" i="6"/>
  <c r="AI15" i="6"/>
  <c r="AJ7" i="6"/>
  <c r="AK7" i="6"/>
  <c r="AL7" i="6"/>
  <c r="AM8" i="6"/>
  <c r="AM9" i="6"/>
  <c r="AM10" i="6"/>
  <c r="AM11" i="6"/>
  <c r="AM12" i="6"/>
  <c r="AM13" i="6"/>
  <c r="AJ17" i="6"/>
  <c r="AK17" i="6"/>
  <c r="AL17" i="6"/>
  <c r="AM21" i="6"/>
  <c r="AM22" i="6"/>
  <c r="AM23" i="6"/>
  <c r="AM24" i="6"/>
  <c r="AM25" i="6"/>
  <c r="AM44" i="6"/>
  <c r="AJ45" i="6"/>
  <c r="AK45" i="6"/>
  <c r="AK19" i="3" s="1"/>
  <c r="AK17" i="3" s="1"/>
  <c r="AM17" i="3" s="1"/>
  <c r="AL45" i="6"/>
  <c r="AL43" i="6" s="1"/>
  <c r="AK62" i="6"/>
  <c r="AK61" i="6" s="1"/>
  <c r="AL62" i="6"/>
  <c r="AL61" i="6" s="1"/>
  <c r="AM63" i="6"/>
  <c r="AK94" i="6"/>
  <c r="AK93" i="6" s="1"/>
  <c r="AL94" i="6"/>
  <c r="AL93" i="6" s="1"/>
  <c r="AM95" i="6"/>
  <c r="AM96" i="6"/>
  <c r="AM97" i="6"/>
  <c r="AM98" i="6"/>
  <c r="AM99" i="6"/>
  <c r="AM100" i="6"/>
  <c r="AJ101" i="6"/>
  <c r="AJ94" i="6" s="1"/>
  <c r="AJ93" i="6" s="1"/>
  <c r="AM102" i="6"/>
  <c r="AM103" i="6"/>
  <c r="AM104" i="6"/>
  <c r="AM105" i="6"/>
  <c r="AF7" i="6"/>
  <c r="AG7" i="6"/>
  <c r="AH7" i="6"/>
  <c r="AI8" i="6"/>
  <c r="AI9" i="6"/>
  <c r="AI10" i="6"/>
  <c r="AI11" i="6"/>
  <c r="AI12" i="6"/>
  <c r="AI13" i="6"/>
  <c r="AF17" i="6"/>
  <c r="AG17" i="6"/>
  <c r="AH17" i="6"/>
  <c r="AI21" i="6"/>
  <c r="AI22" i="6"/>
  <c r="AI23" i="6"/>
  <c r="AI24" i="6"/>
  <c r="AI25" i="6"/>
  <c r="AI44" i="6"/>
  <c r="AF43" i="6"/>
  <c r="AG43" i="6"/>
  <c r="AH45" i="6"/>
  <c r="AH43" i="6" s="1"/>
  <c r="AF62" i="6"/>
  <c r="AG62" i="6"/>
  <c r="AG61" i="6" s="1"/>
  <c r="AH62" i="6"/>
  <c r="AH61" i="6" s="1"/>
  <c r="AI63" i="6"/>
  <c r="AG94" i="6"/>
  <c r="AG93" i="6" s="1"/>
  <c r="AH94" i="6"/>
  <c r="AH93" i="6" s="1"/>
  <c r="AI95" i="6"/>
  <c r="AI96" i="6"/>
  <c r="AI97" i="6"/>
  <c r="AI98" i="6"/>
  <c r="AI99" i="6"/>
  <c r="AI100" i="6"/>
  <c r="AF101" i="6"/>
  <c r="AI102" i="6"/>
  <c r="AI103" i="6"/>
  <c r="AI104" i="6"/>
  <c r="AI105" i="6"/>
  <c r="AA63" i="5"/>
  <c r="Z63" i="5"/>
  <c r="AK4" i="4"/>
  <c r="AL4" i="4"/>
  <c r="AM4" i="4"/>
  <c r="AN5" i="4"/>
  <c r="Q4" i="2" s="1"/>
  <c r="Q3" i="2" s="1"/>
  <c r="AN7" i="4"/>
  <c r="Q6" i="2" s="1"/>
  <c r="AN9" i="4"/>
  <c r="Q8" i="2" s="1"/>
  <c r="AK15" i="4"/>
  <c r="AL15" i="4"/>
  <c r="AM15" i="4"/>
  <c r="AN17" i="4"/>
  <c r="AN18" i="4"/>
  <c r="AL25" i="4"/>
  <c r="AM25" i="4"/>
  <c r="AK26" i="4"/>
  <c r="AN27" i="4"/>
  <c r="AN28" i="4"/>
  <c r="AN29" i="4"/>
  <c r="AN30" i="4"/>
  <c r="AN31" i="4"/>
  <c r="AG4" i="4"/>
  <c r="AH4" i="4"/>
  <c r="AI4" i="4"/>
  <c r="AJ5" i="4"/>
  <c r="P4" i="2" s="1"/>
  <c r="AJ6" i="4"/>
  <c r="P5" i="2" s="1"/>
  <c r="AJ7" i="4"/>
  <c r="P6" i="2" s="1"/>
  <c r="AJ8" i="4"/>
  <c r="P7" i="2" s="1"/>
  <c r="AJ9" i="4"/>
  <c r="P8" i="2" s="1"/>
  <c r="AG15" i="4"/>
  <c r="AH15" i="4"/>
  <c r="AI15" i="4"/>
  <c r="AJ16" i="4"/>
  <c r="P11" i="2" s="1"/>
  <c r="AJ17" i="4"/>
  <c r="P12" i="2" s="1"/>
  <c r="AJ18" i="4"/>
  <c r="P13" i="2" s="1"/>
  <c r="AH25" i="4"/>
  <c r="AI25" i="4"/>
  <c r="AG26" i="4"/>
  <c r="AG25" i="4" s="1"/>
  <c r="AJ27" i="4"/>
  <c r="AJ28" i="4"/>
  <c r="AJ29" i="4"/>
  <c r="AJ30" i="4"/>
  <c r="AJ31" i="4"/>
  <c r="AJ5" i="3"/>
  <c r="AM6" i="3"/>
  <c r="AM7" i="3"/>
  <c r="AM8" i="3"/>
  <c r="AM9" i="3"/>
  <c r="AJ10" i="3"/>
  <c r="I5" i="2" s="1"/>
  <c r="AK10" i="3"/>
  <c r="AL10" i="3"/>
  <c r="AM11" i="3"/>
  <c r="AM12" i="3"/>
  <c r="AM13" i="3"/>
  <c r="AM14" i="3"/>
  <c r="AM15" i="3"/>
  <c r="AM16" i="3"/>
  <c r="AM18" i="3"/>
  <c r="AM20" i="3"/>
  <c r="AM21" i="3"/>
  <c r="AM22" i="3"/>
  <c r="AM23" i="3"/>
  <c r="AM24" i="3"/>
  <c r="AM25" i="3"/>
  <c r="AM26" i="3"/>
  <c r="AJ27" i="3"/>
  <c r="AM27" i="3" s="1"/>
  <c r="I7" i="2" s="1"/>
  <c r="AM29" i="3"/>
  <c r="AK30" i="3"/>
  <c r="AL30" i="3"/>
  <c r="AJ31" i="3"/>
  <c r="AM32" i="3"/>
  <c r="AM33" i="3"/>
  <c r="AM34" i="3"/>
  <c r="AM36" i="3"/>
  <c r="AM37" i="3"/>
  <c r="AM38" i="3"/>
  <c r="AM39" i="3"/>
  <c r="AM41" i="3"/>
  <c r="AM42" i="3"/>
  <c r="AM43" i="3"/>
  <c r="AK46" i="3"/>
  <c r="AL46" i="3"/>
  <c r="AM54" i="3"/>
  <c r="AM55" i="3"/>
  <c r="AH17" i="3"/>
  <c r="AF17" i="3"/>
  <c r="AG10" i="3"/>
  <c r="AH10" i="3"/>
  <c r="AI41" i="3"/>
  <c r="AI42" i="3"/>
  <c r="AI43" i="3"/>
  <c r="AI37" i="3"/>
  <c r="AI38" i="3"/>
  <c r="AI39" i="3"/>
  <c r="AI36" i="3"/>
  <c r="AI32" i="3"/>
  <c r="AI33" i="3"/>
  <c r="AI34" i="3"/>
  <c r="AI29" i="3"/>
  <c r="AI12" i="3"/>
  <c r="AI15" i="3"/>
  <c r="AI16" i="3"/>
  <c r="AI7" i="3"/>
  <c r="AI8" i="3"/>
  <c r="AI18" i="3"/>
  <c r="AI20" i="3"/>
  <c r="AI22" i="3"/>
  <c r="AI24" i="3"/>
  <c r="AI25" i="3"/>
  <c r="AI26" i="3"/>
  <c r="AF27" i="3"/>
  <c r="AI27" i="3" s="1"/>
  <c r="H7" i="2" s="1"/>
  <c r="AG30" i="3"/>
  <c r="AH30" i="3"/>
  <c r="AF31" i="3"/>
  <c r="AF30" i="3" s="1"/>
  <c r="AG47" i="3"/>
  <c r="AG46" i="3" s="1"/>
  <c r="AH47" i="3"/>
  <c r="AH46" i="3" s="1"/>
  <c r="AF9" i="3" l="1"/>
  <c r="AI9" i="3" s="1"/>
  <c r="AF6" i="3"/>
  <c r="AF5" i="3" s="1"/>
  <c r="AI5" i="3" s="1"/>
  <c r="H4" i="2" s="1"/>
  <c r="AM46" i="19"/>
  <c r="AG46" i="18"/>
  <c r="AI20" i="18"/>
  <c r="AH46" i="16"/>
  <c r="AH32" i="16" s="1"/>
  <c r="AH31" i="16" s="1"/>
  <c r="AH37" i="12"/>
  <c r="AF46" i="17"/>
  <c r="AI37" i="12"/>
  <c r="AI35" i="12" s="1"/>
  <c r="AI34" i="12" s="1"/>
  <c r="AI38" i="12" s="1"/>
  <c r="AG8" i="18"/>
  <c r="AG30" i="18" s="1"/>
  <c r="AM20" i="20"/>
  <c r="P3" i="2"/>
  <c r="AF10" i="3"/>
  <c r="AI10" i="3" s="1"/>
  <c r="H5" i="2" s="1"/>
  <c r="AK25" i="4"/>
  <c r="AN25" i="4" s="1"/>
  <c r="Q19" i="2"/>
  <c r="Q18" i="2" s="1"/>
  <c r="Q17" i="2" s="1"/>
  <c r="Z42" i="5"/>
  <c r="AL24" i="4"/>
  <c r="AM93" i="6"/>
  <c r="AH8" i="18"/>
  <c r="AH35" i="18" s="1"/>
  <c r="AJ30" i="3"/>
  <c r="AM30" i="3" s="1"/>
  <c r="I11" i="2"/>
  <c r="I10" i="2" s="1"/>
  <c r="AI11" i="3"/>
  <c r="AA42" i="5"/>
  <c r="AI42" i="18"/>
  <c r="AI26" i="6"/>
  <c r="AM24" i="4"/>
  <c r="AM35" i="4" s="1"/>
  <c r="AH24" i="4"/>
  <c r="AH35" i="4" s="1"/>
  <c r="Z11" i="5"/>
  <c r="Z5" i="5" s="1"/>
  <c r="U6" i="8"/>
  <c r="AA5" i="5"/>
  <c r="AH46" i="19"/>
  <c r="AJ36" i="19"/>
  <c r="AM94" i="6"/>
  <c r="AM7" i="6"/>
  <c r="AI31" i="14"/>
  <c r="AM5" i="3"/>
  <c r="I4" i="2"/>
  <c r="AJ25" i="4"/>
  <c r="AK43" i="6"/>
  <c r="AK4" i="3"/>
  <c r="AK45" i="3" s="1"/>
  <c r="AL46" i="16"/>
  <c r="AL32" i="16" s="1"/>
  <c r="AL31" i="16" s="1"/>
  <c r="AK8" i="16"/>
  <c r="AK30" i="16" s="1"/>
  <c r="AI11" i="20"/>
  <c r="AM31" i="14"/>
  <c r="AM26" i="6"/>
  <c r="AJ43" i="6"/>
  <c r="AL46" i="17"/>
  <c r="AM20" i="18"/>
  <c r="AK8" i="18"/>
  <c r="AK30" i="18" s="1"/>
  <c r="AK46" i="20"/>
  <c r="AM36" i="20"/>
  <c r="AM46" i="20" s="1"/>
  <c r="U75" i="8"/>
  <c r="AL6" i="6"/>
  <c r="AL5" i="6" s="1"/>
  <c r="AL109" i="6" s="1"/>
  <c r="AM31" i="7"/>
  <c r="AP32" i="7"/>
  <c r="AP31" i="7" s="1"/>
  <c r="AI11" i="16"/>
  <c r="AM42" i="16"/>
  <c r="AL8" i="16"/>
  <c r="AL30" i="16" s="1"/>
  <c r="AI20" i="16"/>
  <c r="AM20" i="16"/>
  <c r="AM9" i="17"/>
  <c r="AM42" i="18"/>
  <c r="AI36" i="20"/>
  <c r="AI46" i="20" s="1"/>
  <c r="AH8" i="20"/>
  <c r="AH30" i="20" s="1"/>
  <c r="AK8" i="20"/>
  <c r="AK30" i="20" s="1"/>
  <c r="I6" i="2"/>
  <c r="AN4" i="4"/>
  <c r="AI7" i="6"/>
  <c r="AI31" i="7"/>
  <c r="AL32" i="7"/>
  <c r="AL31" i="7" s="1"/>
  <c r="V75" i="8"/>
  <c r="AN39" i="12"/>
  <c r="AJ31" i="17"/>
  <c r="AM32" i="17"/>
  <c r="AL8" i="19"/>
  <c r="AL30" i="19" s="1"/>
  <c r="AM10" i="3"/>
  <c r="AI42" i="16"/>
  <c r="AH8" i="16"/>
  <c r="AH30" i="16" s="1"/>
  <c r="AL8" i="18"/>
  <c r="AL30" i="18" s="1"/>
  <c r="AI32" i="20"/>
  <c r="AM46" i="14"/>
  <c r="AI36" i="14"/>
  <c r="AM11" i="14"/>
  <c r="AI11" i="14"/>
  <c r="AM49" i="12"/>
  <c r="AL49" i="12"/>
  <c r="Z4" i="13"/>
  <c r="AP21" i="7"/>
  <c r="AL21" i="7"/>
  <c r="AM17" i="6"/>
  <c r="AK49" i="12"/>
  <c r="AI20" i="20"/>
  <c r="AI8" i="20" s="1"/>
  <c r="AI30" i="20" s="1"/>
  <c r="AG31" i="20"/>
  <c r="AI31" i="20" s="1"/>
  <c r="AF94" i="6"/>
  <c r="AI101" i="6"/>
  <c r="AH4" i="3"/>
  <c r="AH45" i="3" s="1"/>
  <c r="T75" i="8"/>
  <c r="AH35" i="12"/>
  <c r="AH34" i="12" s="1"/>
  <c r="AH38" i="12" s="1"/>
  <c r="AH49" i="12"/>
  <c r="AM11" i="16"/>
  <c r="AL46" i="19"/>
  <c r="AJ46" i="3"/>
  <c r="AM46" i="3" s="1"/>
  <c r="AM31" i="3"/>
  <c r="Q15" i="2"/>
  <c r="AJ4" i="4"/>
  <c r="AM45" i="6"/>
  <c r="AM36" i="16"/>
  <c r="AJ31" i="19"/>
  <c r="AJ42" i="19"/>
  <c r="AG46" i="19"/>
  <c r="AJ46" i="18"/>
  <c r="AI11" i="17"/>
  <c r="AI17" i="6"/>
  <c r="AG8" i="14"/>
  <c r="AG35" i="14" s="1"/>
  <c r="AM36" i="18"/>
  <c r="AN42" i="19"/>
  <c r="AN36" i="19"/>
  <c r="AN11" i="19"/>
  <c r="AN8" i="19" s="1"/>
  <c r="AN30" i="19" s="1"/>
  <c r="AK8" i="19"/>
  <c r="AK30" i="19" s="1"/>
  <c r="AK35" i="20"/>
  <c r="AI30" i="3"/>
  <c r="AL4" i="3"/>
  <c r="AL45" i="3" s="1"/>
  <c r="AJ4" i="3"/>
  <c r="AL35" i="4"/>
  <c r="AK6" i="6"/>
  <c r="AJ14" i="12"/>
  <c r="AA4" i="13"/>
  <c r="AK8" i="14"/>
  <c r="AK30" i="14" s="1"/>
  <c r="AG8" i="16"/>
  <c r="AG30" i="16" s="1"/>
  <c r="AK46" i="17"/>
  <c r="AM11" i="18"/>
  <c r="AG8" i="20"/>
  <c r="AI36" i="16"/>
  <c r="AJ46" i="16"/>
  <c r="AG46" i="17"/>
  <c r="AI20" i="17"/>
  <c r="AF8" i="18"/>
  <c r="AF35" i="18" s="1"/>
  <c r="AM8" i="19"/>
  <c r="AM30" i="19" s="1"/>
  <c r="AM32" i="20"/>
  <c r="AL8" i="20"/>
  <c r="AL30" i="20" s="1"/>
  <c r="AJ8" i="20"/>
  <c r="AJ30" i="20" s="1"/>
  <c r="AM31" i="20"/>
  <c r="AM9" i="20"/>
  <c r="AM11" i="20"/>
  <c r="AF8" i="20"/>
  <c r="AN31" i="19"/>
  <c r="AK46" i="19"/>
  <c r="AJ11" i="19"/>
  <c r="AJ8" i="19" s="1"/>
  <c r="AH8" i="19"/>
  <c r="AH35" i="19" s="1"/>
  <c r="AI8" i="19"/>
  <c r="AI35" i="19" s="1"/>
  <c r="AG8" i="19"/>
  <c r="AJ8" i="18"/>
  <c r="AF46" i="18"/>
  <c r="AI36" i="18"/>
  <c r="AI11" i="18"/>
  <c r="AI8" i="18" s="1"/>
  <c r="AH30" i="18"/>
  <c r="AG35" i="18"/>
  <c r="AJ46" i="17"/>
  <c r="AK8" i="17"/>
  <c r="AK30" i="17" s="1"/>
  <c r="AM36" i="17"/>
  <c r="AM46" i="17" s="1"/>
  <c r="AM20" i="17"/>
  <c r="AM11" i="17"/>
  <c r="AL8" i="17"/>
  <c r="AL30" i="17" s="1"/>
  <c r="AJ8" i="17"/>
  <c r="AJ30" i="17" s="1"/>
  <c r="AG8" i="17"/>
  <c r="AG30" i="17" s="1"/>
  <c r="AF8" i="17"/>
  <c r="AF30" i="17" s="1"/>
  <c r="AH46" i="17"/>
  <c r="AI9" i="17"/>
  <c r="AI36" i="17"/>
  <c r="AI46" i="17" s="1"/>
  <c r="AH8" i="17"/>
  <c r="AH30" i="17" s="1"/>
  <c r="AH32" i="17"/>
  <c r="AH31" i="17" s="1"/>
  <c r="AF32" i="17"/>
  <c r="AK46" i="16"/>
  <c r="AK32" i="16" s="1"/>
  <c r="AK31" i="16" s="1"/>
  <c r="AJ8" i="16"/>
  <c r="AG46" i="16"/>
  <c r="AG32" i="16" s="1"/>
  <c r="AG31" i="16" s="1"/>
  <c r="AG35" i="16" s="1"/>
  <c r="AF46" i="16"/>
  <c r="AF8" i="16"/>
  <c r="V5" i="15"/>
  <c r="U6" i="15"/>
  <c r="U5" i="15" s="1"/>
  <c r="AM36" i="14"/>
  <c r="AJ8" i="14"/>
  <c r="AJ35" i="14" s="1"/>
  <c r="AH8" i="14"/>
  <c r="AH30" i="14" s="1"/>
  <c r="AM9" i="14"/>
  <c r="AI9" i="14"/>
  <c r="AL30" i="14"/>
  <c r="AL35" i="14"/>
  <c r="AG30" i="14"/>
  <c r="AF8" i="14"/>
  <c r="AI46" i="14"/>
  <c r="AJ39" i="12"/>
  <c r="AI49" i="12"/>
  <c r="AG49" i="12"/>
  <c r="AN14" i="12"/>
  <c r="AN33" i="12"/>
  <c r="AN8" i="12"/>
  <c r="AG8" i="12"/>
  <c r="V6" i="8"/>
  <c r="AN30" i="7"/>
  <c r="AN44" i="7" s="1"/>
  <c r="AO30" i="7"/>
  <c r="AO44" i="7" s="1"/>
  <c r="AJ30" i="7"/>
  <c r="AJ44" i="7" s="1"/>
  <c r="AK30" i="7"/>
  <c r="AK44" i="7" s="1"/>
  <c r="AM30" i="7"/>
  <c r="AP7" i="7"/>
  <c r="AI30" i="7"/>
  <c r="AL7" i="7"/>
  <c r="AM101" i="6"/>
  <c r="AM62" i="6"/>
  <c r="AI62" i="6"/>
  <c r="AI45" i="6"/>
  <c r="AJ6" i="6"/>
  <c r="AH6" i="6"/>
  <c r="AH5" i="6" s="1"/>
  <c r="AH109" i="6" s="1"/>
  <c r="AF6" i="6"/>
  <c r="AF5" i="6" s="1"/>
  <c r="AG6" i="6"/>
  <c r="AG5" i="6" s="1"/>
  <c r="AK5" i="6"/>
  <c r="AM61" i="6"/>
  <c r="AI43" i="6"/>
  <c r="AF61" i="6"/>
  <c r="AI61" i="6" s="1"/>
  <c r="AN26" i="4"/>
  <c r="AN15" i="4"/>
  <c r="AJ26" i="4"/>
  <c r="P19" i="2" s="1"/>
  <c r="P18" i="2" s="1"/>
  <c r="P17" i="2" s="1"/>
  <c r="AJ15" i="4"/>
  <c r="AI24" i="4"/>
  <c r="AI35" i="4" s="1"/>
  <c r="AK24" i="4"/>
  <c r="AG24" i="4"/>
  <c r="P10" i="2"/>
  <c r="AI47" i="3"/>
  <c r="AI31" i="3"/>
  <c r="H11" i="2" s="1"/>
  <c r="H10" i="2" s="1"/>
  <c r="AF46" i="3"/>
  <c r="O12" i="2"/>
  <c r="O11" i="2"/>
  <c r="G19" i="2"/>
  <c r="G12" i="2"/>
  <c r="AI6" i="3" l="1"/>
  <c r="AH35" i="16"/>
  <c r="O10" i="2"/>
  <c r="AJ46" i="19"/>
  <c r="V5" i="8"/>
  <c r="AI46" i="18"/>
  <c r="Q24" i="2"/>
  <c r="AL35" i="18"/>
  <c r="Z4" i="5"/>
  <c r="H14" i="2"/>
  <c r="AH35" i="20"/>
  <c r="AG30" i="19"/>
  <c r="AG35" i="19"/>
  <c r="P15" i="2"/>
  <c r="P24" i="2" s="1"/>
  <c r="AF4" i="3"/>
  <c r="AF45" i="3" s="1"/>
  <c r="AK35" i="14"/>
  <c r="AM35" i="14" s="1"/>
  <c r="AI8" i="16"/>
  <c r="AM8" i="18"/>
  <c r="AM30" i="18" s="1"/>
  <c r="AM6" i="6"/>
  <c r="AK35" i="19"/>
  <c r="AK35" i="18"/>
  <c r="AN46" i="19"/>
  <c r="AL35" i="19"/>
  <c r="AL35" i="16"/>
  <c r="AJ5" i="6"/>
  <c r="AJ92" i="6" s="1"/>
  <c r="AA4" i="5"/>
  <c r="AL60" i="3"/>
  <c r="AI94" i="6"/>
  <c r="AF93" i="6"/>
  <c r="AI93" i="6" s="1"/>
  <c r="AM19" i="3"/>
  <c r="AJ60" i="3"/>
  <c r="U5" i="8"/>
  <c r="AM8" i="16"/>
  <c r="AI30" i="19"/>
  <c r="AM43" i="6"/>
  <c r="I3" i="2"/>
  <c r="AK35" i="16"/>
  <c r="AG35" i="17"/>
  <c r="AH30" i="19"/>
  <c r="AL35" i="20"/>
  <c r="AJ45" i="3"/>
  <c r="AM45" i="3" s="1"/>
  <c r="AM4" i="3"/>
  <c r="AK60" i="3"/>
  <c r="AF30" i="18"/>
  <c r="AM46" i="18"/>
  <c r="AF31" i="17"/>
  <c r="AF35" i="17" s="1"/>
  <c r="AI32" i="17"/>
  <c r="AM46" i="16"/>
  <c r="AH60" i="3"/>
  <c r="AJ35" i="20"/>
  <c r="AM8" i="17"/>
  <c r="AM30" i="17" s="1"/>
  <c r="AJ30" i="16"/>
  <c r="AM30" i="16" s="1"/>
  <c r="AM8" i="14"/>
  <c r="AJ30" i="14"/>
  <c r="AN49" i="12"/>
  <c r="AL30" i="7"/>
  <c r="AL92" i="6"/>
  <c r="AI6" i="6"/>
  <c r="AH92" i="6"/>
  <c r="AH35" i="14"/>
  <c r="AF30" i="16"/>
  <c r="AI30" i="16" s="1"/>
  <c r="AJ49" i="12"/>
  <c r="AH35" i="17"/>
  <c r="AM35" i="19"/>
  <c r="AI8" i="17"/>
  <c r="AI30" i="17" s="1"/>
  <c r="AN35" i="19"/>
  <c r="AG35" i="20"/>
  <c r="AG30" i="20"/>
  <c r="AM8" i="20"/>
  <c r="AM30" i="20" s="1"/>
  <c r="AI35" i="20"/>
  <c r="AF30" i="20"/>
  <c r="AF35" i="20"/>
  <c r="AJ30" i="19"/>
  <c r="AJ35" i="19"/>
  <c r="AJ30" i="18"/>
  <c r="AJ35" i="18"/>
  <c r="AI30" i="18"/>
  <c r="AI35" i="18"/>
  <c r="AL35" i="17"/>
  <c r="AJ35" i="17"/>
  <c r="AK35" i="17"/>
  <c r="AI46" i="16"/>
  <c r="AM30" i="14"/>
  <c r="AI8" i="14"/>
  <c r="AF30" i="14"/>
  <c r="AF35" i="14"/>
  <c r="AJ8" i="12"/>
  <c r="AG33" i="12"/>
  <c r="AG37" i="12" s="1"/>
  <c r="AJ37" i="12" s="1"/>
  <c r="AP30" i="7"/>
  <c r="AM44" i="7"/>
  <c r="AP44" i="7" s="1"/>
  <c r="AI44" i="7"/>
  <c r="AL44" i="7" s="1"/>
  <c r="AK92" i="6"/>
  <c r="AK109" i="6"/>
  <c r="AJ109" i="6"/>
  <c r="AM5" i="6"/>
  <c r="AG92" i="6"/>
  <c r="AG109" i="6"/>
  <c r="AF92" i="6"/>
  <c r="AF109" i="6"/>
  <c r="AI5" i="6"/>
  <c r="AN24" i="4"/>
  <c r="AK35" i="4"/>
  <c r="AN35" i="4" s="1"/>
  <c r="AJ24" i="4"/>
  <c r="AG35" i="4"/>
  <c r="AJ35" i="4" s="1"/>
  <c r="AI46" i="3"/>
  <c r="AE55" i="3"/>
  <c r="AE54" i="3"/>
  <c r="AE19" i="3"/>
  <c r="AE20" i="3"/>
  <c r="AE21" i="3"/>
  <c r="AE22" i="3"/>
  <c r="AE23" i="3"/>
  <c r="AE24" i="3"/>
  <c r="AE25" i="3"/>
  <c r="AE26" i="3"/>
  <c r="AE18" i="3"/>
  <c r="AE7" i="3"/>
  <c r="AE8" i="3"/>
  <c r="AE9" i="3"/>
  <c r="AE6" i="3"/>
  <c r="U29" i="27"/>
  <c r="U34" i="27"/>
  <c r="AE20" i="20"/>
  <c r="AE21" i="20"/>
  <c r="AE10" i="20"/>
  <c r="AC8" i="20"/>
  <c r="AC30" i="20" s="1"/>
  <c r="AD8" i="20"/>
  <c r="AD30" i="20" s="1"/>
  <c r="AB9" i="20"/>
  <c r="AE9" i="20" s="1"/>
  <c r="AE38" i="20"/>
  <c r="AE39" i="20"/>
  <c r="AE37" i="20"/>
  <c r="Y36" i="20"/>
  <c r="Z36" i="20"/>
  <c r="AB36" i="20"/>
  <c r="AB46" i="20" s="1"/>
  <c r="AC36" i="20"/>
  <c r="AC46" i="20" s="1"/>
  <c r="AD36" i="20"/>
  <c r="AD46" i="20" s="1"/>
  <c r="AF14" i="19"/>
  <c r="AF15" i="19"/>
  <c r="AF16" i="19"/>
  <c r="AF17" i="19"/>
  <c r="AF18" i="19"/>
  <c r="AF19" i="19"/>
  <c r="AF12" i="19"/>
  <c r="AD11" i="19"/>
  <c r="AE11" i="19"/>
  <c r="AC11" i="19"/>
  <c r="Z11" i="19"/>
  <c r="AA11" i="19"/>
  <c r="AF10" i="19"/>
  <c r="AF9" i="19" s="1"/>
  <c r="Z9" i="19"/>
  <c r="AA9" i="19"/>
  <c r="AC9" i="19"/>
  <c r="AD9" i="19"/>
  <c r="AE9" i="19"/>
  <c r="Z36" i="19"/>
  <c r="AA36" i="19"/>
  <c r="AC36" i="19"/>
  <c r="AC46" i="19" s="1"/>
  <c r="AD36" i="19"/>
  <c r="AD46" i="19" s="1"/>
  <c r="AE36" i="19"/>
  <c r="AE46" i="19" s="1"/>
  <c r="AF38" i="19"/>
  <c r="AF39" i="19"/>
  <c r="AF40" i="19"/>
  <c r="AF37" i="19"/>
  <c r="AE10" i="18"/>
  <c r="AB9" i="18"/>
  <c r="AE9" i="18" s="1"/>
  <c r="AE13" i="18"/>
  <c r="AE14" i="18"/>
  <c r="AE15" i="18"/>
  <c r="AE16" i="18"/>
  <c r="AE17" i="18"/>
  <c r="AE18" i="18"/>
  <c r="AE19" i="18"/>
  <c r="AE12" i="18"/>
  <c r="AC11" i="18"/>
  <c r="AC8" i="18" s="1"/>
  <c r="AD11" i="18"/>
  <c r="AD8" i="18" s="1"/>
  <c r="AB11" i="18"/>
  <c r="AE38" i="18"/>
  <c r="AE39" i="18"/>
  <c r="AE40" i="18"/>
  <c r="AE41" i="18"/>
  <c r="AE37" i="18"/>
  <c r="Y36" i="18"/>
  <c r="Z36" i="18"/>
  <c r="AB36" i="18"/>
  <c r="AB46" i="18" s="1"/>
  <c r="AC36" i="18"/>
  <c r="AC46" i="18" s="1"/>
  <c r="AD36" i="18"/>
  <c r="AD46" i="18" s="1"/>
  <c r="AE20" i="17"/>
  <c r="AE8" i="17" s="1"/>
  <c r="AE30" i="17" s="1"/>
  <c r="AE10" i="17"/>
  <c r="AC8" i="17"/>
  <c r="AC30" i="17" s="1"/>
  <c r="AD8" i="17"/>
  <c r="AD30" i="17" s="1"/>
  <c r="AB9" i="17"/>
  <c r="AB8" i="17" s="1"/>
  <c r="AB30" i="17" s="1"/>
  <c r="AE38" i="17"/>
  <c r="AE39" i="17"/>
  <c r="AE37" i="17"/>
  <c r="AC36" i="17"/>
  <c r="AD36" i="17"/>
  <c r="AC42" i="17"/>
  <c r="AD42" i="17"/>
  <c r="AE42" i="17"/>
  <c r="AB42" i="17"/>
  <c r="AB36" i="17"/>
  <c r="AB32" i="17" s="1"/>
  <c r="AB31" i="17" s="1"/>
  <c r="AE13" i="16"/>
  <c r="AE14" i="16"/>
  <c r="AE15" i="16"/>
  <c r="AE16" i="16"/>
  <c r="AE17" i="16"/>
  <c r="AE18" i="16"/>
  <c r="AE19" i="16"/>
  <c r="AE12" i="16"/>
  <c r="AC11" i="16"/>
  <c r="AC8" i="16" s="1"/>
  <c r="AC30" i="16" s="1"/>
  <c r="AD11" i="16"/>
  <c r="AD8" i="16" s="1"/>
  <c r="AD30" i="16" s="1"/>
  <c r="AB11" i="16"/>
  <c r="AE10" i="16"/>
  <c r="AB9" i="16"/>
  <c r="AE44" i="16"/>
  <c r="AE45" i="16"/>
  <c r="AE43" i="16"/>
  <c r="AC42" i="16"/>
  <c r="AD42" i="16"/>
  <c r="AB42" i="16"/>
  <c r="AC36" i="16"/>
  <c r="AD36" i="16"/>
  <c r="AB36" i="16"/>
  <c r="T60" i="15"/>
  <c r="T55" i="15"/>
  <c r="S55" i="15"/>
  <c r="T23" i="15"/>
  <c r="T17" i="15"/>
  <c r="T12" i="15"/>
  <c r="T7" i="15"/>
  <c r="AC31" i="14"/>
  <c r="AD31" i="14"/>
  <c r="AB31" i="14"/>
  <c r="AC9" i="14"/>
  <c r="AC8" i="14" s="1"/>
  <c r="AD9" i="14"/>
  <c r="AD8" i="14" s="1"/>
  <c r="AB9" i="14"/>
  <c r="AB8" i="14" s="1"/>
  <c r="AC36" i="14"/>
  <c r="AC46" i="14" s="1"/>
  <c r="AD36" i="14"/>
  <c r="AD46" i="14" s="1"/>
  <c r="AB36" i="14"/>
  <c r="AB46" i="14" s="1"/>
  <c r="AE42" i="14"/>
  <c r="AE38" i="14"/>
  <c r="AE39" i="14"/>
  <c r="AE40" i="14"/>
  <c r="AE41" i="14"/>
  <c r="AE37" i="14"/>
  <c r="Y6" i="13"/>
  <c r="Y5" i="13" s="1"/>
  <c r="Y4" i="13" s="1"/>
  <c r="AF46" i="12"/>
  <c r="AD39" i="12"/>
  <c r="AE39" i="12"/>
  <c r="AC39" i="12"/>
  <c r="AF41" i="12"/>
  <c r="AF42" i="12"/>
  <c r="AF40" i="12"/>
  <c r="AD33" i="12"/>
  <c r="AE33" i="12"/>
  <c r="AD14" i="12"/>
  <c r="AE14" i="12"/>
  <c r="AF9" i="12"/>
  <c r="AC14" i="12"/>
  <c r="AH34" i="7"/>
  <c r="AH35" i="7"/>
  <c r="AH36" i="7"/>
  <c r="AH37" i="7"/>
  <c r="AH38" i="7"/>
  <c r="AH39" i="7"/>
  <c r="AH40" i="7"/>
  <c r="AH33" i="7"/>
  <c r="T201" i="8"/>
  <c r="AH29" i="7"/>
  <c r="T31" i="8"/>
  <c r="Y11" i="5" s="1"/>
  <c r="T7" i="8"/>
  <c r="Y6" i="5" s="1"/>
  <c r="Y5" i="5" s="1"/>
  <c r="AB101" i="6"/>
  <c r="AE101" i="6" s="1"/>
  <c r="AE96" i="6"/>
  <c r="AE97" i="6"/>
  <c r="AE98" i="6"/>
  <c r="AE99" i="6"/>
  <c r="AE100" i="6"/>
  <c r="AE102" i="6"/>
  <c r="AE103" i="6"/>
  <c r="AE104" i="6"/>
  <c r="AE105" i="6"/>
  <c r="AE95" i="6"/>
  <c r="AC94" i="6"/>
  <c r="AD94" i="6"/>
  <c r="AC45" i="6"/>
  <c r="AD45" i="6"/>
  <c r="AD43" i="6" s="1"/>
  <c r="AE47" i="6"/>
  <c r="AE44" i="6"/>
  <c r="AC43" i="6"/>
  <c r="AB43" i="6"/>
  <c r="AC62" i="6"/>
  <c r="AC61" i="6" s="1"/>
  <c r="AD62" i="6"/>
  <c r="AD61" i="6" s="1"/>
  <c r="AB62" i="6"/>
  <c r="AB61" i="6" s="1"/>
  <c r="AE63" i="6"/>
  <c r="AE22" i="6"/>
  <c r="AE23" i="6"/>
  <c r="AE24" i="6"/>
  <c r="AE25" i="6"/>
  <c r="AE21" i="6"/>
  <c r="AE8" i="6"/>
  <c r="AE9" i="6"/>
  <c r="AE10" i="6"/>
  <c r="AE11" i="6"/>
  <c r="AE12" i="6"/>
  <c r="AE13" i="6"/>
  <c r="AC7" i="6"/>
  <c r="AD7" i="6"/>
  <c r="AB7" i="6"/>
  <c r="AC17" i="6"/>
  <c r="AD17" i="6"/>
  <c r="AB17" i="6"/>
  <c r="AF32" i="7"/>
  <c r="AF31" i="7" s="1"/>
  <c r="AG32" i="7"/>
  <c r="AG31" i="7" s="1"/>
  <c r="AE32" i="7"/>
  <c r="AE31" i="7" s="1"/>
  <c r="AH31" i="7"/>
  <c r="AH23" i="7"/>
  <c r="AH24" i="7"/>
  <c r="AH22" i="7"/>
  <c r="AF21" i="7"/>
  <c r="AG21" i="7"/>
  <c r="AE21" i="7"/>
  <c r="AF12" i="7"/>
  <c r="AG12" i="7"/>
  <c r="AE9" i="4" s="1"/>
  <c r="AE4" i="4" s="1"/>
  <c r="AE12" i="7"/>
  <c r="AH9" i="7"/>
  <c r="AH10" i="7"/>
  <c r="AH11" i="7"/>
  <c r="AH13" i="7"/>
  <c r="AH14" i="7"/>
  <c r="AH15" i="7"/>
  <c r="AH16" i="7"/>
  <c r="AH8" i="7"/>
  <c r="Y63" i="5"/>
  <c r="AD25" i="4"/>
  <c r="AE25" i="4"/>
  <c r="AC26" i="4"/>
  <c r="O19" i="2" s="1"/>
  <c r="AF28" i="4"/>
  <c r="AF29" i="4"/>
  <c r="AF30" i="4"/>
  <c r="AF31" i="4"/>
  <c r="AF27" i="4"/>
  <c r="AD15" i="4"/>
  <c r="AE15" i="4"/>
  <c r="AC15" i="4"/>
  <c r="AF17" i="4"/>
  <c r="AF18" i="4"/>
  <c r="AF16" i="4"/>
  <c r="AF6" i="4"/>
  <c r="AF7" i="4"/>
  <c r="AF8" i="4"/>
  <c r="AF5" i="4"/>
  <c r="AF60" i="3" l="1"/>
  <c r="AM35" i="18"/>
  <c r="AG7" i="7"/>
  <c r="AB6" i="6"/>
  <c r="AE7" i="7"/>
  <c r="AE30" i="7" s="1"/>
  <c r="AC9" i="4"/>
  <c r="AF7" i="7"/>
  <c r="AD9" i="4"/>
  <c r="AD4" i="4" s="1"/>
  <c r="AD24" i="4" s="1"/>
  <c r="AD35" i="4" s="1"/>
  <c r="AD37" i="12"/>
  <c r="AD35" i="12" s="1"/>
  <c r="AD34" i="12" s="1"/>
  <c r="AE45" i="6"/>
  <c r="AE49" i="12"/>
  <c r="AE37" i="12"/>
  <c r="AD46" i="16"/>
  <c r="AD34" i="16" s="1"/>
  <c r="AD32" i="16" s="1"/>
  <c r="AD31" i="16" s="1"/>
  <c r="AD35" i="16" s="1"/>
  <c r="AB8" i="16"/>
  <c r="AB30" i="16" s="1"/>
  <c r="AE30" i="16" s="1"/>
  <c r="AC46" i="16"/>
  <c r="AC34" i="16" s="1"/>
  <c r="AC32" i="16" s="1"/>
  <c r="AC31" i="16" s="1"/>
  <c r="AE8" i="19"/>
  <c r="AE30" i="19" s="1"/>
  <c r="AM60" i="3"/>
  <c r="AE24" i="4"/>
  <c r="AE35" i="4" s="1"/>
  <c r="AF14" i="12"/>
  <c r="AE36" i="14"/>
  <c r="AI35" i="14"/>
  <c r="AE43" i="6"/>
  <c r="AC8" i="12"/>
  <c r="AC33" i="12" s="1"/>
  <c r="AC37" i="12" s="1"/>
  <c r="AE35" i="12"/>
  <c r="AE34" i="12" s="1"/>
  <c r="AB8" i="18"/>
  <c r="AB35" i="18" s="1"/>
  <c r="I15" i="2"/>
  <c r="I24" i="2" s="1"/>
  <c r="I9" i="2"/>
  <c r="I16" i="2" s="1"/>
  <c r="AD6" i="6"/>
  <c r="AD5" i="6" s="1"/>
  <c r="AE36" i="18"/>
  <c r="AE46" i="18" s="1"/>
  <c r="AF15" i="4"/>
  <c r="AE7" i="6"/>
  <c r="AF39" i="12"/>
  <c r="AF36" i="19"/>
  <c r="AF46" i="19" s="1"/>
  <c r="AG30" i="7"/>
  <c r="AG44" i="7" s="1"/>
  <c r="AB46" i="16"/>
  <c r="AE42" i="16"/>
  <c r="AE11" i="16"/>
  <c r="AD8" i="19"/>
  <c r="AD35" i="19" s="1"/>
  <c r="AE36" i="20"/>
  <c r="AE46" i="20" s="1"/>
  <c r="Y4" i="5"/>
  <c r="AF30" i="7"/>
  <c r="AF44" i="7" s="1"/>
  <c r="AF11" i="19"/>
  <c r="AF8" i="19" s="1"/>
  <c r="AC6" i="6"/>
  <c r="AM31" i="17"/>
  <c r="AM35" i="17" s="1"/>
  <c r="AI31" i="17"/>
  <c r="AI35" i="17" s="1"/>
  <c r="AM92" i="6"/>
  <c r="AI109" i="6"/>
  <c r="AI92" i="6"/>
  <c r="AM109" i="6"/>
  <c r="AC35" i="16"/>
  <c r="AC35" i="18"/>
  <c r="AC30" i="18"/>
  <c r="AE8" i="14"/>
  <c r="AB30" i="14"/>
  <c r="AE35" i="19"/>
  <c r="AD34" i="20"/>
  <c r="AD32" i="20" s="1"/>
  <c r="AE61" i="6"/>
  <c r="AE46" i="14"/>
  <c r="AD30" i="14"/>
  <c r="AD35" i="14"/>
  <c r="AC34" i="20"/>
  <c r="AC30" i="14"/>
  <c r="AC35" i="14"/>
  <c r="AD35" i="18"/>
  <c r="AD30" i="18"/>
  <c r="AF26" i="4"/>
  <c r="T6" i="8"/>
  <c r="T5" i="8" s="1"/>
  <c r="AC49" i="12"/>
  <c r="AC8" i="19"/>
  <c r="AC25" i="4"/>
  <c r="AF25" i="4" s="1"/>
  <c r="AE62" i="6"/>
  <c r="T6" i="15"/>
  <c r="T5" i="15" s="1"/>
  <c r="AE8" i="20"/>
  <c r="AD49" i="12"/>
  <c r="AE9" i="14"/>
  <c r="AE36" i="16"/>
  <c r="AB8" i="20"/>
  <c r="AD35" i="20"/>
  <c r="AB35" i="14"/>
  <c r="AC35" i="20"/>
  <c r="AM35" i="20"/>
  <c r="AC46" i="17"/>
  <c r="AD34" i="17"/>
  <c r="AD32" i="17" s="1"/>
  <c r="AD31" i="17" s="1"/>
  <c r="AD35" i="17" s="1"/>
  <c r="AB46" i="17"/>
  <c r="AD46" i="17"/>
  <c r="AC34" i="17"/>
  <c r="AJ32" i="16"/>
  <c r="AJ31" i="16" s="1"/>
  <c r="AJ35" i="16" s="1"/>
  <c r="AM34" i="16"/>
  <c r="AM32" i="16" s="1"/>
  <c r="AM31" i="16" s="1"/>
  <c r="AM35" i="16" s="1"/>
  <c r="AF32" i="16"/>
  <c r="AF31" i="16" s="1"/>
  <c r="AF35" i="16" s="1"/>
  <c r="AI32" i="16"/>
  <c r="AI31" i="16" s="1"/>
  <c r="AI35" i="16" s="1"/>
  <c r="AI30" i="14"/>
  <c r="AK35" i="12"/>
  <c r="AN37" i="12"/>
  <c r="AJ33" i="12"/>
  <c r="AB30" i="18"/>
  <c r="AE11" i="18"/>
  <c r="AE8" i="18" s="1"/>
  <c r="AB35" i="17"/>
  <c r="AE36" i="17"/>
  <c r="AB94" i="6"/>
  <c r="AE94" i="6" s="1"/>
  <c r="AE17" i="6"/>
  <c r="AB5" i="6"/>
  <c r="AH21" i="7"/>
  <c r="AH12" i="7"/>
  <c r="AB34" i="16" l="1"/>
  <c r="AE6" i="6"/>
  <c r="AC32" i="17"/>
  <c r="AC31" i="17" s="1"/>
  <c r="AC35" i="17" s="1"/>
  <c r="AE34" i="17"/>
  <c r="AB32" i="16"/>
  <c r="AE34" i="16"/>
  <c r="AH7" i="7"/>
  <c r="AE8" i="16"/>
  <c r="AC30" i="19"/>
  <c r="AC35" i="19"/>
  <c r="AE34" i="20"/>
  <c r="AE32" i="20" s="1"/>
  <c r="AC32" i="20"/>
  <c r="AF9" i="4"/>
  <c r="AC4" i="4"/>
  <c r="AC5" i="6"/>
  <c r="AC92" i="6" s="1"/>
  <c r="AE34" i="19"/>
  <c r="AE32" i="19" s="1"/>
  <c r="AH30" i="7"/>
  <c r="AE46" i="16"/>
  <c r="AF33" i="12"/>
  <c r="AC35" i="12"/>
  <c r="AC34" i="12" s="1"/>
  <c r="AF34" i="12" s="1"/>
  <c r="AF37" i="12"/>
  <c r="AF30" i="19"/>
  <c r="AF35" i="19"/>
  <c r="AD30" i="19"/>
  <c r="AD34" i="19"/>
  <c r="AF8" i="12"/>
  <c r="AF49" i="12"/>
  <c r="AE44" i="7"/>
  <c r="AH44" i="7" s="1"/>
  <c r="AE35" i="14"/>
  <c r="AB30" i="20"/>
  <c r="AB35" i="20"/>
  <c r="AD92" i="6"/>
  <c r="AD109" i="6"/>
  <c r="AE30" i="20"/>
  <c r="AE35" i="20"/>
  <c r="AE30" i="14"/>
  <c r="AE46" i="17"/>
  <c r="AE32" i="17"/>
  <c r="AE31" i="17" s="1"/>
  <c r="AE35" i="17" s="1"/>
  <c r="AK34" i="12"/>
  <c r="AN35" i="12"/>
  <c r="AG35" i="12"/>
  <c r="AE30" i="18"/>
  <c r="AE35" i="18"/>
  <c r="AB92" i="6"/>
  <c r="AE5" i="6" l="1"/>
  <c r="AC109" i="6"/>
  <c r="AF4" i="4"/>
  <c r="AC24" i="4"/>
  <c r="AB31" i="16"/>
  <c r="AB35" i="16" s="1"/>
  <c r="AE32" i="16"/>
  <c r="AE31" i="16" s="1"/>
  <c r="AE35" i="16" s="1"/>
  <c r="AF34" i="19"/>
  <c r="AF32" i="19" s="1"/>
  <c r="AD32" i="19"/>
  <c r="AF35" i="12"/>
  <c r="AE109" i="6"/>
  <c r="AN34" i="12"/>
  <c r="AK38" i="12"/>
  <c r="AN38" i="12" s="1"/>
  <c r="AE92" i="6"/>
  <c r="AJ35" i="12"/>
  <c r="AG34" i="12"/>
  <c r="AC47" i="3"/>
  <c r="AC46" i="3" s="1"/>
  <c r="AD47" i="3"/>
  <c r="AD46" i="3" s="1"/>
  <c r="AB46" i="3"/>
  <c r="AC30" i="3"/>
  <c r="AD30" i="3"/>
  <c r="AB31" i="3"/>
  <c r="G11" i="2" s="1"/>
  <c r="G10" i="2" s="1"/>
  <c r="AE32" i="3"/>
  <c r="AB27" i="3"/>
  <c r="G7" i="2" s="1"/>
  <c r="G3" i="2" s="1"/>
  <c r="AE17" i="3"/>
  <c r="AC4" i="3"/>
  <c r="AD4" i="3"/>
  <c r="O18" i="2"/>
  <c r="O17" i="2" s="1"/>
  <c r="O3" i="2"/>
  <c r="G18" i="2"/>
  <c r="G17" i="2" s="1"/>
  <c r="G9" i="2" l="1"/>
  <c r="AC35" i="4"/>
  <c r="AF35" i="4" s="1"/>
  <c r="AF24" i="4"/>
  <c r="AJ34" i="12"/>
  <c r="AG38" i="12"/>
  <c r="AJ38" i="12" s="1"/>
  <c r="AD45" i="3"/>
  <c r="AC60" i="3"/>
  <c r="AE27" i="3"/>
  <c r="AC45" i="3"/>
  <c r="AD60" i="3"/>
  <c r="AE46" i="3"/>
  <c r="AE31" i="3"/>
  <c r="AE47" i="3"/>
  <c r="AE5" i="3"/>
  <c r="AB30" i="3"/>
  <c r="AE30" i="3" s="1"/>
  <c r="O15" i="2"/>
  <c r="O24" i="2" s="1"/>
  <c r="G15" i="2"/>
  <c r="G24" i="2" s="1"/>
  <c r="G14" i="2"/>
  <c r="AB4" i="3"/>
  <c r="O16" i="2" l="1"/>
  <c r="G16" i="2"/>
  <c r="AB60" i="3"/>
  <c r="AE60" i="3" s="1"/>
  <c r="AE4" i="3"/>
  <c r="AB45" i="3"/>
  <c r="AE45" i="3" s="1"/>
  <c r="S32" i="6"/>
  <c r="S33" i="6"/>
  <c r="C18" i="7" l="1"/>
  <c r="D18" i="7"/>
  <c r="G18" i="7" s="1"/>
  <c r="H18" i="7"/>
  <c r="K18" i="7" s="1"/>
  <c r="O18" i="7"/>
  <c r="P18" i="7"/>
  <c r="S18" i="7" s="1"/>
  <c r="T18" i="7"/>
  <c r="W18" i="7" s="1"/>
  <c r="AD18" i="7"/>
  <c r="AA29" i="7"/>
  <c r="X48" i="7"/>
  <c r="Y48" i="7"/>
  <c r="Z48" i="7"/>
  <c r="P101" i="6"/>
  <c r="T34" i="27"/>
  <c r="F29" i="27"/>
  <c r="G29" i="27"/>
  <c r="H29" i="27"/>
  <c r="I29" i="27"/>
  <c r="J29" i="27"/>
  <c r="K29" i="27"/>
  <c r="L29" i="27"/>
  <c r="M29" i="27"/>
  <c r="N29" i="27"/>
  <c r="O29" i="27"/>
  <c r="P29" i="27"/>
  <c r="Q29" i="27"/>
  <c r="R29" i="27"/>
  <c r="S29" i="27"/>
  <c r="T29" i="27"/>
  <c r="F34" i="27"/>
  <c r="G34" i="27"/>
  <c r="H34" i="27"/>
  <c r="I34" i="27"/>
  <c r="J34" i="27"/>
  <c r="K34" i="27"/>
  <c r="L34" i="27"/>
  <c r="M34" i="27"/>
  <c r="N34" i="27"/>
  <c r="O34" i="27"/>
  <c r="P34" i="27"/>
  <c r="Q34" i="27"/>
  <c r="R34" i="27"/>
  <c r="S34" i="27"/>
  <c r="C30" i="30"/>
  <c r="D30" i="30"/>
  <c r="AB15" i="7"/>
  <c r="K202" i="8" l="1"/>
  <c r="C29" i="8"/>
  <c r="F29" i="8"/>
  <c r="G29" i="8"/>
  <c r="H29" i="8"/>
  <c r="I29" i="8"/>
  <c r="L29" i="8"/>
  <c r="M29" i="8"/>
  <c r="N29" i="8"/>
  <c r="O29" i="8"/>
  <c r="P29" i="8"/>
  <c r="Q29" i="8"/>
  <c r="R29" i="8"/>
  <c r="S29" i="8"/>
  <c r="Y42" i="12"/>
  <c r="AA42" i="12"/>
  <c r="Z42" i="12"/>
  <c r="AA41" i="12"/>
  <c r="Z41" i="12"/>
  <c r="Y41" i="12"/>
  <c r="AA40" i="12"/>
  <c r="Z40" i="12"/>
  <c r="Y40" i="12"/>
  <c r="E40" i="12"/>
  <c r="H40" i="12"/>
  <c r="I40" i="12"/>
  <c r="O40" i="12"/>
  <c r="P40" i="12"/>
  <c r="Q40" i="12"/>
  <c r="R40" i="12"/>
  <c r="S40" i="12"/>
  <c r="T40" i="12"/>
  <c r="U40" i="12"/>
  <c r="V40" i="12"/>
  <c r="W40" i="12" l="1"/>
  <c r="X54" i="3"/>
  <c r="X38" i="3"/>
  <c r="X37" i="3"/>
  <c r="X36" i="3"/>
  <c r="X29" i="3"/>
  <c r="X23" i="3"/>
  <c r="Y23" i="3"/>
  <c r="X35" i="3" l="1"/>
  <c r="X26" i="3"/>
  <c r="X25" i="3"/>
  <c r="X24" i="3"/>
  <c r="X22" i="3"/>
  <c r="X20" i="3"/>
  <c r="Y20" i="3"/>
  <c r="Y24" i="3"/>
  <c r="Y25" i="3"/>
  <c r="Y18" i="3"/>
  <c r="X18" i="3"/>
  <c r="X7" i="3"/>
  <c r="AB29" i="4"/>
  <c r="AB46" i="12"/>
  <c r="AA7" i="4" l="1"/>
  <c r="AA6" i="4"/>
  <c r="AA5" i="4"/>
  <c r="X67" i="5" l="1"/>
  <c r="X64" i="5"/>
  <c r="X63" i="5" l="1"/>
  <c r="AA45" i="20"/>
  <c r="AA44" i="20"/>
  <c r="AA43" i="20"/>
  <c r="Z42" i="20"/>
  <c r="Z46" i="20" s="1"/>
  <c r="Y42" i="20"/>
  <c r="Y46" i="20" s="1"/>
  <c r="X42" i="20"/>
  <c r="AA41" i="20"/>
  <c r="AA40" i="20"/>
  <c r="AA39" i="20"/>
  <c r="AA38" i="20"/>
  <c r="AA37" i="20"/>
  <c r="X36" i="20"/>
  <c r="AA33" i="20"/>
  <c r="AA29" i="20"/>
  <c r="Z28" i="20"/>
  <c r="Y28" i="20"/>
  <c r="X28" i="20"/>
  <c r="AA27" i="20"/>
  <c r="AA26" i="20"/>
  <c r="Z25" i="20"/>
  <c r="Y25" i="20"/>
  <c r="X25" i="20"/>
  <c r="AA24" i="20"/>
  <c r="Z23" i="20"/>
  <c r="Y23" i="20"/>
  <c r="X23" i="20"/>
  <c r="AA21" i="20"/>
  <c r="Z20" i="20"/>
  <c r="Y20" i="20"/>
  <c r="X20" i="20"/>
  <c r="AA19" i="20"/>
  <c r="AA18" i="20"/>
  <c r="AA17" i="20"/>
  <c r="AA16" i="20"/>
  <c r="AA15" i="20"/>
  <c r="AA14" i="20"/>
  <c r="AA13" i="20"/>
  <c r="AA12" i="20"/>
  <c r="Z11" i="20"/>
  <c r="Y11" i="20"/>
  <c r="X11" i="20"/>
  <c r="AA10" i="20"/>
  <c r="Z9" i="20"/>
  <c r="Y9" i="20"/>
  <c r="Y8" i="20" s="1"/>
  <c r="X9" i="20"/>
  <c r="AA7" i="20"/>
  <c r="AA6" i="20"/>
  <c r="AB45" i="19"/>
  <c r="AB44" i="19"/>
  <c r="AB43" i="19"/>
  <c r="AA42" i="19"/>
  <c r="Z42" i="19"/>
  <c r="Y42" i="19"/>
  <c r="AB41" i="19"/>
  <c r="AB40" i="19"/>
  <c r="AB39" i="19"/>
  <c r="AB38" i="19"/>
  <c r="AB37" i="19"/>
  <c r="AA46" i="19"/>
  <c r="Z46" i="19"/>
  <c r="Y36" i="19"/>
  <c r="AB33" i="19"/>
  <c r="AB29" i="19"/>
  <c r="AA28" i="19"/>
  <c r="Z28" i="19"/>
  <c r="Y28" i="19"/>
  <c r="AB27" i="19"/>
  <c r="AB26" i="19"/>
  <c r="AA25" i="19"/>
  <c r="Z25" i="19"/>
  <c r="Y25" i="19"/>
  <c r="AB24" i="19"/>
  <c r="AA23" i="19"/>
  <c r="Z23" i="19"/>
  <c r="Y23" i="19"/>
  <c r="AB21" i="19"/>
  <c r="AA20" i="19"/>
  <c r="AA8" i="19" s="1"/>
  <c r="Z20" i="19"/>
  <c r="Z8" i="19" s="1"/>
  <c r="Y20" i="19"/>
  <c r="AB19" i="19"/>
  <c r="AB18" i="19"/>
  <c r="AB17" i="19"/>
  <c r="AB16" i="19"/>
  <c r="AB15" i="19"/>
  <c r="AB14" i="19"/>
  <c r="AB13" i="19"/>
  <c r="AB12" i="19"/>
  <c r="Y11" i="19"/>
  <c r="AB10" i="19"/>
  <c r="AB9" i="19" s="1"/>
  <c r="Y9" i="19"/>
  <c r="AB7" i="19"/>
  <c r="AB6" i="19"/>
  <c r="AA45" i="18"/>
  <c r="AA44" i="18"/>
  <c r="AA43" i="18"/>
  <c r="Z42" i="18"/>
  <c r="Z46" i="18" s="1"/>
  <c r="Y42" i="18"/>
  <c r="Y46" i="18" s="1"/>
  <c r="X42" i="18"/>
  <c r="AA41" i="18"/>
  <c r="AA40" i="18"/>
  <c r="AA39" i="18"/>
  <c r="AA38" i="18"/>
  <c r="AA37" i="18"/>
  <c r="X36" i="18"/>
  <c r="AA33" i="18"/>
  <c r="X32" i="18"/>
  <c r="X31" i="18" s="1"/>
  <c r="AA29" i="18"/>
  <c r="Z28" i="18"/>
  <c r="Y28" i="18"/>
  <c r="X28" i="18"/>
  <c r="AA27" i="18"/>
  <c r="AA26" i="18"/>
  <c r="Z25" i="18"/>
  <c r="Y25" i="18"/>
  <c r="X25" i="18"/>
  <c r="AA24" i="18"/>
  <c r="Z23" i="18"/>
  <c r="Y23" i="18"/>
  <c r="X23" i="18"/>
  <c r="AA21" i="18"/>
  <c r="Z20" i="18"/>
  <c r="Y20" i="18"/>
  <c r="X20" i="18"/>
  <c r="AA19" i="18"/>
  <c r="AA18" i="18"/>
  <c r="AA17" i="18"/>
  <c r="AA16" i="18"/>
  <c r="AA15" i="18"/>
  <c r="AA14" i="18"/>
  <c r="AA13" i="18"/>
  <c r="AA12" i="18"/>
  <c r="Z11" i="18"/>
  <c r="Y11" i="18"/>
  <c r="X11" i="18"/>
  <c r="AA10" i="18"/>
  <c r="Z9" i="18"/>
  <c r="Y9" i="18"/>
  <c r="X9" i="18"/>
  <c r="AA7" i="18"/>
  <c r="AA6" i="18"/>
  <c r="AA45" i="17"/>
  <c r="AA44" i="17"/>
  <c r="Y43" i="17"/>
  <c r="AA43" i="17" s="1"/>
  <c r="Z42" i="17"/>
  <c r="X42" i="17"/>
  <c r="AA41" i="17"/>
  <c r="AA40" i="17"/>
  <c r="AA39" i="17"/>
  <c r="AA38" i="17"/>
  <c r="AA37" i="17"/>
  <c r="Z36" i="17"/>
  <c r="Y36" i="17"/>
  <c r="X36" i="17"/>
  <c r="AA33" i="17"/>
  <c r="AA29" i="17"/>
  <c r="Z28" i="17"/>
  <c r="Y28" i="17"/>
  <c r="X28" i="17"/>
  <c r="AA27" i="17"/>
  <c r="AA26" i="17"/>
  <c r="Z25" i="17"/>
  <c r="Y25" i="17"/>
  <c r="X25" i="17"/>
  <c r="AA24" i="17"/>
  <c r="Z23" i="17"/>
  <c r="Y23" i="17"/>
  <c r="X23" i="17"/>
  <c r="AA21" i="17"/>
  <c r="Z20" i="17"/>
  <c r="Y20" i="17"/>
  <c r="X20" i="17"/>
  <c r="AA19" i="17"/>
  <c r="AA18" i="17"/>
  <c r="AA17" i="17"/>
  <c r="AA16" i="17"/>
  <c r="AA15" i="17"/>
  <c r="AA14" i="17"/>
  <c r="AA13" i="17"/>
  <c r="AA12" i="17"/>
  <c r="Z11" i="17"/>
  <c r="Y11" i="17"/>
  <c r="X11" i="17"/>
  <c r="AA10" i="17"/>
  <c r="Z9" i="17"/>
  <c r="Y9" i="17"/>
  <c r="X9" i="17"/>
  <c r="AA7" i="17"/>
  <c r="AA6" i="17"/>
  <c r="AA45" i="16"/>
  <c r="AA44" i="16"/>
  <c r="AA43" i="16"/>
  <c r="Z42" i="16"/>
  <c r="Y42" i="16"/>
  <c r="X42" i="16"/>
  <c r="AA41" i="16"/>
  <c r="AA40" i="16"/>
  <c r="Y39" i="16"/>
  <c r="AA39" i="16" s="1"/>
  <c r="Y38" i="16"/>
  <c r="AA38" i="16" s="1"/>
  <c r="Y37" i="16"/>
  <c r="AA37" i="16" s="1"/>
  <c r="Z36" i="16"/>
  <c r="X36" i="16"/>
  <c r="AA33" i="16"/>
  <c r="AA29" i="16"/>
  <c r="Z28" i="16"/>
  <c r="Y28" i="16"/>
  <c r="X28" i="16"/>
  <c r="AA27" i="16"/>
  <c r="AA26" i="16"/>
  <c r="Z25" i="16"/>
  <c r="Y25" i="16"/>
  <c r="X25" i="16"/>
  <c r="AA24" i="16"/>
  <c r="Z23" i="16"/>
  <c r="Y23" i="16"/>
  <c r="X23" i="16"/>
  <c r="AA21" i="16"/>
  <c r="Z20" i="16"/>
  <c r="Y20" i="16"/>
  <c r="X20" i="16"/>
  <c r="AA19" i="16"/>
  <c r="AA18" i="16"/>
  <c r="AA17" i="16"/>
  <c r="AA16" i="16"/>
  <c r="AA15" i="16"/>
  <c r="AA14" i="16"/>
  <c r="AA13" i="16"/>
  <c r="AA12" i="16"/>
  <c r="Z11" i="16"/>
  <c r="Y11" i="16"/>
  <c r="X11" i="16"/>
  <c r="AA10" i="16"/>
  <c r="Z9" i="16"/>
  <c r="Y9" i="16"/>
  <c r="X9" i="16"/>
  <c r="AA7" i="16"/>
  <c r="AA6" i="16"/>
  <c r="S99" i="15"/>
  <c r="S97" i="15"/>
  <c r="X39" i="14" s="1"/>
  <c r="S96" i="15"/>
  <c r="X38" i="14" s="1"/>
  <c r="S95" i="15"/>
  <c r="X37" i="14" s="1"/>
  <c r="S75" i="15"/>
  <c r="S70" i="15"/>
  <c r="S65" i="15"/>
  <c r="S60" i="15"/>
  <c r="S51" i="15"/>
  <c r="S45" i="15"/>
  <c r="S41" i="15"/>
  <c r="S37" i="15"/>
  <c r="S32" i="15"/>
  <c r="S27" i="15"/>
  <c r="S23" i="15"/>
  <c r="S20" i="15"/>
  <c r="S17" i="15"/>
  <c r="S12" i="15"/>
  <c r="S7" i="15"/>
  <c r="AA45" i="14"/>
  <c r="Z44" i="14"/>
  <c r="Z17" i="4" s="1"/>
  <c r="Y44" i="14"/>
  <c r="X44" i="14"/>
  <c r="X42" i="14" s="1"/>
  <c r="Z43" i="14"/>
  <c r="Z16" i="4" s="1"/>
  <c r="Y43" i="14"/>
  <c r="X41" i="14"/>
  <c r="AA41" i="14" s="1"/>
  <c r="AA40" i="14"/>
  <c r="Y39" i="14"/>
  <c r="Y38" i="14"/>
  <c r="Y37" i="14"/>
  <c r="Z36" i="14"/>
  <c r="AA33" i="14"/>
  <c r="AA29" i="14"/>
  <c r="Z28" i="14"/>
  <c r="Y28" i="14"/>
  <c r="X28" i="14"/>
  <c r="AA27" i="14"/>
  <c r="AA26" i="14"/>
  <c r="Z25" i="14"/>
  <c r="Y25" i="14"/>
  <c r="X25" i="14"/>
  <c r="AA24" i="14"/>
  <c r="Z23" i="14"/>
  <c r="Y23" i="14"/>
  <c r="X23" i="14"/>
  <c r="AA21" i="14"/>
  <c r="Z20" i="14"/>
  <c r="Y20" i="14"/>
  <c r="X20" i="14"/>
  <c r="AA19" i="14"/>
  <c r="AA18" i="14"/>
  <c r="AA17" i="14"/>
  <c r="AA16" i="14"/>
  <c r="AA15" i="14"/>
  <c r="AA14" i="14"/>
  <c r="AA13" i="14"/>
  <c r="AA12" i="14"/>
  <c r="Z11" i="14"/>
  <c r="Y11" i="14"/>
  <c r="X11" i="14"/>
  <c r="AA10" i="14"/>
  <c r="Z9" i="14"/>
  <c r="Y9" i="14"/>
  <c r="X9" i="14"/>
  <c r="AA7" i="14"/>
  <c r="X6" i="14"/>
  <c r="AA6" i="14" s="1"/>
  <c r="X36" i="13"/>
  <c r="X34" i="13"/>
  <c r="X30" i="13"/>
  <c r="X25" i="13"/>
  <c r="X20" i="13"/>
  <c r="X19" i="13"/>
  <c r="X16" i="13"/>
  <c r="X12" i="13"/>
  <c r="X6" i="13"/>
  <c r="AA45" i="12"/>
  <c r="Z45" i="12"/>
  <c r="Y45" i="12"/>
  <c r="AB42" i="12"/>
  <c r="AB41" i="12"/>
  <c r="AB40" i="12"/>
  <c r="AA39" i="12"/>
  <c r="Z39" i="12"/>
  <c r="Y39" i="12"/>
  <c r="AB32" i="12"/>
  <c r="AA31" i="12"/>
  <c r="Z31" i="12"/>
  <c r="Y31" i="12"/>
  <c r="AB30" i="12"/>
  <c r="AB29" i="12"/>
  <c r="AA28" i="12"/>
  <c r="Z28" i="12"/>
  <c r="Y28" i="12"/>
  <c r="AB27" i="12"/>
  <c r="AA26" i="12"/>
  <c r="Z26" i="12"/>
  <c r="Y26" i="12"/>
  <c r="AB24" i="12"/>
  <c r="AA23" i="12"/>
  <c r="Z23" i="12"/>
  <c r="Y23" i="12"/>
  <c r="AB22" i="12"/>
  <c r="AB21" i="12"/>
  <c r="AB20" i="12"/>
  <c r="AB19" i="12"/>
  <c r="AB18" i="12"/>
  <c r="AB17" i="12"/>
  <c r="AB16" i="12"/>
  <c r="AB15" i="12"/>
  <c r="AA14" i="12"/>
  <c r="Z14" i="12"/>
  <c r="Y14" i="12"/>
  <c r="AA11" i="12"/>
  <c r="Z11" i="12"/>
  <c r="Y11" i="12"/>
  <c r="AB10" i="12"/>
  <c r="AA9" i="12"/>
  <c r="Z9" i="12"/>
  <c r="Y9" i="12"/>
  <c r="X60" i="5"/>
  <c r="X41" i="5"/>
  <c r="X40" i="5"/>
  <c r="X39" i="5"/>
  <c r="X38" i="5"/>
  <c r="X37" i="5"/>
  <c r="X36" i="5"/>
  <c r="X35" i="5"/>
  <c r="X34" i="5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AA34" i="4"/>
  <c r="Z34" i="4"/>
  <c r="Y34" i="4"/>
  <c r="AA33" i="4"/>
  <c r="Z33" i="4"/>
  <c r="Z32" i="4" s="1"/>
  <c r="Y33" i="4"/>
  <c r="Z31" i="4"/>
  <c r="AA28" i="4"/>
  <c r="Z28" i="4"/>
  <c r="Y28" i="4"/>
  <c r="Z27" i="4"/>
  <c r="AA26" i="4"/>
  <c r="AB23" i="4"/>
  <c r="AB22" i="4"/>
  <c r="AB21" i="4"/>
  <c r="AB20" i="4"/>
  <c r="AB19" i="4"/>
  <c r="AB14" i="4"/>
  <c r="AB13" i="4"/>
  <c r="AB12" i="4"/>
  <c r="AB11" i="4"/>
  <c r="AB10" i="4"/>
  <c r="Z8" i="4"/>
  <c r="AA59" i="3"/>
  <c r="AA58" i="3"/>
  <c r="Z57" i="3"/>
  <c r="Y57" i="3"/>
  <c r="X57" i="3"/>
  <c r="AA54" i="3"/>
  <c r="F19" i="2" s="1"/>
  <c r="AA53" i="3"/>
  <c r="AA52" i="3"/>
  <c r="AA51" i="3"/>
  <c r="Z42" i="3"/>
  <c r="Y42" i="3"/>
  <c r="X42" i="3"/>
  <c r="Z41" i="3"/>
  <c r="Y41" i="3"/>
  <c r="X41" i="3"/>
  <c r="AA37" i="3"/>
  <c r="Z35" i="3"/>
  <c r="Y35" i="3"/>
  <c r="Z33" i="3"/>
  <c r="Y33" i="3"/>
  <c r="Z32" i="3"/>
  <c r="Y32" i="3"/>
  <c r="AA32" i="3" s="1"/>
  <c r="AA29" i="3"/>
  <c r="Z28" i="3"/>
  <c r="Z27" i="3" s="1"/>
  <c r="Y28" i="3"/>
  <c r="Y27" i="3" s="1"/>
  <c r="X28" i="3"/>
  <c r="Z16" i="3"/>
  <c r="Y16" i="3"/>
  <c r="AA16" i="3" s="1"/>
  <c r="Z15" i="3"/>
  <c r="Z14" i="3" s="1"/>
  <c r="Y15" i="3"/>
  <c r="X15" i="3"/>
  <c r="X8" i="3"/>
  <c r="AA7" i="3"/>
  <c r="Z5" i="3"/>
  <c r="Y5" i="3"/>
  <c r="Z8" i="18" l="1"/>
  <c r="AA32" i="4"/>
  <c r="X22" i="18"/>
  <c r="Z26" i="4"/>
  <c r="Z25" i="4" s="1"/>
  <c r="AB34" i="4"/>
  <c r="AB11" i="19"/>
  <c r="AA36" i="20"/>
  <c r="AA8" i="12"/>
  <c r="Y36" i="14"/>
  <c r="Y8" i="18"/>
  <c r="AB23" i="19"/>
  <c r="AB36" i="19"/>
  <c r="X22" i="20"/>
  <c r="Z8" i="20"/>
  <c r="AA36" i="18"/>
  <c r="AA25" i="14"/>
  <c r="AB20" i="19"/>
  <c r="Z22" i="19"/>
  <c r="X8" i="20"/>
  <c r="AB23" i="12"/>
  <c r="AA11" i="17"/>
  <c r="Y8" i="17"/>
  <c r="X8" i="18"/>
  <c r="X30" i="18" s="1"/>
  <c r="Y8" i="12"/>
  <c r="AB28" i="19"/>
  <c r="AA25" i="12"/>
  <c r="X5" i="13"/>
  <c r="Y22" i="14"/>
  <c r="Z42" i="14"/>
  <c r="Z46" i="14" s="1"/>
  <c r="AA25" i="16"/>
  <c r="Y22" i="16"/>
  <c r="Z46" i="16"/>
  <c r="Y14" i="3"/>
  <c r="AA28" i="3"/>
  <c r="Y31" i="3"/>
  <c r="AA35" i="3"/>
  <c r="F12" i="2" s="1"/>
  <c r="Y25" i="12"/>
  <c r="AA11" i="14"/>
  <c r="Y8" i="14"/>
  <c r="AA11" i="16"/>
  <c r="Y8" i="16"/>
  <c r="Y36" i="16"/>
  <c r="Y46" i="16" s="1"/>
  <c r="AA25" i="17"/>
  <c r="Y22" i="17"/>
  <c r="AA23" i="18"/>
  <c r="Z22" i="18"/>
  <c r="AA28" i="18"/>
  <c r="AB42" i="19"/>
  <c r="AA23" i="20"/>
  <c r="Z22" i="20"/>
  <c r="AA28" i="20"/>
  <c r="AA25" i="4"/>
  <c r="Y32" i="4"/>
  <c r="AB32" i="4" s="1"/>
  <c r="AB28" i="4"/>
  <c r="AA38" i="14"/>
  <c r="AA37" i="14"/>
  <c r="AA39" i="14"/>
  <c r="Z8" i="12"/>
  <c r="Z25" i="12"/>
  <c r="Z49" i="12"/>
  <c r="Z8" i="14"/>
  <c r="Z22" i="14"/>
  <c r="Z8" i="16"/>
  <c r="Z22" i="16"/>
  <c r="Z8" i="17"/>
  <c r="Z22" i="17"/>
  <c r="Z31" i="3"/>
  <c r="AA41" i="3"/>
  <c r="Z40" i="3"/>
  <c r="AA57" i="3"/>
  <c r="AB33" i="4"/>
  <c r="AB9" i="12"/>
  <c r="AB26" i="12"/>
  <c r="AB31" i="12"/>
  <c r="AB45" i="12"/>
  <c r="AA20" i="14"/>
  <c r="AA23" i="14"/>
  <c r="AA28" i="14"/>
  <c r="Y42" i="14"/>
  <c r="AA9" i="16"/>
  <c r="AA20" i="16"/>
  <c r="AA23" i="16"/>
  <c r="AA28" i="16"/>
  <c r="AA20" i="17"/>
  <c r="AA23" i="17"/>
  <c r="AA28" i="17"/>
  <c r="AA9" i="18"/>
  <c r="Y22" i="18"/>
  <c r="Y30" i="18" s="1"/>
  <c r="Y26" i="3"/>
  <c r="AB25" i="19"/>
  <c r="AA22" i="19"/>
  <c r="AA30" i="19" s="1"/>
  <c r="AA9" i="20"/>
  <c r="AA20" i="20"/>
  <c r="Y22" i="20"/>
  <c r="AA42" i="20"/>
  <c r="AA46" i="20" s="1"/>
  <c r="AA20" i="18"/>
  <c r="X46" i="16"/>
  <c r="AA42" i="16"/>
  <c r="S6" i="15"/>
  <c r="S5" i="15" s="1"/>
  <c r="S100" i="15"/>
  <c r="AB14" i="12"/>
  <c r="AA8" i="3"/>
  <c r="X27" i="3"/>
  <c r="AA27" i="3" s="1"/>
  <c r="F7" i="2" s="1"/>
  <c r="AA33" i="3"/>
  <c r="X40" i="3"/>
  <c r="AA42" i="3"/>
  <c r="AA44" i="14"/>
  <c r="X33" i="13"/>
  <c r="AA49" i="12"/>
  <c r="AA42" i="18"/>
  <c r="AA9" i="17"/>
  <c r="AA9" i="14"/>
  <c r="AA11" i="20"/>
  <c r="AA25" i="20"/>
  <c r="X46" i="20"/>
  <c r="Y46" i="19"/>
  <c r="AB46" i="19" s="1"/>
  <c r="Y8" i="19"/>
  <c r="Y22" i="19"/>
  <c r="AA11" i="18"/>
  <c r="AA25" i="18"/>
  <c r="X46" i="18"/>
  <c r="AA36" i="17"/>
  <c r="X46" i="17"/>
  <c r="Z46" i="17"/>
  <c r="X8" i="17"/>
  <c r="X22" i="17"/>
  <c r="Y42" i="17"/>
  <c r="AA36" i="16"/>
  <c r="X8" i="16"/>
  <c r="X22" i="16"/>
  <c r="AA43" i="14"/>
  <c r="AA18" i="3"/>
  <c r="Z17" i="3"/>
  <c r="AA20" i="3"/>
  <c r="AA22" i="3"/>
  <c r="AA24" i="3"/>
  <c r="AA26" i="3"/>
  <c r="X8" i="14"/>
  <c r="X22" i="14"/>
  <c r="X36" i="14"/>
  <c r="AB11" i="12"/>
  <c r="AB28" i="12"/>
  <c r="AB39" i="12"/>
  <c r="Y49" i="12"/>
  <c r="AA15" i="3"/>
  <c r="AA23" i="3"/>
  <c r="AA25" i="3"/>
  <c r="S10" i="7"/>
  <c r="AB10" i="7"/>
  <c r="Z7" i="4" s="1"/>
  <c r="S97" i="8"/>
  <c r="X51" i="5" s="1"/>
  <c r="AA23" i="7"/>
  <c r="AB9" i="7"/>
  <c r="Z6" i="4" s="1"/>
  <c r="AB8" i="7"/>
  <c r="Z5" i="4" s="1"/>
  <c r="AA10" i="7"/>
  <c r="Y7" i="4" s="1"/>
  <c r="AA9" i="7"/>
  <c r="Y6" i="4" s="1"/>
  <c r="AA8" i="7"/>
  <c r="Y5" i="4" s="1"/>
  <c r="S82" i="8"/>
  <c r="X45" i="5" s="1"/>
  <c r="AA22" i="7"/>
  <c r="Y16" i="4" s="1"/>
  <c r="AB11" i="7"/>
  <c r="S14" i="8"/>
  <c r="S13" i="8" s="1"/>
  <c r="AA16" i="7" s="1"/>
  <c r="U6" i="28"/>
  <c r="U3" i="28" s="1"/>
  <c r="T3" i="27"/>
  <c r="T42" i="27" s="1"/>
  <c r="AB29" i="7"/>
  <c r="AA33" i="7"/>
  <c r="AC37" i="7"/>
  <c r="AD37" i="7" s="1"/>
  <c r="AA40" i="7"/>
  <c r="Y31" i="4" s="1"/>
  <c r="AB31" i="4" s="1"/>
  <c r="S55" i="8"/>
  <c r="M125" i="8"/>
  <c r="N125" i="8"/>
  <c r="O125" i="8"/>
  <c r="P125" i="8"/>
  <c r="Q125" i="8"/>
  <c r="R125" i="8"/>
  <c r="S125" i="8"/>
  <c r="X59" i="5" s="1"/>
  <c r="M120" i="8"/>
  <c r="N120" i="8"/>
  <c r="O120" i="8"/>
  <c r="P120" i="8"/>
  <c r="Q120" i="8"/>
  <c r="S120" i="8"/>
  <c r="X58" i="5" s="1"/>
  <c r="M116" i="8"/>
  <c r="N116" i="8"/>
  <c r="O116" i="8"/>
  <c r="P116" i="8"/>
  <c r="Q116" i="8"/>
  <c r="R116" i="8"/>
  <c r="S116" i="8"/>
  <c r="X57" i="5" s="1"/>
  <c r="M111" i="8"/>
  <c r="N111" i="8"/>
  <c r="O111" i="8"/>
  <c r="P111" i="8"/>
  <c r="Q111" i="8"/>
  <c r="R111" i="8"/>
  <c r="M108" i="8"/>
  <c r="N108" i="8"/>
  <c r="O108" i="8"/>
  <c r="P108" i="8"/>
  <c r="Q108" i="8"/>
  <c r="R108" i="8"/>
  <c r="S108" i="8"/>
  <c r="X55" i="5" s="1"/>
  <c r="M106" i="8"/>
  <c r="N106" i="8"/>
  <c r="O106" i="8"/>
  <c r="P106" i="8"/>
  <c r="Q106" i="8"/>
  <c r="R106" i="8"/>
  <c r="S106" i="8"/>
  <c r="X54" i="5" s="1"/>
  <c r="M104" i="8"/>
  <c r="N104" i="8"/>
  <c r="O104" i="8"/>
  <c r="P104" i="8"/>
  <c r="Q104" i="8"/>
  <c r="R104" i="8"/>
  <c r="S104" i="8"/>
  <c r="X53" i="5" s="1"/>
  <c r="M100" i="8"/>
  <c r="N100" i="8"/>
  <c r="O100" i="8"/>
  <c r="P100" i="8"/>
  <c r="Q100" i="8"/>
  <c r="R100" i="8"/>
  <c r="S100" i="8"/>
  <c r="X52" i="5" s="1"/>
  <c r="M97" i="8"/>
  <c r="N97" i="8"/>
  <c r="O97" i="8"/>
  <c r="P97" i="8"/>
  <c r="Q97" i="8"/>
  <c r="R97" i="8"/>
  <c r="M95" i="8"/>
  <c r="N95" i="8"/>
  <c r="O95" i="8"/>
  <c r="P95" i="8"/>
  <c r="Q95" i="8"/>
  <c r="R95" i="8"/>
  <c r="S95" i="8"/>
  <c r="X50" i="5" s="1"/>
  <c r="M93" i="8"/>
  <c r="N93" i="8"/>
  <c r="O93" i="8"/>
  <c r="P93" i="8"/>
  <c r="Q93" i="8"/>
  <c r="R93" i="8"/>
  <c r="S93" i="8"/>
  <c r="X49" i="5" s="1"/>
  <c r="M91" i="8"/>
  <c r="N91" i="8"/>
  <c r="O91" i="8"/>
  <c r="P91" i="8"/>
  <c r="Q91" i="8"/>
  <c r="R91" i="8"/>
  <c r="S91" i="8"/>
  <c r="X48" i="5" s="1"/>
  <c r="M87" i="8"/>
  <c r="N87" i="8"/>
  <c r="O87" i="8"/>
  <c r="P87" i="8"/>
  <c r="Q87" i="8"/>
  <c r="R87" i="8"/>
  <c r="S87" i="8"/>
  <c r="X46" i="5" s="1"/>
  <c r="M82" i="8"/>
  <c r="N82" i="8"/>
  <c r="O82" i="8"/>
  <c r="P82" i="8"/>
  <c r="Q82" i="8"/>
  <c r="R82" i="8"/>
  <c r="M79" i="8"/>
  <c r="N79" i="8"/>
  <c r="O79" i="8"/>
  <c r="P79" i="8"/>
  <c r="Q79" i="8"/>
  <c r="R79" i="8"/>
  <c r="S79" i="8"/>
  <c r="X44" i="5" s="1"/>
  <c r="M76" i="8"/>
  <c r="N76" i="8"/>
  <c r="O76" i="8"/>
  <c r="P76" i="8"/>
  <c r="Q76" i="8"/>
  <c r="R76" i="8"/>
  <c r="S76" i="8"/>
  <c r="M55" i="8"/>
  <c r="N55" i="8"/>
  <c r="O55" i="8"/>
  <c r="P55" i="8"/>
  <c r="Q55" i="8"/>
  <c r="R55" i="8"/>
  <c r="M50" i="8"/>
  <c r="N50" i="8"/>
  <c r="O50" i="8"/>
  <c r="P50" i="8"/>
  <c r="Q50" i="8"/>
  <c r="R50" i="8"/>
  <c r="S50" i="8"/>
  <c r="X14" i="5" s="1"/>
  <c r="M47" i="8"/>
  <c r="N47" i="8"/>
  <c r="O47" i="8"/>
  <c r="P47" i="8"/>
  <c r="Q47" i="8"/>
  <c r="R47" i="8"/>
  <c r="S47" i="8"/>
  <c r="X13" i="5" s="1"/>
  <c r="M43" i="8"/>
  <c r="N43" i="8"/>
  <c r="O43" i="8"/>
  <c r="P43" i="8"/>
  <c r="Q43" i="8"/>
  <c r="R43" i="8"/>
  <c r="S43" i="8"/>
  <c r="X12" i="5" s="1"/>
  <c r="M40" i="8"/>
  <c r="M38" i="8" s="1"/>
  <c r="M31" i="8" s="1"/>
  <c r="N40" i="8"/>
  <c r="N38" i="8" s="1"/>
  <c r="N31" i="8" s="1"/>
  <c r="O40" i="8"/>
  <c r="O38" i="8" s="1"/>
  <c r="O31" i="8" s="1"/>
  <c r="P40" i="8"/>
  <c r="P38" i="8" s="1"/>
  <c r="P31" i="8" s="1"/>
  <c r="Q40" i="8"/>
  <c r="Q38" i="8" s="1"/>
  <c r="Q31" i="8" s="1"/>
  <c r="R40" i="8"/>
  <c r="R38" i="8" s="1"/>
  <c r="R31" i="8" s="1"/>
  <c r="S38" i="8"/>
  <c r="S31" i="8" s="1"/>
  <c r="X11" i="5" s="1"/>
  <c r="M13" i="8"/>
  <c r="N13" i="8"/>
  <c r="O13" i="8"/>
  <c r="P13" i="8"/>
  <c r="Q13" i="8"/>
  <c r="R13" i="8"/>
  <c r="M11" i="8"/>
  <c r="N11" i="8"/>
  <c r="O11" i="8"/>
  <c r="P11" i="8"/>
  <c r="Q11" i="8"/>
  <c r="R11" i="8"/>
  <c r="S11" i="8"/>
  <c r="AD15" i="7" s="1"/>
  <c r="X10" i="5"/>
  <c r="M27" i="8"/>
  <c r="N27" i="8"/>
  <c r="O27" i="8"/>
  <c r="P27" i="8"/>
  <c r="Q27" i="8"/>
  <c r="R27" i="8"/>
  <c r="S27" i="8"/>
  <c r="X9" i="5" s="1"/>
  <c r="M23" i="8"/>
  <c r="N23" i="8"/>
  <c r="O23" i="8"/>
  <c r="P23" i="8"/>
  <c r="Q23" i="8"/>
  <c r="R23" i="8"/>
  <c r="S23" i="8"/>
  <c r="X8" i="5" s="1"/>
  <c r="M21" i="8"/>
  <c r="N21" i="8"/>
  <c r="O21" i="8"/>
  <c r="P21" i="8"/>
  <c r="Q21" i="8"/>
  <c r="R21" i="8"/>
  <c r="S21" i="8"/>
  <c r="X7" i="5" s="1"/>
  <c r="AD43" i="7"/>
  <c r="AD42" i="7"/>
  <c r="AC41" i="7"/>
  <c r="AB41" i="7"/>
  <c r="AA41" i="7"/>
  <c r="AC39" i="7"/>
  <c r="AA39" i="7"/>
  <c r="AD36" i="7"/>
  <c r="AD35" i="7"/>
  <c r="AD34" i="7"/>
  <c r="AB32" i="7"/>
  <c r="AD28" i="7"/>
  <c r="AD27" i="7"/>
  <c r="AD26" i="7"/>
  <c r="AD25" i="7"/>
  <c r="AC24" i="7"/>
  <c r="AC23" i="7"/>
  <c r="AB23" i="7"/>
  <c r="AC22" i="7"/>
  <c r="AD20" i="7"/>
  <c r="AD19" i="7"/>
  <c r="AC17" i="7"/>
  <c r="AC12" i="7" s="1"/>
  <c r="AB17" i="7"/>
  <c r="AA17" i="7"/>
  <c r="AD14" i="7"/>
  <c r="AD13" i="7"/>
  <c r="AC11" i="7"/>
  <c r="AC9" i="7"/>
  <c r="AC8" i="7"/>
  <c r="AD6" i="7"/>
  <c r="AD5" i="7"/>
  <c r="M17" i="6"/>
  <c r="N17" i="6"/>
  <c r="L17" i="6"/>
  <c r="H17" i="6"/>
  <c r="I17" i="6"/>
  <c r="J17" i="6"/>
  <c r="G22" i="6"/>
  <c r="E17" i="6"/>
  <c r="F17" i="6"/>
  <c r="D17" i="6"/>
  <c r="X35" i="18" l="1"/>
  <c r="Z30" i="14"/>
  <c r="AA33" i="12"/>
  <c r="AA37" i="12" s="1"/>
  <c r="AB8" i="12"/>
  <c r="AA8" i="14"/>
  <c r="X30" i="20"/>
  <c r="X34" i="20" s="1"/>
  <c r="X32" i="20" s="1"/>
  <c r="X31" i="20" s="1"/>
  <c r="X35" i="20" s="1"/>
  <c r="AA46" i="16"/>
  <c r="AB31" i="7"/>
  <c r="Y30" i="17"/>
  <c r="Y34" i="17"/>
  <c r="Y32" i="17" s="1"/>
  <c r="Y31" i="17" s="1"/>
  <c r="Y35" i="17" s="1"/>
  <c r="AA42" i="14"/>
  <c r="AB8" i="19"/>
  <c r="AA46" i="18"/>
  <c r="AA22" i="20"/>
  <c r="Y30" i="20"/>
  <c r="Y34" i="20" s="1"/>
  <c r="Y32" i="20" s="1"/>
  <c r="AA8" i="18"/>
  <c r="Z30" i="20"/>
  <c r="Z34" i="20" s="1"/>
  <c r="Z32" i="20" s="1"/>
  <c r="Z31" i="20" s="1"/>
  <c r="Z35" i="20" s="1"/>
  <c r="Z30" i="18"/>
  <c r="Z34" i="18" s="1"/>
  <c r="Z32" i="18" s="1"/>
  <c r="Z31" i="18" s="1"/>
  <c r="Z35" i="18" s="1"/>
  <c r="Z30" i="19"/>
  <c r="Z34" i="19"/>
  <c r="Z32" i="19" s="1"/>
  <c r="Z31" i="19" s="1"/>
  <c r="Z35" i="19" s="1"/>
  <c r="Y30" i="16"/>
  <c r="Y34" i="16" s="1"/>
  <c r="Y32" i="16" s="1"/>
  <c r="Y33" i="12"/>
  <c r="AC32" i="7"/>
  <c r="X4" i="13"/>
  <c r="AA8" i="20"/>
  <c r="AA34" i="19"/>
  <c r="AA32" i="19" s="1"/>
  <c r="AA31" i="19" s="1"/>
  <c r="AA35" i="19" s="1"/>
  <c r="Z34" i="17"/>
  <c r="Z32" i="17" s="1"/>
  <c r="Z31" i="17" s="1"/>
  <c r="Z35" i="17" s="1"/>
  <c r="O7" i="8"/>
  <c r="R7" i="8"/>
  <c r="N7" i="8"/>
  <c r="N6" i="8" s="1"/>
  <c r="Z30" i="17"/>
  <c r="Z33" i="12"/>
  <c r="Z37" i="12" s="1"/>
  <c r="Y55" i="3" s="1"/>
  <c r="Z34" i="14"/>
  <c r="Z32" i="14" s="1"/>
  <c r="Z31" i="14" s="1"/>
  <c r="Z35" i="14" s="1"/>
  <c r="Y34" i="18"/>
  <c r="Y30" i="14"/>
  <c r="P7" i="8"/>
  <c r="AB25" i="12"/>
  <c r="AC31" i="7"/>
  <c r="AA22" i="16"/>
  <c r="AD40" i="7"/>
  <c r="Z55" i="3"/>
  <c r="Z47" i="3" s="1"/>
  <c r="Z46" i="3" s="1"/>
  <c r="AA35" i="12"/>
  <c r="AA34" i="12" s="1"/>
  <c r="AA38" i="12" s="1"/>
  <c r="Z30" i="3"/>
  <c r="AA22" i="18"/>
  <c r="Y46" i="14"/>
  <c r="Q75" i="8"/>
  <c r="M75" i="8"/>
  <c r="Y34" i="19"/>
  <c r="Z30" i="16"/>
  <c r="U11" i="28"/>
  <c r="AA8" i="17"/>
  <c r="X34" i="17"/>
  <c r="X32" i="17" s="1"/>
  <c r="X31" i="17" s="1"/>
  <c r="X35" i="17" s="1"/>
  <c r="N75" i="8"/>
  <c r="AB5" i="4"/>
  <c r="N4" i="2" s="1"/>
  <c r="AB7" i="4"/>
  <c r="N6" i="2" s="1"/>
  <c r="X43" i="5"/>
  <c r="AA11" i="7"/>
  <c r="Y8" i="4" s="1"/>
  <c r="AB8" i="4" s="1"/>
  <c r="N7" i="2" s="1"/>
  <c r="X15" i="5"/>
  <c r="AD33" i="7"/>
  <c r="Y27" i="4"/>
  <c r="Y17" i="4"/>
  <c r="AA42" i="17"/>
  <c r="Y46" i="17"/>
  <c r="AA46" i="17" s="1"/>
  <c r="AB49" i="12"/>
  <c r="AA4" i="4"/>
  <c r="AA15" i="4"/>
  <c r="AB6" i="4"/>
  <c r="N5" i="2" s="1"/>
  <c r="Y30" i="19"/>
  <c r="AB22" i="19"/>
  <c r="X30" i="17"/>
  <c r="AA22" i="17"/>
  <c r="X30" i="16"/>
  <c r="X34" i="16" s="1"/>
  <c r="AA8" i="16"/>
  <c r="X46" i="14"/>
  <c r="AA36" i="14"/>
  <c r="X30" i="14"/>
  <c r="AA22" i="14"/>
  <c r="P75" i="8"/>
  <c r="O17" i="6"/>
  <c r="AD17" i="7"/>
  <c r="AD41" i="7"/>
  <c r="Q7" i="8"/>
  <c r="Q6" i="8" s="1"/>
  <c r="M7" i="8"/>
  <c r="M6" i="8" s="1"/>
  <c r="S7" i="8"/>
  <c r="X6" i="5" s="1"/>
  <c r="AB12" i="7"/>
  <c r="S111" i="8"/>
  <c r="X56" i="5" s="1"/>
  <c r="AD29" i="7"/>
  <c r="AB24" i="7"/>
  <c r="Z18" i="4" s="1"/>
  <c r="Z15" i="4" s="1"/>
  <c r="AD23" i="7"/>
  <c r="AD16" i="7"/>
  <c r="AC21" i="7"/>
  <c r="AD22" i="7"/>
  <c r="AD8" i="7"/>
  <c r="AC7" i="7"/>
  <c r="AD10" i="7"/>
  <c r="AA12" i="7"/>
  <c r="AD9" i="7"/>
  <c r="AA24" i="7"/>
  <c r="Y18" i="4" s="1"/>
  <c r="AD39" i="7"/>
  <c r="P6" i="8"/>
  <c r="S58" i="6"/>
  <c r="S42" i="6"/>
  <c r="S41" i="6"/>
  <c r="S36" i="6"/>
  <c r="S30" i="6"/>
  <c r="S29" i="6"/>
  <c r="S28" i="6"/>
  <c r="S56" i="6"/>
  <c r="S55" i="6"/>
  <c r="S54" i="6"/>
  <c r="S53" i="6"/>
  <c r="S51" i="6"/>
  <c r="S50" i="6"/>
  <c r="S47" i="6"/>
  <c r="S49" i="6"/>
  <c r="S52" i="6"/>
  <c r="S46" i="6"/>
  <c r="S44" i="6"/>
  <c r="Q45" i="6"/>
  <c r="Y19" i="3" s="1"/>
  <c r="Y17" i="3" s="1"/>
  <c r="P45" i="6"/>
  <c r="X19" i="3" s="1"/>
  <c r="P48" i="6"/>
  <c r="X21" i="3" s="1"/>
  <c r="AA21" i="3" s="1"/>
  <c r="P27" i="6"/>
  <c r="P31" i="6"/>
  <c r="P34" i="6"/>
  <c r="P38" i="6"/>
  <c r="S25" i="6"/>
  <c r="S24" i="6"/>
  <c r="S23" i="6"/>
  <c r="S22" i="6"/>
  <c r="S21" i="6"/>
  <c r="S20" i="6"/>
  <c r="S19" i="6"/>
  <c r="S15" i="6"/>
  <c r="S18" i="6"/>
  <c r="S13" i="6"/>
  <c r="S11" i="6"/>
  <c r="S10" i="6"/>
  <c r="S9" i="6"/>
  <c r="S8" i="6"/>
  <c r="R17" i="6"/>
  <c r="Q17" i="6"/>
  <c r="P17" i="6"/>
  <c r="X9" i="3" s="1"/>
  <c r="AA9" i="3" s="1"/>
  <c r="P7" i="6"/>
  <c r="X6" i="3" s="1"/>
  <c r="S107" i="6"/>
  <c r="S108" i="6"/>
  <c r="S96" i="6"/>
  <c r="S97" i="6"/>
  <c r="S98" i="6"/>
  <c r="S99" i="6"/>
  <c r="S100" i="6"/>
  <c r="S102" i="6"/>
  <c r="S103" i="6"/>
  <c r="S104" i="6"/>
  <c r="S105" i="6"/>
  <c r="S80" i="6"/>
  <c r="S82" i="6"/>
  <c r="S83" i="6"/>
  <c r="S84" i="6"/>
  <c r="S86" i="6"/>
  <c r="S87" i="6"/>
  <c r="S88" i="6"/>
  <c r="S89" i="6"/>
  <c r="S90" i="6"/>
  <c r="S91" i="6"/>
  <c r="S79" i="6"/>
  <c r="S73" i="6"/>
  <c r="S74" i="6"/>
  <c r="S75" i="6"/>
  <c r="S76" i="6"/>
  <c r="S77" i="6"/>
  <c r="S71" i="6"/>
  <c r="S64" i="6"/>
  <c r="S66" i="6"/>
  <c r="S67" i="6"/>
  <c r="S68" i="6"/>
  <c r="S69" i="6"/>
  <c r="S63" i="6"/>
  <c r="S35" i="6"/>
  <c r="S37" i="6"/>
  <c r="S39" i="6"/>
  <c r="S40" i="6"/>
  <c r="Q81" i="6"/>
  <c r="P70" i="6"/>
  <c r="P65" i="6"/>
  <c r="X34" i="3" s="1"/>
  <c r="R106" i="6"/>
  <c r="Q106" i="6"/>
  <c r="P106" i="6"/>
  <c r="R101" i="6"/>
  <c r="Q101" i="6"/>
  <c r="R95" i="6"/>
  <c r="Q95" i="6"/>
  <c r="P95" i="6"/>
  <c r="P94" i="6" s="1"/>
  <c r="R85" i="6"/>
  <c r="Q85" i="6"/>
  <c r="P85" i="6"/>
  <c r="R81" i="6"/>
  <c r="P81" i="6"/>
  <c r="R72" i="6"/>
  <c r="R70" i="6" s="1"/>
  <c r="Q72" i="6"/>
  <c r="Q70" i="6" s="1"/>
  <c r="R62" i="6"/>
  <c r="Q62" i="6"/>
  <c r="Q59" i="6"/>
  <c r="Q57" i="6" s="1"/>
  <c r="R57" i="6"/>
  <c r="R48" i="6"/>
  <c r="Q48" i="6"/>
  <c r="R45" i="6"/>
  <c r="R38" i="6"/>
  <c r="Q38" i="6"/>
  <c r="R34" i="6"/>
  <c r="Q34" i="6"/>
  <c r="R31" i="6"/>
  <c r="Q31" i="6"/>
  <c r="Y12" i="3" s="1"/>
  <c r="R27" i="6"/>
  <c r="Q27" i="6"/>
  <c r="R7" i="6"/>
  <c r="Q7" i="6"/>
  <c r="N21" i="2"/>
  <c r="F21" i="2"/>
  <c r="F18" i="2"/>
  <c r="L6" i="28"/>
  <c r="H6" i="28"/>
  <c r="I6" i="28"/>
  <c r="J6" i="28"/>
  <c r="K6" i="28"/>
  <c r="G6" i="28"/>
  <c r="N10" i="27"/>
  <c r="R6" i="6" l="1"/>
  <c r="AB30" i="19"/>
  <c r="Y34" i="14"/>
  <c r="Y32" i="14" s="1"/>
  <c r="Z35" i="12"/>
  <c r="Z34" i="12" s="1"/>
  <c r="Z38" i="12" s="1"/>
  <c r="Q6" i="6"/>
  <c r="Q94" i="6"/>
  <c r="M5" i="8"/>
  <c r="AB34" i="19"/>
  <c r="AB33" i="12"/>
  <c r="R26" i="6"/>
  <c r="Y37" i="12"/>
  <c r="AB37" i="12" s="1"/>
  <c r="AA30" i="18"/>
  <c r="AA46" i="14"/>
  <c r="AA30" i="20"/>
  <c r="AA34" i="20" s="1"/>
  <c r="AA34" i="18"/>
  <c r="AA34" i="17"/>
  <c r="AA32" i="17" s="1"/>
  <c r="AA31" i="17" s="1"/>
  <c r="AA35" i="17" s="1"/>
  <c r="AD11" i="7"/>
  <c r="AA30" i="17"/>
  <c r="R43" i="6"/>
  <c r="R5" i="6" s="1"/>
  <c r="Q5" i="8"/>
  <c r="Y32" i="18"/>
  <c r="Y31" i="18" s="1"/>
  <c r="Y35" i="18" s="1"/>
  <c r="P78" i="6"/>
  <c r="R94" i="6"/>
  <c r="R93" i="6" s="1"/>
  <c r="X5" i="5"/>
  <c r="N5" i="8"/>
  <c r="S75" i="8"/>
  <c r="Q93" i="6"/>
  <c r="AC30" i="7"/>
  <c r="AC44" i="7" s="1"/>
  <c r="AC48" i="7" s="1"/>
  <c r="S31" i="6"/>
  <c r="X32" i="16"/>
  <c r="X31" i="16" s="1"/>
  <c r="X35" i="16" s="1"/>
  <c r="Z34" i="16"/>
  <c r="Z32" i="16" s="1"/>
  <c r="Z31" i="16" s="1"/>
  <c r="Z35" i="16" s="1"/>
  <c r="Y32" i="19"/>
  <c r="Q78" i="6"/>
  <c r="Y43" i="3" s="1"/>
  <c r="AA43" i="3" s="1"/>
  <c r="X17" i="3"/>
  <c r="AA17" i="3" s="1"/>
  <c r="F6" i="2" s="1"/>
  <c r="AA30" i="14"/>
  <c r="X34" i="14"/>
  <c r="X5" i="3"/>
  <c r="P5" i="8"/>
  <c r="AB18" i="4"/>
  <c r="N13" i="2" s="1"/>
  <c r="X42" i="5"/>
  <c r="AB21" i="7"/>
  <c r="Y15" i="4"/>
  <c r="AB15" i="4" s="1"/>
  <c r="S6" i="8"/>
  <c r="AA19" i="3"/>
  <c r="S34" i="6"/>
  <c r="X13" i="3"/>
  <c r="S38" i="6"/>
  <c r="X14" i="3"/>
  <c r="AA14" i="3" s="1"/>
  <c r="X12" i="3"/>
  <c r="S27" i="6"/>
  <c r="X11" i="3"/>
  <c r="AA6" i="3"/>
  <c r="S65" i="6"/>
  <c r="AA7" i="7"/>
  <c r="Y9" i="4"/>
  <c r="AB17" i="4"/>
  <c r="N12" i="2" s="1"/>
  <c r="AB7" i="7"/>
  <c r="Z9" i="4"/>
  <c r="Z4" i="4" s="1"/>
  <c r="Z24" i="4" s="1"/>
  <c r="Z35" i="4" s="1"/>
  <c r="AB27" i="4"/>
  <c r="Y26" i="4"/>
  <c r="F17" i="2"/>
  <c r="AB16" i="4"/>
  <c r="N11" i="2" s="1"/>
  <c r="AA24" i="4"/>
  <c r="AA35" i="4" s="1"/>
  <c r="Y31" i="20"/>
  <c r="Y35" i="20" s="1"/>
  <c r="AA32" i="20"/>
  <c r="Y31" i="16"/>
  <c r="AA30" i="16"/>
  <c r="Y31" i="14"/>
  <c r="Y47" i="3"/>
  <c r="S17" i="6"/>
  <c r="AD24" i="7"/>
  <c r="AA21" i="7"/>
  <c r="AD12" i="7"/>
  <c r="S45" i="6"/>
  <c r="P57" i="6"/>
  <c r="S57" i="6" s="1"/>
  <c r="S7" i="6"/>
  <c r="S48" i="6"/>
  <c r="Q43" i="6"/>
  <c r="P26" i="6"/>
  <c r="P43" i="6"/>
  <c r="P6" i="6"/>
  <c r="S6" i="6" s="1"/>
  <c r="Q26" i="6"/>
  <c r="Q5" i="6" s="1"/>
  <c r="S81" i="6"/>
  <c r="S85" i="6"/>
  <c r="R78" i="6"/>
  <c r="R61" i="6" s="1"/>
  <c r="S106" i="6"/>
  <c r="P62" i="6"/>
  <c r="S62" i="6" s="1"/>
  <c r="S101" i="6"/>
  <c r="P93" i="6"/>
  <c r="S70" i="6"/>
  <c r="S72" i="6"/>
  <c r="S95" i="6"/>
  <c r="K3" i="28"/>
  <c r="K11" i="28"/>
  <c r="L25" i="3"/>
  <c r="N5" i="5"/>
  <c r="L65" i="6"/>
  <c r="L34" i="3" s="1"/>
  <c r="K55" i="6"/>
  <c r="K56" i="6"/>
  <c r="L33" i="7"/>
  <c r="L23" i="7"/>
  <c r="L22" i="7"/>
  <c r="M29" i="7"/>
  <c r="L29" i="7"/>
  <c r="K13" i="7"/>
  <c r="M16" i="7"/>
  <c r="M10" i="7"/>
  <c r="L9" i="7"/>
  <c r="L8" i="7"/>
  <c r="L116" i="8"/>
  <c r="L111" i="8"/>
  <c r="L108" i="8"/>
  <c r="L100" i="8"/>
  <c r="L97" i="8"/>
  <c r="L82" i="8"/>
  <c r="L50" i="8"/>
  <c r="L47" i="8"/>
  <c r="L40" i="8"/>
  <c r="L13" i="8"/>
  <c r="L16" i="7" s="1"/>
  <c r="I13" i="8"/>
  <c r="O37" i="12"/>
  <c r="L20" i="15"/>
  <c r="L23" i="15"/>
  <c r="Y35" i="12" l="1"/>
  <c r="Y34" i="12" s="1"/>
  <c r="S94" i="6"/>
  <c r="R109" i="6"/>
  <c r="X55" i="3"/>
  <c r="X47" i="3" s="1"/>
  <c r="X46" i="3" s="1"/>
  <c r="AA32" i="18"/>
  <c r="X4" i="5"/>
  <c r="Q61" i="6"/>
  <c r="Q92" i="6" s="1"/>
  <c r="Y40" i="3"/>
  <c r="AA40" i="3" s="1"/>
  <c r="F13" i="2" s="1"/>
  <c r="S26" i="6"/>
  <c r="S43" i="6"/>
  <c r="S93" i="6"/>
  <c r="AA32" i="16"/>
  <c r="N10" i="2"/>
  <c r="AA34" i="16"/>
  <c r="P61" i="6"/>
  <c r="Y31" i="19"/>
  <c r="AB32" i="19"/>
  <c r="X32" i="14"/>
  <c r="AA34" i="14"/>
  <c r="AB30" i="7"/>
  <c r="AB44" i="7" s="1"/>
  <c r="AB48" i="7" s="1"/>
  <c r="AB35" i="12"/>
  <c r="AD21" i="7"/>
  <c r="AD7" i="7"/>
  <c r="P5" i="6"/>
  <c r="S5" i="6" s="1"/>
  <c r="X10" i="3"/>
  <c r="X4" i="3" s="1"/>
  <c r="AA5" i="3"/>
  <c r="F4" i="2" s="1"/>
  <c r="X31" i="3"/>
  <c r="AA34" i="3"/>
  <c r="AB26" i="4"/>
  <c r="Y25" i="4"/>
  <c r="AB25" i="4" s="1"/>
  <c r="AB9" i="4"/>
  <c r="N8" i="2" s="1"/>
  <c r="N3" i="2" s="1"/>
  <c r="Y4" i="4"/>
  <c r="AA31" i="20"/>
  <c r="AA35" i="20" s="1"/>
  <c r="AA31" i="18"/>
  <c r="AA35" i="18" s="1"/>
  <c r="AA31" i="16"/>
  <c r="AA35" i="16" s="1"/>
  <c r="Y35" i="16"/>
  <c r="Y35" i="14"/>
  <c r="Y46" i="3"/>
  <c r="AA30" i="7"/>
  <c r="S61" i="6"/>
  <c r="R92" i="6"/>
  <c r="S78" i="6"/>
  <c r="Q109" i="6"/>
  <c r="N22" i="7"/>
  <c r="N23" i="7"/>
  <c r="AA55" i="3" l="1"/>
  <c r="AA47" i="3"/>
  <c r="N19" i="2"/>
  <c r="N18" i="2" s="1"/>
  <c r="N17" i="2" s="1"/>
  <c r="Y30" i="3"/>
  <c r="S202" i="8"/>
  <c r="S201" i="8" s="1"/>
  <c r="S5" i="8" s="1"/>
  <c r="AD30" i="7"/>
  <c r="Y35" i="19"/>
  <c r="AB31" i="19"/>
  <c r="AB35" i="19" s="1"/>
  <c r="X31" i="14"/>
  <c r="AA32" i="14"/>
  <c r="P92" i="6"/>
  <c r="P109" i="6"/>
  <c r="S109" i="6" s="1"/>
  <c r="Y38" i="12"/>
  <c r="AB38" i="12" s="1"/>
  <c r="AB34" i="12"/>
  <c r="AA31" i="3"/>
  <c r="F11" i="2" s="1"/>
  <c r="F10" i="2" s="1"/>
  <c r="X30" i="3"/>
  <c r="N15" i="2"/>
  <c r="Y24" i="4"/>
  <c r="AB4" i="4"/>
  <c r="AA46" i="3"/>
  <c r="N24" i="3"/>
  <c r="N22" i="3"/>
  <c r="N23" i="3"/>
  <c r="N18" i="3"/>
  <c r="N25" i="3"/>
  <c r="M43" i="14"/>
  <c r="L44" i="14"/>
  <c r="L41" i="14"/>
  <c r="N11" i="7"/>
  <c r="N10" i="7"/>
  <c r="N9" i="7"/>
  <c r="N8" i="7"/>
  <c r="L10" i="7"/>
  <c r="M8" i="7"/>
  <c r="N24" i="2" l="1"/>
  <c r="AA38" i="7"/>
  <c r="AD38" i="7" s="1"/>
  <c r="X35" i="14"/>
  <c r="AA35" i="14" s="1"/>
  <c r="AA31" i="14"/>
  <c r="N14" i="2"/>
  <c r="F14" i="2"/>
  <c r="AA30" i="3"/>
  <c r="X60" i="3"/>
  <c r="X45" i="3"/>
  <c r="Y35" i="4"/>
  <c r="AB35" i="4" s="1"/>
  <c r="AB24" i="4"/>
  <c r="L11" i="7"/>
  <c r="AA32" i="7" l="1"/>
  <c r="AD32" i="7" s="1"/>
  <c r="L29" i="3"/>
  <c r="L24" i="3"/>
  <c r="L26" i="3"/>
  <c r="N26" i="3"/>
  <c r="M26" i="3"/>
  <c r="M25" i="3"/>
  <c r="M24" i="3"/>
  <c r="M23" i="3"/>
  <c r="M22" i="3"/>
  <c r="M18" i="3"/>
  <c r="L18" i="3"/>
  <c r="N8" i="4"/>
  <c r="AA31" i="7" l="1"/>
  <c r="AD31" i="7" s="1"/>
  <c r="H41" i="17"/>
  <c r="K41" i="17" s="1"/>
  <c r="K40" i="17"/>
  <c r="M37" i="16"/>
  <c r="M38" i="16"/>
  <c r="M39" i="16"/>
  <c r="C76" i="15"/>
  <c r="O76" i="15"/>
  <c r="R76" i="15"/>
  <c r="C81" i="15"/>
  <c r="O81" i="15"/>
  <c r="R81" i="15"/>
  <c r="M39" i="14"/>
  <c r="M38" i="14"/>
  <c r="M37" i="14"/>
  <c r="N5" i="4"/>
  <c r="N7" i="4"/>
  <c r="N6" i="4"/>
  <c r="O41" i="12"/>
  <c r="O16" i="12"/>
  <c r="O17" i="12"/>
  <c r="O18" i="12"/>
  <c r="O19" i="12"/>
  <c r="O20" i="12"/>
  <c r="O21" i="12"/>
  <c r="O22" i="12"/>
  <c r="O15" i="12"/>
  <c r="K76" i="8"/>
  <c r="K75" i="8" s="1"/>
  <c r="K31" i="8"/>
  <c r="M11" i="5" s="1"/>
  <c r="K11" i="8"/>
  <c r="L38" i="8"/>
  <c r="O30" i="5" s="1"/>
  <c r="L39" i="7"/>
  <c r="H39" i="7"/>
  <c r="D39" i="7"/>
  <c r="O83" i="6"/>
  <c r="O82" i="6"/>
  <c r="O66" i="6"/>
  <c r="O67" i="6"/>
  <c r="O68" i="6"/>
  <c r="O69" i="6"/>
  <c r="O65" i="6"/>
  <c r="O53" i="6"/>
  <c r="O54" i="6"/>
  <c r="O50" i="6"/>
  <c r="O51" i="6"/>
  <c r="O49" i="6"/>
  <c r="O47" i="6"/>
  <c r="O46" i="6"/>
  <c r="O40" i="6"/>
  <c r="O41" i="6"/>
  <c r="O42" i="6"/>
  <c r="O39" i="6"/>
  <c r="O36" i="6"/>
  <c r="O37" i="6"/>
  <c r="O35" i="6"/>
  <c r="O33" i="6"/>
  <c r="O32" i="6"/>
  <c r="O29" i="6"/>
  <c r="O30" i="6"/>
  <c r="O28" i="6"/>
  <c r="O24" i="6"/>
  <c r="O25" i="6"/>
  <c r="O8" i="6"/>
  <c r="O9" i="6"/>
  <c r="O10" i="6"/>
  <c r="O11" i="6"/>
  <c r="O12" i="6"/>
  <c r="O13" i="6"/>
  <c r="O14" i="6"/>
  <c r="O64" i="5"/>
  <c r="O41" i="5"/>
  <c r="O40" i="5"/>
  <c r="O38" i="5"/>
  <c r="O36" i="5"/>
  <c r="O35" i="5"/>
  <c r="O34" i="5"/>
  <c r="O32" i="5"/>
  <c r="O31" i="5"/>
  <c r="O29" i="5"/>
  <c r="O28" i="5"/>
  <c r="O27" i="5"/>
  <c r="O26" i="5"/>
  <c r="O25" i="5"/>
  <c r="O24" i="5"/>
  <c r="O22" i="5"/>
  <c r="O20" i="5"/>
  <c r="O18" i="5"/>
  <c r="O17" i="5"/>
  <c r="O16" i="5"/>
  <c r="M15" i="5"/>
  <c r="M14" i="5"/>
  <c r="M13" i="5"/>
  <c r="M12" i="5"/>
  <c r="M10" i="5"/>
  <c r="M9" i="5"/>
  <c r="M8" i="5"/>
  <c r="M7" i="5"/>
  <c r="M6" i="5"/>
  <c r="M64" i="5"/>
  <c r="M59" i="5"/>
  <c r="M58" i="5"/>
  <c r="M57" i="5"/>
  <c r="M56" i="5"/>
  <c r="M55" i="5"/>
  <c r="M54" i="5"/>
  <c r="M53" i="5"/>
  <c r="M52" i="5"/>
  <c r="M51" i="5"/>
  <c r="M50" i="5"/>
  <c r="M49" i="5"/>
  <c r="M48" i="5"/>
  <c r="M46" i="5"/>
  <c r="M45" i="5"/>
  <c r="M44" i="5"/>
  <c r="L59" i="5"/>
  <c r="L58" i="5"/>
  <c r="L57" i="5"/>
  <c r="L56" i="5"/>
  <c r="L55" i="5"/>
  <c r="L54" i="5"/>
  <c r="L53" i="5"/>
  <c r="L52" i="5"/>
  <c r="L51" i="5"/>
  <c r="L50" i="5"/>
  <c r="L49" i="5"/>
  <c r="L48" i="5"/>
  <c r="L46" i="5"/>
  <c r="L45" i="5"/>
  <c r="L44" i="5"/>
  <c r="L15" i="5"/>
  <c r="L14" i="5"/>
  <c r="L13" i="5"/>
  <c r="L10" i="5"/>
  <c r="L9" i="5"/>
  <c r="L8" i="5"/>
  <c r="L7" i="5"/>
  <c r="L6" i="5"/>
  <c r="N42" i="5"/>
  <c r="L34" i="4"/>
  <c r="L33" i="4"/>
  <c r="L31" i="4"/>
  <c r="L28" i="4"/>
  <c r="L27" i="4"/>
  <c r="L17" i="7"/>
  <c r="L8" i="4"/>
  <c r="M7" i="2" s="1"/>
  <c r="L24" i="7"/>
  <c r="L18" i="4" s="1"/>
  <c r="P9" i="7"/>
  <c r="P8" i="7"/>
  <c r="O29" i="3"/>
  <c r="O26" i="3"/>
  <c r="O25" i="3"/>
  <c r="O24" i="3"/>
  <c r="O18" i="3"/>
  <c r="N42" i="3"/>
  <c r="M42" i="3"/>
  <c r="L42" i="3"/>
  <c r="N41" i="3"/>
  <c r="M41" i="3"/>
  <c r="L41" i="3"/>
  <c r="O34" i="3"/>
  <c r="N33" i="3"/>
  <c r="M33" i="3"/>
  <c r="L33" i="3"/>
  <c r="N32" i="3"/>
  <c r="M32" i="3"/>
  <c r="L32" i="3"/>
  <c r="N28" i="3"/>
  <c r="M28" i="3"/>
  <c r="L28" i="3"/>
  <c r="L23" i="3"/>
  <c r="L22" i="3"/>
  <c r="O22" i="3" s="1"/>
  <c r="N20" i="3"/>
  <c r="M20" i="3"/>
  <c r="L20" i="3"/>
  <c r="N16" i="3"/>
  <c r="N15" i="3"/>
  <c r="M16" i="3"/>
  <c r="M15" i="3"/>
  <c r="L16" i="3"/>
  <c r="L15" i="3"/>
  <c r="L8" i="3"/>
  <c r="O8" i="3" s="1"/>
  <c r="L7" i="3"/>
  <c r="O7" i="3" s="1"/>
  <c r="H3" i="28"/>
  <c r="I3" i="28"/>
  <c r="J3" i="28"/>
  <c r="M3" i="28"/>
  <c r="N3" i="28"/>
  <c r="O3" i="28"/>
  <c r="P3" i="28"/>
  <c r="Q3" i="28"/>
  <c r="R3" i="28"/>
  <c r="S3" i="28"/>
  <c r="T3" i="28"/>
  <c r="T29" i="28" s="1"/>
  <c r="W33" i="7"/>
  <c r="H29" i="3"/>
  <c r="J11" i="8"/>
  <c r="L11" i="8"/>
  <c r="T15" i="7"/>
  <c r="I11" i="8"/>
  <c r="H15" i="7" s="1"/>
  <c r="X45" i="6"/>
  <c r="AA69" i="6"/>
  <c r="X65" i="6"/>
  <c r="H65" i="6"/>
  <c r="H34" i="3" s="1"/>
  <c r="K34" i="3" s="1"/>
  <c r="K69" i="6"/>
  <c r="D37" i="3"/>
  <c r="G37" i="3" s="1"/>
  <c r="D34" i="3"/>
  <c r="G34" i="3" s="1"/>
  <c r="F28" i="3"/>
  <c r="E28" i="3"/>
  <c r="D28" i="3"/>
  <c r="D29" i="3"/>
  <c r="G29" i="3" s="1"/>
  <c r="E18" i="3"/>
  <c r="D26" i="3"/>
  <c r="D23" i="3"/>
  <c r="D20" i="3"/>
  <c r="D18" i="3"/>
  <c r="F16" i="3"/>
  <c r="E16" i="3"/>
  <c r="F15" i="3"/>
  <c r="E15" i="3"/>
  <c r="E14" i="3" s="1"/>
  <c r="D16" i="3"/>
  <c r="D15" i="3"/>
  <c r="D8" i="3"/>
  <c r="G8" i="3" s="1"/>
  <c r="D7" i="3"/>
  <c r="G7" i="3" s="1"/>
  <c r="H37" i="3"/>
  <c r="K37" i="3" s="1"/>
  <c r="J29" i="3"/>
  <c r="J28" i="3"/>
  <c r="I28" i="3"/>
  <c r="H28" i="3"/>
  <c r="I18" i="3"/>
  <c r="H26" i="3"/>
  <c r="H23" i="3"/>
  <c r="H20" i="3"/>
  <c r="H18" i="3"/>
  <c r="J16" i="3"/>
  <c r="I16" i="3"/>
  <c r="J15" i="3"/>
  <c r="I15" i="3"/>
  <c r="H16" i="3"/>
  <c r="H15" i="3"/>
  <c r="J13" i="4"/>
  <c r="K13" i="4" s="1"/>
  <c r="G64" i="5"/>
  <c r="K64" i="5"/>
  <c r="K63" i="5" s="1"/>
  <c r="H64" i="5"/>
  <c r="I64" i="5"/>
  <c r="J64" i="5"/>
  <c r="L64" i="5"/>
  <c r="P64" i="5"/>
  <c r="Q64" i="5"/>
  <c r="R64" i="5"/>
  <c r="S64" i="5"/>
  <c r="T64" i="5"/>
  <c r="U64" i="5"/>
  <c r="V64" i="5"/>
  <c r="I43" i="5"/>
  <c r="J43" i="5"/>
  <c r="I44" i="5"/>
  <c r="J44" i="5"/>
  <c r="P44" i="5"/>
  <c r="R44" i="5"/>
  <c r="S44" i="5"/>
  <c r="U44" i="5"/>
  <c r="V44" i="5"/>
  <c r="I45" i="5"/>
  <c r="J45" i="5"/>
  <c r="P45" i="5"/>
  <c r="R45" i="5"/>
  <c r="S45" i="5"/>
  <c r="U45" i="5"/>
  <c r="V45" i="5"/>
  <c r="I46" i="5"/>
  <c r="J46" i="5"/>
  <c r="P46" i="5"/>
  <c r="R46" i="5"/>
  <c r="S46" i="5"/>
  <c r="U46" i="5"/>
  <c r="V46" i="5"/>
  <c r="I48" i="5"/>
  <c r="J48" i="5"/>
  <c r="P48" i="5"/>
  <c r="R48" i="5"/>
  <c r="S48" i="5"/>
  <c r="U48" i="5"/>
  <c r="V48" i="5"/>
  <c r="I49" i="5"/>
  <c r="J49" i="5"/>
  <c r="P49" i="5"/>
  <c r="R49" i="5"/>
  <c r="S49" i="5"/>
  <c r="U49" i="5"/>
  <c r="V49" i="5"/>
  <c r="I50" i="5"/>
  <c r="J50" i="5"/>
  <c r="P50" i="5"/>
  <c r="R50" i="5"/>
  <c r="S50" i="5"/>
  <c r="U50" i="5"/>
  <c r="V50" i="5"/>
  <c r="I51" i="5"/>
  <c r="J51" i="5"/>
  <c r="P51" i="5"/>
  <c r="R51" i="5"/>
  <c r="S51" i="5"/>
  <c r="U51" i="5"/>
  <c r="V51" i="5"/>
  <c r="I52" i="5"/>
  <c r="J52" i="5"/>
  <c r="P52" i="5"/>
  <c r="R52" i="5"/>
  <c r="S52" i="5"/>
  <c r="U52" i="5"/>
  <c r="V52" i="5"/>
  <c r="I53" i="5"/>
  <c r="J53" i="5"/>
  <c r="P53" i="5"/>
  <c r="R53" i="5"/>
  <c r="S53" i="5"/>
  <c r="U53" i="5"/>
  <c r="V53" i="5"/>
  <c r="I54" i="5"/>
  <c r="J54" i="5"/>
  <c r="P54" i="5"/>
  <c r="R54" i="5"/>
  <c r="S54" i="5"/>
  <c r="U54" i="5"/>
  <c r="V54" i="5"/>
  <c r="I55" i="5"/>
  <c r="J55" i="5"/>
  <c r="P55" i="5"/>
  <c r="R55" i="5"/>
  <c r="S55" i="5"/>
  <c r="U55" i="5"/>
  <c r="V55" i="5"/>
  <c r="I56" i="5"/>
  <c r="J56" i="5"/>
  <c r="P56" i="5"/>
  <c r="R56" i="5"/>
  <c r="S56" i="5"/>
  <c r="U56" i="5"/>
  <c r="V56" i="5"/>
  <c r="I57" i="5"/>
  <c r="J57" i="5"/>
  <c r="P57" i="5"/>
  <c r="R57" i="5"/>
  <c r="S57" i="5"/>
  <c r="U57" i="5"/>
  <c r="V57" i="5"/>
  <c r="I58" i="5"/>
  <c r="J58" i="5"/>
  <c r="P58" i="5"/>
  <c r="R58" i="5"/>
  <c r="S58" i="5"/>
  <c r="U58" i="5"/>
  <c r="V58" i="5"/>
  <c r="I59" i="5"/>
  <c r="J59" i="5"/>
  <c r="P59" i="5"/>
  <c r="R59" i="5"/>
  <c r="S59" i="5"/>
  <c r="U59" i="5"/>
  <c r="V59" i="5"/>
  <c r="I7" i="5"/>
  <c r="J7" i="5"/>
  <c r="P7" i="5"/>
  <c r="R7" i="5"/>
  <c r="S7" i="5"/>
  <c r="U7" i="5"/>
  <c r="V7" i="5"/>
  <c r="I8" i="5"/>
  <c r="J8" i="5"/>
  <c r="P8" i="5"/>
  <c r="R8" i="5"/>
  <c r="S8" i="5"/>
  <c r="U8" i="5"/>
  <c r="V8" i="5"/>
  <c r="I9" i="5"/>
  <c r="J9" i="5"/>
  <c r="P9" i="5"/>
  <c r="R9" i="5"/>
  <c r="S9" i="5"/>
  <c r="U9" i="5"/>
  <c r="V9" i="5"/>
  <c r="I10" i="5"/>
  <c r="J10" i="5"/>
  <c r="P10" i="5"/>
  <c r="R10" i="5"/>
  <c r="S10" i="5"/>
  <c r="U10" i="5"/>
  <c r="V10" i="5"/>
  <c r="I11" i="5"/>
  <c r="J11" i="5"/>
  <c r="I12" i="5"/>
  <c r="J12" i="5"/>
  <c r="P12" i="5"/>
  <c r="R12" i="5"/>
  <c r="S12" i="5"/>
  <c r="U12" i="5"/>
  <c r="V12" i="5"/>
  <c r="I13" i="5"/>
  <c r="J13" i="5"/>
  <c r="P13" i="5"/>
  <c r="R13" i="5"/>
  <c r="S13" i="5"/>
  <c r="U13" i="5"/>
  <c r="V13" i="5"/>
  <c r="I14" i="5"/>
  <c r="J14" i="5"/>
  <c r="P14" i="5"/>
  <c r="R14" i="5"/>
  <c r="S14" i="5"/>
  <c r="U14" i="5"/>
  <c r="V14" i="5"/>
  <c r="I15" i="5"/>
  <c r="J15" i="5"/>
  <c r="P15" i="5"/>
  <c r="R15" i="5"/>
  <c r="S15" i="5"/>
  <c r="U15" i="5"/>
  <c r="V15" i="5"/>
  <c r="I6" i="5"/>
  <c r="J6" i="5"/>
  <c r="P6" i="5"/>
  <c r="R6" i="5"/>
  <c r="S6" i="5"/>
  <c r="U6" i="5"/>
  <c r="V6" i="5"/>
  <c r="AA67" i="6"/>
  <c r="AA68" i="6"/>
  <c r="AA66" i="6"/>
  <c r="K63" i="6"/>
  <c r="K64" i="6"/>
  <c r="K66" i="6"/>
  <c r="K67" i="6"/>
  <c r="K68" i="6"/>
  <c r="K71" i="6"/>
  <c r="K73" i="6"/>
  <c r="K74" i="6"/>
  <c r="K75" i="6"/>
  <c r="K76" i="6"/>
  <c r="K77" i="6"/>
  <c r="K79" i="6"/>
  <c r="K80" i="6"/>
  <c r="K82" i="6"/>
  <c r="K83" i="6"/>
  <c r="K84" i="6"/>
  <c r="K46" i="6"/>
  <c r="K47" i="6"/>
  <c r="K49" i="6"/>
  <c r="K50" i="6"/>
  <c r="K51" i="6"/>
  <c r="K52" i="6"/>
  <c r="K54" i="6"/>
  <c r="K39" i="6"/>
  <c r="K40" i="6"/>
  <c r="K41" i="6"/>
  <c r="K42" i="6"/>
  <c r="K32" i="6"/>
  <c r="K33" i="6"/>
  <c r="K35" i="6"/>
  <c r="K36" i="6"/>
  <c r="K37" i="6"/>
  <c r="K29" i="6"/>
  <c r="K30" i="6"/>
  <c r="K28" i="6"/>
  <c r="K21" i="6"/>
  <c r="K24" i="6"/>
  <c r="K25" i="6"/>
  <c r="K9" i="6"/>
  <c r="K10" i="6"/>
  <c r="K11" i="6"/>
  <c r="K12" i="6"/>
  <c r="K13" i="6"/>
  <c r="K14" i="6"/>
  <c r="K8" i="6"/>
  <c r="H8" i="3"/>
  <c r="K8" i="3" s="1"/>
  <c r="H7" i="3"/>
  <c r="K7" i="3" s="1"/>
  <c r="F14" i="3" l="1"/>
  <c r="K6" i="8"/>
  <c r="J14" i="3"/>
  <c r="AA44" i="7"/>
  <c r="AD44" i="7" s="1"/>
  <c r="AD48" i="7" s="1"/>
  <c r="I14" i="3"/>
  <c r="O15" i="3"/>
  <c r="O16" i="3"/>
  <c r="L32" i="4"/>
  <c r="M5" i="5"/>
  <c r="M14" i="3"/>
  <c r="N14" i="3"/>
  <c r="O20" i="3"/>
  <c r="L7" i="8"/>
  <c r="L15" i="7"/>
  <c r="L12" i="7" s="1"/>
  <c r="M43" i="5"/>
  <c r="L14" i="3"/>
  <c r="O28" i="3"/>
  <c r="M7" i="4"/>
  <c r="M5" i="4"/>
  <c r="I42" i="5"/>
  <c r="K5" i="8"/>
  <c r="O42" i="12"/>
  <c r="O23" i="3"/>
  <c r="K16" i="3"/>
  <c r="K15" i="3"/>
  <c r="H14" i="3"/>
  <c r="K65" i="6"/>
  <c r="J42" i="5"/>
  <c r="K28" i="3"/>
  <c r="G16" i="3"/>
  <c r="G28" i="3"/>
  <c r="D14" i="3"/>
  <c r="G14" i="3" s="1"/>
  <c r="G15" i="3"/>
  <c r="E29" i="7"/>
  <c r="I29" i="7"/>
  <c r="U29" i="7"/>
  <c r="D23" i="7"/>
  <c r="H23" i="7"/>
  <c r="D22" i="7"/>
  <c r="D16" i="4" s="1"/>
  <c r="H22" i="7"/>
  <c r="H16" i="4" s="1"/>
  <c r="E15" i="7"/>
  <c r="I15" i="7"/>
  <c r="D16" i="7"/>
  <c r="H16" i="7"/>
  <c r="D15" i="7"/>
  <c r="D11" i="7"/>
  <c r="D8" i="4" s="1"/>
  <c r="H11" i="7"/>
  <c r="H8" i="4" s="1"/>
  <c r="E10" i="7"/>
  <c r="I10" i="7"/>
  <c r="D10" i="7"/>
  <c r="H10" i="7"/>
  <c r="D9" i="7"/>
  <c r="H9" i="7"/>
  <c r="D8" i="7"/>
  <c r="H8" i="7"/>
  <c r="G7" i="8"/>
  <c r="H7" i="8"/>
  <c r="I7" i="8"/>
  <c r="G21" i="8"/>
  <c r="H21" i="8"/>
  <c r="I21" i="8"/>
  <c r="G23" i="8"/>
  <c r="H23" i="8"/>
  <c r="I23" i="8"/>
  <c r="G27" i="8"/>
  <c r="H27" i="8"/>
  <c r="I27" i="8"/>
  <c r="J31" i="8"/>
  <c r="L11" i="5" s="1"/>
  <c r="P11" i="5"/>
  <c r="L31" i="8"/>
  <c r="R11" i="5"/>
  <c r="S11" i="5"/>
  <c r="T11" i="5"/>
  <c r="U11" i="5"/>
  <c r="V11" i="5"/>
  <c r="G38" i="8"/>
  <c r="G31" i="8" s="1"/>
  <c r="H38" i="8"/>
  <c r="H31" i="8" s="1"/>
  <c r="I38" i="8"/>
  <c r="H29" i="7" s="1"/>
  <c r="J44" i="12"/>
  <c r="J43" i="12"/>
  <c r="J42" i="12"/>
  <c r="F22" i="12"/>
  <c r="F26" i="3" s="1"/>
  <c r="E26" i="3"/>
  <c r="F21" i="12"/>
  <c r="F25" i="3" s="1"/>
  <c r="E25" i="3"/>
  <c r="F20" i="12"/>
  <c r="F24" i="3" s="1"/>
  <c r="E24" i="3"/>
  <c r="F18" i="12"/>
  <c r="F22" i="3" s="1"/>
  <c r="E22" i="3"/>
  <c r="F17" i="12"/>
  <c r="F15" i="12"/>
  <c r="F18" i="3" s="1"/>
  <c r="G18" i="3" s="1"/>
  <c r="J22" i="12"/>
  <c r="J26" i="3" s="1"/>
  <c r="I26" i="3"/>
  <c r="J21" i="12"/>
  <c r="J25" i="3" s="1"/>
  <c r="J20" i="12"/>
  <c r="J24" i="3" s="1"/>
  <c r="I24" i="3"/>
  <c r="J18" i="12"/>
  <c r="J22" i="3" s="1"/>
  <c r="I22" i="3"/>
  <c r="J17" i="12"/>
  <c r="J15" i="12"/>
  <c r="J18" i="3" s="1"/>
  <c r="K18" i="3" s="1"/>
  <c r="K6" i="12"/>
  <c r="K5" i="12"/>
  <c r="K16" i="12"/>
  <c r="K19" i="12"/>
  <c r="H21" i="12"/>
  <c r="H25" i="3" s="1"/>
  <c r="H20" i="12"/>
  <c r="H24" i="3" s="1"/>
  <c r="H18" i="12"/>
  <c r="H22" i="3" s="1"/>
  <c r="K37" i="13"/>
  <c r="J40" i="12" s="1"/>
  <c r="K40" i="12" s="1"/>
  <c r="P37" i="13"/>
  <c r="Q37" i="13"/>
  <c r="R37" i="13"/>
  <c r="S37" i="13"/>
  <c r="T37" i="13"/>
  <c r="U37" i="13"/>
  <c r="V37" i="13"/>
  <c r="K38" i="13"/>
  <c r="J41" i="12" s="1"/>
  <c r="P38" i="13"/>
  <c r="Q38" i="13"/>
  <c r="R38" i="13"/>
  <c r="S38" i="13"/>
  <c r="T38" i="13"/>
  <c r="U38" i="13"/>
  <c r="V38" i="13"/>
  <c r="F3" i="27"/>
  <c r="F42" i="27" s="1"/>
  <c r="G3" i="27"/>
  <c r="G42" i="27" s="1"/>
  <c r="H3" i="27"/>
  <c r="H42" i="27" s="1"/>
  <c r="I3" i="27"/>
  <c r="I42" i="27" s="1"/>
  <c r="J3" i="27"/>
  <c r="J42" i="27" s="1"/>
  <c r="K3" i="27"/>
  <c r="K42" i="27" s="1"/>
  <c r="L3" i="27"/>
  <c r="L42" i="27" s="1"/>
  <c r="M3" i="27"/>
  <c r="M42" i="27" s="1"/>
  <c r="O3" i="27"/>
  <c r="O42" i="27" s="1"/>
  <c r="P3" i="27"/>
  <c r="P42" i="27" s="1"/>
  <c r="Q3" i="27"/>
  <c r="Q42" i="27" s="1"/>
  <c r="R3" i="27"/>
  <c r="R42" i="27" s="1"/>
  <c r="H41" i="20"/>
  <c r="H41" i="19"/>
  <c r="K33" i="16"/>
  <c r="F99" i="15"/>
  <c r="G99" i="15"/>
  <c r="H99" i="15"/>
  <c r="I99" i="15"/>
  <c r="J99" i="15"/>
  <c r="M44" i="14" s="1"/>
  <c r="K99" i="15"/>
  <c r="L99" i="15"/>
  <c r="M99" i="15"/>
  <c r="N99" i="15"/>
  <c r="O99" i="15"/>
  <c r="P99" i="15"/>
  <c r="Q99" i="15"/>
  <c r="F97" i="15"/>
  <c r="D39" i="14" s="1"/>
  <c r="G97" i="15"/>
  <c r="H97" i="15"/>
  <c r="I97" i="15"/>
  <c r="H39" i="14" s="1"/>
  <c r="J97" i="15"/>
  <c r="K97" i="15"/>
  <c r="L97" i="15"/>
  <c r="M97" i="15"/>
  <c r="N97" i="15"/>
  <c r="P97" i="15"/>
  <c r="Q97" i="15"/>
  <c r="F96" i="15"/>
  <c r="D38" i="14" s="1"/>
  <c r="G96" i="15"/>
  <c r="G109" i="15" s="1"/>
  <c r="H96" i="15"/>
  <c r="H109" i="15" s="1"/>
  <c r="I96" i="15"/>
  <c r="H38" i="14" s="1"/>
  <c r="J96" i="15"/>
  <c r="K96" i="15"/>
  <c r="L96" i="15"/>
  <c r="M96" i="15"/>
  <c r="N96" i="15"/>
  <c r="P96" i="15"/>
  <c r="Q96" i="15"/>
  <c r="F95" i="15"/>
  <c r="D37" i="14" s="1"/>
  <c r="G95" i="15"/>
  <c r="H95" i="15"/>
  <c r="I95" i="15"/>
  <c r="H37" i="14" s="1"/>
  <c r="J95" i="15"/>
  <c r="K95" i="15"/>
  <c r="L95" i="15"/>
  <c r="M95" i="15"/>
  <c r="N95" i="15"/>
  <c r="P95" i="15"/>
  <c r="Q95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I45" i="15"/>
  <c r="J45" i="15"/>
  <c r="J107" i="15" s="1"/>
  <c r="K45" i="15"/>
  <c r="K107" i="15" s="1"/>
  <c r="L45" i="15"/>
  <c r="L107" i="15" s="1"/>
  <c r="M45" i="15"/>
  <c r="M107" i="15" s="1"/>
  <c r="N45" i="15"/>
  <c r="N107" i="15" s="1"/>
  <c r="P45" i="15"/>
  <c r="P107" i="15" s="1"/>
  <c r="Q45" i="15"/>
  <c r="Q107" i="15" s="1"/>
  <c r="F37" i="15"/>
  <c r="G37" i="15"/>
  <c r="G6" i="15" s="1"/>
  <c r="H37" i="15"/>
  <c r="H6" i="15" s="1"/>
  <c r="I37" i="15"/>
  <c r="J37" i="15"/>
  <c r="K37" i="15"/>
  <c r="L37" i="15"/>
  <c r="M37" i="15"/>
  <c r="N37" i="15"/>
  <c r="O37" i="15"/>
  <c r="P37" i="15"/>
  <c r="Q37" i="15"/>
  <c r="Q6" i="15" s="1"/>
  <c r="N108" i="15" l="1"/>
  <c r="Q108" i="15"/>
  <c r="P108" i="15"/>
  <c r="H108" i="15"/>
  <c r="K108" i="15"/>
  <c r="G108" i="15"/>
  <c r="K14" i="3"/>
  <c r="AA48" i="7"/>
  <c r="O14" i="3"/>
  <c r="L5" i="4"/>
  <c r="N6" i="15"/>
  <c r="Q11" i="5"/>
  <c r="O11" i="5"/>
  <c r="O23" i="5"/>
  <c r="K6" i="15"/>
  <c r="P6" i="15"/>
  <c r="K15" i="12"/>
  <c r="K26" i="3"/>
  <c r="K9" i="5"/>
  <c r="K7" i="5"/>
  <c r="K24" i="3"/>
  <c r="K18" i="12"/>
  <c r="G26" i="3"/>
  <c r="I31" i="8"/>
  <c r="K10" i="5"/>
  <c r="K8" i="5"/>
  <c r="J6" i="8"/>
  <c r="K6" i="5"/>
  <c r="K17" i="12"/>
  <c r="I20" i="3"/>
  <c r="K21" i="12"/>
  <c r="I25" i="3"/>
  <c r="K25" i="3" s="1"/>
  <c r="F20" i="3"/>
  <c r="K22" i="3"/>
  <c r="K22" i="12"/>
  <c r="J20" i="3"/>
  <c r="E20" i="3"/>
  <c r="G20" i="3" s="1"/>
  <c r="K20" i="12"/>
  <c r="I42" i="12"/>
  <c r="I41" i="12"/>
  <c r="E41" i="12"/>
  <c r="F42" i="12"/>
  <c r="E42" i="12"/>
  <c r="D42" i="12"/>
  <c r="D7" i="4" s="1"/>
  <c r="H42" i="12"/>
  <c r="P42" i="12"/>
  <c r="Q42" i="12"/>
  <c r="R42" i="12"/>
  <c r="S42" i="12"/>
  <c r="D41" i="12"/>
  <c r="D6" i="4" s="1"/>
  <c r="H41" i="12"/>
  <c r="P41" i="12"/>
  <c r="Q41" i="12"/>
  <c r="R41" i="12"/>
  <c r="S41" i="12"/>
  <c r="D40" i="12"/>
  <c r="D5" i="4" s="1"/>
  <c r="G38" i="13"/>
  <c r="F41" i="12" s="1"/>
  <c r="G37" i="13"/>
  <c r="F40" i="12" s="1"/>
  <c r="G6" i="12"/>
  <c r="G5" i="12"/>
  <c r="G16" i="12"/>
  <c r="G17" i="12"/>
  <c r="G19" i="12"/>
  <c r="G22" i="12"/>
  <c r="G15" i="12"/>
  <c r="D21" i="12"/>
  <c r="D25" i="3" s="1"/>
  <c r="G25" i="3" s="1"/>
  <c r="D20" i="12"/>
  <c r="D24" i="3" s="1"/>
  <c r="G24" i="3" s="1"/>
  <c r="D18" i="12"/>
  <c r="D22" i="3" s="1"/>
  <c r="G22" i="3" s="1"/>
  <c r="F76" i="8"/>
  <c r="G43" i="5" s="1"/>
  <c r="G76" i="8"/>
  <c r="H76" i="8"/>
  <c r="I76" i="8"/>
  <c r="J76" i="8"/>
  <c r="L43" i="5" s="1"/>
  <c r="L76" i="8"/>
  <c r="T43" i="5"/>
  <c r="G6" i="8"/>
  <c r="H6" i="8"/>
  <c r="F38" i="8"/>
  <c r="G103" i="6"/>
  <c r="G102" i="6"/>
  <c r="G83" i="6"/>
  <c r="G82" i="6"/>
  <c r="G66" i="6"/>
  <c r="G67" i="6"/>
  <c r="G68" i="6"/>
  <c r="G65" i="6"/>
  <c r="G56" i="6"/>
  <c r="G55" i="6"/>
  <c r="G50" i="6"/>
  <c r="G51" i="6"/>
  <c r="G49" i="6"/>
  <c r="G47" i="6"/>
  <c r="G46" i="6"/>
  <c r="G40" i="6"/>
  <c r="G41" i="6"/>
  <c r="G42" i="6"/>
  <c r="G39" i="6"/>
  <c r="G36" i="6"/>
  <c r="G37" i="6"/>
  <c r="G35" i="6"/>
  <c r="G33" i="6"/>
  <c r="G32" i="6"/>
  <c r="G29" i="6"/>
  <c r="G30" i="6"/>
  <c r="G28" i="6"/>
  <c r="G21" i="6"/>
  <c r="G24" i="6"/>
  <c r="G25" i="6"/>
  <c r="G13" i="6"/>
  <c r="G12" i="6"/>
  <c r="G11" i="6"/>
  <c r="G10" i="6"/>
  <c r="G9" i="6"/>
  <c r="G8" i="6"/>
  <c r="U24" i="7"/>
  <c r="U15" i="7"/>
  <c r="S3" i="27"/>
  <c r="S42" i="27" s="1"/>
  <c r="U10" i="7"/>
  <c r="R208" i="8"/>
  <c r="R207" i="8"/>
  <c r="T23" i="3"/>
  <c r="T26" i="3"/>
  <c r="T20" i="3"/>
  <c r="W64" i="5"/>
  <c r="R211" i="8"/>
  <c r="R209" i="8"/>
  <c r="G40" i="12" l="1"/>
  <c r="Q43" i="5"/>
  <c r="O43" i="5"/>
  <c r="H5" i="4"/>
  <c r="H6" i="4"/>
  <c r="K41" i="12"/>
  <c r="H7" i="4"/>
  <c r="K42" i="12"/>
  <c r="D29" i="7"/>
  <c r="F31" i="8"/>
  <c r="G11" i="5" s="1"/>
  <c r="U43" i="5"/>
  <c r="U42" i="5" s="1"/>
  <c r="S43" i="5"/>
  <c r="S42" i="5" s="1"/>
  <c r="J75" i="8"/>
  <c r="J5" i="8" s="1"/>
  <c r="M42" i="5"/>
  <c r="H75" i="8"/>
  <c r="V43" i="5"/>
  <c r="V42" i="5" s="1"/>
  <c r="R43" i="5"/>
  <c r="R42" i="5" s="1"/>
  <c r="P43" i="5"/>
  <c r="P42" i="5" s="1"/>
  <c r="K43" i="5"/>
  <c r="L42" i="5"/>
  <c r="G75" i="8"/>
  <c r="K11" i="5"/>
  <c r="G20" i="12"/>
  <c r="G18" i="12"/>
  <c r="G41" i="12"/>
  <c r="K20" i="3"/>
  <c r="G21" i="12"/>
  <c r="G42" i="12"/>
  <c r="T10" i="7"/>
  <c r="T23" i="7"/>
  <c r="T22" i="7"/>
  <c r="T16" i="7"/>
  <c r="T11" i="7"/>
  <c r="T9" i="7"/>
  <c r="T8" i="7"/>
  <c r="R213" i="8"/>
  <c r="R212" i="8"/>
  <c r="R210" i="8"/>
  <c r="W11" i="5"/>
  <c r="C43" i="8"/>
  <c r="H12" i="5" s="1"/>
  <c r="F43" i="8"/>
  <c r="G12" i="5" s="1"/>
  <c r="I43" i="8"/>
  <c r="L12" i="5" s="1"/>
  <c r="L5" i="5" s="1"/>
  <c r="L43" i="8"/>
  <c r="T12" i="5"/>
  <c r="W12" i="5"/>
  <c r="W6" i="5"/>
  <c r="W43" i="5"/>
  <c r="T11" i="14"/>
  <c r="R97" i="15"/>
  <c r="T39" i="14" s="1"/>
  <c r="R96" i="15"/>
  <c r="T38" i="14" s="1"/>
  <c r="R95" i="15"/>
  <c r="T37" i="14" s="1"/>
  <c r="R12" i="15"/>
  <c r="R7" i="15"/>
  <c r="R51" i="15"/>
  <c r="R37" i="15"/>
  <c r="T34" i="3"/>
  <c r="AA60" i="6"/>
  <c r="X31" i="6"/>
  <c r="I182" i="8"/>
  <c r="I176" i="8"/>
  <c r="I5" i="3"/>
  <c r="N5" i="3"/>
  <c r="C5" i="3"/>
  <c r="R10" i="3"/>
  <c r="P10" i="3"/>
  <c r="R17" i="3"/>
  <c r="D27" i="3"/>
  <c r="H27" i="3"/>
  <c r="L27" i="3"/>
  <c r="P27" i="3"/>
  <c r="C27" i="3"/>
  <c r="E27" i="3"/>
  <c r="M27" i="3"/>
  <c r="Q27" i="3"/>
  <c r="F27" i="3"/>
  <c r="J27" i="3"/>
  <c r="N27" i="3"/>
  <c r="R27" i="3"/>
  <c r="C32" i="3"/>
  <c r="D32" i="3"/>
  <c r="E32" i="3"/>
  <c r="F32" i="3"/>
  <c r="H32" i="3"/>
  <c r="I32" i="3"/>
  <c r="J32" i="3"/>
  <c r="P32" i="3"/>
  <c r="Q32" i="3"/>
  <c r="R32" i="3"/>
  <c r="C33" i="3"/>
  <c r="D33" i="3"/>
  <c r="E33" i="3"/>
  <c r="F33" i="3"/>
  <c r="H33" i="3"/>
  <c r="I33" i="3"/>
  <c r="J33" i="3"/>
  <c r="P33" i="3"/>
  <c r="Q33" i="3"/>
  <c r="R33" i="3"/>
  <c r="C35" i="3"/>
  <c r="F35" i="3"/>
  <c r="J35" i="3"/>
  <c r="N35" i="3"/>
  <c r="R35" i="3"/>
  <c r="C41" i="3"/>
  <c r="D41" i="3"/>
  <c r="E41" i="3"/>
  <c r="F41" i="3"/>
  <c r="H41" i="3"/>
  <c r="I41" i="3"/>
  <c r="J41" i="3"/>
  <c r="P41" i="3"/>
  <c r="R41" i="3"/>
  <c r="C42" i="3"/>
  <c r="D42" i="3"/>
  <c r="E42" i="3"/>
  <c r="F42" i="3"/>
  <c r="H42" i="3"/>
  <c r="I42" i="3"/>
  <c r="J42" i="3"/>
  <c r="P42" i="3"/>
  <c r="Q42" i="3"/>
  <c r="Q40" i="3" s="1"/>
  <c r="R42" i="3"/>
  <c r="Q47" i="3"/>
  <c r="C47" i="3"/>
  <c r="G51" i="3"/>
  <c r="K51" i="3"/>
  <c r="O51" i="3"/>
  <c r="S51" i="3"/>
  <c r="G52" i="3"/>
  <c r="K52" i="3"/>
  <c r="O52" i="3"/>
  <c r="S52" i="3"/>
  <c r="G53" i="3"/>
  <c r="K53" i="3"/>
  <c r="O53" i="3"/>
  <c r="S53" i="3"/>
  <c r="R47" i="3"/>
  <c r="C57" i="3"/>
  <c r="D57" i="3"/>
  <c r="E57" i="3"/>
  <c r="F57" i="3"/>
  <c r="H57" i="3"/>
  <c r="I57" i="3"/>
  <c r="J57" i="3"/>
  <c r="L57" i="3"/>
  <c r="M57" i="3"/>
  <c r="N57" i="3"/>
  <c r="P57" i="3"/>
  <c r="Q57" i="3"/>
  <c r="R57" i="3"/>
  <c r="G58" i="3"/>
  <c r="K58" i="3"/>
  <c r="O58" i="3"/>
  <c r="S58" i="3"/>
  <c r="G59" i="3"/>
  <c r="K59" i="3"/>
  <c r="O59" i="3"/>
  <c r="S59" i="3"/>
  <c r="AA105" i="6"/>
  <c r="W51" i="5"/>
  <c r="K7" i="10"/>
  <c r="W16" i="22"/>
  <c r="W15" i="22"/>
  <c r="Q12" i="5" l="1"/>
  <c r="O12" i="5"/>
  <c r="O33" i="5"/>
  <c r="S57" i="3"/>
  <c r="K57" i="3"/>
  <c r="R46" i="3"/>
  <c r="K12" i="5"/>
  <c r="C46" i="3"/>
  <c r="T29" i="7"/>
  <c r="N31" i="3"/>
  <c r="F31" i="3"/>
  <c r="O57" i="3"/>
  <c r="G57" i="3"/>
  <c r="Q46" i="3"/>
  <c r="O42" i="3"/>
  <c r="R31" i="3"/>
  <c r="J31" i="3"/>
  <c r="G32" i="3"/>
  <c r="G42" i="3"/>
  <c r="S32" i="3"/>
  <c r="K32" i="3"/>
  <c r="O32" i="3"/>
  <c r="C40" i="3"/>
  <c r="L31" i="3"/>
  <c r="E11" i="2" s="1"/>
  <c r="D31" i="3"/>
  <c r="S42" i="3"/>
  <c r="K42" i="3"/>
  <c r="S33" i="3"/>
  <c r="J40" i="3"/>
  <c r="J30" i="3" s="1"/>
  <c r="G33" i="3"/>
  <c r="Q31" i="3"/>
  <c r="M31" i="3"/>
  <c r="I31" i="3"/>
  <c r="E31" i="3"/>
  <c r="P47" i="3"/>
  <c r="R40" i="3"/>
  <c r="H40" i="3"/>
  <c r="K41" i="3"/>
  <c r="O33" i="3"/>
  <c r="C31" i="3"/>
  <c r="O27" i="3"/>
  <c r="P17" i="3"/>
  <c r="F5" i="3"/>
  <c r="Q5" i="3"/>
  <c r="L40" i="3"/>
  <c r="O41" i="3"/>
  <c r="F40" i="3"/>
  <c r="D35" i="3"/>
  <c r="P31" i="3"/>
  <c r="C17" i="3"/>
  <c r="Q10" i="3"/>
  <c r="S10" i="3" s="1"/>
  <c r="P5" i="3"/>
  <c r="J5" i="3"/>
  <c r="M5" i="3"/>
  <c r="P40" i="3"/>
  <c r="S41" i="3"/>
  <c r="G27" i="3"/>
  <c r="N40" i="3"/>
  <c r="D40" i="3"/>
  <c r="G41" i="3"/>
  <c r="Q35" i="3"/>
  <c r="M35" i="3"/>
  <c r="I35" i="3"/>
  <c r="E35" i="3"/>
  <c r="P35" i="3"/>
  <c r="S35" i="3" s="1"/>
  <c r="H35" i="3"/>
  <c r="K33" i="3"/>
  <c r="H31" i="3"/>
  <c r="S27" i="3"/>
  <c r="Q17" i="3"/>
  <c r="C10" i="3"/>
  <c r="R5" i="3"/>
  <c r="R4" i="3" s="1"/>
  <c r="E5" i="3"/>
  <c r="L30" i="10"/>
  <c r="K9" i="10"/>
  <c r="K6" i="10" s="1"/>
  <c r="K5" i="10" s="1"/>
  <c r="K11" i="10" s="1"/>
  <c r="L27" i="10"/>
  <c r="L20" i="10"/>
  <c r="L17" i="10"/>
  <c r="L16" i="10" s="1"/>
  <c r="K13" i="10"/>
  <c r="K12" i="10" s="1"/>
  <c r="F30" i="3" l="1"/>
  <c r="C4" i="3"/>
  <c r="N30" i="3"/>
  <c r="O31" i="3"/>
  <c r="R30" i="3"/>
  <c r="R60" i="3" s="1"/>
  <c r="S40" i="3"/>
  <c r="Q30" i="3"/>
  <c r="C30" i="3"/>
  <c r="C60" i="3" s="1"/>
  <c r="G31" i="3"/>
  <c r="K35" i="3"/>
  <c r="D12" i="2" s="1"/>
  <c r="G35" i="3"/>
  <c r="Q4" i="3"/>
  <c r="S17" i="3"/>
  <c r="H30" i="3"/>
  <c r="K31" i="3"/>
  <c r="D11" i="2" s="1"/>
  <c r="P4" i="3"/>
  <c r="S5" i="3"/>
  <c r="P30" i="3"/>
  <c r="S31" i="3"/>
  <c r="P46" i="3"/>
  <c r="S47" i="3"/>
  <c r="D30" i="3"/>
  <c r="L19" i="10"/>
  <c r="L32" i="10" s="1"/>
  <c r="L3" i="10" s="1"/>
  <c r="K3" i="10"/>
  <c r="R45" i="3" l="1"/>
  <c r="C45" i="3"/>
  <c r="S30" i="3"/>
  <c r="Q45" i="3"/>
  <c r="Q60" i="3"/>
  <c r="P60" i="3"/>
  <c r="S46" i="3"/>
  <c r="S4" i="3"/>
  <c r="P45" i="3"/>
  <c r="L28" i="11"/>
  <c r="L31" i="11"/>
  <c r="L30" i="11" s="1"/>
  <c r="L26" i="11"/>
  <c r="L24" i="11"/>
  <c r="K20" i="11"/>
  <c r="K19" i="11" s="1"/>
  <c r="K13" i="11"/>
  <c r="K10" i="11"/>
  <c r="K6" i="11"/>
  <c r="K5" i="11" l="1"/>
  <c r="K18" i="11" s="1"/>
  <c r="K3" i="11" s="1"/>
  <c r="S45" i="3"/>
  <c r="S60" i="3"/>
  <c r="L23" i="11"/>
  <c r="L34" i="11" s="1"/>
  <c r="L3" i="11" s="1"/>
  <c r="O25" i="13" l="1"/>
  <c r="S25" i="13"/>
  <c r="S15" i="21" l="1"/>
  <c r="F20" i="9" l="1"/>
  <c r="R122" i="8" l="1"/>
  <c r="R121" i="8"/>
  <c r="R120" i="8" l="1"/>
  <c r="P15" i="7"/>
  <c r="U16" i="7" l="1"/>
  <c r="R214" i="8"/>
  <c r="U42" i="12"/>
  <c r="U41" i="12"/>
  <c r="R198" i="8" l="1"/>
  <c r="D4" i="9" l="1"/>
  <c r="R73" i="8" l="1"/>
  <c r="D23" i="2"/>
  <c r="C23" i="2"/>
  <c r="D22" i="2"/>
  <c r="D20" i="2"/>
  <c r="C22" i="2"/>
  <c r="C20" i="2"/>
  <c r="C12" i="2"/>
  <c r="C11" i="2"/>
  <c r="C7" i="2"/>
  <c r="W50" i="3" l="1"/>
  <c r="AA97" i="6"/>
  <c r="AA96" i="6"/>
  <c r="T19" i="13" l="1"/>
  <c r="W25" i="13"/>
  <c r="K19" i="26" l="1"/>
  <c r="I19" i="26"/>
  <c r="H19" i="26"/>
  <c r="J17" i="26"/>
  <c r="J16" i="26"/>
  <c r="I10" i="26"/>
  <c r="I20" i="26" s="1"/>
  <c r="H10" i="26"/>
  <c r="H20" i="26" l="1"/>
  <c r="J19" i="26"/>
  <c r="W33" i="17"/>
  <c r="P13" i="19" l="1"/>
  <c r="O214" i="8"/>
  <c r="O210" i="8"/>
  <c r="E9" i="26"/>
  <c r="F7" i="26"/>
  <c r="E7" i="26"/>
  <c r="E6" i="26"/>
  <c r="B6" i="26"/>
  <c r="B7" i="26"/>
  <c r="O58" i="24"/>
  <c r="O57" i="24"/>
  <c r="O59" i="24"/>
  <c r="O73" i="8"/>
  <c r="O52" i="24" l="1"/>
  <c r="O51" i="24"/>
  <c r="O182" i="8" l="1"/>
  <c r="O69" i="8"/>
  <c r="P13" i="7"/>
  <c r="O213" i="8" l="1"/>
  <c r="P22" i="7"/>
  <c r="O208" i="8"/>
  <c r="Q15" i="7"/>
  <c r="O167" i="8"/>
  <c r="O212" i="8" l="1"/>
  <c r="T9" i="5"/>
  <c r="O69" i="15" l="1"/>
  <c r="O68" i="15"/>
  <c r="O50" i="15"/>
  <c r="O45" i="15" s="1"/>
  <c r="O73" i="15"/>
  <c r="O67" i="15"/>
  <c r="O96" i="15" s="1"/>
  <c r="O66" i="15"/>
  <c r="O95" i="15" s="1"/>
  <c r="O97" i="15" l="1"/>
  <c r="T49" i="3"/>
  <c r="T48" i="3" s="1"/>
  <c r="T56" i="3"/>
  <c r="T57" i="3"/>
  <c r="T32" i="3"/>
  <c r="T33" i="3"/>
  <c r="T36" i="3"/>
  <c r="T38" i="3"/>
  <c r="T39" i="3"/>
  <c r="T41" i="3"/>
  <c r="T42" i="3"/>
  <c r="T7" i="3"/>
  <c r="T8" i="3"/>
  <c r="T15" i="3"/>
  <c r="T16" i="3"/>
  <c r="T28" i="3"/>
  <c r="T29" i="3"/>
  <c r="U49" i="3"/>
  <c r="U56" i="3"/>
  <c r="U57" i="3"/>
  <c r="U32" i="3"/>
  <c r="U33" i="3"/>
  <c r="U34" i="3"/>
  <c r="U36" i="3"/>
  <c r="U38" i="3"/>
  <c r="U39" i="3"/>
  <c r="U41" i="3"/>
  <c r="U42" i="3"/>
  <c r="U7" i="3"/>
  <c r="U8" i="3"/>
  <c r="U15" i="3"/>
  <c r="U16" i="3"/>
  <c r="U28" i="3"/>
  <c r="V49" i="3"/>
  <c r="V56" i="3"/>
  <c r="V57" i="3"/>
  <c r="V32" i="3"/>
  <c r="V33" i="3"/>
  <c r="V34" i="3"/>
  <c r="V36" i="3"/>
  <c r="V38" i="3"/>
  <c r="V39" i="3"/>
  <c r="V41" i="3"/>
  <c r="V42" i="3"/>
  <c r="V7" i="3"/>
  <c r="V8" i="3"/>
  <c r="V15" i="3"/>
  <c r="V16" i="3"/>
  <c r="V28" i="3"/>
  <c r="V29" i="3"/>
  <c r="W59" i="3"/>
  <c r="W58" i="3"/>
  <c r="W53" i="3"/>
  <c r="W52" i="3"/>
  <c r="W51" i="3"/>
  <c r="T41" i="16"/>
  <c r="P43" i="16"/>
  <c r="P42" i="16" s="1"/>
  <c r="P41" i="16"/>
  <c r="P39" i="16"/>
  <c r="P38" i="16"/>
  <c r="P37" i="16"/>
  <c r="T42" i="17"/>
  <c r="T41" i="17"/>
  <c r="P43" i="17"/>
  <c r="P41" i="17"/>
  <c r="P39" i="17"/>
  <c r="P38" i="17"/>
  <c r="P37" i="17"/>
  <c r="T42" i="18"/>
  <c r="P43" i="18"/>
  <c r="P42" i="18" s="1"/>
  <c r="P41" i="18"/>
  <c r="P39" i="18"/>
  <c r="P38" i="18"/>
  <c r="P37" i="18"/>
  <c r="T41" i="19"/>
  <c r="W41" i="19" s="1"/>
  <c r="U43" i="19"/>
  <c r="U42" i="19" s="1"/>
  <c r="P43" i="19"/>
  <c r="P39" i="19"/>
  <c r="P38" i="19"/>
  <c r="P41" i="19"/>
  <c r="S41" i="19" s="1"/>
  <c r="P37" i="19"/>
  <c r="T41" i="20"/>
  <c r="W41" i="20" s="1"/>
  <c r="T43" i="20"/>
  <c r="T42" i="20" s="1"/>
  <c r="U43" i="20"/>
  <c r="U39" i="20"/>
  <c r="U38" i="20"/>
  <c r="U37" i="20"/>
  <c r="Q43" i="20"/>
  <c r="Q42" i="20" s="1"/>
  <c r="P43" i="20"/>
  <c r="P42" i="20" s="1"/>
  <c r="P38" i="20"/>
  <c r="P39" i="20"/>
  <c r="P41" i="20"/>
  <c r="S41" i="20" s="1"/>
  <c r="Q39" i="20"/>
  <c r="Q38" i="20"/>
  <c r="Q37" i="20"/>
  <c r="P37" i="20"/>
  <c r="T43" i="21"/>
  <c r="T42" i="21" s="1"/>
  <c r="T41" i="21"/>
  <c r="W41" i="21" s="1"/>
  <c r="T39" i="21"/>
  <c r="T38" i="21"/>
  <c r="T37" i="21"/>
  <c r="P43" i="21"/>
  <c r="P42" i="21" s="1"/>
  <c r="P41" i="21"/>
  <c r="S41" i="21" s="1"/>
  <c r="P39" i="21"/>
  <c r="P38" i="21"/>
  <c r="P37" i="21"/>
  <c r="S37" i="21" s="1"/>
  <c r="T43" i="22"/>
  <c r="T41" i="22"/>
  <c r="W41" i="22" s="1"/>
  <c r="T39" i="22"/>
  <c r="T38" i="22"/>
  <c r="T37" i="22"/>
  <c r="P43" i="22"/>
  <c r="P41" i="22"/>
  <c r="S41" i="22" s="1"/>
  <c r="P39" i="22"/>
  <c r="P38" i="22"/>
  <c r="P37" i="22"/>
  <c r="T27" i="4"/>
  <c r="T28" i="4"/>
  <c r="T29" i="4"/>
  <c r="T31" i="4"/>
  <c r="T33" i="4"/>
  <c r="T34" i="4"/>
  <c r="U27" i="4"/>
  <c r="U28" i="4"/>
  <c r="U29" i="4"/>
  <c r="U30" i="4"/>
  <c r="U31" i="4"/>
  <c r="U33" i="4"/>
  <c r="U34" i="4"/>
  <c r="V27" i="4"/>
  <c r="V28" i="4"/>
  <c r="V31" i="4"/>
  <c r="V33" i="4"/>
  <c r="V34" i="4"/>
  <c r="W23" i="4"/>
  <c r="W22" i="4"/>
  <c r="W21" i="4"/>
  <c r="W20" i="4"/>
  <c r="W19" i="4"/>
  <c r="W14" i="4"/>
  <c r="W13" i="4"/>
  <c r="W12" i="4"/>
  <c r="W11" i="4"/>
  <c r="W10" i="4"/>
  <c r="P27" i="4"/>
  <c r="P28" i="4"/>
  <c r="P31" i="4"/>
  <c r="P33" i="4"/>
  <c r="P34" i="4"/>
  <c r="Q27" i="4"/>
  <c r="Q28" i="4"/>
  <c r="Q31" i="4"/>
  <c r="Q33" i="4"/>
  <c r="Q34" i="4"/>
  <c r="R27" i="4"/>
  <c r="R28" i="4"/>
  <c r="R31" i="4"/>
  <c r="R33" i="4"/>
  <c r="R34" i="4"/>
  <c r="S23" i="4"/>
  <c r="S22" i="4"/>
  <c r="S21" i="4"/>
  <c r="S20" i="4"/>
  <c r="S19" i="4"/>
  <c r="S14" i="4"/>
  <c r="S13" i="4"/>
  <c r="S12" i="4"/>
  <c r="S11" i="4"/>
  <c r="S10" i="4"/>
  <c r="O91" i="24"/>
  <c r="O98" i="24"/>
  <c r="O80" i="24"/>
  <c r="O74" i="24"/>
  <c r="O56" i="24"/>
  <c r="O50" i="24"/>
  <c r="O14" i="24"/>
  <c r="O28" i="24"/>
  <c r="O42" i="24"/>
  <c r="O8" i="24"/>
  <c r="O22" i="24"/>
  <c r="O36" i="24"/>
  <c r="O61" i="24"/>
  <c r="X95" i="6"/>
  <c r="X101" i="6"/>
  <c r="X106" i="6"/>
  <c r="X62" i="6"/>
  <c r="T37" i="3"/>
  <c r="X81" i="6"/>
  <c r="T43" i="3" s="1"/>
  <c r="X85" i="6"/>
  <c r="T44" i="3" s="1"/>
  <c r="X7" i="6"/>
  <c r="T6" i="3" s="1"/>
  <c r="X17" i="6"/>
  <c r="T9" i="3" s="1"/>
  <c r="X27" i="6"/>
  <c r="T11" i="3" s="1"/>
  <c r="T12" i="3"/>
  <c r="X34" i="6"/>
  <c r="T13" i="3" s="1"/>
  <c r="X38" i="6"/>
  <c r="T19" i="3"/>
  <c r="X48" i="6"/>
  <c r="T21" i="3" s="1"/>
  <c r="X57" i="6"/>
  <c r="Y101" i="6"/>
  <c r="U54" i="3" s="1"/>
  <c r="Y106" i="6"/>
  <c r="Y62" i="6"/>
  <c r="Y72" i="6"/>
  <c r="U37" i="3" s="1"/>
  <c r="Y81" i="6"/>
  <c r="U43" i="3" s="1"/>
  <c r="Y85" i="6"/>
  <c r="U44" i="3" s="1"/>
  <c r="Y7" i="6"/>
  <c r="U6" i="3" s="1"/>
  <c r="Y17" i="6"/>
  <c r="U9" i="3" s="1"/>
  <c r="Y27" i="6"/>
  <c r="Y31" i="6"/>
  <c r="Y34" i="6"/>
  <c r="Y38" i="6"/>
  <c r="Y45" i="6"/>
  <c r="Y48" i="6"/>
  <c r="AG21" i="3" s="1"/>
  <c r="AI21" i="3" s="1"/>
  <c r="Y53" i="6"/>
  <c r="AI23" i="3" s="1"/>
  <c r="Y59" i="6"/>
  <c r="U29" i="3" s="1"/>
  <c r="Z95" i="6"/>
  <c r="Z101" i="6"/>
  <c r="V54" i="3" s="1"/>
  <c r="Z106" i="6"/>
  <c r="Z62" i="6"/>
  <c r="Z72" i="6"/>
  <c r="V37" i="3" s="1"/>
  <c r="Z81" i="6"/>
  <c r="V43" i="3" s="1"/>
  <c r="Z85" i="6"/>
  <c r="V44" i="3" s="1"/>
  <c r="Z7" i="6"/>
  <c r="V6" i="3" s="1"/>
  <c r="Z17" i="6"/>
  <c r="V9" i="3" s="1"/>
  <c r="Z27" i="6"/>
  <c r="Z31" i="6"/>
  <c r="Z34" i="6"/>
  <c r="AA34" i="6" s="1"/>
  <c r="Z38" i="6"/>
  <c r="Z45" i="6"/>
  <c r="V19" i="3" s="1"/>
  <c r="Z48" i="6"/>
  <c r="Z53" i="6"/>
  <c r="V23" i="3" s="1"/>
  <c r="Z57" i="6"/>
  <c r="AA108" i="6"/>
  <c r="AA107" i="6"/>
  <c r="AA104" i="6"/>
  <c r="AA103" i="6"/>
  <c r="AA102" i="6"/>
  <c r="AA100" i="6"/>
  <c r="AA99" i="6"/>
  <c r="AA98" i="6"/>
  <c r="AA91" i="6"/>
  <c r="AA90" i="6"/>
  <c r="AA89" i="6"/>
  <c r="AA88" i="6"/>
  <c r="AA87" i="6"/>
  <c r="AA86" i="6"/>
  <c r="AA84" i="6"/>
  <c r="AA83" i="6"/>
  <c r="AA82" i="6"/>
  <c r="AA80" i="6"/>
  <c r="AA79" i="6"/>
  <c r="AA77" i="6"/>
  <c r="AA76" i="6"/>
  <c r="AA75" i="6"/>
  <c r="AA74" i="6"/>
  <c r="AA73" i="6"/>
  <c r="AA71" i="6"/>
  <c r="AA65" i="6"/>
  <c r="AA64" i="6"/>
  <c r="AA63" i="6"/>
  <c r="AA59" i="6"/>
  <c r="AA58" i="6"/>
  <c r="AA56" i="6"/>
  <c r="AA55" i="6"/>
  <c r="AA54" i="6"/>
  <c r="AA52" i="6"/>
  <c r="AA51" i="6"/>
  <c r="AA50" i="6"/>
  <c r="AA49" i="6"/>
  <c r="AA47" i="6"/>
  <c r="AA46" i="6"/>
  <c r="AA44" i="6"/>
  <c r="AA42" i="6"/>
  <c r="AA41" i="6"/>
  <c r="AA40" i="6"/>
  <c r="AA39" i="6"/>
  <c r="AA37" i="6"/>
  <c r="AA36" i="6"/>
  <c r="AA35" i="6"/>
  <c r="AA33" i="6"/>
  <c r="AA32" i="6"/>
  <c r="AA30" i="6"/>
  <c r="AA28" i="6"/>
  <c r="AA25" i="6"/>
  <c r="AA24" i="6"/>
  <c r="AA21" i="6"/>
  <c r="AA16" i="6"/>
  <c r="AA15" i="6"/>
  <c r="AA14" i="6"/>
  <c r="AA13" i="6"/>
  <c r="AA12" i="6"/>
  <c r="AA11" i="6"/>
  <c r="AA10" i="6"/>
  <c r="AA9" i="6"/>
  <c r="AA8" i="6"/>
  <c r="T95" i="6"/>
  <c r="T101" i="6"/>
  <c r="T106" i="6"/>
  <c r="T62" i="6"/>
  <c r="T72" i="6"/>
  <c r="T70" i="6" s="1"/>
  <c r="T81" i="6"/>
  <c r="T85" i="6"/>
  <c r="T7" i="6"/>
  <c r="T17" i="6"/>
  <c r="T27" i="6"/>
  <c r="T31" i="6"/>
  <c r="T34" i="6"/>
  <c r="T38" i="6"/>
  <c r="T45" i="6"/>
  <c r="T48" i="6"/>
  <c r="T53" i="6"/>
  <c r="T57" i="6"/>
  <c r="U95" i="6"/>
  <c r="U101" i="6"/>
  <c r="U106" i="6"/>
  <c r="U62" i="6"/>
  <c r="U72" i="6"/>
  <c r="U81" i="6"/>
  <c r="U85" i="6"/>
  <c r="U7" i="6"/>
  <c r="U17" i="6"/>
  <c r="U27" i="6"/>
  <c r="U31" i="6"/>
  <c r="U34" i="6"/>
  <c r="U38" i="6"/>
  <c r="U45" i="6"/>
  <c r="U48" i="6"/>
  <c r="U53" i="6"/>
  <c r="U59" i="6"/>
  <c r="U57" i="6" s="1"/>
  <c r="V95" i="6"/>
  <c r="V101" i="6"/>
  <c r="V106" i="6"/>
  <c r="V62" i="6"/>
  <c r="V72" i="6"/>
  <c r="V70" i="6" s="1"/>
  <c r="V81" i="6"/>
  <c r="V85" i="6"/>
  <c r="V7" i="6"/>
  <c r="V17" i="6"/>
  <c r="V27" i="6"/>
  <c r="V31" i="6"/>
  <c r="V34" i="6"/>
  <c r="V38" i="6"/>
  <c r="V45" i="6"/>
  <c r="V48" i="6"/>
  <c r="V53" i="6"/>
  <c r="V57" i="6"/>
  <c r="W108" i="6"/>
  <c r="W107" i="6"/>
  <c r="W100" i="6"/>
  <c r="W99" i="6"/>
  <c r="W98" i="6"/>
  <c r="W80" i="6"/>
  <c r="W79" i="6"/>
  <c r="W71" i="6"/>
  <c r="W64" i="6"/>
  <c r="W63" i="6"/>
  <c r="W59" i="6"/>
  <c r="W58" i="6"/>
  <c r="W54" i="6"/>
  <c r="W52" i="6"/>
  <c r="W44" i="6"/>
  <c r="W39" i="6"/>
  <c r="W16" i="6"/>
  <c r="V39" i="7"/>
  <c r="V30" i="4" s="1"/>
  <c r="R39" i="7"/>
  <c r="T24" i="7"/>
  <c r="Q23" i="7"/>
  <c r="Q11" i="7"/>
  <c r="F22" i="9"/>
  <c r="F4" i="9" s="1"/>
  <c r="F26" i="9"/>
  <c r="T20" i="7" s="1"/>
  <c r="E4" i="9"/>
  <c r="P19" i="7" s="1"/>
  <c r="E26" i="9"/>
  <c r="P20" i="7" s="1"/>
  <c r="Q9" i="7"/>
  <c r="P29" i="7"/>
  <c r="S29" i="7" s="1"/>
  <c r="P23" i="7"/>
  <c r="P10" i="7"/>
  <c r="T41" i="7"/>
  <c r="U32" i="7"/>
  <c r="U41" i="7"/>
  <c r="U20" i="7"/>
  <c r="U17" i="7" s="1"/>
  <c r="V41" i="7"/>
  <c r="V22" i="7"/>
  <c r="V23" i="7"/>
  <c r="V24" i="7"/>
  <c r="V8" i="7"/>
  <c r="V9" i="7"/>
  <c r="V10" i="7"/>
  <c r="V11" i="7"/>
  <c r="V19" i="7"/>
  <c r="V20" i="7"/>
  <c r="W43" i="7"/>
  <c r="W42" i="7"/>
  <c r="W40" i="7"/>
  <c r="W36" i="7"/>
  <c r="W35" i="7"/>
  <c r="W34" i="7"/>
  <c r="W28" i="7"/>
  <c r="W27" i="7"/>
  <c r="W26" i="7"/>
  <c r="W25" i="7"/>
  <c r="W14" i="7"/>
  <c r="W6" i="7"/>
  <c r="W5" i="7"/>
  <c r="G6" i="26" s="1"/>
  <c r="P32" i="7"/>
  <c r="P41" i="7"/>
  <c r="Q41" i="7"/>
  <c r="Q24" i="7"/>
  <c r="Q17" i="7"/>
  <c r="R41" i="7"/>
  <c r="R24" i="7"/>
  <c r="R19" i="7"/>
  <c r="R20" i="7"/>
  <c r="S43" i="7"/>
  <c r="S42" i="7"/>
  <c r="S40" i="7"/>
  <c r="S36" i="7"/>
  <c r="S35" i="7"/>
  <c r="S34" i="7"/>
  <c r="S33" i="7"/>
  <c r="S28" i="7"/>
  <c r="S27" i="7"/>
  <c r="S26" i="7"/>
  <c r="S25" i="7"/>
  <c r="S14" i="7"/>
  <c r="S6" i="7"/>
  <c r="S5" i="7"/>
  <c r="V37" i="7"/>
  <c r="V29" i="4" s="1"/>
  <c r="R192" i="8"/>
  <c r="R188" i="8"/>
  <c r="R186" i="8"/>
  <c r="R182" i="8"/>
  <c r="U8" i="7"/>
  <c r="U11" i="7"/>
  <c r="R163" i="8"/>
  <c r="R161" i="8"/>
  <c r="R159" i="8"/>
  <c r="R157" i="8"/>
  <c r="R155" i="8"/>
  <c r="R153" i="8"/>
  <c r="R150" i="8"/>
  <c r="R147" i="8"/>
  <c r="R145" i="8"/>
  <c r="R143" i="8"/>
  <c r="R141" i="8"/>
  <c r="R137" i="8"/>
  <c r="R135" i="8"/>
  <c r="W15" i="7"/>
  <c r="R129" i="8"/>
  <c r="R127" i="8"/>
  <c r="U9" i="7"/>
  <c r="W57" i="5"/>
  <c r="W56" i="5"/>
  <c r="W55" i="5"/>
  <c r="W54" i="5"/>
  <c r="W53" i="5"/>
  <c r="W52" i="5"/>
  <c r="W50" i="5"/>
  <c r="W49" i="5"/>
  <c r="W48" i="5"/>
  <c r="W46" i="5"/>
  <c r="W45" i="5"/>
  <c r="W44" i="5"/>
  <c r="R69" i="8"/>
  <c r="R67" i="8"/>
  <c r="W14" i="5"/>
  <c r="W13" i="5"/>
  <c r="W10" i="5"/>
  <c r="W9" i="5"/>
  <c r="W8" i="5"/>
  <c r="W7" i="5"/>
  <c r="R37" i="7"/>
  <c r="O195" i="8"/>
  <c r="O192" i="8"/>
  <c r="O188" i="8"/>
  <c r="O186" i="8"/>
  <c r="Q22" i="7"/>
  <c r="O173" i="8"/>
  <c r="O165" i="8"/>
  <c r="O163" i="8"/>
  <c r="O161" i="8"/>
  <c r="O159" i="8"/>
  <c r="O155" i="8"/>
  <c r="O153" i="8"/>
  <c r="O150" i="8"/>
  <c r="O147" i="8"/>
  <c r="O145" i="8"/>
  <c r="O143" i="8"/>
  <c r="O141" i="8"/>
  <c r="O139" i="8"/>
  <c r="O137" i="8"/>
  <c r="O135" i="8"/>
  <c r="O131" i="8"/>
  <c r="O129" i="8"/>
  <c r="O127" i="8"/>
  <c r="T59" i="5"/>
  <c r="T58" i="5"/>
  <c r="T57" i="5"/>
  <c r="T56" i="5"/>
  <c r="T55" i="5"/>
  <c r="T54" i="5"/>
  <c r="T53" i="5"/>
  <c r="T52" i="5"/>
  <c r="T51" i="5"/>
  <c r="T50" i="5"/>
  <c r="T49" i="5"/>
  <c r="T48" i="5"/>
  <c r="T46" i="5"/>
  <c r="T45" i="5"/>
  <c r="T44" i="5"/>
  <c r="O67" i="8"/>
  <c r="O65" i="8"/>
  <c r="T15" i="5"/>
  <c r="T14" i="5"/>
  <c r="T13" i="5"/>
  <c r="T10" i="5"/>
  <c r="T8" i="5"/>
  <c r="T7" i="5"/>
  <c r="T6" i="5"/>
  <c r="T41" i="12"/>
  <c r="T42" i="12"/>
  <c r="T43" i="12"/>
  <c r="T8" i="4" s="1"/>
  <c r="T44" i="12"/>
  <c r="T46" i="12"/>
  <c r="T47" i="12"/>
  <c r="T48" i="12"/>
  <c r="U43" i="12"/>
  <c r="U44" i="12"/>
  <c r="U46" i="12"/>
  <c r="U47" i="12"/>
  <c r="U48" i="12"/>
  <c r="V41" i="12"/>
  <c r="V42" i="12"/>
  <c r="V43" i="12"/>
  <c r="V44" i="12"/>
  <c r="V46" i="12"/>
  <c r="V47" i="12"/>
  <c r="V48" i="12"/>
  <c r="T26" i="12"/>
  <c r="T28" i="12"/>
  <c r="T31" i="12"/>
  <c r="T9" i="12"/>
  <c r="T11" i="12"/>
  <c r="T18" i="3"/>
  <c r="T22" i="3"/>
  <c r="T20" i="12"/>
  <c r="T24" i="3" s="1"/>
  <c r="T21" i="12"/>
  <c r="T25" i="3" s="1"/>
  <c r="U26" i="12"/>
  <c r="U28" i="12"/>
  <c r="U31" i="12"/>
  <c r="U9" i="12"/>
  <c r="U11" i="12"/>
  <c r="U18" i="3"/>
  <c r="U17" i="12"/>
  <c r="U20" i="3" s="1"/>
  <c r="U18" i="12"/>
  <c r="U20" i="12"/>
  <c r="U24" i="3" s="1"/>
  <c r="U21" i="12"/>
  <c r="U22" i="12"/>
  <c r="U26" i="3" s="1"/>
  <c r="V26" i="12"/>
  <c r="V28" i="12"/>
  <c r="V31" i="12"/>
  <c r="V9" i="12"/>
  <c r="V11" i="12"/>
  <c r="V15" i="12"/>
  <c r="V17" i="12"/>
  <c r="V18" i="12"/>
  <c r="V22" i="3" s="1"/>
  <c r="V20" i="12"/>
  <c r="V24" i="3" s="1"/>
  <c r="V21" i="12"/>
  <c r="V25" i="3" s="1"/>
  <c r="V22" i="12"/>
  <c r="V26" i="3" s="1"/>
  <c r="W36" i="12"/>
  <c r="W32" i="12"/>
  <c r="W30" i="12"/>
  <c r="W29" i="12"/>
  <c r="W27" i="12"/>
  <c r="W24" i="12"/>
  <c r="T23" i="12"/>
  <c r="U23" i="12"/>
  <c r="V23" i="12"/>
  <c r="W19" i="12"/>
  <c r="W16" i="12"/>
  <c r="W13" i="12"/>
  <c r="W12" i="12"/>
  <c r="W10" i="12"/>
  <c r="W7" i="12"/>
  <c r="K7" i="26" s="1"/>
  <c r="K10" i="26" s="1"/>
  <c r="W6" i="12"/>
  <c r="W5" i="12"/>
  <c r="G7" i="26" s="1"/>
  <c r="P45" i="12"/>
  <c r="R45" i="12"/>
  <c r="P26" i="12"/>
  <c r="P28" i="12"/>
  <c r="P31" i="12"/>
  <c r="P9" i="12"/>
  <c r="P11" i="12"/>
  <c r="P14" i="12"/>
  <c r="Q26" i="12"/>
  <c r="Q28" i="12"/>
  <c r="Q31" i="12"/>
  <c r="Q9" i="12"/>
  <c r="Q11" i="12"/>
  <c r="Q14" i="12"/>
  <c r="R26" i="12"/>
  <c r="R28" i="12"/>
  <c r="R31" i="12"/>
  <c r="R9" i="12"/>
  <c r="R11" i="12"/>
  <c r="R14" i="12"/>
  <c r="S32" i="12"/>
  <c r="S30" i="12"/>
  <c r="S29" i="12"/>
  <c r="S27" i="12"/>
  <c r="S24" i="12"/>
  <c r="P23" i="12"/>
  <c r="Q23" i="12"/>
  <c r="R23" i="12"/>
  <c r="S10" i="12"/>
  <c r="W36" i="13"/>
  <c r="W34" i="13"/>
  <c r="W30" i="13"/>
  <c r="W20" i="13"/>
  <c r="W19" i="13" s="1"/>
  <c r="W16" i="13"/>
  <c r="W12" i="13"/>
  <c r="W6" i="13"/>
  <c r="V5" i="13"/>
  <c r="V4" i="13" s="1"/>
  <c r="U5" i="13"/>
  <c r="U4" i="13" s="1"/>
  <c r="T5" i="13"/>
  <c r="T4" i="13" s="1"/>
  <c r="S36" i="13"/>
  <c r="S34" i="13"/>
  <c r="S30" i="13"/>
  <c r="S20" i="13"/>
  <c r="S19" i="13"/>
  <c r="P19" i="13"/>
  <c r="S16" i="13"/>
  <c r="S12" i="13"/>
  <c r="S6" i="13"/>
  <c r="R5" i="13"/>
  <c r="R4" i="13" s="1"/>
  <c r="Q5" i="13"/>
  <c r="Q4" i="13" s="1"/>
  <c r="P5" i="13"/>
  <c r="U43" i="14"/>
  <c r="U39" i="14"/>
  <c r="U38" i="14"/>
  <c r="U37" i="14"/>
  <c r="T44" i="14"/>
  <c r="T41" i="14"/>
  <c r="W41" i="14" s="1"/>
  <c r="Q43" i="14"/>
  <c r="Q39" i="14"/>
  <c r="Q38" i="14"/>
  <c r="Q37" i="14"/>
  <c r="P44" i="14"/>
  <c r="P43" i="14"/>
  <c r="P41" i="14"/>
  <c r="S41" i="14" s="1"/>
  <c r="P39" i="14"/>
  <c r="P38" i="14"/>
  <c r="P37" i="14"/>
  <c r="V37" i="14"/>
  <c r="V38" i="14"/>
  <c r="V39" i="14"/>
  <c r="V43" i="14"/>
  <c r="V44" i="14"/>
  <c r="W45" i="14"/>
  <c r="W40" i="14"/>
  <c r="T23" i="14"/>
  <c r="T25" i="14"/>
  <c r="T28" i="14"/>
  <c r="T9" i="14"/>
  <c r="T20" i="14"/>
  <c r="U23" i="14"/>
  <c r="U25" i="14"/>
  <c r="U28" i="14"/>
  <c r="U9" i="14"/>
  <c r="U11" i="14"/>
  <c r="U20" i="14"/>
  <c r="V23" i="14"/>
  <c r="V25" i="14"/>
  <c r="V28" i="14"/>
  <c r="V9" i="14"/>
  <c r="V11" i="14"/>
  <c r="V20" i="14"/>
  <c r="W33" i="14"/>
  <c r="W29" i="14"/>
  <c r="W27" i="14"/>
  <c r="W26" i="14"/>
  <c r="W24" i="14"/>
  <c r="W21" i="14"/>
  <c r="W19" i="14"/>
  <c r="W18" i="14"/>
  <c r="W17" i="14"/>
  <c r="W16" i="14"/>
  <c r="W15" i="14"/>
  <c r="W14" i="14"/>
  <c r="W13" i="14"/>
  <c r="W12" i="14"/>
  <c r="W10" i="14"/>
  <c r="W7" i="14"/>
  <c r="W6" i="14"/>
  <c r="Q44" i="14"/>
  <c r="R36" i="14"/>
  <c r="S45" i="14"/>
  <c r="S40" i="14"/>
  <c r="P23" i="14"/>
  <c r="P25" i="14"/>
  <c r="P28" i="14"/>
  <c r="P9" i="14"/>
  <c r="P11" i="14"/>
  <c r="P20" i="14"/>
  <c r="Q23" i="14"/>
  <c r="Q25" i="14"/>
  <c r="Q28" i="14"/>
  <c r="Q9" i="14"/>
  <c r="Q11" i="14"/>
  <c r="Q20" i="14"/>
  <c r="R23" i="14"/>
  <c r="R25" i="14"/>
  <c r="R28" i="14"/>
  <c r="R9" i="14"/>
  <c r="R11" i="14"/>
  <c r="R20" i="14"/>
  <c r="S33" i="14"/>
  <c r="S29" i="14"/>
  <c r="S27" i="14"/>
  <c r="S26" i="14"/>
  <c r="S24" i="14"/>
  <c r="S21" i="14"/>
  <c r="S19" i="14"/>
  <c r="S18" i="14"/>
  <c r="S17" i="14"/>
  <c r="S16" i="14"/>
  <c r="S15" i="14"/>
  <c r="S14" i="14"/>
  <c r="S13" i="14"/>
  <c r="S12" i="14"/>
  <c r="S10" i="14"/>
  <c r="S7" i="14"/>
  <c r="P6" i="14"/>
  <c r="S6" i="14" s="1"/>
  <c r="R99" i="15"/>
  <c r="U44" i="14" s="1"/>
  <c r="Q75" i="15"/>
  <c r="P75" i="15"/>
  <c r="R70" i="15"/>
  <c r="R65" i="15"/>
  <c r="R60" i="15"/>
  <c r="R55" i="15"/>
  <c r="R45" i="15"/>
  <c r="R41" i="15"/>
  <c r="R108" i="15" s="1"/>
  <c r="R32" i="15"/>
  <c r="R27" i="15"/>
  <c r="R23" i="15"/>
  <c r="R20" i="15"/>
  <c r="R17" i="15"/>
  <c r="R44" i="14"/>
  <c r="R42" i="14" s="1"/>
  <c r="N75" i="15"/>
  <c r="M75" i="15"/>
  <c r="M109" i="15" s="1"/>
  <c r="O70" i="15"/>
  <c r="O65" i="15"/>
  <c r="M65" i="15"/>
  <c r="O60" i="15"/>
  <c r="O55" i="15"/>
  <c r="O41" i="15"/>
  <c r="O108" i="15" s="1"/>
  <c r="O32" i="15"/>
  <c r="O27" i="15"/>
  <c r="O23" i="15"/>
  <c r="O20" i="15"/>
  <c r="O107" i="15" s="1"/>
  <c r="O17" i="15"/>
  <c r="O12" i="15"/>
  <c r="O7" i="15"/>
  <c r="U41" i="16"/>
  <c r="U39" i="16"/>
  <c r="W39" i="16" s="1"/>
  <c r="U38" i="16"/>
  <c r="U37" i="16"/>
  <c r="U43" i="16"/>
  <c r="Q41" i="16"/>
  <c r="Q39" i="16"/>
  <c r="Q38" i="16"/>
  <c r="Q37" i="16"/>
  <c r="Q43" i="16"/>
  <c r="T42" i="16"/>
  <c r="V36" i="16"/>
  <c r="V42" i="16"/>
  <c r="W45" i="16"/>
  <c r="W44" i="16"/>
  <c r="W40" i="16"/>
  <c r="T9" i="16"/>
  <c r="T11" i="16"/>
  <c r="T20" i="16"/>
  <c r="T23" i="16"/>
  <c r="T25" i="16"/>
  <c r="T28" i="16"/>
  <c r="U9" i="16"/>
  <c r="U11" i="16"/>
  <c r="U20" i="16"/>
  <c r="U23" i="16"/>
  <c r="U25" i="16"/>
  <c r="U28" i="16"/>
  <c r="V9" i="16"/>
  <c r="V11" i="16"/>
  <c r="V20" i="16"/>
  <c r="V23" i="16"/>
  <c r="V25" i="16"/>
  <c r="V28" i="16"/>
  <c r="W33" i="16"/>
  <c r="W29" i="16"/>
  <c r="W27" i="16"/>
  <c r="W26" i="16"/>
  <c r="W24" i="16"/>
  <c r="W21" i="16"/>
  <c r="W19" i="16"/>
  <c r="W18" i="16"/>
  <c r="W17" i="16"/>
  <c r="W16" i="16"/>
  <c r="W15" i="16"/>
  <c r="W14" i="16"/>
  <c r="W13" i="16"/>
  <c r="W12" i="16"/>
  <c r="W10" i="16"/>
  <c r="W7" i="16"/>
  <c r="W6" i="16"/>
  <c r="R36" i="16"/>
  <c r="R42" i="16"/>
  <c r="S45" i="16"/>
  <c r="S44" i="16"/>
  <c r="S40" i="16"/>
  <c r="P9" i="16"/>
  <c r="P11" i="16"/>
  <c r="P20" i="16"/>
  <c r="P23" i="16"/>
  <c r="P25" i="16"/>
  <c r="P28" i="16"/>
  <c r="Q9" i="16"/>
  <c r="Q11" i="16"/>
  <c r="Q20" i="16"/>
  <c r="Q23" i="16"/>
  <c r="Q25" i="16"/>
  <c r="Q28" i="16"/>
  <c r="R9" i="16"/>
  <c r="R11" i="16"/>
  <c r="R20" i="16"/>
  <c r="R23" i="16"/>
  <c r="R25" i="16"/>
  <c r="R28" i="16"/>
  <c r="S33" i="16"/>
  <c r="S29" i="16"/>
  <c r="S27" i="16"/>
  <c r="S26" i="16"/>
  <c r="S24" i="16"/>
  <c r="S21" i="16"/>
  <c r="S19" i="16"/>
  <c r="S18" i="16"/>
  <c r="S17" i="16"/>
  <c r="S16" i="16"/>
  <c r="S15" i="16"/>
  <c r="S14" i="16"/>
  <c r="S13" i="16"/>
  <c r="S12" i="16"/>
  <c r="S10" i="16"/>
  <c r="S7" i="16"/>
  <c r="S6" i="16"/>
  <c r="U41" i="17"/>
  <c r="U39" i="17"/>
  <c r="U38" i="17"/>
  <c r="U37" i="17"/>
  <c r="U43" i="17"/>
  <c r="U42" i="17" s="1"/>
  <c r="Q41" i="17"/>
  <c r="Q39" i="17"/>
  <c r="Q38" i="17"/>
  <c r="Q37" i="17"/>
  <c r="Q43" i="17"/>
  <c r="Q42" i="17" s="1"/>
  <c r="V36" i="17"/>
  <c r="V42" i="17"/>
  <c r="W45" i="17"/>
  <c r="W44" i="17"/>
  <c r="W40" i="17"/>
  <c r="T9" i="17"/>
  <c r="T11" i="17"/>
  <c r="T20" i="17"/>
  <c r="T23" i="17"/>
  <c r="T25" i="17"/>
  <c r="T28" i="17"/>
  <c r="U9" i="17"/>
  <c r="U11" i="17"/>
  <c r="U20" i="17"/>
  <c r="U23" i="17"/>
  <c r="U25" i="17"/>
  <c r="U28" i="17"/>
  <c r="V9" i="17"/>
  <c r="V11" i="17"/>
  <c r="V20" i="17"/>
  <c r="V23" i="17"/>
  <c r="V25" i="17"/>
  <c r="V28" i="17"/>
  <c r="W29" i="17"/>
  <c r="W27" i="17"/>
  <c r="W26" i="17"/>
  <c r="W24" i="17"/>
  <c r="W21" i="17"/>
  <c r="W19" i="17"/>
  <c r="W18" i="17"/>
  <c r="W17" i="17"/>
  <c r="W16" i="17"/>
  <c r="W15" i="17"/>
  <c r="W14" i="17"/>
  <c r="W13" i="17"/>
  <c r="W12" i="17"/>
  <c r="W10" i="17"/>
  <c r="W7" i="17"/>
  <c r="W6" i="17"/>
  <c r="R36" i="17"/>
  <c r="R42" i="17"/>
  <c r="S45" i="17"/>
  <c r="S44" i="17"/>
  <c r="S40" i="17"/>
  <c r="P9" i="17"/>
  <c r="P11" i="17"/>
  <c r="P20" i="17"/>
  <c r="P23" i="17"/>
  <c r="P25" i="17"/>
  <c r="P28" i="17"/>
  <c r="Q9" i="17"/>
  <c r="Q11" i="17"/>
  <c r="Q20" i="17"/>
  <c r="Q23" i="17"/>
  <c r="Q25" i="17"/>
  <c r="Q28" i="17"/>
  <c r="R9" i="17"/>
  <c r="R11" i="17"/>
  <c r="R20" i="17"/>
  <c r="R23" i="17"/>
  <c r="R25" i="17"/>
  <c r="R28" i="17"/>
  <c r="S33" i="17"/>
  <c r="S29" i="17"/>
  <c r="S27" i="17"/>
  <c r="S26" i="17"/>
  <c r="S24" i="17"/>
  <c r="S21" i="17"/>
  <c r="S19" i="17"/>
  <c r="S18" i="17"/>
  <c r="S17" i="17"/>
  <c r="S16" i="17"/>
  <c r="S15" i="17"/>
  <c r="S14" i="17"/>
  <c r="S13" i="17"/>
  <c r="S12" i="17"/>
  <c r="S10" i="17"/>
  <c r="S7" i="17"/>
  <c r="S6" i="17"/>
  <c r="U41" i="18"/>
  <c r="U39" i="18"/>
  <c r="U38" i="18"/>
  <c r="U37" i="18"/>
  <c r="U43" i="18"/>
  <c r="Q41" i="18"/>
  <c r="Q39" i="18"/>
  <c r="Q38" i="18"/>
  <c r="S38" i="18" s="1"/>
  <c r="Q37" i="18"/>
  <c r="Q43" i="18"/>
  <c r="V36" i="18"/>
  <c r="V42" i="18"/>
  <c r="W45" i="18"/>
  <c r="W44" i="18"/>
  <c r="W40" i="18"/>
  <c r="T23" i="18"/>
  <c r="T25" i="18"/>
  <c r="T28" i="18"/>
  <c r="T9" i="18"/>
  <c r="T11" i="18"/>
  <c r="T20" i="18"/>
  <c r="U23" i="18"/>
  <c r="U25" i="18"/>
  <c r="U28" i="18"/>
  <c r="U9" i="18"/>
  <c r="U11" i="18"/>
  <c r="U20" i="18"/>
  <c r="V23" i="18"/>
  <c r="V25" i="18"/>
  <c r="V28" i="18"/>
  <c r="V9" i="18"/>
  <c r="V11" i="18"/>
  <c r="V20" i="18"/>
  <c r="W33" i="18"/>
  <c r="W29" i="18"/>
  <c r="W27" i="18"/>
  <c r="W26" i="18"/>
  <c r="W24" i="18"/>
  <c r="W21" i="18"/>
  <c r="W19" i="18"/>
  <c r="W18" i="18"/>
  <c r="W17" i="18"/>
  <c r="W16" i="18"/>
  <c r="W15" i="18"/>
  <c r="W14" i="18"/>
  <c r="W13" i="18"/>
  <c r="W12" i="18"/>
  <c r="W10" i="18"/>
  <c r="W7" i="18"/>
  <c r="W6" i="18"/>
  <c r="R36" i="18"/>
  <c r="R42" i="18"/>
  <c r="S45" i="18"/>
  <c r="S44" i="18"/>
  <c r="S40" i="18"/>
  <c r="P23" i="18"/>
  <c r="P25" i="18"/>
  <c r="P28" i="18"/>
  <c r="P9" i="18"/>
  <c r="P11" i="18"/>
  <c r="P20" i="18"/>
  <c r="Q23" i="18"/>
  <c r="Q25" i="18"/>
  <c r="Q28" i="18"/>
  <c r="Q9" i="18"/>
  <c r="Q11" i="18"/>
  <c r="Q20" i="18"/>
  <c r="R23" i="18"/>
  <c r="R25" i="18"/>
  <c r="R28" i="18"/>
  <c r="R9" i="18"/>
  <c r="R11" i="18"/>
  <c r="R20" i="18"/>
  <c r="S33" i="18"/>
  <c r="S29" i="18"/>
  <c r="S27" i="18"/>
  <c r="S26" i="18"/>
  <c r="S24" i="18"/>
  <c r="S21" i="18"/>
  <c r="S19" i="18"/>
  <c r="S18" i="18"/>
  <c r="S17" i="18"/>
  <c r="S16" i="18"/>
  <c r="S15" i="18"/>
  <c r="S14" i="18"/>
  <c r="S13" i="18"/>
  <c r="S12" i="18"/>
  <c r="S10" i="18"/>
  <c r="S7" i="18"/>
  <c r="S6" i="18"/>
  <c r="Q43" i="19"/>
  <c r="Q42" i="19" s="1"/>
  <c r="V36" i="19"/>
  <c r="V42" i="19"/>
  <c r="W45" i="19"/>
  <c r="W44" i="19"/>
  <c r="W40" i="19"/>
  <c r="T9" i="19"/>
  <c r="T11" i="19"/>
  <c r="T20" i="19"/>
  <c r="T23" i="19"/>
  <c r="T25" i="19"/>
  <c r="T28" i="19"/>
  <c r="U9" i="19"/>
  <c r="U11" i="19"/>
  <c r="U20" i="19"/>
  <c r="U23" i="19"/>
  <c r="U25" i="19"/>
  <c r="U28" i="19"/>
  <c r="V9" i="19"/>
  <c r="V11" i="19"/>
  <c r="V20" i="19"/>
  <c r="V23" i="19"/>
  <c r="V25" i="19"/>
  <c r="V28" i="19"/>
  <c r="W33" i="19"/>
  <c r="W29" i="19"/>
  <c r="W27" i="19"/>
  <c r="W26" i="19"/>
  <c r="W24" i="19"/>
  <c r="W21" i="19"/>
  <c r="W19" i="19"/>
  <c r="W18" i="19"/>
  <c r="W17" i="19"/>
  <c r="W16" i="19"/>
  <c r="W15" i="19"/>
  <c r="W14" i="19"/>
  <c r="W13" i="19"/>
  <c r="W12" i="19"/>
  <c r="W10" i="19"/>
  <c r="W7" i="19"/>
  <c r="W6" i="19"/>
  <c r="R36" i="19"/>
  <c r="R42" i="19"/>
  <c r="S45" i="19"/>
  <c r="S44" i="19"/>
  <c r="S40" i="19"/>
  <c r="P9" i="19"/>
  <c r="P11" i="19"/>
  <c r="P20" i="19"/>
  <c r="P23" i="19"/>
  <c r="P25" i="19"/>
  <c r="P28" i="19"/>
  <c r="Q9" i="19"/>
  <c r="Q11" i="19"/>
  <c r="Q20" i="19"/>
  <c r="Q23" i="19"/>
  <c r="Q25" i="19"/>
  <c r="Q28" i="19"/>
  <c r="R9" i="19"/>
  <c r="R11" i="19"/>
  <c r="R20" i="19"/>
  <c r="R23" i="19"/>
  <c r="R25" i="19"/>
  <c r="R28" i="19"/>
  <c r="S33" i="19"/>
  <c r="S29" i="19"/>
  <c r="S27" i="19"/>
  <c r="S26" i="19"/>
  <c r="S24" i="19"/>
  <c r="S21" i="19"/>
  <c r="S19" i="19"/>
  <c r="S18" i="19"/>
  <c r="S17" i="19"/>
  <c r="S16" i="19"/>
  <c r="S15" i="19"/>
  <c r="S14" i="19"/>
  <c r="S13" i="19"/>
  <c r="S12" i="19"/>
  <c r="S10" i="19"/>
  <c r="S7" i="19"/>
  <c r="S6" i="19"/>
  <c r="V43" i="20"/>
  <c r="V42" i="20" s="1"/>
  <c r="R43" i="20"/>
  <c r="R42" i="20" s="1"/>
  <c r="V36" i="20"/>
  <c r="W45" i="20"/>
  <c r="W44" i="20"/>
  <c r="W40" i="20"/>
  <c r="T23" i="20"/>
  <c r="T25" i="20"/>
  <c r="T28" i="20"/>
  <c r="T9" i="20"/>
  <c r="T11" i="20"/>
  <c r="T20" i="20"/>
  <c r="U23" i="20"/>
  <c r="U25" i="20"/>
  <c r="U28" i="20"/>
  <c r="U9" i="20"/>
  <c r="U11" i="20"/>
  <c r="U20" i="20"/>
  <c r="V23" i="20"/>
  <c r="V25" i="20"/>
  <c r="V28" i="20"/>
  <c r="V9" i="20"/>
  <c r="V11" i="20"/>
  <c r="V20" i="20"/>
  <c r="W33" i="20"/>
  <c r="W29" i="20"/>
  <c r="W27" i="20"/>
  <c r="W26" i="20"/>
  <c r="W24" i="20"/>
  <c r="W21" i="20"/>
  <c r="W19" i="20"/>
  <c r="W18" i="20"/>
  <c r="W17" i="20"/>
  <c r="W16" i="20"/>
  <c r="W15" i="20"/>
  <c r="W14" i="20"/>
  <c r="W13" i="20"/>
  <c r="W12" i="20"/>
  <c r="W10" i="20"/>
  <c r="W7" i="20"/>
  <c r="W6" i="20"/>
  <c r="G16" i="26" s="1"/>
  <c r="R36" i="20"/>
  <c r="S45" i="20"/>
  <c r="S44" i="20"/>
  <c r="S40" i="20"/>
  <c r="P23" i="20"/>
  <c r="P25" i="20"/>
  <c r="P28" i="20"/>
  <c r="P9" i="20"/>
  <c r="P11" i="20"/>
  <c r="P20" i="20"/>
  <c r="Q23" i="20"/>
  <c r="Q25" i="20"/>
  <c r="Q28" i="20"/>
  <c r="Q9" i="20"/>
  <c r="Q11" i="20"/>
  <c r="Q20" i="20"/>
  <c r="R23" i="20"/>
  <c r="R25" i="20"/>
  <c r="R28" i="20"/>
  <c r="R9" i="20"/>
  <c r="R11" i="20"/>
  <c r="R20" i="20"/>
  <c r="S33" i="20"/>
  <c r="S29" i="20"/>
  <c r="S27" i="20"/>
  <c r="S26" i="20"/>
  <c r="S24" i="20"/>
  <c r="S21" i="20"/>
  <c r="S19" i="20"/>
  <c r="S18" i="20"/>
  <c r="S17" i="20"/>
  <c r="S16" i="20"/>
  <c r="S15" i="20"/>
  <c r="S14" i="20"/>
  <c r="S13" i="20"/>
  <c r="S12" i="20"/>
  <c r="S10" i="20"/>
  <c r="S7" i="20"/>
  <c r="S6" i="20"/>
  <c r="U43" i="21"/>
  <c r="U39" i="21"/>
  <c r="U38" i="21"/>
  <c r="U37" i="21"/>
  <c r="Q43" i="21"/>
  <c r="Q39" i="21"/>
  <c r="Q38" i="21"/>
  <c r="V36" i="21"/>
  <c r="V42" i="21"/>
  <c r="W45" i="21"/>
  <c r="W44" i="21"/>
  <c r="W40" i="21"/>
  <c r="T23" i="21"/>
  <c r="T25" i="21"/>
  <c r="T28" i="21"/>
  <c r="T9" i="21"/>
  <c r="T11" i="21"/>
  <c r="T20" i="21"/>
  <c r="U23" i="21"/>
  <c r="U25" i="21"/>
  <c r="U28" i="21"/>
  <c r="U9" i="21"/>
  <c r="U11" i="21"/>
  <c r="U20" i="21"/>
  <c r="V23" i="21"/>
  <c r="V25" i="21"/>
  <c r="V28" i="21"/>
  <c r="V9" i="21"/>
  <c r="V11" i="21"/>
  <c r="V20" i="21"/>
  <c r="W33" i="21"/>
  <c r="W29" i="21"/>
  <c r="W27" i="21"/>
  <c r="W26" i="21"/>
  <c r="W24" i="21"/>
  <c r="W21" i="21"/>
  <c r="W19" i="21"/>
  <c r="W18" i="21"/>
  <c r="W17" i="21"/>
  <c r="W16" i="21"/>
  <c r="W15" i="21"/>
  <c r="W14" i="21"/>
  <c r="W13" i="21"/>
  <c r="W12" i="21"/>
  <c r="W10" i="21"/>
  <c r="W7" i="21"/>
  <c r="W6" i="21"/>
  <c r="G17" i="26" s="1"/>
  <c r="R36" i="21"/>
  <c r="R42" i="21"/>
  <c r="S45" i="21"/>
  <c r="S44" i="21"/>
  <c r="S40" i="21"/>
  <c r="P23" i="21"/>
  <c r="P25" i="21"/>
  <c r="P28" i="21"/>
  <c r="P9" i="21"/>
  <c r="P11" i="21"/>
  <c r="P20" i="21"/>
  <c r="Q23" i="21"/>
  <c r="Q25" i="21"/>
  <c r="Q28" i="21"/>
  <c r="Q9" i="21"/>
  <c r="Q11" i="21"/>
  <c r="Q20" i="21"/>
  <c r="R23" i="21"/>
  <c r="R25" i="21"/>
  <c r="R28" i="21"/>
  <c r="R9" i="21"/>
  <c r="R11" i="21"/>
  <c r="R20" i="21"/>
  <c r="S33" i="21"/>
  <c r="S29" i="21"/>
  <c r="S27" i="21"/>
  <c r="S26" i="21"/>
  <c r="S24" i="21"/>
  <c r="S21" i="21"/>
  <c r="S19" i="21"/>
  <c r="S18" i="21"/>
  <c r="S17" i="21"/>
  <c r="S16" i="21"/>
  <c r="S14" i="21"/>
  <c r="S13" i="21"/>
  <c r="S12" i="21"/>
  <c r="S10" i="21"/>
  <c r="S7" i="21"/>
  <c r="S6" i="21"/>
  <c r="U43" i="22"/>
  <c r="U42" i="22" s="1"/>
  <c r="U39" i="22"/>
  <c r="U38" i="22"/>
  <c r="U37" i="22"/>
  <c r="T45" i="22"/>
  <c r="W45" i="22" s="1"/>
  <c r="Q43" i="22"/>
  <c r="Q42" i="22" s="1"/>
  <c r="Q39" i="22"/>
  <c r="Q38" i="22"/>
  <c r="Q37" i="22"/>
  <c r="P45" i="22"/>
  <c r="V36" i="22"/>
  <c r="V42" i="22"/>
  <c r="W44" i="22"/>
  <c r="W40" i="22"/>
  <c r="T23" i="22"/>
  <c r="T25" i="22"/>
  <c r="T28" i="22"/>
  <c r="T9" i="22"/>
  <c r="T11" i="22"/>
  <c r="T20" i="22"/>
  <c r="U23" i="22"/>
  <c r="U25" i="22"/>
  <c r="U28" i="22"/>
  <c r="U9" i="22"/>
  <c r="U11" i="22"/>
  <c r="U20" i="22"/>
  <c r="V23" i="22"/>
  <c r="V25" i="22"/>
  <c r="V28" i="22"/>
  <c r="V9" i="22"/>
  <c r="V11" i="22"/>
  <c r="V20" i="22"/>
  <c r="W33" i="22"/>
  <c r="W29" i="22"/>
  <c r="W27" i="22"/>
  <c r="W26" i="22"/>
  <c r="W24" i="22"/>
  <c r="W21" i="22"/>
  <c r="W19" i="22"/>
  <c r="W18" i="22"/>
  <c r="W17" i="22"/>
  <c r="W14" i="22"/>
  <c r="W13" i="22"/>
  <c r="W12" i="22"/>
  <c r="W10" i="22"/>
  <c r="W7" i="22"/>
  <c r="W6" i="22"/>
  <c r="G18" i="26" s="1"/>
  <c r="R36" i="22"/>
  <c r="R42" i="22"/>
  <c r="S44" i="22"/>
  <c r="S40" i="22"/>
  <c r="P23" i="22"/>
  <c r="P25" i="22"/>
  <c r="P28" i="22"/>
  <c r="P9" i="22"/>
  <c r="S9" i="22" s="1"/>
  <c r="P11" i="22"/>
  <c r="P20" i="22"/>
  <c r="Q23" i="22"/>
  <c r="Q25" i="22"/>
  <c r="Q28" i="22"/>
  <c r="Q9" i="22"/>
  <c r="Q11" i="22"/>
  <c r="Q20" i="22"/>
  <c r="R23" i="22"/>
  <c r="R25" i="22"/>
  <c r="R28" i="22"/>
  <c r="R9" i="22"/>
  <c r="R11" i="22"/>
  <c r="R20" i="22"/>
  <c r="S33" i="22"/>
  <c r="S29" i="22"/>
  <c r="S27" i="22"/>
  <c r="S26" i="22"/>
  <c r="S24" i="22"/>
  <c r="S21" i="22"/>
  <c r="S19" i="22"/>
  <c r="S18" i="22"/>
  <c r="S17" i="22"/>
  <c r="S16" i="22"/>
  <c r="S15" i="22"/>
  <c r="S14" i="22"/>
  <c r="S13" i="22"/>
  <c r="S12" i="22"/>
  <c r="S10" i="22"/>
  <c r="S7" i="22"/>
  <c r="S6" i="22"/>
  <c r="R123" i="24"/>
  <c r="Q123" i="24"/>
  <c r="P123" i="24"/>
  <c r="P116" i="24" s="1"/>
  <c r="P115" i="24" s="1"/>
  <c r="R117" i="24"/>
  <c r="Q117" i="24"/>
  <c r="R109" i="24"/>
  <c r="Q109" i="24"/>
  <c r="P109" i="24"/>
  <c r="P97" i="24" s="1"/>
  <c r="P96" i="24" s="1"/>
  <c r="R104" i="24"/>
  <c r="Q104" i="24"/>
  <c r="R98" i="24"/>
  <c r="Q98" i="24"/>
  <c r="R91" i="24"/>
  <c r="R90" i="24" s="1"/>
  <c r="Q91" i="24"/>
  <c r="Q90" i="24" s="1"/>
  <c r="P90" i="24"/>
  <c r="R80" i="24"/>
  <c r="Q80" i="24"/>
  <c r="P80" i="24"/>
  <c r="P73" i="24" s="1"/>
  <c r="R74" i="24"/>
  <c r="Q74" i="24"/>
  <c r="R67" i="24"/>
  <c r="Q67" i="24"/>
  <c r="Q66" i="24" s="1"/>
  <c r="P67" i="24"/>
  <c r="P66" i="24" s="1"/>
  <c r="R61" i="24"/>
  <c r="Q61" i="24"/>
  <c r="P61" i="24"/>
  <c r="R56" i="24"/>
  <c r="Q56" i="24"/>
  <c r="P56" i="24"/>
  <c r="R50" i="24"/>
  <c r="Q50" i="24"/>
  <c r="R42" i="24"/>
  <c r="Q42" i="24"/>
  <c r="P42" i="24"/>
  <c r="P35" i="24" s="1"/>
  <c r="P34" i="24" s="1"/>
  <c r="R36" i="24"/>
  <c r="Q36" i="24"/>
  <c r="R28" i="24"/>
  <c r="Q28" i="24"/>
  <c r="P28" i="24"/>
  <c r="P21" i="24" s="1"/>
  <c r="P20" i="24" s="1"/>
  <c r="R22" i="24"/>
  <c r="Q22" i="24"/>
  <c r="R14" i="24"/>
  <c r="Q14" i="24"/>
  <c r="P14" i="24"/>
  <c r="P7" i="24" s="1"/>
  <c r="P6" i="24" s="1"/>
  <c r="R8" i="24"/>
  <c r="Q8" i="24"/>
  <c r="O123" i="24"/>
  <c r="N123" i="24"/>
  <c r="M123" i="24"/>
  <c r="M116" i="24" s="1"/>
  <c r="M115" i="24" s="1"/>
  <c r="O117" i="24"/>
  <c r="N117" i="24"/>
  <c r="O109" i="24"/>
  <c r="N109" i="24"/>
  <c r="M109" i="24"/>
  <c r="M97" i="24" s="1"/>
  <c r="M96" i="24" s="1"/>
  <c r="O104" i="24"/>
  <c r="N104" i="24"/>
  <c r="N98" i="24"/>
  <c r="N91" i="24"/>
  <c r="N90" i="24" s="1"/>
  <c r="O90" i="24"/>
  <c r="M90" i="24"/>
  <c r="N80" i="24"/>
  <c r="M80" i="24"/>
  <c r="M73" i="24" s="1"/>
  <c r="N74" i="24"/>
  <c r="O70" i="24"/>
  <c r="Q39" i="19" s="1"/>
  <c r="O69" i="24"/>
  <c r="Q38" i="19" s="1"/>
  <c r="O68" i="24"/>
  <c r="N67" i="24"/>
  <c r="N66" i="24" s="1"/>
  <c r="M67" i="24"/>
  <c r="M66" i="24" s="1"/>
  <c r="N61" i="24"/>
  <c r="M61" i="24"/>
  <c r="N56" i="24"/>
  <c r="M56" i="24"/>
  <c r="N50" i="24"/>
  <c r="N42" i="24"/>
  <c r="M42" i="24"/>
  <c r="M35" i="24" s="1"/>
  <c r="M34" i="24" s="1"/>
  <c r="N36" i="24"/>
  <c r="N28" i="24"/>
  <c r="M28" i="24"/>
  <c r="M21" i="24" s="1"/>
  <c r="M20" i="24" s="1"/>
  <c r="N22" i="24"/>
  <c r="N14" i="24"/>
  <c r="M14" i="24"/>
  <c r="M7" i="24" s="1"/>
  <c r="M6" i="24" s="1"/>
  <c r="N8" i="24"/>
  <c r="H44" i="14"/>
  <c r="H17" i="4" s="1"/>
  <c r="C91" i="24"/>
  <c r="C90" i="24" s="1"/>
  <c r="C41" i="15"/>
  <c r="C45" i="15"/>
  <c r="C51" i="15"/>
  <c r="C55" i="15"/>
  <c r="C61" i="15"/>
  <c r="C62" i="15"/>
  <c r="C66" i="15"/>
  <c r="C67" i="15"/>
  <c r="C7" i="15"/>
  <c r="C12" i="15"/>
  <c r="C17" i="15"/>
  <c r="C20" i="15"/>
  <c r="C23" i="15"/>
  <c r="C27" i="15"/>
  <c r="C32" i="15"/>
  <c r="C37" i="15"/>
  <c r="C70" i="15"/>
  <c r="C61" i="24"/>
  <c r="C8" i="24"/>
  <c r="C22" i="24"/>
  <c r="C36" i="24"/>
  <c r="C14" i="24"/>
  <c r="C28" i="24"/>
  <c r="C42" i="24"/>
  <c r="C50" i="24"/>
  <c r="C56" i="24"/>
  <c r="C74" i="24"/>
  <c r="C80" i="24"/>
  <c r="C101" i="24"/>
  <c r="C105" i="24"/>
  <c r="C37" i="21" s="1"/>
  <c r="C106" i="24"/>
  <c r="C109" i="24"/>
  <c r="C117" i="24"/>
  <c r="C123" i="24"/>
  <c r="C67" i="24"/>
  <c r="C66" i="24" s="1"/>
  <c r="L79" i="24"/>
  <c r="L42" i="20" s="1"/>
  <c r="J65" i="15"/>
  <c r="L6" i="14"/>
  <c r="O6" i="14" s="1"/>
  <c r="L7" i="15"/>
  <c r="L23" i="24"/>
  <c r="L22" i="24" s="1"/>
  <c r="L37" i="24"/>
  <c r="L51" i="24"/>
  <c r="L57" i="24"/>
  <c r="L75" i="24"/>
  <c r="L99" i="24"/>
  <c r="L105" i="24"/>
  <c r="L118" i="24"/>
  <c r="L37" i="22" s="1"/>
  <c r="L24" i="24"/>
  <c r="L38" i="24"/>
  <c r="L52" i="24"/>
  <c r="L58" i="24"/>
  <c r="L76" i="24"/>
  <c r="L100" i="24"/>
  <c r="L38" i="21" s="1"/>
  <c r="L119" i="24"/>
  <c r="L38" i="22" s="1"/>
  <c r="L53" i="24"/>
  <c r="L59" i="24"/>
  <c r="L64" i="24"/>
  <c r="L61" i="24" s="1"/>
  <c r="L77" i="24"/>
  <c r="L101" i="24"/>
  <c r="L39" i="22"/>
  <c r="O13" i="7"/>
  <c r="D26" i="9"/>
  <c r="O41" i="16"/>
  <c r="O41" i="17"/>
  <c r="O41" i="18"/>
  <c r="O41" i="19"/>
  <c r="O41" i="20"/>
  <c r="L41" i="21"/>
  <c r="O41" i="21" s="1"/>
  <c r="L41" i="22"/>
  <c r="O41" i="22" s="1"/>
  <c r="L68" i="24"/>
  <c r="L92" i="24"/>
  <c r="M37" i="22"/>
  <c r="M9" i="7"/>
  <c r="M6" i="4" s="1"/>
  <c r="L69" i="24"/>
  <c r="M38" i="21"/>
  <c r="M38" i="22"/>
  <c r="L70" i="24"/>
  <c r="L94" i="24"/>
  <c r="M39" i="21"/>
  <c r="M39" i="22"/>
  <c r="M11" i="7"/>
  <c r="M8" i="4" s="1"/>
  <c r="O8" i="4" s="1"/>
  <c r="L150" i="8"/>
  <c r="L157" i="8"/>
  <c r="L192" i="8"/>
  <c r="O59" i="6"/>
  <c r="M59" i="6"/>
  <c r="M57" i="6" s="1"/>
  <c r="L125" i="8"/>
  <c r="D5" i="5"/>
  <c r="L70" i="15"/>
  <c r="L27" i="15"/>
  <c r="L17" i="15"/>
  <c r="L12" i="15"/>
  <c r="M23" i="7"/>
  <c r="M17" i="4" s="1"/>
  <c r="N39" i="7"/>
  <c r="O29" i="7"/>
  <c r="L188" i="8"/>
  <c r="L186" i="8"/>
  <c r="L182" i="8"/>
  <c r="L173" i="8"/>
  <c r="L163" i="8"/>
  <c r="L161" i="8"/>
  <c r="L159" i="8"/>
  <c r="L155" i="8"/>
  <c r="L153" i="8"/>
  <c r="L147" i="8"/>
  <c r="L145" i="8"/>
  <c r="L143" i="8"/>
  <c r="L141" i="8"/>
  <c r="L139" i="8"/>
  <c r="L137" i="8"/>
  <c r="L135" i="8"/>
  <c r="L129" i="8"/>
  <c r="L127" i="8"/>
  <c r="L106" i="8"/>
  <c r="L104" i="8"/>
  <c r="L95" i="8"/>
  <c r="L93" i="8"/>
  <c r="L91" i="8"/>
  <c r="L87" i="8"/>
  <c r="L79" i="8"/>
  <c r="L69" i="8"/>
  <c r="O16" i="13"/>
  <c r="L67" i="8"/>
  <c r="L65" i="8"/>
  <c r="L55" i="8"/>
  <c r="L27" i="8"/>
  <c r="O12" i="13"/>
  <c r="L23" i="8"/>
  <c r="L21" i="8"/>
  <c r="L17" i="4"/>
  <c r="M12" i="2" s="1"/>
  <c r="M42" i="16"/>
  <c r="L42" i="16"/>
  <c r="M43" i="17"/>
  <c r="L42" i="17"/>
  <c r="M42" i="19"/>
  <c r="L43" i="21"/>
  <c r="L42" i="21" s="1"/>
  <c r="L45" i="22"/>
  <c r="O45" i="22" s="1"/>
  <c r="L43" i="22"/>
  <c r="L195" i="8"/>
  <c r="N101" i="6"/>
  <c r="M101" i="6"/>
  <c r="N85" i="6"/>
  <c r="M85" i="6"/>
  <c r="L85" i="6"/>
  <c r="N81" i="6"/>
  <c r="M81" i="6"/>
  <c r="L81" i="6"/>
  <c r="N72" i="6"/>
  <c r="N70" i="6" s="1"/>
  <c r="M72" i="6"/>
  <c r="N48" i="6"/>
  <c r="N21" i="3" s="1"/>
  <c r="M48" i="6"/>
  <c r="M21" i="3" s="1"/>
  <c r="N45" i="6"/>
  <c r="N19" i="3" s="1"/>
  <c r="M45" i="6"/>
  <c r="M19" i="3" s="1"/>
  <c r="M27" i="6"/>
  <c r="M11" i="3" s="1"/>
  <c r="M31" i="6"/>
  <c r="M12" i="3" s="1"/>
  <c r="M34" i="6"/>
  <c r="M13" i="3" s="1"/>
  <c r="N34" i="6"/>
  <c r="N13" i="3" s="1"/>
  <c r="L34" i="6"/>
  <c r="L13" i="3" s="1"/>
  <c r="N31" i="6"/>
  <c r="N12" i="3" s="1"/>
  <c r="N27" i="6"/>
  <c r="N11" i="3" s="1"/>
  <c r="L27" i="6"/>
  <c r="L11" i="3" s="1"/>
  <c r="N7" i="6"/>
  <c r="M7" i="6"/>
  <c r="N34" i="4"/>
  <c r="M34" i="4"/>
  <c r="N33" i="4"/>
  <c r="M33" i="4"/>
  <c r="N31" i="4"/>
  <c r="M31" i="4"/>
  <c r="N28" i="4"/>
  <c r="M28" i="4"/>
  <c r="N27" i="4"/>
  <c r="M27" i="4"/>
  <c r="O23" i="4"/>
  <c r="O22" i="4"/>
  <c r="O21" i="4"/>
  <c r="O20" i="4"/>
  <c r="O19" i="4"/>
  <c r="N24" i="7"/>
  <c r="N18" i="4" s="1"/>
  <c r="M24" i="7"/>
  <c r="M18" i="4" s="1"/>
  <c r="O14" i="4"/>
  <c r="O13" i="4"/>
  <c r="O12" i="4"/>
  <c r="O11" i="4"/>
  <c r="O10" i="4"/>
  <c r="O36" i="13"/>
  <c r="O34" i="13"/>
  <c r="O108" i="6"/>
  <c r="O107" i="6"/>
  <c r="N106" i="6"/>
  <c r="M106" i="6"/>
  <c r="L106" i="6"/>
  <c r="N95" i="6"/>
  <c r="L101" i="6"/>
  <c r="L54" i="3" s="1"/>
  <c r="O54" i="3" s="1"/>
  <c r="O100" i="6"/>
  <c r="O99" i="6"/>
  <c r="O98" i="6"/>
  <c r="M95" i="6"/>
  <c r="L95" i="6"/>
  <c r="O80" i="6"/>
  <c r="O79" i="6"/>
  <c r="O71" i="6"/>
  <c r="O64" i="6"/>
  <c r="O63" i="6"/>
  <c r="N62" i="6"/>
  <c r="M62" i="6"/>
  <c r="L62" i="6"/>
  <c r="O58" i="6"/>
  <c r="L57" i="6"/>
  <c r="N57" i="6"/>
  <c r="O52" i="6"/>
  <c r="L45" i="6"/>
  <c r="O44" i="6"/>
  <c r="N38" i="6"/>
  <c r="M38" i="6"/>
  <c r="L38" i="6"/>
  <c r="L31" i="6"/>
  <c r="L12" i="3" s="1"/>
  <c r="O16" i="6"/>
  <c r="L7" i="6"/>
  <c r="L6" i="3" s="1"/>
  <c r="O43" i="7"/>
  <c r="O42" i="7"/>
  <c r="N41" i="7"/>
  <c r="L41" i="7"/>
  <c r="M41" i="7"/>
  <c r="O40" i="7"/>
  <c r="O36" i="7"/>
  <c r="O35" i="7"/>
  <c r="O34" i="7"/>
  <c r="O33" i="7"/>
  <c r="O28" i="7"/>
  <c r="O27" i="7"/>
  <c r="O26" i="7"/>
  <c r="O25" i="7"/>
  <c r="O14" i="7"/>
  <c r="O6" i="7"/>
  <c r="O5" i="7"/>
  <c r="J30" i="10"/>
  <c r="J27" i="10"/>
  <c r="J20" i="10"/>
  <c r="J17" i="10"/>
  <c r="J16" i="10" s="1"/>
  <c r="I13" i="10"/>
  <c r="I12" i="10" s="1"/>
  <c r="I7" i="10"/>
  <c r="I6" i="10" s="1"/>
  <c r="I5" i="10" s="1"/>
  <c r="I11" i="10" s="1"/>
  <c r="J31" i="11"/>
  <c r="J30" i="11" s="1"/>
  <c r="J29" i="11"/>
  <c r="J28" i="11" s="1"/>
  <c r="J26" i="11"/>
  <c r="J24" i="11"/>
  <c r="I20" i="11"/>
  <c r="I19" i="11" s="1"/>
  <c r="I13" i="11"/>
  <c r="I10" i="11"/>
  <c r="I6" i="11"/>
  <c r="M45" i="12"/>
  <c r="L45" i="12"/>
  <c r="N45" i="12"/>
  <c r="O32" i="12"/>
  <c r="L31" i="12"/>
  <c r="M31" i="12"/>
  <c r="N31" i="12"/>
  <c r="L26" i="12"/>
  <c r="L28" i="12"/>
  <c r="O30" i="12"/>
  <c r="O29" i="12"/>
  <c r="N28" i="12"/>
  <c r="M28" i="12"/>
  <c r="M26" i="12"/>
  <c r="O27" i="12"/>
  <c r="N26" i="12"/>
  <c r="O24" i="12"/>
  <c r="L23" i="12"/>
  <c r="M23" i="12"/>
  <c r="N23" i="12"/>
  <c r="N14" i="12"/>
  <c r="N9" i="12"/>
  <c r="N11" i="12"/>
  <c r="M14" i="12"/>
  <c r="M9" i="12"/>
  <c r="M11" i="12"/>
  <c r="L11" i="12"/>
  <c r="O10" i="12"/>
  <c r="L9" i="12"/>
  <c r="O30" i="13"/>
  <c r="O20" i="13"/>
  <c r="L19" i="13"/>
  <c r="O6" i="13"/>
  <c r="N5" i="13"/>
  <c r="N4" i="13" s="1"/>
  <c r="M5" i="13"/>
  <c r="M4" i="13" s="1"/>
  <c r="L5" i="13"/>
  <c r="L4" i="13" s="1"/>
  <c r="O45" i="14"/>
  <c r="N44" i="14"/>
  <c r="N17" i="4" s="1"/>
  <c r="N43" i="14"/>
  <c r="N16" i="4" s="1"/>
  <c r="O40" i="14"/>
  <c r="O33" i="14"/>
  <c r="O29" i="14"/>
  <c r="N28" i="14"/>
  <c r="N23" i="14"/>
  <c r="N25" i="14"/>
  <c r="N9" i="14"/>
  <c r="N11" i="14"/>
  <c r="N20" i="14"/>
  <c r="M28" i="14"/>
  <c r="L28" i="14"/>
  <c r="O27" i="14"/>
  <c r="O26" i="14"/>
  <c r="L25" i="14"/>
  <c r="M25" i="14"/>
  <c r="O24" i="14"/>
  <c r="M23" i="14"/>
  <c r="L23" i="14"/>
  <c r="O21" i="14"/>
  <c r="M20" i="14"/>
  <c r="L20" i="14"/>
  <c r="O19" i="14"/>
  <c r="O18" i="14"/>
  <c r="O17" i="14"/>
  <c r="O16" i="14"/>
  <c r="O15" i="14"/>
  <c r="O14" i="14"/>
  <c r="O13" i="14"/>
  <c r="O12" i="14"/>
  <c r="M11" i="14"/>
  <c r="M9" i="14"/>
  <c r="L9" i="14"/>
  <c r="L11" i="14"/>
  <c r="O10" i="14"/>
  <c r="O7" i="14"/>
  <c r="K75" i="15"/>
  <c r="J75" i="15"/>
  <c r="J109" i="15" s="1"/>
  <c r="L65" i="15"/>
  <c r="L60" i="15"/>
  <c r="L55" i="15"/>
  <c r="O45" i="16"/>
  <c r="O44" i="16"/>
  <c r="N42" i="16"/>
  <c r="O40" i="16"/>
  <c r="N36" i="16"/>
  <c r="O33" i="16"/>
  <c r="O29" i="16"/>
  <c r="N28" i="16"/>
  <c r="L28" i="16"/>
  <c r="M28" i="16"/>
  <c r="O27" i="16"/>
  <c r="O26" i="16"/>
  <c r="N25" i="16"/>
  <c r="M25" i="16"/>
  <c r="L25" i="16"/>
  <c r="O24" i="16"/>
  <c r="N23" i="16"/>
  <c r="M23" i="16"/>
  <c r="M22" i="16" s="1"/>
  <c r="L23" i="16"/>
  <c r="M9" i="16"/>
  <c r="M11" i="16"/>
  <c r="M20" i="16"/>
  <c r="O21" i="16"/>
  <c r="N20" i="16"/>
  <c r="L20" i="16"/>
  <c r="O19" i="16"/>
  <c r="O18" i="16"/>
  <c r="O17" i="16"/>
  <c r="O16" i="16"/>
  <c r="O15" i="16"/>
  <c r="O14" i="16"/>
  <c r="O13" i="16"/>
  <c r="O12" i="16"/>
  <c r="N11" i="16"/>
  <c r="N9" i="16"/>
  <c r="L11" i="16"/>
  <c r="O10" i="16"/>
  <c r="L9" i="16"/>
  <c r="O7" i="16"/>
  <c r="O6" i="16"/>
  <c r="O45" i="17"/>
  <c r="O44" i="17"/>
  <c r="N42" i="17"/>
  <c r="O40" i="17"/>
  <c r="N36" i="17"/>
  <c r="O33" i="17"/>
  <c r="O29" i="17"/>
  <c r="N28" i="17"/>
  <c r="L28" i="17"/>
  <c r="M28" i="17"/>
  <c r="O27" i="17"/>
  <c r="O26" i="17"/>
  <c r="N25" i="17"/>
  <c r="M25" i="17"/>
  <c r="L25" i="17"/>
  <c r="O24" i="17"/>
  <c r="N23" i="17"/>
  <c r="M23" i="17"/>
  <c r="L23" i="17"/>
  <c r="M9" i="17"/>
  <c r="M11" i="17"/>
  <c r="M20" i="17"/>
  <c r="O21" i="17"/>
  <c r="N20" i="17"/>
  <c r="L20" i="17"/>
  <c r="O19" i="17"/>
  <c r="O18" i="17"/>
  <c r="O17" i="17"/>
  <c r="O16" i="17"/>
  <c r="O15" i="17"/>
  <c r="O14" i="17"/>
  <c r="O13" i="17"/>
  <c r="O12" i="17"/>
  <c r="N11" i="17"/>
  <c r="N9" i="17"/>
  <c r="L11" i="17"/>
  <c r="O10" i="17"/>
  <c r="L9" i="17"/>
  <c r="O7" i="17"/>
  <c r="O6" i="17"/>
  <c r="O45" i="18"/>
  <c r="O44" i="18"/>
  <c r="L42" i="18"/>
  <c r="N42" i="18"/>
  <c r="O40" i="18"/>
  <c r="N36" i="18"/>
  <c r="O33" i="18"/>
  <c r="O29" i="18"/>
  <c r="L28" i="18"/>
  <c r="M28" i="18"/>
  <c r="N28" i="18"/>
  <c r="L23" i="18"/>
  <c r="L25" i="18"/>
  <c r="O27" i="18"/>
  <c r="O26" i="18"/>
  <c r="N25" i="18"/>
  <c r="M25" i="18"/>
  <c r="M23" i="18"/>
  <c r="M9" i="18"/>
  <c r="M11" i="18"/>
  <c r="M20" i="18"/>
  <c r="O24" i="18"/>
  <c r="N23" i="18"/>
  <c r="N9" i="18"/>
  <c r="N11" i="18"/>
  <c r="N20" i="18"/>
  <c r="O21" i="18"/>
  <c r="L20" i="18"/>
  <c r="O19" i="18"/>
  <c r="O18" i="18"/>
  <c r="O17" i="18"/>
  <c r="O16" i="18"/>
  <c r="O15" i="18"/>
  <c r="O14" i="18"/>
  <c r="O13" i="18"/>
  <c r="O12" i="18"/>
  <c r="L11" i="18"/>
  <c r="O10" i="18"/>
  <c r="L9" i="18"/>
  <c r="O7" i="18"/>
  <c r="O6" i="18"/>
  <c r="O45" i="19"/>
  <c r="O44" i="19"/>
  <c r="N42" i="19"/>
  <c r="O40" i="19"/>
  <c r="N36" i="19"/>
  <c r="O33" i="19"/>
  <c r="O29" i="19"/>
  <c r="N28" i="19"/>
  <c r="L28" i="19"/>
  <c r="M28" i="19"/>
  <c r="O27" i="19"/>
  <c r="O26" i="19"/>
  <c r="N25" i="19"/>
  <c r="M25" i="19"/>
  <c r="L25" i="19"/>
  <c r="O24" i="19"/>
  <c r="N23" i="19"/>
  <c r="M23" i="19"/>
  <c r="L23" i="19"/>
  <c r="M9" i="19"/>
  <c r="M11" i="19"/>
  <c r="M20" i="19"/>
  <c r="O21" i="19"/>
  <c r="N20" i="19"/>
  <c r="L20" i="19"/>
  <c r="O19" i="19"/>
  <c r="O18" i="19"/>
  <c r="O17" i="19"/>
  <c r="O16" i="19"/>
  <c r="O15" i="19"/>
  <c r="O14" i="19"/>
  <c r="O13" i="19"/>
  <c r="O12" i="19"/>
  <c r="N11" i="19"/>
  <c r="N9" i="19"/>
  <c r="L11" i="19"/>
  <c r="O10" i="19"/>
  <c r="L9" i="19"/>
  <c r="O7" i="19"/>
  <c r="O6" i="19"/>
  <c r="O45" i="20"/>
  <c r="O44" i="20"/>
  <c r="N42" i="20"/>
  <c r="M42" i="20"/>
  <c r="O40" i="20"/>
  <c r="N36" i="20"/>
  <c r="O33" i="20"/>
  <c r="O29" i="20"/>
  <c r="N28" i="20"/>
  <c r="M28" i="20"/>
  <c r="M23" i="20"/>
  <c r="M25" i="20"/>
  <c r="M9" i="20"/>
  <c r="M11" i="20"/>
  <c r="M20" i="20"/>
  <c r="L28" i="20"/>
  <c r="O27" i="20"/>
  <c r="O26" i="20"/>
  <c r="N25" i="20"/>
  <c r="N23" i="20"/>
  <c r="N9" i="20"/>
  <c r="N11" i="20"/>
  <c r="N20" i="20"/>
  <c r="L25" i="20"/>
  <c r="O24" i="20"/>
  <c r="L23" i="20"/>
  <c r="O21" i="20"/>
  <c r="L20" i="20"/>
  <c r="O19" i="20"/>
  <c r="O18" i="20"/>
  <c r="O17" i="20"/>
  <c r="O16" i="20"/>
  <c r="O15" i="20"/>
  <c r="O14" i="20"/>
  <c r="O13" i="20"/>
  <c r="O12" i="20"/>
  <c r="L11" i="20"/>
  <c r="O10" i="20"/>
  <c r="L9" i="20"/>
  <c r="O7" i="20"/>
  <c r="O6" i="20"/>
  <c r="O45" i="21"/>
  <c r="O44" i="21"/>
  <c r="M43" i="21"/>
  <c r="M42" i="21" s="1"/>
  <c r="N42" i="21"/>
  <c r="O40" i="21"/>
  <c r="N36" i="21"/>
  <c r="O33" i="21"/>
  <c r="O29" i="21"/>
  <c r="N28" i="21"/>
  <c r="N23" i="21"/>
  <c r="N25" i="21"/>
  <c r="N9" i="21"/>
  <c r="N11" i="21"/>
  <c r="N20" i="21"/>
  <c r="M28" i="21"/>
  <c r="L28" i="21"/>
  <c r="O27" i="21"/>
  <c r="O26" i="21"/>
  <c r="L25" i="21"/>
  <c r="M25" i="21"/>
  <c r="O24" i="21"/>
  <c r="M23" i="21"/>
  <c r="L23" i="21"/>
  <c r="O21" i="21"/>
  <c r="M20" i="21"/>
  <c r="L20" i="21"/>
  <c r="O19" i="21"/>
  <c r="O18" i="21"/>
  <c r="O17" i="21"/>
  <c r="O16" i="21"/>
  <c r="O15" i="21"/>
  <c r="O14" i="21"/>
  <c r="O13" i="21"/>
  <c r="O12" i="21"/>
  <c r="M11" i="21"/>
  <c r="M9" i="21"/>
  <c r="L9" i="21"/>
  <c r="L11" i="21"/>
  <c r="O10" i="21"/>
  <c r="O7" i="21"/>
  <c r="O6" i="21"/>
  <c r="N36" i="22"/>
  <c r="N42" i="22"/>
  <c r="O44" i="22"/>
  <c r="M43" i="22"/>
  <c r="O40" i="22"/>
  <c r="O33" i="22"/>
  <c r="O29" i="22"/>
  <c r="N28" i="22"/>
  <c r="N23" i="22"/>
  <c r="N25" i="22"/>
  <c r="N9" i="22"/>
  <c r="N11" i="22"/>
  <c r="N20" i="22"/>
  <c r="M28" i="22"/>
  <c r="L28" i="22"/>
  <c r="O27" i="22"/>
  <c r="O26" i="22"/>
  <c r="L25" i="22"/>
  <c r="M25" i="22"/>
  <c r="O24" i="22"/>
  <c r="M23" i="22"/>
  <c r="L23" i="22"/>
  <c r="O21" i="22"/>
  <c r="M20" i="22"/>
  <c r="L20" i="22"/>
  <c r="O19" i="22"/>
  <c r="O18" i="22"/>
  <c r="O17" i="22"/>
  <c r="O16" i="22"/>
  <c r="O15" i="22"/>
  <c r="O14" i="22"/>
  <c r="O13" i="22"/>
  <c r="O12" i="22"/>
  <c r="M11" i="22"/>
  <c r="M9" i="22"/>
  <c r="L9" i="22"/>
  <c r="L11" i="22"/>
  <c r="O10" i="22"/>
  <c r="O7" i="22"/>
  <c r="O6" i="22"/>
  <c r="L123" i="24"/>
  <c r="K123" i="24"/>
  <c r="J123" i="24"/>
  <c r="J116" i="24" s="1"/>
  <c r="J115" i="24" s="1"/>
  <c r="K117" i="24"/>
  <c r="L109" i="24"/>
  <c r="K109" i="24"/>
  <c r="J109" i="24"/>
  <c r="J97" i="24" s="1"/>
  <c r="J96" i="24" s="1"/>
  <c r="K104" i="24"/>
  <c r="K98" i="24"/>
  <c r="K91" i="24"/>
  <c r="K90" i="24" s="1"/>
  <c r="J90" i="24"/>
  <c r="L80" i="24"/>
  <c r="K80" i="24"/>
  <c r="J80" i="24"/>
  <c r="J73" i="24" s="1"/>
  <c r="K74" i="24"/>
  <c r="K67" i="24"/>
  <c r="K66" i="24" s="1"/>
  <c r="J67" i="24"/>
  <c r="J66" i="24" s="1"/>
  <c r="K61" i="24"/>
  <c r="J61" i="24"/>
  <c r="J56" i="24"/>
  <c r="K56" i="24"/>
  <c r="K50" i="24"/>
  <c r="L42" i="24"/>
  <c r="K42" i="24"/>
  <c r="K36" i="24"/>
  <c r="J42" i="24"/>
  <c r="J35" i="24" s="1"/>
  <c r="J34" i="24" s="1"/>
  <c r="L28" i="24"/>
  <c r="K28" i="24"/>
  <c r="J28" i="24"/>
  <c r="J21" i="24" s="1"/>
  <c r="J20" i="24" s="1"/>
  <c r="K22" i="24"/>
  <c r="L14" i="24"/>
  <c r="K14" i="24"/>
  <c r="J14" i="24"/>
  <c r="J7" i="24" s="1"/>
  <c r="J6" i="24" s="1"/>
  <c r="K8" i="24"/>
  <c r="L8" i="24"/>
  <c r="L48" i="6"/>
  <c r="L21" i="3" s="1"/>
  <c r="L14" i="12"/>
  <c r="O19" i="13"/>
  <c r="I39" i="24"/>
  <c r="I38" i="24"/>
  <c r="I10" i="24"/>
  <c r="I159" i="8"/>
  <c r="I119" i="24"/>
  <c r="I118" i="24"/>
  <c r="H37" i="22" s="1"/>
  <c r="I100" i="24"/>
  <c r="I99" i="24"/>
  <c r="H37" i="21" s="1"/>
  <c r="K37" i="21" s="1"/>
  <c r="J37" i="7"/>
  <c r="I53" i="24"/>
  <c r="I52" i="24"/>
  <c r="I51" i="24"/>
  <c r="I155" i="8"/>
  <c r="H24" i="7"/>
  <c r="H18" i="4" s="1"/>
  <c r="I50" i="8"/>
  <c r="I47" i="8"/>
  <c r="I192" i="8"/>
  <c r="I186" i="8"/>
  <c r="I165" i="8"/>
  <c r="I91" i="8"/>
  <c r="C26" i="9"/>
  <c r="H20" i="7" s="1"/>
  <c r="I188" i="8"/>
  <c r="I163" i="8"/>
  <c r="I161" i="8"/>
  <c r="I157" i="8"/>
  <c r="I153" i="8"/>
  <c r="I150" i="8"/>
  <c r="I147" i="8"/>
  <c r="I145" i="8"/>
  <c r="I143" i="8"/>
  <c r="I141" i="8"/>
  <c r="I139" i="8"/>
  <c r="I137" i="8"/>
  <c r="I135" i="8"/>
  <c r="I129" i="8"/>
  <c r="I127" i="8"/>
  <c r="I125" i="8"/>
  <c r="I120" i="8"/>
  <c r="I116" i="8"/>
  <c r="I111" i="8"/>
  <c r="I108" i="8"/>
  <c r="I106" i="8"/>
  <c r="I104" i="8"/>
  <c r="I100" i="8"/>
  <c r="I97" i="8"/>
  <c r="I95" i="8"/>
  <c r="I93" i="8"/>
  <c r="I87" i="8"/>
  <c r="I9" i="7"/>
  <c r="I79" i="8"/>
  <c r="I69" i="8"/>
  <c r="I67" i="8"/>
  <c r="I65" i="8"/>
  <c r="I55" i="8"/>
  <c r="I101" i="24"/>
  <c r="I43" i="14"/>
  <c r="H41" i="14"/>
  <c r="K41" i="14" s="1"/>
  <c r="I9" i="24"/>
  <c r="K41" i="16"/>
  <c r="H41" i="21"/>
  <c r="K41" i="21" s="1"/>
  <c r="I25" i="24"/>
  <c r="I24" i="24"/>
  <c r="I23" i="24"/>
  <c r="K41" i="18"/>
  <c r="I37" i="24"/>
  <c r="K41" i="19"/>
  <c r="K41" i="20"/>
  <c r="I76" i="24"/>
  <c r="I75" i="24"/>
  <c r="I77" i="24"/>
  <c r="I79" i="24"/>
  <c r="H41" i="22"/>
  <c r="K41" i="22" s="1"/>
  <c r="I120" i="24"/>
  <c r="H39" i="22" s="1"/>
  <c r="H29" i="11"/>
  <c r="H28" i="11" s="1"/>
  <c r="F195" i="8"/>
  <c r="I112" i="24"/>
  <c r="I106" i="24"/>
  <c r="I95" i="24"/>
  <c r="I91" i="24" s="1"/>
  <c r="I90" i="24" s="1"/>
  <c r="I31" i="4"/>
  <c r="I28" i="4"/>
  <c r="I27" i="4"/>
  <c r="I24" i="7"/>
  <c r="I18" i="4" s="1"/>
  <c r="I11" i="7"/>
  <c r="I8" i="4" s="1"/>
  <c r="I19" i="7"/>
  <c r="I20" i="7"/>
  <c r="I39" i="14"/>
  <c r="I38" i="14"/>
  <c r="I37" i="14"/>
  <c r="E39" i="14"/>
  <c r="E38" i="14"/>
  <c r="E37" i="14"/>
  <c r="I42" i="16"/>
  <c r="I43" i="17"/>
  <c r="I43" i="18"/>
  <c r="I42" i="18" s="1"/>
  <c r="H42" i="19"/>
  <c r="I42" i="20"/>
  <c r="I43" i="21"/>
  <c r="I42" i="21" s="1"/>
  <c r="I38" i="21"/>
  <c r="I39" i="21"/>
  <c r="I43" i="22"/>
  <c r="I42" i="22" s="1"/>
  <c r="H43" i="22"/>
  <c r="I37" i="22"/>
  <c r="I38" i="22"/>
  <c r="I39" i="22"/>
  <c r="J101" i="6"/>
  <c r="J85" i="6"/>
  <c r="I85" i="6"/>
  <c r="H85" i="6"/>
  <c r="J81" i="6"/>
  <c r="I81" i="6"/>
  <c r="H81" i="6"/>
  <c r="J72" i="6"/>
  <c r="I72" i="6"/>
  <c r="I59" i="6"/>
  <c r="I29" i="3" s="1"/>
  <c r="J53" i="6"/>
  <c r="J23" i="3" s="1"/>
  <c r="I53" i="6"/>
  <c r="J48" i="6"/>
  <c r="J21" i="3" s="1"/>
  <c r="I48" i="6"/>
  <c r="H48" i="6"/>
  <c r="H21" i="3" s="1"/>
  <c r="J45" i="6"/>
  <c r="J19" i="3" s="1"/>
  <c r="I45" i="6"/>
  <c r="I19" i="3" s="1"/>
  <c r="H45" i="6"/>
  <c r="J34" i="6"/>
  <c r="J13" i="3" s="1"/>
  <c r="H34" i="6"/>
  <c r="I34" i="6"/>
  <c r="I13" i="3" s="1"/>
  <c r="J31" i="6"/>
  <c r="J12" i="3" s="1"/>
  <c r="I31" i="6"/>
  <c r="I12" i="3" s="1"/>
  <c r="H31" i="6"/>
  <c r="H12" i="3" s="1"/>
  <c r="J27" i="6"/>
  <c r="J11" i="3" s="1"/>
  <c r="I27" i="6"/>
  <c r="I11" i="3" s="1"/>
  <c r="H27" i="6"/>
  <c r="H11" i="3" s="1"/>
  <c r="J7" i="6"/>
  <c r="I7" i="6"/>
  <c r="J34" i="4"/>
  <c r="I34" i="4"/>
  <c r="H34" i="4"/>
  <c r="J33" i="4"/>
  <c r="I33" i="4"/>
  <c r="H33" i="4"/>
  <c r="J31" i="4"/>
  <c r="H31" i="4"/>
  <c r="J28" i="4"/>
  <c r="H28" i="4"/>
  <c r="J27" i="4"/>
  <c r="H27" i="4"/>
  <c r="K23" i="4"/>
  <c r="K22" i="4"/>
  <c r="K21" i="4"/>
  <c r="K20" i="4"/>
  <c r="K19" i="4"/>
  <c r="K20" i="13"/>
  <c r="K108" i="6"/>
  <c r="K107" i="6"/>
  <c r="H106" i="6"/>
  <c r="I106" i="6"/>
  <c r="J106" i="6"/>
  <c r="H101" i="6"/>
  <c r="H54" i="3" s="1"/>
  <c r="K54" i="3" s="1"/>
  <c r="D19" i="2" s="1"/>
  <c r="I101" i="6"/>
  <c r="I95" i="6"/>
  <c r="H95" i="6"/>
  <c r="K100" i="6"/>
  <c r="K99" i="6"/>
  <c r="K98" i="6"/>
  <c r="J95" i="6"/>
  <c r="I70" i="6"/>
  <c r="H70" i="6"/>
  <c r="J62" i="6"/>
  <c r="I62" i="6"/>
  <c r="H62" i="6"/>
  <c r="K59" i="6"/>
  <c r="K58" i="6"/>
  <c r="J57" i="6"/>
  <c r="H57" i="6"/>
  <c r="K44" i="6"/>
  <c r="J38" i="6"/>
  <c r="I38" i="6"/>
  <c r="H38" i="6"/>
  <c r="K16" i="6"/>
  <c r="H7" i="6"/>
  <c r="K43" i="7"/>
  <c r="K42" i="7"/>
  <c r="J41" i="7"/>
  <c r="I41" i="7"/>
  <c r="H41" i="7"/>
  <c r="K40" i="7"/>
  <c r="J39" i="7"/>
  <c r="K36" i="7"/>
  <c r="K35" i="7"/>
  <c r="K34" i="7"/>
  <c r="K33" i="7"/>
  <c r="K28" i="7"/>
  <c r="K27" i="7"/>
  <c r="K25" i="7"/>
  <c r="J24" i="7"/>
  <c r="J18" i="4" s="1"/>
  <c r="J23" i="7"/>
  <c r="J22" i="7"/>
  <c r="J20" i="7"/>
  <c r="J19" i="7"/>
  <c r="K14" i="7"/>
  <c r="J11" i="7"/>
  <c r="J8" i="4" s="1"/>
  <c r="J10" i="7"/>
  <c r="J7" i="4" s="1"/>
  <c r="J9" i="7"/>
  <c r="J8" i="7"/>
  <c r="J5" i="4" s="1"/>
  <c r="K6" i="7"/>
  <c r="K5" i="7"/>
  <c r="K25" i="13"/>
  <c r="K12" i="13"/>
  <c r="C4" i="9"/>
  <c r="H19" i="7" s="1"/>
  <c r="H30" i="10"/>
  <c r="H27" i="10"/>
  <c r="H20" i="10"/>
  <c r="H17" i="10"/>
  <c r="H16" i="10" s="1"/>
  <c r="G13" i="10"/>
  <c r="G12" i="10" s="1"/>
  <c r="G7" i="10"/>
  <c r="G6" i="10" s="1"/>
  <c r="G5" i="10" s="1"/>
  <c r="G11" i="10" s="1"/>
  <c r="H31" i="11"/>
  <c r="H30" i="11" s="1"/>
  <c r="H26" i="11"/>
  <c r="H24" i="11"/>
  <c r="G20" i="11"/>
  <c r="G19" i="11" s="1"/>
  <c r="G13" i="11"/>
  <c r="G10" i="11"/>
  <c r="G6" i="11"/>
  <c r="I45" i="12"/>
  <c r="H45" i="12"/>
  <c r="I39" i="12"/>
  <c r="K32" i="12"/>
  <c r="H31" i="12"/>
  <c r="I31" i="12"/>
  <c r="J31" i="12"/>
  <c r="H26" i="12"/>
  <c r="H28" i="12"/>
  <c r="K30" i="12"/>
  <c r="K29" i="12"/>
  <c r="J28" i="12"/>
  <c r="I28" i="12"/>
  <c r="I26" i="12"/>
  <c r="K27" i="12"/>
  <c r="J26" i="12"/>
  <c r="K24" i="12"/>
  <c r="H23" i="12"/>
  <c r="I23" i="12"/>
  <c r="J23" i="12"/>
  <c r="J14" i="12"/>
  <c r="J9" i="12"/>
  <c r="J11" i="12"/>
  <c r="I14" i="12"/>
  <c r="I9" i="12"/>
  <c r="I11" i="12"/>
  <c r="H11" i="12"/>
  <c r="K10" i="12"/>
  <c r="H9" i="12"/>
  <c r="K36" i="13"/>
  <c r="K34" i="13"/>
  <c r="K30" i="13"/>
  <c r="K19" i="13"/>
  <c r="H19" i="13"/>
  <c r="K16" i="13"/>
  <c r="K6" i="13"/>
  <c r="J5" i="13"/>
  <c r="J4" i="13" s="1"/>
  <c r="I5" i="13"/>
  <c r="I4" i="13" s="1"/>
  <c r="H5" i="13"/>
  <c r="K45" i="14"/>
  <c r="J44" i="14"/>
  <c r="J43" i="14"/>
  <c r="K40" i="14"/>
  <c r="K33" i="14"/>
  <c r="K29" i="14"/>
  <c r="H28" i="14"/>
  <c r="I28" i="14"/>
  <c r="J28" i="14"/>
  <c r="H23" i="14"/>
  <c r="H25" i="14"/>
  <c r="K27" i="14"/>
  <c r="K26" i="14"/>
  <c r="J25" i="14"/>
  <c r="I25" i="14"/>
  <c r="I23" i="14"/>
  <c r="I9" i="14"/>
  <c r="I11" i="14"/>
  <c r="I20" i="14"/>
  <c r="K24" i="14"/>
  <c r="J23" i="14"/>
  <c r="J9" i="14"/>
  <c r="J11" i="14"/>
  <c r="J20" i="14"/>
  <c r="K21" i="14"/>
  <c r="H20" i="14"/>
  <c r="K19" i="14"/>
  <c r="K18" i="14"/>
  <c r="K17" i="14"/>
  <c r="K16" i="14"/>
  <c r="K15" i="14"/>
  <c r="K14" i="14"/>
  <c r="K13" i="14"/>
  <c r="K12" i="14"/>
  <c r="H11" i="14"/>
  <c r="K10" i="14"/>
  <c r="H9" i="14"/>
  <c r="K7" i="14"/>
  <c r="K6" i="14"/>
  <c r="H5" i="15"/>
  <c r="G5" i="15"/>
  <c r="I60" i="15"/>
  <c r="I55" i="15"/>
  <c r="I41" i="15"/>
  <c r="I108" i="15" s="1"/>
  <c r="I32" i="15"/>
  <c r="I27" i="15"/>
  <c r="I109" i="15" s="1"/>
  <c r="I23" i="15"/>
  <c r="I20" i="15"/>
  <c r="I107" i="15" s="1"/>
  <c r="I17" i="15"/>
  <c r="I12" i="15"/>
  <c r="K45" i="16"/>
  <c r="K44" i="16"/>
  <c r="H42" i="16"/>
  <c r="J42" i="16"/>
  <c r="K40" i="16"/>
  <c r="J36" i="16"/>
  <c r="K29" i="16"/>
  <c r="J28" i="16"/>
  <c r="I28" i="16"/>
  <c r="I23" i="16"/>
  <c r="I25" i="16"/>
  <c r="H28" i="16"/>
  <c r="K27" i="16"/>
  <c r="K26" i="16"/>
  <c r="J25" i="16"/>
  <c r="J23" i="16"/>
  <c r="H25" i="16"/>
  <c r="K24" i="16"/>
  <c r="H23" i="16"/>
  <c r="K21" i="16"/>
  <c r="J20" i="16"/>
  <c r="I20" i="16"/>
  <c r="H20" i="16"/>
  <c r="K19" i="16"/>
  <c r="K18" i="16"/>
  <c r="K17" i="16"/>
  <c r="K16" i="16"/>
  <c r="K15" i="16"/>
  <c r="K14" i="16"/>
  <c r="K13" i="16"/>
  <c r="K12" i="16"/>
  <c r="J11" i="16"/>
  <c r="I11" i="16"/>
  <c r="H11" i="16"/>
  <c r="K10" i="16"/>
  <c r="J9" i="16"/>
  <c r="I9" i="16"/>
  <c r="H9" i="16"/>
  <c r="K7" i="16"/>
  <c r="K6" i="16"/>
  <c r="K45" i="17"/>
  <c r="K44" i="17"/>
  <c r="J42" i="17"/>
  <c r="J36" i="17"/>
  <c r="K33" i="17"/>
  <c r="K29" i="17"/>
  <c r="J28" i="17"/>
  <c r="H28" i="17"/>
  <c r="I28" i="17"/>
  <c r="K27" i="17"/>
  <c r="K26" i="17"/>
  <c r="J25" i="17"/>
  <c r="I25" i="17"/>
  <c r="H25" i="17"/>
  <c r="K24" i="17"/>
  <c r="J23" i="17"/>
  <c r="I23" i="17"/>
  <c r="I22" i="17" s="1"/>
  <c r="H23" i="17"/>
  <c r="I9" i="17"/>
  <c r="I11" i="17"/>
  <c r="I20" i="17"/>
  <c r="K21" i="17"/>
  <c r="J20" i="17"/>
  <c r="H20" i="17"/>
  <c r="K19" i="17"/>
  <c r="K18" i="17"/>
  <c r="K17" i="17"/>
  <c r="K16" i="17"/>
  <c r="K15" i="17"/>
  <c r="K14" i="17"/>
  <c r="K13" i="17"/>
  <c r="K12" i="17"/>
  <c r="J11" i="17"/>
  <c r="J9" i="17"/>
  <c r="H9" i="17"/>
  <c r="H11" i="17"/>
  <c r="K10" i="17"/>
  <c r="K7" i="17"/>
  <c r="K6" i="17"/>
  <c r="K45" i="18"/>
  <c r="K44" i="18"/>
  <c r="J42" i="18"/>
  <c r="K40" i="18"/>
  <c r="J36" i="18"/>
  <c r="K33" i="18"/>
  <c r="K29" i="18"/>
  <c r="J28" i="18"/>
  <c r="I28" i="18"/>
  <c r="I23" i="18"/>
  <c r="I25" i="18"/>
  <c r="I9" i="18"/>
  <c r="I11" i="18"/>
  <c r="I20" i="18"/>
  <c r="H28" i="18"/>
  <c r="K27" i="18"/>
  <c r="K26" i="18"/>
  <c r="J25" i="18"/>
  <c r="J23" i="18"/>
  <c r="J9" i="18"/>
  <c r="J11" i="18"/>
  <c r="J20" i="18"/>
  <c r="H25" i="18"/>
  <c r="K24" i="18"/>
  <c r="H23" i="18"/>
  <c r="K21" i="18"/>
  <c r="H20" i="18"/>
  <c r="K19" i="18"/>
  <c r="K18" i="18"/>
  <c r="K17" i="18"/>
  <c r="K16" i="18"/>
  <c r="K15" i="18"/>
  <c r="K14" i="18"/>
  <c r="K13" i="18"/>
  <c r="K12" i="18"/>
  <c r="H11" i="18"/>
  <c r="K10" i="18"/>
  <c r="H9" i="18"/>
  <c r="K7" i="18"/>
  <c r="K6" i="18"/>
  <c r="K45" i="19"/>
  <c r="K44" i="19"/>
  <c r="I43" i="19"/>
  <c r="J42" i="19"/>
  <c r="K40" i="19"/>
  <c r="J36" i="19"/>
  <c r="K33" i="19"/>
  <c r="K29" i="19"/>
  <c r="J28" i="19"/>
  <c r="I28" i="19"/>
  <c r="I23" i="19"/>
  <c r="I25" i="19"/>
  <c r="I9" i="19"/>
  <c r="I11" i="19"/>
  <c r="I20" i="19"/>
  <c r="H28" i="19"/>
  <c r="K27" i="19"/>
  <c r="K26" i="19"/>
  <c r="J25" i="19"/>
  <c r="J23" i="19"/>
  <c r="H25" i="19"/>
  <c r="K24" i="19"/>
  <c r="H23" i="19"/>
  <c r="K21" i="19"/>
  <c r="J20" i="19"/>
  <c r="H20" i="19"/>
  <c r="K19" i="19"/>
  <c r="K18" i="19"/>
  <c r="K17" i="19"/>
  <c r="K16" i="19"/>
  <c r="K15" i="19"/>
  <c r="K14" i="19"/>
  <c r="K13" i="19"/>
  <c r="K12" i="19"/>
  <c r="J11" i="19"/>
  <c r="H11" i="19"/>
  <c r="K10" i="19"/>
  <c r="J9" i="19"/>
  <c r="H9" i="19"/>
  <c r="K7" i="19"/>
  <c r="K6" i="19"/>
  <c r="K45" i="20"/>
  <c r="K44" i="20"/>
  <c r="J42" i="20"/>
  <c r="K40" i="20"/>
  <c r="J36" i="20"/>
  <c r="K33" i="20"/>
  <c r="K29" i="20"/>
  <c r="H28" i="20"/>
  <c r="I28" i="20"/>
  <c r="J28" i="20"/>
  <c r="K27" i="20"/>
  <c r="K26" i="20"/>
  <c r="J25" i="20"/>
  <c r="I25" i="20"/>
  <c r="I23" i="20"/>
  <c r="I9" i="20"/>
  <c r="I11" i="20"/>
  <c r="I20" i="20"/>
  <c r="H25" i="20"/>
  <c r="K24" i="20"/>
  <c r="J23" i="20"/>
  <c r="H23" i="20"/>
  <c r="K21" i="20"/>
  <c r="H20" i="20"/>
  <c r="J20" i="20"/>
  <c r="K19" i="20"/>
  <c r="K18" i="20"/>
  <c r="K17" i="20"/>
  <c r="K16" i="20"/>
  <c r="K15" i="20"/>
  <c r="K14" i="20"/>
  <c r="K13" i="20"/>
  <c r="K12" i="20"/>
  <c r="H11" i="20"/>
  <c r="J11" i="20"/>
  <c r="J9" i="20"/>
  <c r="K10" i="20"/>
  <c r="H9" i="20"/>
  <c r="K7" i="20"/>
  <c r="K6" i="20"/>
  <c r="K45" i="21"/>
  <c r="K44" i="21"/>
  <c r="H43" i="21"/>
  <c r="J42" i="21"/>
  <c r="K40" i="21"/>
  <c r="J36" i="21"/>
  <c r="K33" i="21"/>
  <c r="K29" i="21"/>
  <c r="J28" i="21"/>
  <c r="I28" i="21"/>
  <c r="H28" i="21"/>
  <c r="K27" i="21"/>
  <c r="K26" i="21"/>
  <c r="J25" i="21"/>
  <c r="I25" i="21"/>
  <c r="H25" i="21"/>
  <c r="K24" i="21"/>
  <c r="J23" i="21"/>
  <c r="I23" i="21"/>
  <c r="H23" i="21"/>
  <c r="K21" i="21"/>
  <c r="J20" i="21"/>
  <c r="I20" i="21"/>
  <c r="H20" i="21"/>
  <c r="K19" i="21"/>
  <c r="K18" i="21"/>
  <c r="K17" i="21"/>
  <c r="K16" i="21"/>
  <c r="K15" i="21"/>
  <c r="K14" i="21"/>
  <c r="K13" i="21"/>
  <c r="K12" i="21"/>
  <c r="J11" i="21"/>
  <c r="I11" i="21"/>
  <c r="H11" i="21"/>
  <c r="K10" i="21"/>
  <c r="J9" i="21"/>
  <c r="I9" i="21"/>
  <c r="H9" i="21"/>
  <c r="K7" i="21"/>
  <c r="K6" i="21"/>
  <c r="H45" i="22"/>
  <c r="K45" i="22" s="1"/>
  <c r="K44" i="22"/>
  <c r="J42" i="22"/>
  <c r="K40" i="22"/>
  <c r="J36" i="22"/>
  <c r="K33" i="22"/>
  <c r="K29" i="22"/>
  <c r="H28" i="22"/>
  <c r="I28" i="22"/>
  <c r="J28" i="22"/>
  <c r="K27" i="22"/>
  <c r="K26" i="22"/>
  <c r="J25" i="22"/>
  <c r="I25" i="22"/>
  <c r="I23" i="22"/>
  <c r="I9" i="22"/>
  <c r="I11" i="22"/>
  <c r="I20" i="22"/>
  <c r="H25" i="22"/>
  <c r="K24" i="22"/>
  <c r="J23" i="22"/>
  <c r="H23" i="22"/>
  <c r="J9" i="22"/>
  <c r="J11" i="22"/>
  <c r="J20" i="22"/>
  <c r="K21" i="22"/>
  <c r="H20" i="22"/>
  <c r="K19" i="22"/>
  <c r="K18" i="22"/>
  <c r="K17" i="22"/>
  <c r="K16" i="22"/>
  <c r="K15" i="22"/>
  <c r="K14" i="22"/>
  <c r="K13" i="22"/>
  <c r="K12" i="22"/>
  <c r="H11" i="22"/>
  <c r="K10" i="22"/>
  <c r="H9" i="22"/>
  <c r="K7" i="22"/>
  <c r="K6" i="22"/>
  <c r="I123" i="24"/>
  <c r="H123" i="24"/>
  <c r="G123" i="24"/>
  <c r="G116" i="24" s="1"/>
  <c r="G115" i="24" s="1"/>
  <c r="H117" i="24"/>
  <c r="H109" i="24"/>
  <c r="G109" i="24"/>
  <c r="G97" i="24" s="1"/>
  <c r="G96" i="24" s="1"/>
  <c r="H104" i="24"/>
  <c r="H98" i="24"/>
  <c r="H91" i="24"/>
  <c r="H90" i="24" s="1"/>
  <c r="G90" i="24"/>
  <c r="I80" i="24"/>
  <c r="H80" i="24"/>
  <c r="G80" i="24"/>
  <c r="G73" i="24" s="1"/>
  <c r="H74" i="24"/>
  <c r="I67" i="24"/>
  <c r="I66" i="24" s="1"/>
  <c r="H67" i="24"/>
  <c r="H66" i="24" s="1"/>
  <c r="G67" i="24"/>
  <c r="G66" i="24" s="1"/>
  <c r="I61" i="24"/>
  <c r="H61" i="24"/>
  <c r="G61" i="24"/>
  <c r="I56" i="24"/>
  <c r="H56" i="24"/>
  <c r="G56" i="24"/>
  <c r="H50" i="24"/>
  <c r="I42" i="24"/>
  <c r="H42" i="24"/>
  <c r="G42" i="24"/>
  <c r="G35" i="24" s="1"/>
  <c r="G34" i="24" s="1"/>
  <c r="H36" i="24"/>
  <c r="I28" i="24"/>
  <c r="H28" i="24"/>
  <c r="G28" i="24"/>
  <c r="G21" i="24" s="1"/>
  <c r="G20" i="24" s="1"/>
  <c r="H22" i="24"/>
  <c r="I14" i="24"/>
  <c r="H14" i="24"/>
  <c r="G14" i="24"/>
  <c r="G7" i="24" s="1"/>
  <c r="G6" i="24" s="1"/>
  <c r="H8" i="24"/>
  <c r="J45" i="12"/>
  <c r="H39" i="12"/>
  <c r="H14" i="12"/>
  <c r="C108" i="8"/>
  <c r="H55" i="5" s="1"/>
  <c r="F108" i="8"/>
  <c r="G55" i="5" s="1"/>
  <c r="C153" i="8"/>
  <c r="F153" i="8"/>
  <c r="K26" i="7"/>
  <c r="D95" i="6"/>
  <c r="D101" i="6"/>
  <c r="D54" i="3" s="1"/>
  <c r="G54" i="3" s="1"/>
  <c r="C19" i="2" s="1"/>
  <c r="C18" i="2" s="1"/>
  <c r="D106" i="6"/>
  <c r="D62" i="6"/>
  <c r="D70" i="6"/>
  <c r="D81" i="6"/>
  <c r="D85" i="6"/>
  <c r="D7" i="6"/>
  <c r="D6" i="3" s="1"/>
  <c r="D9" i="3"/>
  <c r="G9" i="3" s="1"/>
  <c r="D27" i="6"/>
  <c r="D11" i="3" s="1"/>
  <c r="D31" i="6"/>
  <c r="D12" i="3" s="1"/>
  <c r="D34" i="6"/>
  <c r="D38" i="6"/>
  <c r="D45" i="6"/>
  <c r="D19" i="3" s="1"/>
  <c r="D48" i="6"/>
  <c r="D21" i="3" s="1"/>
  <c r="D57" i="6"/>
  <c r="E95" i="6"/>
  <c r="E101" i="6"/>
  <c r="E106" i="6"/>
  <c r="E62" i="6"/>
  <c r="E72" i="6"/>
  <c r="E70" i="6" s="1"/>
  <c r="E81" i="6"/>
  <c r="E43" i="3" s="1"/>
  <c r="E85" i="6"/>
  <c r="E7" i="6"/>
  <c r="E27" i="6"/>
  <c r="E11" i="3" s="1"/>
  <c r="E31" i="6"/>
  <c r="E12" i="3" s="1"/>
  <c r="E34" i="6"/>
  <c r="E13" i="3" s="1"/>
  <c r="E38" i="6"/>
  <c r="E45" i="6"/>
  <c r="E19" i="3" s="1"/>
  <c r="E48" i="6"/>
  <c r="E21" i="3" s="1"/>
  <c r="E53" i="6"/>
  <c r="E23" i="3" s="1"/>
  <c r="E59" i="6"/>
  <c r="E57" i="6" s="1"/>
  <c r="F95" i="6"/>
  <c r="F101" i="6"/>
  <c r="F106" i="6"/>
  <c r="F62" i="6"/>
  <c r="F72" i="6"/>
  <c r="F70" i="6" s="1"/>
  <c r="F81" i="6"/>
  <c r="F85" i="6"/>
  <c r="F7" i="6"/>
  <c r="F27" i="6"/>
  <c r="F11" i="3" s="1"/>
  <c r="F31" i="6"/>
  <c r="F12" i="3" s="1"/>
  <c r="F34" i="6"/>
  <c r="F13" i="3" s="1"/>
  <c r="F38" i="6"/>
  <c r="F45" i="6"/>
  <c r="F19" i="3" s="1"/>
  <c r="F48" i="6"/>
  <c r="F21" i="3" s="1"/>
  <c r="F53" i="6"/>
  <c r="F23" i="3" s="1"/>
  <c r="F57" i="6"/>
  <c r="F58" i="8"/>
  <c r="F30" i="10"/>
  <c r="C19" i="26"/>
  <c r="C211" i="8"/>
  <c r="C12" i="7" s="1"/>
  <c r="C82" i="8"/>
  <c r="H45" i="5" s="1"/>
  <c r="C208" i="8"/>
  <c r="C9" i="7" s="1"/>
  <c r="C207" i="8"/>
  <c r="C8" i="7" s="1"/>
  <c r="I32" i="7"/>
  <c r="F60" i="15"/>
  <c r="D42" i="5"/>
  <c r="B9" i="26"/>
  <c r="G13" i="7"/>
  <c r="C13" i="7"/>
  <c r="E75" i="15"/>
  <c r="D75" i="15"/>
  <c r="E6" i="15"/>
  <c r="D6" i="15"/>
  <c r="D19" i="13"/>
  <c r="F5" i="13"/>
  <c r="F4" i="13" s="1"/>
  <c r="E5" i="13"/>
  <c r="E4" i="13" s="1"/>
  <c r="D5" i="13"/>
  <c r="E6" i="8"/>
  <c r="D6" i="8"/>
  <c r="G59" i="6"/>
  <c r="C59" i="6"/>
  <c r="C57" i="6" s="1"/>
  <c r="E7" i="10"/>
  <c r="E6" i="10" s="1"/>
  <c r="E5" i="10" s="1"/>
  <c r="E11" i="10" s="1"/>
  <c r="C212" i="8"/>
  <c r="C22" i="7" s="1"/>
  <c r="E23" i="7"/>
  <c r="E9" i="7"/>
  <c r="C213" i="8"/>
  <c r="C23" i="7" s="1"/>
  <c r="C209" i="8"/>
  <c r="C10" i="7" s="1"/>
  <c r="F176" i="8"/>
  <c r="C176" i="8"/>
  <c r="C129" i="8"/>
  <c r="F129" i="8"/>
  <c r="C139" i="8"/>
  <c r="F139" i="8"/>
  <c r="E16" i="7"/>
  <c r="F39" i="7"/>
  <c r="E11" i="7"/>
  <c r="E8" i="4" s="1"/>
  <c r="G29" i="7"/>
  <c r="F24" i="7"/>
  <c r="F18" i="4" s="1"/>
  <c r="E24" i="7"/>
  <c r="E18" i="4" s="1"/>
  <c r="D44" i="14"/>
  <c r="D17" i="4" s="1"/>
  <c r="I44" i="14"/>
  <c r="F36" i="16"/>
  <c r="D42" i="16"/>
  <c r="D42" i="17"/>
  <c r="D42" i="18"/>
  <c r="E42" i="19"/>
  <c r="D42" i="19"/>
  <c r="F42" i="20"/>
  <c r="D42" i="20"/>
  <c r="D43" i="21"/>
  <c r="D42" i="21" s="1"/>
  <c r="F34" i="4"/>
  <c r="E34" i="4"/>
  <c r="D34" i="4"/>
  <c r="F33" i="4"/>
  <c r="E33" i="4"/>
  <c r="D33" i="4"/>
  <c r="F31" i="4"/>
  <c r="E31" i="4"/>
  <c r="D31" i="4"/>
  <c r="F28" i="4"/>
  <c r="E28" i="4"/>
  <c r="D28" i="4"/>
  <c r="F27" i="4"/>
  <c r="E27" i="4"/>
  <c r="D27" i="4"/>
  <c r="G108" i="6"/>
  <c r="G107" i="6"/>
  <c r="G100" i="6"/>
  <c r="G99" i="6"/>
  <c r="G98" i="6"/>
  <c r="G80" i="6"/>
  <c r="G79" i="6"/>
  <c r="G71" i="6"/>
  <c r="G64" i="6"/>
  <c r="G63" i="6"/>
  <c r="G58" i="6"/>
  <c r="G54" i="6"/>
  <c r="G52" i="6"/>
  <c r="G44" i="6"/>
  <c r="G16" i="6"/>
  <c r="G15" i="6"/>
  <c r="F41" i="7"/>
  <c r="E41" i="7"/>
  <c r="D41" i="7"/>
  <c r="E39" i="7"/>
  <c r="F23" i="7"/>
  <c r="F17" i="4" s="1"/>
  <c r="F22" i="7"/>
  <c r="F16" i="4" s="1"/>
  <c r="F11" i="7"/>
  <c r="F8" i="4" s="1"/>
  <c r="F10" i="7"/>
  <c r="F7" i="4" s="1"/>
  <c r="F9" i="7"/>
  <c r="F6" i="4" s="1"/>
  <c r="F8" i="7"/>
  <c r="F5" i="4" s="1"/>
  <c r="G43" i="7"/>
  <c r="G42" i="7"/>
  <c r="G40" i="7"/>
  <c r="G37" i="7"/>
  <c r="G36" i="7"/>
  <c r="G35" i="7"/>
  <c r="G34" i="7"/>
  <c r="G33" i="7"/>
  <c r="G28" i="7"/>
  <c r="G27" i="7"/>
  <c r="G26" i="7"/>
  <c r="G25" i="7"/>
  <c r="G14" i="7"/>
  <c r="G6" i="7"/>
  <c r="G5" i="7"/>
  <c r="F192" i="8"/>
  <c r="F188" i="8"/>
  <c r="F186" i="8"/>
  <c r="F182" i="8"/>
  <c r="G30" i="13"/>
  <c r="F173" i="8"/>
  <c r="F167" i="8"/>
  <c r="F165" i="8"/>
  <c r="F163" i="8"/>
  <c r="F161" i="8"/>
  <c r="F159" i="8"/>
  <c r="F157" i="8"/>
  <c r="F155" i="8"/>
  <c r="F150" i="8"/>
  <c r="F147" i="8"/>
  <c r="F145" i="8"/>
  <c r="F143" i="8"/>
  <c r="F141" i="8"/>
  <c r="F137" i="8"/>
  <c r="F135" i="8"/>
  <c r="F131" i="8"/>
  <c r="F127" i="8"/>
  <c r="F125" i="8"/>
  <c r="F120" i="8"/>
  <c r="F116" i="8"/>
  <c r="F111" i="8"/>
  <c r="G56" i="5" s="1"/>
  <c r="F106" i="8"/>
  <c r="G54" i="5" s="1"/>
  <c r="F104" i="8"/>
  <c r="G53" i="5" s="1"/>
  <c r="F100" i="8"/>
  <c r="G52" i="5" s="1"/>
  <c r="F97" i="8"/>
  <c r="G51" i="5" s="1"/>
  <c r="F95" i="8"/>
  <c r="G50" i="5" s="1"/>
  <c r="F93" i="8"/>
  <c r="G49" i="5" s="1"/>
  <c r="F91" i="8"/>
  <c r="G48" i="5" s="1"/>
  <c r="F87" i="8"/>
  <c r="G46" i="5" s="1"/>
  <c r="F79" i="8"/>
  <c r="G44" i="5" s="1"/>
  <c r="F69" i="8"/>
  <c r="F67" i="8"/>
  <c r="F65" i="8"/>
  <c r="F55" i="8"/>
  <c r="G15" i="5" s="1"/>
  <c r="F50" i="8"/>
  <c r="G14" i="5" s="1"/>
  <c r="F47" i="8"/>
  <c r="G13" i="5" s="1"/>
  <c r="G10" i="5"/>
  <c r="F27" i="8"/>
  <c r="G9" i="5" s="1"/>
  <c r="F23" i="8"/>
  <c r="G8" i="5" s="1"/>
  <c r="F21" i="8"/>
  <c r="G7" i="5" s="1"/>
  <c r="F7" i="8"/>
  <c r="G6" i="5" s="1"/>
  <c r="F45" i="12"/>
  <c r="F31" i="12"/>
  <c r="E31" i="12"/>
  <c r="D31" i="12"/>
  <c r="F28" i="12"/>
  <c r="E28" i="12"/>
  <c r="D28" i="12"/>
  <c r="F26" i="12"/>
  <c r="E26" i="12"/>
  <c r="D26" i="12"/>
  <c r="F23" i="12"/>
  <c r="E23" i="12"/>
  <c r="D23" i="12"/>
  <c r="F11" i="12"/>
  <c r="E11" i="12"/>
  <c r="D11" i="12"/>
  <c r="F9" i="12"/>
  <c r="E9" i="12"/>
  <c r="D9" i="12"/>
  <c r="G32" i="12"/>
  <c r="G30" i="12"/>
  <c r="G29" i="12"/>
  <c r="G27" i="12"/>
  <c r="G24" i="12"/>
  <c r="G10" i="12"/>
  <c r="G36" i="13"/>
  <c r="G34" i="13"/>
  <c r="G25" i="13"/>
  <c r="E45" i="12"/>
  <c r="G16" i="13"/>
  <c r="G12" i="13"/>
  <c r="G6" i="13"/>
  <c r="E44" i="14"/>
  <c r="E43" i="14"/>
  <c r="F28" i="14"/>
  <c r="E28" i="14"/>
  <c r="D28" i="14"/>
  <c r="F25" i="14"/>
  <c r="E25" i="14"/>
  <c r="D25" i="14"/>
  <c r="F23" i="14"/>
  <c r="E23" i="14"/>
  <c r="D23" i="14"/>
  <c r="F20" i="14"/>
  <c r="D20" i="14"/>
  <c r="E20" i="14"/>
  <c r="F11" i="14"/>
  <c r="E11" i="14"/>
  <c r="E9" i="14"/>
  <c r="D11" i="14"/>
  <c r="F9" i="14"/>
  <c r="D9" i="14"/>
  <c r="G45" i="14"/>
  <c r="G41" i="14"/>
  <c r="G40" i="14"/>
  <c r="G33" i="14"/>
  <c r="G29" i="14"/>
  <c r="G27" i="14"/>
  <c r="G26" i="14"/>
  <c r="G24" i="14"/>
  <c r="G21" i="14"/>
  <c r="G19" i="14"/>
  <c r="G18" i="14"/>
  <c r="G17" i="14"/>
  <c r="G16" i="14"/>
  <c r="G15" i="14"/>
  <c r="G14" i="14"/>
  <c r="G13" i="14"/>
  <c r="G12" i="14"/>
  <c r="G10" i="14"/>
  <c r="G7" i="14"/>
  <c r="G6" i="14"/>
  <c r="F55" i="15"/>
  <c r="F45" i="15"/>
  <c r="F41" i="15"/>
  <c r="F108" i="15" s="1"/>
  <c r="F32" i="15"/>
  <c r="F27" i="15"/>
  <c r="F109" i="15" s="1"/>
  <c r="F23" i="15"/>
  <c r="F20" i="15"/>
  <c r="F17" i="15"/>
  <c r="F12" i="15"/>
  <c r="F7" i="15"/>
  <c r="F42" i="16"/>
  <c r="E42" i="16"/>
  <c r="F28" i="16"/>
  <c r="E28" i="16"/>
  <c r="D28" i="16"/>
  <c r="F25" i="16"/>
  <c r="E25" i="16"/>
  <c r="D25" i="16"/>
  <c r="F23" i="16"/>
  <c r="E23" i="16"/>
  <c r="D23" i="16"/>
  <c r="F20" i="16"/>
  <c r="E20" i="16"/>
  <c r="D20" i="16"/>
  <c r="F11" i="16"/>
  <c r="E11" i="16"/>
  <c r="D11" i="16"/>
  <c r="F9" i="16"/>
  <c r="E9" i="16"/>
  <c r="D9" i="16"/>
  <c r="G45" i="16"/>
  <c r="G44" i="16"/>
  <c r="G41" i="16"/>
  <c r="G40" i="16"/>
  <c r="G33" i="16"/>
  <c r="G29" i="16"/>
  <c r="G27" i="16"/>
  <c r="G26" i="16"/>
  <c r="G24" i="16"/>
  <c r="G21" i="16"/>
  <c r="G19" i="16"/>
  <c r="G18" i="16"/>
  <c r="G17" i="16"/>
  <c r="G16" i="16"/>
  <c r="G15" i="16"/>
  <c r="G14" i="16"/>
  <c r="G13" i="16"/>
  <c r="G12" i="16"/>
  <c r="G10" i="16"/>
  <c r="G7" i="16"/>
  <c r="E12" i="26" s="1"/>
  <c r="G6" i="16"/>
  <c r="B12" i="26" s="1"/>
  <c r="F42" i="17"/>
  <c r="E42" i="17"/>
  <c r="F28" i="17"/>
  <c r="E28" i="17"/>
  <c r="D28" i="17"/>
  <c r="F25" i="17"/>
  <c r="E25" i="17"/>
  <c r="D25" i="17"/>
  <c r="F23" i="17"/>
  <c r="E23" i="17"/>
  <c r="D23" i="17"/>
  <c r="F20" i="17"/>
  <c r="E20" i="17"/>
  <c r="D20" i="17"/>
  <c r="F11" i="17"/>
  <c r="E11" i="17"/>
  <c r="D11" i="17"/>
  <c r="F9" i="17"/>
  <c r="E9" i="17"/>
  <c r="D9" i="17"/>
  <c r="G26" i="17"/>
  <c r="G12" i="17"/>
  <c r="G45" i="17"/>
  <c r="G44" i="17"/>
  <c r="G41" i="17"/>
  <c r="G33" i="17"/>
  <c r="G29" i="17"/>
  <c r="G27" i="17"/>
  <c r="G24" i="17"/>
  <c r="G21" i="17"/>
  <c r="G19" i="17"/>
  <c r="G18" i="17"/>
  <c r="G17" i="17"/>
  <c r="G16" i="17"/>
  <c r="G15" i="17"/>
  <c r="G14" i="17"/>
  <c r="G13" i="17"/>
  <c r="G10" i="17"/>
  <c r="G7" i="17"/>
  <c r="E13" i="26" s="1"/>
  <c r="G6" i="17"/>
  <c r="B13" i="26" s="1"/>
  <c r="F42" i="18"/>
  <c r="E42" i="18"/>
  <c r="F28" i="18"/>
  <c r="E28" i="18"/>
  <c r="D28" i="18"/>
  <c r="F25" i="18"/>
  <c r="E25" i="18"/>
  <c r="D25" i="18"/>
  <c r="F23" i="18"/>
  <c r="E23" i="18"/>
  <c r="D23" i="18"/>
  <c r="F20" i="18"/>
  <c r="E20" i="18"/>
  <c r="D20" i="18"/>
  <c r="F11" i="18"/>
  <c r="E11" i="18"/>
  <c r="D11" i="18"/>
  <c r="F9" i="18"/>
  <c r="E9" i="18"/>
  <c r="D9" i="18"/>
  <c r="G45" i="18"/>
  <c r="G44" i="18"/>
  <c r="G41" i="18"/>
  <c r="G40" i="18"/>
  <c r="G33" i="18"/>
  <c r="G29" i="18"/>
  <c r="G27" i="18"/>
  <c r="G26" i="18"/>
  <c r="G24" i="18"/>
  <c r="G21" i="18"/>
  <c r="G19" i="18"/>
  <c r="G18" i="18"/>
  <c r="G17" i="18"/>
  <c r="G16" i="18"/>
  <c r="G15" i="18"/>
  <c r="G14" i="18"/>
  <c r="G13" i="18"/>
  <c r="G12" i="18"/>
  <c r="G10" i="18"/>
  <c r="G7" i="18"/>
  <c r="E14" i="26" s="1"/>
  <c r="G6" i="18"/>
  <c r="B14" i="26" s="1"/>
  <c r="F28" i="19"/>
  <c r="E28" i="19"/>
  <c r="D28" i="19"/>
  <c r="F25" i="19"/>
  <c r="E25" i="19"/>
  <c r="D25" i="19"/>
  <c r="F23" i="19"/>
  <c r="E23" i="19"/>
  <c r="D23" i="19"/>
  <c r="F20" i="19"/>
  <c r="E20" i="19"/>
  <c r="D20" i="19"/>
  <c r="F11" i="19"/>
  <c r="E11" i="19"/>
  <c r="D11" i="19"/>
  <c r="F9" i="19"/>
  <c r="E9" i="19"/>
  <c r="D9" i="19"/>
  <c r="G45" i="19"/>
  <c r="G44" i="19"/>
  <c r="G41" i="19"/>
  <c r="G40" i="19"/>
  <c r="G33" i="19"/>
  <c r="G29" i="19"/>
  <c r="G27" i="19"/>
  <c r="G26" i="19"/>
  <c r="G24" i="19"/>
  <c r="G21" i="19"/>
  <c r="G19" i="19"/>
  <c r="G18" i="19"/>
  <c r="G17" i="19"/>
  <c r="G16" i="19"/>
  <c r="G15" i="19"/>
  <c r="G14" i="19"/>
  <c r="G13" i="19"/>
  <c r="G12" i="19"/>
  <c r="G10" i="19"/>
  <c r="G7" i="19"/>
  <c r="E15" i="26" s="1"/>
  <c r="G6" i="19"/>
  <c r="F28" i="20"/>
  <c r="E28" i="20"/>
  <c r="D28" i="20"/>
  <c r="F25" i="20"/>
  <c r="D25" i="20"/>
  <c r="E25" i="20"/>
  <c r="F23" i="20"/>
  <c r="E23" i="20"/>
  <c r="D23" i="20"/>
  <c r="F20" i="20"/>
  <c r="E20" i="20"/>
  <c r="D20" i="20"/>
  <c r="F11" i="20"/>
  <c r="E11" i="20"/>
  <c r="D11" i="20"/>
  <c r="F9" i="20"/>
  <c r="E9" i="20"/>
  <c r="D9" i="20"/>
  <c r="G45" i="20"/>
  <c r="G44" i="20"/>
  <c r="G41" i="20"/>
  <c r="G40" i="20"/>
  <c r="G33" i="20"/>
  <c r="G29" i="20"/>
  <c r="G27" i="20"/>
  <c r="G26" i="20"/>
  <c r="G24" i="20"/>
  <c r="G21" i="20"/>
  <c r="G19" i="20"/>
  <c r="G18" i="20"/>
  <c r="G17" i="20"/>
  <c r="G16" i="20"/>
  <c r="G15" i="20"/>
  <c r="G14" i="20"/>
  <c r="G13" i="20"/>
  <c r="G12" i="20"/>
  <c r="G10" i="20"/>
  <c r="G7" i="20"/>
  <c r="E16" i="26" s="1"/>
  <c r="G6" i="20"/>
  <c r="E43" i="21"/>
  <c r="E42" i="21" s="1"/>
  <c r="E39" i="21"/>
  <c r="E38" i="21"/>
  <c r="E37" i="21"/>
  <c r="D43" i="22"/>
  <c r="D45" i="22"/>
  <c r="D39" i="22"/>
  <c r="D38" i="22"/>
  <c r="D37" i="22"/>
  <c r="F36" i="14"/>
  <c r="F42" i="14"/>
  <c r="E39" i="12"/>
  <c r="G20" i="13"/>
  <c r="F14" i="12"/>
  <c r="D14" i="12"/>
  <c r="E14" i="12"/>
  <c r="F42" i="19"/>
  <c r="F36" i="19"/>
  <c r="F36" i="17"/>
  <c r="G19" i="13"/>
  <c r="F36" i="20"/>
  <c r="F36" i="18"/>
  <c r="G40" i="17"/>
  <c r="F42" i="21"/>
  <c r="F36" i="21"/>
  <c r="F28" i="21"/>
  <c r="E28" i="21"/>
  <c r="D28" i="21"/>
  <c r="F25" i="21"/>
  <c r="E25" i="21"/>
  <c r="D25" i="21"/>
  <c r="F23" i="21"/>
  <c r="E23" i="21"/>
  <c r="D23" i="21"/>
  <c r="F20" i="21"/>
  <c r="E20" i="21"/>
  <c r="D20" i="21"/>
  <c r="F11" i="21"/>
  <c r="E11" i="21"/>
  <c r="D11" i="21"/>
  <c r="F9" i="21"/>
  <c r="E9" i="21"/>
  <c r="D9" i="21"/>
  <c r="G45" i="21"/>
  <c r="G44" i="21"/>
  <c r="G41" i="21"/>
  <c r="G40" i="21"/>
  <c r="G33" i="21"/>
  <c r="G29" i="21"/>
  <c r="G27" i="21"/>
  <c r="G26" i="21"/>
  <c r="G24" i="21"/>
  <c r="G21" i="21"/>
  <c r="G19" i="21"/>
  <c r="G18" i="21"/>
  <c r="G17" i="21"/>
  <c r="G16" i="21"/>
  <c r="G15" i="21"/>
  <c r="G14" i="21"/>
  <c r="G13" i="21"/>
  <c r="G12" i="21"/>
  <c r="G10" i="21"/>
  <c r="G7" i="21"/>
  <c r="E17" i="26" s="1"/>
  <c r="G6" i="21"/>
  <c r="B17" i="26" s="1"/>
  <c r="F42" i="22"/>
  <c r="E43" i="22"/>
  <c r="E42" i="22" s="1"/>
  <c r="E39" i="22"/>
  <c r="E38" i="22"/>
  <c r="E37" i="22"/>
  <c r="F28" i="22"/>
  <c r="E28" i="22"/>
  <c r="D28" i="22"/>
  <c r="F25" i="22"/>
  <c r="E25" i="22"/>
  <c r="D25" i="22"/>
  <c r="F23" i="22"/>
  <c r="E23" i="22"/>
  <c r="D23" i="22"/>
  <c r="F20" i="22"/>
  <c r="E20" i="22"/>
  <c r="D20" i="22"/>
  <c r="F11" i="22"/>
  <c r="E11" i="22"/>
  <c r="D11" i="22"/>
  <c r="F9" i="22"/>
  <c r="E9" i="22"/>
  <c r="D9" i="22"/>
  <c r="G44" i="22"/>
  <c r="G41" i="22"/>
  <c r="G40" i="22"/>
  <c r="G33" i="22"/>
  <c r="G29" i="22"/>
  <c r="G27" i="22"/>
  <c r="G26" i="22"/>
  <c r="G24" i="22"/>
  <c r="G21" i="22"/>
  <c r="G19" i="22"/>
  <c r="G18" i="22"/>
  <c r="G17" i="22"/>
  <c r="G16" i="22"/>
  <c r="G15" i="22"/>
  <c r="G14" i="22"/>
  <c r="G13" i="22"/>
  <c r="G12" i="22"/>
  <c r="G10" i="22"/>
  <c r="G7" i="22"/>
  <c r="G6" i="22"/>
  <c r="F36" i="22"/>
  <c r="F123" i="24"/>
  <c r="E123" i="24"/>
  <c r="F117" i="24"/>
  <c r="E117" i="24"/>
  <c r="F109" i="24"/>
  <c r="E109" i="24"/>
  <c r="F104" i="24"/>
  <c r="E104" i="24"/>
  <c r="F98" i="24"/>
  <c r="E98" i="24"/>
  <c r="F91" i="24"/>
  <c r="E91" i="24"/>
  <c r="E90" i="24" s="1"/>
  <c r="F80" i="24"/>
  <c r="E80" i="24"/>
  <c r="F74" i="24"/>
  <c r="E74" i="24"/>
  <c r="F67" i="24"/>
  <c r="F66" i="24" s="1"/>
  <c r="E67" i="24"/>
  <c r="E66" i="24" s="1"/>
  <c r="F61" i="24"/>
  <c r="E61" i="24"/>
  <c r="F56" i="24"/>
  <c r="E56" i="24"/>
  <c r="F50" i="24"/>
  <c r="E50" i="24"/>
  <c r="F42" i="24"/>
  <c r="E42" i="24"/>
  <c r="F36" i="24"/>
  <c r="E36" i="24"/>
  <c r="F28" i="24"/>
  <c r="E28" i="24"/>
  <c r="F22" i="24"/>
  <c r="E22" i="24"/>
  <c r="F14" i="24"/>
  <c r="E14" i="24"/>
  <c r="F8" i="24"/>
  <c r="E8" i="24"/>
  <c r="D123" i="24"/>
  <c r="D116" i="24" s="1"/>
  <c r="D115" i="24" s="1"/>
  <c r="D109" i="24"/>
  <c r="D97" i="24" s="1"/>
  <c r="D96" i="24" s="1"/>
  <c r="D90" i="24"/>
  <c r="D80" i="24"/>
  <c r="D73" i="24" s="1"/>
  <c r="D67" i="24"/>
  <c r="D66" i="24" s="1"/>
  <c r="D61" i="24"/>
  <c r="D56" i="24"/>
  <c r="D42" i="24"/>
  <c r="D35" i="24" s="1"/>
  <c r="D34" i="24" s="1"/>
  <c r="D28" i="24"/>
  <c r="D21" i="24" s="1"/>
  <c r="D20" i="24" s="1"/>
  <c r="D14" i="24"/>
  <c r="D7" i="24" s="1"/>
  <c r="D6" i="24" s="1"/>
  <c r="G23" i="4"/>
  <c r="G22" i="4"/>
  <c r="G21" i="4"/>
  <c r="G20" i="4"/>
  <c r="G19" i="4"/>
  <c r="G14" i="4"/>
  <c r="G13" i="4"/>
  <c r="G12" i="4"/>
  <c r="G11" i="4"/>
  <c r="G10" i="4"/>
  <c r="B4" i="9"/>
  <c r="D19" i="7" s="1"/>
  <c r="C192" i="8"/>
  <c r="C39" i="7"/>
  <c r="C85" i="6"/>
  <c r="B26" i="9"/>
  <c r="D20" i="7" s="1"/>
  <c r="G20" i="7" s="1"/>
  <c r="C16" i="7"/>
  <c r="C15" i="7"/>
  <c r="C120" i="8"/>
  <c r="H58" i="5" s="1"/>
  <c r="C31" i="8"/>
  <c r="H11" i="5" s="1"/>
  <c r="C19" i="13"/>
  <c r="C98" i="15"/>
  <c r="C43" i="14" s="1"/>
  <c r="M21" i="2"/>
  <c r="C27" i="4"/>
  <c r="C28" i="4"/>
  <c r="C31" i="4"/>
  <c r="C33" i="4"/>
  <c r="C34" i="4"/>
  <c r="C37" i="22"/>
  <c r="C38" i="22"/>
  <c r="C39" i="22"/>
  <c r="C43" i="22"/>
  <c r="C42" i="22" s="1"/>
  <c r="C9" i="22"/>
  <c r="C11" i="22"/>
  <c r="C20" i="22"/>
  <c r="C23" i="22"/>
  <c r="C25" i="22"/>
  <c r="C28" i="22"/>
  <c r="C43" i="21"/>
  <c r="C42" i="21" s="1"/>
  <c r="C9" i="21"/>
  <c r="C11" i="21"/>
  <c r="C20" i="21"/>
  <c r="C23" i="21"/>
  <c r="C25" i="21"/>
  <c r="C28" i="21"/>
  <c r="C37" i="20"/>
  <c r="C38" i="20"/>
  <c r="C39" i="20"/>
  <c r="C43" i="20"/>
  <c r="C42" i="20" s="1"/>
  <c r="C9" i="20"/>
  <c r="C11" i="20"/>
  <c r="C20" i="20"/>
  <c r="C23" i="20"/>
  <c r="C25" i="20"/>
  <c r="C28" i="20"/>
  <c r="C37" i="19"/>
  <c r="C38" i="19"/>
  <c r="C39" i="19"/>
  <c r="C43" i="19"/>
  <c r="C42" i="19" s="1"/>
  <c r="C9" i="19"/>
  <c r="C11" i="19"/>
  <c r="C20" i="19"/>
  <c r="C23" i="19"/>
  <c r="C25" i="19"/>
  <c r="C28" i="19"/>
  <c r="C37" i="18"/>
  <c r="C38" i="18"/>
  <c r="C39" i="18"/>
  <c r="C43" i="18"/>
  <c r="C42" i="18" s="1"/>
  <c r="C9" i="18"/>
  <c r="C11" i="18"/>
  <c r="C20" i="18"/>
  <c r="C23" i="18"/>
  <c r="C25" i="18"/>
  <c r="C28" i="18"/>
  <c r="C9" i="17"/>
  <c r="C11" i="17"/>
  <c r="C20" i="17"/>
  <c r="C23" i="17"/>
  <c r="C25" i="17"/>
  <c r="C28" i="17"/>
  <c r="C37" i="17"/>
  <c r="C38" i="17"/>
  <c r="C39" i="17"/>
  <c r="C43" i="17"/>
  <c r="C42" i="17" s="1"/>
  <c r="C9" i="16"/>
  <c r="C11" i="16"/>
  <c r="C20" i="16"/>
  <c r="C23" i="16"/>
  <c r="C25" i="16"/>
  <c r="C28" i="16"/>
  <c r="C43" i="16"/>
  <c r="C42" i="16" s="1"/>
  <c r="C37" i="16"/>
  <c r="C38" i="16"/>
  <c r="C39" i="16"/>
  <c r="C9" i="14"/>
  <c r="C11" i="14"/>
  <c r="C20" i="14"/>
  <c r="C23" i="14"/>
  <c r="C25" i="14"/>
  <c r="C28" i="14"/>
  <c r="C97" i="15"/>
  <c r="C39" i="14" s="1"/>
  <c r="C99" i="15"/>
  <c r="C44" i="14" s="1"/>
  <c r="C9" i="12"/>
  <c r="C11" i="12"/>
  <c r="C23" i="12"/>
  <c r="C26" i="12"/>
  <c r="C28" i="12"/>
  <c r="C31" i="12"/>
  <c r="C43" i="13"/>
  <c r="C44" i="13"/>
  <c r="C45" i="13"/>
  <c r="C46" i="13"/>
  <c r="C47" i="13"/>
  <c r="C48" i="13"/>
  <c r="C45" i="12" s="1"/>
  <c r="C6" i="13"/>
  <c r="C12" i="13"/>
  <c r="C16" i="13"/>
  <c r="C20" i="13"/>
  <c r="C25" i="13"/>
  <c r="C30" i="13"/>
  <c r="C34" i="13"/>
  <c r="C60" i="5" s="1"/>
  <c r="C36" i="13"/>
  <c r="F31" i="11"/>
  <c r="F30" i="11" s="1"/>
  <c r="F28" i="11"/>
  <c r="F26" i="11"/>
  <c r="F24" i="11"/>
  <c r="E20" i="11"/>
  <c r="E19" i="11" s="1"/>
  <c r="E13" i="11"/>
  <c r="E10" i="11"/>
  <c r="E6" i="11"/>
  <c r="F27" i="10"/>
  <c r="F20" i="10"/>
  <c r="F17" i="10"/>
  <c r="F16" i="10" s="1"/>
  <c r="E13" i="10"/>
  <c r="E12" i="10" s="1"/>
  <c r="C41" i="7"/>
  <c r="C210" i="8"/>
  <c r="C11" i="7" s="1"/>
  <c r="C214" i="8"/>
  <c r="C29" i="7" s="1"/>
  <c r="C24" i="7" s="1"/>
  <c r="C7" i="8"/>
  <c r="H6" i="5" s="1"/>
  <c r="C21" i="8"/>
  <c r="H7" i="5" s="1"/>
  <c r="C23" i="8"/>
  <c r="H8" i="5" s="1"/>
  <c r="C27" i="8"/>
  <c r="H9" i="5" s="1"/>
  <c r="H10" i="5"/>
  <c r="C47" i="8"/>
  <c r="H13" i="5" s="1"/>
  <c r="C50" i="8"/>
  <c r="H14" i="5" s="1"/>
  <c r="C55" i="8"/>
  <c r="H15" i="5" s="1"/>
  <c r="C58" i="8"/>
  <c r="C65" i="8"/>
  <c r="C67" i="8"/>
  <c r="C69" i="8"/>
  <c r="C76" i="8"/>
  <c r="H43" i="5" s="1"/>
  <c r="C79" i="8"/>
  <c r="H44" i="5" s="1"/>
  <c r="C87" i="8"/>
  <c r="H46" i="5" s="1"/>
  <c r="C91" i="8"/>
  <c r="H48" i="5" s="1"/>
  <c r="C93" i="8"/>
  <c r="H49" i="5" s="1"/>
  <c r="C95" i="8"/>
  <c r="H50" i="5" s="1"/>
  <c r="C97" i="8"/>
  <c r="H51" i="5" s="1"/>
  <c r="C100" i="8"/>
  <c r="H52" i="5" s="1"/>
  <c r="C104" i="8"/>
  <c r="H53" i="5" s="1"/>
  <c r="C106" i="8"/>
  <c r="H54" i="5" s="1"/>
  <c r="C111" i="8"/>
  <c r="H56" i="5" s="1"/>
  <c r="C116" i="8"/>
  <c r="H57" i="5" s="1"/>
  <c r="C125" i="8"/>
  <c r="H59" i="5" s="1"/>
  <c r="C127" i="8"/>
  <c r="C131" i="8"/>
  <c r="C135" i="8"/>
  <c r="C137" i="8"/>
  <c r="C141" i="8"/>
  <c r="C143" i="8"/>
  <c r="C145" i="8"/>
  <c r="C147" i="8"/>
  <c r="C150" i="8"/>
  <c r="C155" i="8"/>
  <c r="C157" i="8"/>
  <c r="C159" i="8"/>
  <c r="C161" i="8"/>
  <c r="C163" i="8"/>
  <c r="C165" i="8"/>
  <c r="C167" i="8"/>
  <c r="C173" i="8"/>
  <c r="C182" i="8"/>
  <c r="C186" i="8"/>
  <c r="C188" i="8"/>
  <c r="C7" i="6"/>
  <c r="C17" i="6"/>
  <c r="C27" i="6"/>
  <c r="C31" i="6"/>
  <c r="C34" i="6"/>
  <c r="C38" i="6"/>
  <c r="C45" i="6"/>
  <c r="C48" i="6"/>
  <c r="C53" i="6"/>
  <c r="C62" i="6"/>
  <c r="C72" i="6"/>
  <c r="C70" i="6" s="1"/>
  <c r="C81" i="6"/>
  <c r="C95" i="6"/>
  <c r="C101" i="6"/>
  <c r="C106" i="6"/>
  <c r="C14" i="12"/>
  <c r="AF70" i="32"/>
  <c r="AF74" i="32" s="1"/>
  <c r="G102" i="25"/>
  <c r="G99" i="25" s="1"/>
  <c r="DH32" i="32"/>
  <c r="H32" i="32" s="1"/>
  <c r="I6" i="33"/>
  <c r="I25" i="33" s="1"/>
  <c r="G33" i="34"/>
  <c r="G32" i="34"/>
  <c r="G26" i="34"/>
  <c r="G24" i="34"/>
  <c r="G23" i="34"/>
  <c r="G19" i="34"/>
  <c r="G13" i="34"/>
  <c r="G13" i="23"/>
  <c r="G11" i="23"/>
  <c r="I26" i="36"/>
  <c r="AF15" i="32"/>
  <c r="G37" i="25"/>
  <c r="G49" i="25" s="1"/>
  <c r="E49" i="25" s="1"/>
  <c r="G59" i="34"/>
  <c r="M70" i="36"/>
  <c r="I70" i="36"/>
  <c r="G70" i="36"/>
  <c r="G22" i="35"/>
  <c r="G53" i="34"/>
  <c r="G31" i="23"/>
  <c r="Q21" i="37"/>
  <c r="O21" i="37"/>
  <c r="G21" i="37"/>
  <c r="R2" i="32"/>
  <c r="E100" i="33"/>
  <c r="E36" i="33"/>
  <c r="M160" i="33"/>
  <c r="M172" i="33" s="1"/>
  <c r="L160" i="33"/>
  <c r="L172" i="33" s="1"/>
  <c r="M147" i="33"/>
  <c r="L147" i="33"/>
  <c r="M141" i="33"/>
  <c r="L141" i="33"/>
  <c r="M117" i="33"/>
  <c r="L117" i="33"/>
  <c r="M114" i="33"/>
  <c r="L114" i="33"/>
  <c r="M109" i="33"/>
  <c r="L109" i="33"/>
  <c r="M105" i="33"/>
  <c r="L105" i="33"/>
  <c r="L102" i="33"/>
  <c r="M97" i="33"/>
  <c r="M101" i="33" s="1"/>
  <c r="L97" i="33"/>
  <c r="L101" i="33" s="1"/>
  <c r="M91" i="33"/>
  <c r="L91" i="33"/>
  <c r="M87" i="33"/>
  <c r="L87" i="33"/>
  <c r="M84" i="33"/>
  <c r="L84" i="33"/>
  <c r="M80" i="33"/>
  <c r="L80" i="33"/>
  <c r="M78" i="33"/>
  <c r="L78" i="33"/>
  <c r="M74" i="33"/>
  <c r="L74" i="33"/>
  <c r="M70" i="33"/>
  <c r="L70" i="33"/>
  <c r="M63" i="33"/>
  <c r="M73" i="33" s="1"/>
  <c r="L63" i="33"/>
  <c r="M59" i="33"/>
  <c r="L59" i="33"/>
  <c r="M52" i="33"/>
  <c r="L52" i="33"/>
  <c r="M45" i="33"/>
  <c r="L45" i="33"/>
  <c r="M38" i="33"/>
  <c r="L38" i="33"/>
  <c r="M30" i="33"/>
  <c r="L30" i="33"/>
  <c r="M28" i="33"/>
  <c r="L28" i="33"/>
  <c r="M26" i="33"/>
  <c r="L26" i="33"/>
  <c r="P32" i="32"/>
  <c r="DH42" i="32"/>
  <c r="H42" i="32" s="1"/>
  <c r="BP33" i="32"/>
  <c r="D28" i="11"/>
  <c r="AF21" i="32"/>
  <c r="AF23" i="32" s="1"/>
  <c r="D31" i="11"/>
  <c r="D30" i="11" s="1"/>
  <c r="D26" i="11"/>
  <c r="C13" i="11"/>
  <c r="C10" i="11"/>
  <c r="C6" i="11"/>
  <c r="U158" i="37"/>
  <c r="R20" i="32"/>
  <c r="F20" i="32" s="1"/>
  <c r="G154" i="37"/>
  <c r="G47" i="34"/>
  <c r="Q158" i="36"/>
  <c r="Q178" i="36" s="1"/>
  <c r="Q153" i="36"/>
  <c r="Q157" i="36" s="1"/>
  <c r="Q147" i="36"/>
  <c r="Q129" i="36"/>
  <c r="Q118" i="36"/>
  <c r="Q91" i="36"/>
  <c r="Q83" i="36"/>
  <c r="Q85" i="36" s="1"/>
  <c r="Q79" i="36"/>
  <c r="Q143" i="36"/>
  <c r="M54" i="36"/>
  <c r="M6" i="36" s="1"/>
  <c r="M78" i="36" s="1"/>
  <c r="M76" i="36" s="1"/>
  <c r="S216" i="36"/>
  <c r="S228" i="36" s="1"/>
  <c r="Q216" i="36"/>
  <c r="Q228" i="36" s="1"/>
  <c r="M216" i="36"/>
  <c r="M228" i="36" s="1"/>
  <c r="G39" i="34"/>
  <c r="CX64" i="32"/>
  <c r="CX66" i="32" s="1"/>
  <c r="CJ64" i="32"/>
  <c r="CJ66" i="32" s="1"/>
  <c r="F19" i="26"/>
  <c r="D19" i="26"/>
  <c r="D10" i="26"/>
  <c r="C10" i="26"/>
  <c r="F10" i="26"/>
  <c r="E10" i="26"/>
  <c r="D24" i="11"/>
  <c r="C20" i="11"/>
  <c r="C19" i="11" s="1"/>
  <c r="G37" i="23"/>
  <c r="BT59" i="32"/>
  <c r="BT66" i="32" s="1"/>
  <c r="Z38" i="32"/>
  <c r="Z33" i="32"/>
  <c r="Z34" i="32" s="1"/>
  <c r="D27" i="10"/>
  <c r="C21" i="29"/>
  <c r="C13" i="29"/>
  <c r="D20" i="10"/>
  <c r="D17" i="10"/>
  <c r="D16" i="10" s="1"/>
  <c r="C13" i="10"/>
  <c r="C12" i="10" s="1"/>
  <c r="C6" i="10"/>
  <c r="C5" i="10" s="1"/>
  <c r="C11" i="10" s="1"/>
  <c r="AT17" i="32"/>
  <c r="H17" i="32" s="1"/>
  <c r="N73" i="32"/>
  <c r="N74" i="32" s="1"/>
  <c r="V73" i="32"/>
  <c r="V74" i="32" s="1"/>
  <c r="AB73" i="32"/>
  <c r="Z68" i="32"/>
  <c r="F68" i="32" s="1"/>
  <c r="O92" i="37"/>
  <c r="AJ52" i="32"/>
  <c r="AJ53" i="32" s="1"/>
  <c r="I148" i="25"/>
  <c r="I152" i="25" s="1"/>
  <c r="G107" i="25"/>
  <c r="G103" i="25" s="1"/>
  <c r="G6" i="35"/>
  <c r="G30" i="35" s="1"/>
  <c r="G28" i="35" s="1"/>
  <c r="AB33" i="32"/>
  <c r="AB34" i="32" s="1"/>
  <c r="L67" i="32"/>
  <c r="L73" i="32" s="1"/>
  <c r="CT106" i="32"/>
  <c r="CT88" i="32"/>
  <c r="CT79" i="32"/>
  <c r="CT74" i="32"/>
  <c r="CT66" i="32"/>
  <c r="CT53" i="32"/>
  <c r="CT37" i="32"/>
  <c r="CT34" i="32"/>
  <c r="CT26" i="32"/>
  <c r="CT23" i="32"/>
  <c r="CT19" i="32"/>
  <c r="H19" i="32" s="1"/>
  <c r="CT18" i="32"/>
  <c r="P29" i="32"/>
  <c r="F29" i="32" s="1"/>
  <c r="AH106" i="32"/>
  <c r="AH88" i="32"/>
  <c r="AH79" i="32"/>
  <c r="AH73" i="32"/>
  <c r="AH74" i="32" s="1"/>
  <c r="AH53" i="32"/>
  <c r="AH44" i="32"/>
  <c r="DH106" i="32"/>
  <c r="DH88" i="32"/>
  <c r="DH79" i="32"/>
  <c r="DH74" i="32"/>
  <c r="DH66" i="32"/>
  <c r="DH53" i="32"/>
  <c r="DH37" i="32"/>
  <c r="DH26" i="32"/>
  <c r="DH23" i="32"/>
  <c r="DH18" i="32"/>
  <c r="AF106" i="32"/>
  <c r="AF88" i="32"/>
  <c r="AF79" i="32"/>
  <c r="AF53" i="32"/>
  <c r="AF37" i="32"/>
  <c r="AF34" i="32"/>
  <c r="AF26" i="32"/>
  <c r="U126" i="37"/>
  <c r="U123" i="37"/>
  <c r="U118" i="37"/>
  <c r="U114" i="37"/>
  <c r="U106" i="37"/>
  <c r="U110" i="37" s="1"/>
  <c r="U104" i="37"/>
  <c r="U100" i="37" s="1"/>
  <c r="U96" i="37"/>
  <c r="U93" i="37"/>
  <c r="U89" i="37"/>
  <c r="U84" i="37"/>
  <c r="U80" i="37"/>
  <c r="U73" i="37"/>
  <c r="U62" i="37"/>
  <c r="U55" i="37"/>
  <c r="U44" i="37"/>
  <c r="U41" i="37"/>
  <c r="U36" i="37"/>
  <c r="T45" i="37"/>
  <c r="S45" i="37"/>
  <c r="Q126" i="37"/>
  <c r="Q123" i="37"/>
  <c r="Q118" i="37"/>
  <c r="Q114" i="37"/>
  <c r="Q106" i="37"/>
  <c r="Q110" i="37" s="1"/>
  <c r="Q100" i="37"/>
  <c r="Q92" i="37"/>
  <c r="Q89" i="37"/>
  <c r="Q84" i="37"/>
  <c r="Q80" i="37"/>
  <c r="Q73" i="37"/>
  <c r="Q69" i="37"/>
  <c r="Q62" i="37"/>
  <c r="Q72" i="37" s="1"/>
  <c r="Q41" i="37"/>
  <c r="Q44" i="37"/>
  <c r="Q16" i="37"/>
  <c r="Q42" i="37" s="1"/>
  <c r="O158" i="37"/>
  <c r="O159" i="37" s="1"/>
  <c r="O126" i="37"/>
  <c r="O106" i="37"/>
  <c r="O100" i="37"/>
  <c r="O93" i="37"/>
  <c r="O96" i="37"/>
  <c r="O80" i="37"/>
  <c r="O83" i="37" s="1"/>
  <c r="O62" i="37"/>
  <c r="G44" i="37"/>
  <c r="O44" i="37"/>
  <c r="O41" i="37"/>
  <c r="O16" i="37"/>
  <c r="O42" i="37" s="1"/>
  <c r="G126" i="37"/>
  <c r="G123" i="37"/>
  <c r="E123" i="37" s="1"/>
  <c r="G118" i="37"/>
  <c r="G114" i="37"/>
  <c r="G73" i="37"/>
  <c r="E73" i="37" s="1"/>
  <c r="G84" i="37"/>
  <c r="G96" i="37"/>
  <c r="G106" i="37"/>
  <c r="G110" i="37" s="1"/>
  <c r="G100" i="37"/>
  <c r="G93" i="37"/>
  <c r="G89" i="37"/>
  <c r="G80" i="37"/>
  <c r="G83" i="37" s="1"/>
  <c r="G69" i="37"/>
  <c r="G62" i="37"/>
  <c r="G55" i="37"/>
  <c r="G36" i="37"/>
  <c r="G35" i="37"/>
  <c r="G34" i="37" s="1"/>
  <c r="G31" i="37"/>
  <c r="G28" i="37"/>
  <c r="E28" i="37" s="1"/>
  <c r="G27" i="37"/>
  <c r="G26" i="37" s="1"/>
  <c r="E26" i="37" s="1"/>
  <c r="G24" i="37"/>
  <c r="G16" i="37"/>
  <c r="G10" i="37"/>
  <c r="AH19" i="32"/>
  <c r="G77" i="25"/>
  <c r="G75" i="25" s="1"/>
  <c r="G95" i="25"/>
  <c r="E95" i="25" s="1"/>
  <c r="K42" i="25"/>
  <c r="K47" i="25" s="1"/>
  <c r="K49" i="25"/>
  <c r="K40" i="25"/>
  <c r="K46" i="25" s="1"/>
  <c r="K38" i="25"/>
  <c r="E162" i="33"/>
  <c r="E163" i="33"/>
  <c r="E164" i="33"/>
  <c r="E165" i="33"/>
  <c r="E167" i="33"/>
  <c r="E168" i="33"/>
  <c r="E169" i="33"/>
  <c r="E170" i="33"/>
  <c r="E161" i="33"/>
  <c r="E145" i="33"/>
  <c r="E144" i="33"/>
  <c r="E143" i="33"/>
  <c r="E142" i="33"/>
  <c r="E134" i="33"/>
  <c r="E135" i="33"/>
  <c r="E136" i="33"/>
  <c r="E137" i="33"/>
  <c r="E138" i="33"/>
  <c r="E139" i="33"/>
  <c r="E133" i="33"/>
  <c r="E83" i="33"/>
  <c r="E27" i="33"/>
  <c r="E21" i="33"/>
  <c r="E18" i="33"/>
  <c r="E17" i="33"/>
  <c r="E14" i="33"/>
  <c r="E13" i="33"/>
  <c r="E9" i="33"/>
  <c r="E8" i="33"/>
  <c r="K38" i="33"/>
  <c r="K30" i="33"/>
  <c r="K28" i="33"/>
  <c r="K26" i="33"/>
  <c r="DN106" i="32"/>
  <c r="DN88" i="32"/>
  <c r="DN79" i="32"/>
  <c r="DN74" i="32"/>
  <c r="DN66" i="32"/>
  <c r="DN53" i="32"/>
  <c r="DN43" i="32"/>
  <c r="DN37" i="32"/>
  <c r="DN34" i="32"/>
  <c r="DN26" i="32"/>
  <c r="DN23" i="32"/>
  <c r="DN18" i="32"/>
  <c r="DT106" i="32"/>
  <c r="DT88" i="32"/>
  <c r="DT79" i="32"/>
  <c r="DT74" i="32"/>
  <c r="DT66" i="32"/>
  <c r="DT53" i="32"/>
  <c r="DT43" i="32"/>
  <c r="DT37" i="32"/>
  <c r="DT34" i="32"/>
  <c r="DT18" i="32"/>
  <c r="DL106" i="32"/>
  <c r="DL88" i="32"/>
  <c r="DL74" i="32"/>
  <c r="DL66" i="32"/>
  <c r="DL53" i="32"/>
  <c r="DL43" i="32"/>
  <c r="DL37" i="32"/>
  <c r="DL34" i="32"/>
  <c r="DL26" i="32"/>
  <c r="DL23" i="32"/>
  <c r="DL18" i="32"/>
  <c r="DJ106" i="32"/>
  <c r="DJ88" i="32"/>
  <c r="DJ79" i="32"/>
  <c r="DJ66" i="32"/>
  <c r="DJ53" i="32"/>
  <c r="DJ43" i="32"/>
  <c r="DJ37" i="32"/>
  <c r="DJ34" i="32"/>
  <c r="DJ26" i="32"/>
  <c r="DJ23" i="32"/>
  <c r="DJ18" i="32"/>
  <c r="DF48" i="32"/>
  <c r="H48" i="32" s="1"/>
  <c r="DF50" i="32"/>
  <c r="DF106" i="32"/>
  <c r="DF88" i="32"/>
  <c r="DF79" i="32"/>
  <c r="DF74" i="32"/>
  <c r="DF66" i="32"/>
  <c r="DF43" i="32"/>
  <c r="DF37" i="32"/>
  <c r="DF34" i="32"/>
  <c r="DF26" i="32"/>
  <c r="DF23" i="32"/>
  <c r="DF18" i="32"/>
  <c r="DD106" i="32"/>
  <c r="DD88" i="32"/>
  <c r="DD79" i="32"/>
  <c r="DD74" i="32"/>
  <c r="DD66" i="32"/>
  <c r="DD53" i="32"/>
  <c r="DD43" i="32"/>
  <c r="DD37" i="32"/>
  <c r="DD34" i="32"/>
  <c r="DD26" i="32"/>
  <c r="DD23" i="32"/>
  <c r="DD18" i="32"/>
  <c r="CX106" i="32"/>
  <c r="CX88" i="32"/>
  <c r="CX79" i="32"/>
  <c r="CX74" i="32"/>
  <c r="CX53" i="32"/>
  <c r="CX43" i="32"/>
  <c r="CX37" i="32"/>
  <c r="CX34" i="32"/>
  <c r="CX26" i="32"/>
  <c r="CX23" i="32"/>
  <c r="CX18" i="32"/>
  <c r="CV106" i="32"/>
  <c r="CV88" i="32"/>
  <c r="CV79" i="32"/>
  <c r="CV74" i="32"/>
  <c r="CV64" i="32"/>
  <c r="CV66" i="32" s="1"/>
  <c r="CV53" i="32"/>
  <c r="CV43" i="32"/>
  <c r="CV37" i="32"/>
  <c r="CV34" i="32"/>
  <c r="CV26" i="32"/>
  <c r="CV23" i="32"/>
  <c r="CV18" i="32"/>
  <c r="CR106" i="32"/>
  <c r="CR88" i="32"/>
  <c r="CR79" i="32"/>
  <c r="CR74" i="32"/>
  <c r="CR66" i="32"/>
  <c r="CR53" i="32"/>
  <c r="CR43" i="32"/>
  <c r="CR37" i="32"/>
  <c r="CR34" i="32"/>
  <c r="CR26" i="32"/>
  <c r="CR23" i="32"/>
  <c r="CR18" i="32"/>
  <c r="CP106" i="32"/>
  <c r="CP88" i="32"/>
  <c r="CP79" i="32"/>
  <c r="CP74" i="32"/>
  <c r="CP64" i="32"/>
  <c r="CP66" i="32" s="1"/>
  <c r="CP53" i="32"/>
  <c r="CP43" i="32"/>
  <c r="CP37" i="32"/>
  <c r="CP34" i="32"/>
  <c r="CP26" i="32"/>
  <c r="CP23" i="32"/>
  <c r="CP18" i="32"/>
  <c r="CN106" i="32"/>
  <c r="CN88" i="32"/>
  <c r="CN79" i="32"/>
  <c r="CN74" i="32"/>
  <c r="CN66" i="32"/>
  <c r="CN53" i="32"/>
  <c r="CN43" i="32"/>
  <c r="CN37" i="32"/>
  <c r="CN34" i="32"/>
  <c r="CN26" i="32"/>
  <c r="CN23" i="32"/>
  <c r="CN18" i="32"/>
  <c r="CB64" i="32"/>
  <c r="CL106" i="32"/>
  <c r="CL88" i="32"/>
  <c r="CL79" i="32"/>
  <c r="CL74" i="32"/>
  <c r="CL66" i="32"/>
  <c r="CL53" i="32"/>
  <c r="CL43" i="32"/>
  <c r="CL37" i="32"/>
  <c r="CL34" i="32"/>
  <c r="CL26" i="32"/>
  <c r="CL23" i="32"/>
  <c r="CL18" i="32"/>
  <c r="CJ106" i="32"/>
  <c r="CJ88" i="32"/>
  <c r="CJ79" i="32"/>
  <c r="CJ74" i="32"/>
  <c r="CJ53" i="32"/>
  <c r="CJ37" i="32"/>
  <c r="CJ34" i="32"/>
  <c r="CJ26" i="32"/>
  <c r="CJ23" i="32"/>
  <c r="CJ18" i="32"/>
  <c r="CH106" i="32"/>
  <c r="CH88" i="32"/>
  <c r="CH79" i="32"/>
  <c r="CH74" i="32"/>
  <c r="CH66" i="32"/>
  <c r="CH53" i="32"/>
  <c r="CH43" i="32"/>
  <c r="CH37" i="32"/>
  <c r="CH34" i="32"/>
  <c r="CH26" i="32"/>
  <c r="CH23" i="32"/>
  <c r="CH18" i="32"/>
  <c r="CF106" i="32"/>
  <c r="CF88" i="32"/>
  <c r="CF79" i="32"/>
  <c r="CF74" i="32"/>
  <c r="CF66" i="32"/>
  <c r="CF53" i="32"/>
  <c r="CF43" i="32"/>
  <c r="CF37" i="32"/>
  <c r="CF34" i="32"/>
  <c r="CF26" i="32"/>
  <c r="CF23" i="32"/>
  <c r="CF18" i="32"/>
  <c r="CD106" i="32"/>
  <c r="CD88" i="32"/>
  <c r="CD79" i="32"/>
  <c r="CD74" i="32"/>
  <c r="CD66" i="32"/>
  <c r="CD53" i="32"/>
  <c r="CD43" i="32"/>
  <c r="CD37" i="32"/>
  <c r="CD34" i="32"/>
  <c r="CD26" i="32"/>
  <c r="CD23" i="32"/>
  <c r="CD18" i="32"/>
  <c r="CB106" i="32"/>
  <c r="CB88" i="32"/>
  <c r="CB79" i="32"/>
  <c r="CB74" i="32"/>
  <c r="CB53" i="32"/>
  <c r="CB43" i="32"/>
  <c r="CB37" i="32"/>
  <c r="CB34" i="32"/>
  <c r="CB26" i="32"/>
  <c r="CB23" i="32"/>
  <c r="CB18" i="32"/>
  <c r="BZ59" i="32"/>
  <c r="BZ66" i="32" s="1"/>
  <c r="BZ106" i="32"/>
  <c r="BZ88" i="32"/>
  <c r="BZ79" i="32"/>
  <c r="BZ74" i="32"/>
  <c r="BZ53" i="32"/>
  <c r="BZ43" i="32"/>
  <c r="BZ37" i="32"/>
  <c r="BZ34" i="32"/>
  <c r="BZ26" i="32"/>
  <c r="BZ23" i="32"/>
  <c r="BZ18" i="32"/>
  <c r="DV66" i="32"/>
  <c r="DV18" i="32"/>
  <c r="BX106" i="32"/>
  <c r="BX88" i="32"/>
  <c r="BX79" i="32"/>
  <c r="BX74" i="32"/>
  <c r="BX66" i="32"/>
  <c r="BX53" i="32"/>
  <c r="BX43" i="32"/>
  <c r="BX37" i="32"/>
  <c r="BX34" i="32"/>
  <c r="BX26" i="32"/>
  <c r="BX23" i="32"/>
  <c r="BX18" i="32"/>
  <c r="BV106" i="32"/>
  <c r="BV88" i="32"/>
  <c r="BV79" i="32"/>
  <c r="BV74" i="32"/>
  <c r="BV59" i="32"/>
  <c r="BV66" i="32" s="1"/>
  <c r="BV53" i="32"/>
  <c r="BV43" i="32"/>
  <c r="BV37" i="32"/>
  <c r="BV34" i="32"/>
  <c r="BV26" i="32"/>
  <c r="BV23" i="32"/>
  <c r="BV18" i="32"/>
  <c r="BT106" i="32"/>
  <c r="BT88" i="32"/>
  <c r="BT79" i="32"/>
  <c r="BT74" i="32"/>
  <c r="BT53" i="32"/>
  <c r="BT43" i="32"/>
  <c r="BT37" i="32"/>
  <c r="BT34" i="32"/>
  <c r="BT26" i="32"/>
  <c r="BT23" i="32"/>
  <c r="BT18" i="32"/>
  <c r="BR106" i="32"/>
  <c r="BR88" i="32"/>
  <c r="BR79" i="32"/>
  <c r="BR74" i="32"/>
  <c r="BR66" i="32"/>
  <c r="BR53" i="32"/>
  <c r="BR43" i="32"/>
  <c r="BR37" i="32"/>
  <c r="BR34" i="32"/>
  <c r="BR26" i="32"/>
  <c r="BR23" i="32"/>
  <c r="BR18" i="32"/>
  <c r="BP106" i="32"/>
  <c r="BP88" i="32"/>
  <c r="BP79" i="32"/>
  <c r="BP74" i="32"/>
  <c r="BP66" i="32"/>
  <c r="BP53" i="32"/>
  <c r="BP37" i="32"/>
  <c r="BP26" i="32"/>
  <c r="BP23" i="32"/>
  <c r="BP18" i="32"/>
  <c r="BN106" i="32"/>
  <c r="BN88" i="32"/>
  <c r="BN79" i="32"/>
  <c r="BN74" i="32"/>
  <c r="BN66" i="32"/>
  <c r="BN53" i="32"/>
  <c r="BN43" i="32"/>
  <c r="BN37" i="32"/>
  <c r="BN34" i="32"/>
  <c r="BN26" i="32"/>
  <c r="BN23" i="32"/>
  <c r="BN18" i="32"/>
  <c r="BL106" i="32"/>
  <c r="BL88" i="32"/>
  <c r="BL79" i="32"/>
  <c r="BL74" i="32"/>
  <c r="BL66" i="32"/>
  <c r="BL53" i="32"/>
  <c r="BL37" i="32"/>
  <c r="BL34" i="32"/>
  <c r="BL26" i="32"/>
  <c r="BL23" i="32"/>
  <c r="BL18" i="32"/>
  <c r="BJ106" i="32"/>
  <c r="BJ88" i="32"/>
  <c r="BJ79" i="32"/>
  <c r="BJ74" i="32"/>
  <c r="BJ66" i="32"/>
  <c r="BJ53" i="32"/>
  <c r="BJ37" i="32"/>
  <c r="BJ34" i="32"/>
  <c r="BJ26" i="32"/>
  <c r="BJ23" i="32"/>
  <c r="BJ18" i="32"/>
  <c r="BH106" i="32"/>
  <c r="BH88" i="32"/>
  <c r="BH79" i="32"/>
  <c r="BH74" i="32"/>
  <c r="BH66" i="32"/>
  <c r="BH53" i="32"/>
  <c r="BH43" i="32"/>
  <c r="BH37" i="32"/>
  <c r="BH34" i="32"/>
  <c r="BH26" i="32"/>
  <c r="BH23" i="32"/>
  <c r="BH18" i="32"/>
  <c r="BF106" i="32"/>
  <c r="BF88" i="32"/>
  <c r="BF79" i="32"/>
  <c r="BF74" i="32"/>
  <c r="BF66" i="32"/>
  <c r="BF53" i="32"/>
  <c r="BF37" i="32"/>
  <c r="BF34" i="32"/>
  <c r="BF26" i="32"/>
  <c r="BF23" i="32"/>
  <c r="BF18" i="32"/>
  <c r="BD106" i="32"/>
  <c r="BD88" i="32"/>
  <c r="BD79" i="32"/>
  <c r="BD74" i="32"/>
  <c r="BD66" i="32"/>
  <c r="BD53" i="32"/>
  <c r="BD43" i="32"/>
  <c r="BD37" i="32"/>
  <c r="BD34" i="32"/>
  <c r="BD26" i="32"/>
  <c r="BD23" i="32"/>
  <c r="BD18" i="32"/>
  <c r="DP106" i="32"/>
  <c r="DP88" i="32"/>
  <c r="DP79" i="32"/>
  <c r="DP74" i="32"/>
  <c r="DP66" i="32"/>
  <c r="DP53" i="32"/>
  <c r="DP37" i="32"/>
  <c r="DP34" i="32"/>
  <c r="DP26" i="32"/>
  <c r="DP23" i="32"/>
  <c r="DP18" i="32"/>
  <c r="BB106" i="32"/>
  <c r="BB88" i="32"/>
  <c r="BB79" i="32"/>
  <c r="BB74" i="32"/>
  <c r="BB66" i="32"/>
  <c r="BB53" i="32"/>
  <c r="BB37" i="32"/>
  <c r="BB34" i="32"/>
  <c r="BB26" i="32"/>
  <c r="BB23" i="32"/>
  <c r="BB18" i="32"/>
  <c r="AZ106" i="32"/>
  <c r="AZ88" i="32"/>
  <c r="AZ79" i="32"/>
  <c r="AZ74" i="32"/>
  <c r="AZ66" i="32"/>
  <c r="AZ53" i="32"/>
  <c r="AZ43" i="32"/>
  <c r="AZ37" i="32"/>
  <c r="AZ34" i="32"/>
  <c r="AZ26" i="32"/>
  <c r="AZ23" i="32"/>
  <c r="AZ18" i="32"/>
  <c r="AV106" i="32"/>
  <c r="AV88" i="32"/>
  <c r="AV79" i="32"/>
  <c r="AV74" i="32"/>
  <c r="AV66" i="32"/>
  <c r="AV53" i="32"/>
  <c r="AV43" i="32"/>
  <c r="AV37" i="32"/>
  <c r="AV34" i="32"/>
  <c r="AV26" i="32"/>
  <c r="AV23" i="32"/>
  <c r="AV18" i="32"/>
  <c r="AX106" i="32"/>
  <c r="AX88" i="32"/>
  <c r="AX79" i="32"/>
  <c r="AX74" i="32"/>
  <c r="AX66" i="32"/>
  <c r="AX53" i="32"/>
  <c r="AX43" i="32"/>
  <c r="AX37" i="32"/>
  <c r="AX34" i="32"/>
  <c r="AX26" i="32"/>
  <c r="AX23" i="32"/>
  <c r="AX18" i="32"/>
  <c r="AT106" i="32"/>
  <c r="AT88" i="32"/>
  <c r="AT79" i="32"/>
  <c r="AT74" i="32"/>
  <c r="AT66" i="32"/>
  <c r="AT53" i="32"/>
  <c r="AT43" i="32"/>
  <c r="AT37" i="32"/>
  <c r="AT34" i="32"/>
  <c r="AT26" i="32"/>
  <c r="AT23" i="32"/>
  <c r="AR106" i="32"/>
  <c r="AR88" i="32"/>
  <c r="AR79" i="32"/>
  <c r="AR74" i="32"/>
  <c r="AR66" i="32"/>
  <c r="AR53" i="32"/>
  <c r="AR37" i="32"/>
  <c r="AR34" i="32"/>
  <c r="AR26" i="32"/>
  <c r="AR23" i="32"/>
  <c r="AR18" i="32"/>
  <c r="AP106" i="32"/>
  <c r="AP88" i="32"/>
  <c r="AP79" i="32"/>
  <c r="AP74" i="32"/>
  <c r="AP66" i="32"/>
  <c r="AP53" i="32"/>
  <c r="AP43" i="32"/>
  <c r="AP37" i="32"/>
  <c r="AP34" i="32"/>
  <c r="AP26" i="32"/>
  <c r="AP23" i="32"/>
  <c r="AP18" i="32"/>
  <c r="AL106" i="32"/>
  <c r="AL88" i="32"/>
  <c r="AL79" i="32"/>
  <c r="AL74" i="32"/>
  <c r="AL66" i="32"/>
  <c r="AL53" i="32"/>
  <c r="AL43" i="32"/>
  <c r="AL37" i="32"/>
  <c r="AL34" i="32"/>
  <c r="AL26" i="32"/>
  <c r="AL23" i="32"/>
  <c r="AL18" i="32"/>
  <c r="AH18" i="32"/>
  <c r="F105" i="32"/>
  <c r="F104" i="32"/>
  <c r="F103" i="32"/>
  <c r="F102" i="32"/>
  <c r="F101" i="32"/>
  <c r="F100" i="32"/>
  <c r="F99" i="32"/>
  <c r="F98" i="32"/>
  <c r="F97" i="32"/>
  <c r="F96" i="32"/>
  <c r="F95" i="32"/>
  <c r="F94" i="32"/>
  <c r="F93" i="32"/>
  <c r="F92" i="32"/>
  <c r="F91" i="32"/>
  <c r="F90" i="32"/>
  <c r="F89" i="32"/>
  <c r="F87" i="32"/>
  <c r="F86" i="32"/>
  <c r="F85" i="32"/>
  <c r="F84" i="32"/>
  <c r="F83" i="32"/>
  <c r="F82" i="32"/>
  <c r="F81" i="32"/>
  <c r="F80" i="32"/>
  <c r="F78" i="32"/>
  <c r="F77" i="32"/>
  <c r="F76" i="32"/>
  <c r="F75" i="32"/>
  <c r="F72" i="32"/>
  <c r="F71" i="32"/>
  <c r="F69" i="32"/>
  <c r="F67" i="32"/>
  <c r="F64" i="32"/>
  <c r="F63" i="32"/>
  <c r="F62" i="32"/>
  <c r="F61" i="32"/>
  <c r="F60" i="32"/>
  <c r="F59" i="32"/>
  <c r="F58" i="32"/>
  <c r="F57" i="32"/>
  <c r="F56" i="32"/>
  <c r="F55" i="32"/>
  <c r="F54" i="32"/>
  <c r="F51" i="32"/>
  <c r="F50" i="32"/>
  <c r="F49" i="32"/>
  <c r="F48" i="32"/>
  <c r="F47" i="32"/>
  <c r="F46" i="32"/>
  <c r="F45" i="32"/>
  <c r="F42" i="32"/>
  <c r="F41" i="32"/>
  <c r="F40" i="32"/>
  <c r="F39" i="32"/>
  <c r="F36" i="32"/>
  <c r="F35" i="32"/>
  <c r="F31" i="32"/>
  <c r="F30" i="32"/>
  <c r="F28" i="32"/>
  <c r="F27" i="32"/>
  <c r="F25" i="32"/>
  <c r="F24" i="32"/>
  <c r="F22" i="32"/>
  <c r="F17" i="32"/>
  <c r="F16" i="32"/>
  <c r="F14" i="32"/>
  <c r="F13" i="32"/>
  <c r="F12" i="32"/>
  <c r="F11" i="32"/>
  <c r="F10" i="32"/>
  <c r="F9" i="32"/>
  <c r="F8" i="32"/>
  <c r="F7" i="32"/>
  <c r="F6" i="32"/>
  <c r="F5" i="32"/>
  <c r="F4" i="32"/>
  <c r="F3" i="32"/>
  <c r="AJ106" i="32"/>
  <c r="AJ88" i="32"/>
  <c r="AJ79" i="32"/>
  <c r="AJ74" i="32"/>
  <c r="AJ66" i="32"/>
  <c r="AJ43" i="32"/>
  <c r="AJ37" i="32"/>
  <c r="AJ34" i="32"/>
  <c r="AJ26" i="32"/>
  <c r="AJ23" i="32"/>
  <c r="AJ18" i="32"/>
  <c r="AD106" i="32"/>
  <c r="AD88" i="32"/>
  <c r="AD79" i="32"/>
  <c r="AD74" i="32"/>
  <c r="AD66" i="32"/>
  <c r="AD53" i="32"/>
  <c r="AD37" i="32"/>
  <c r="AD34" i="32"/>
  <c r="AD26" i="32"/>
  <c r="AD23" i="32"/>
  <c r="AD18" i="32"/>
  <c r="AB106" i="32"/>
  <c r="AB88" i="32"/>
  <c r="AB79" i="32"/>
  <c r="AB74" i="32"/>
  <c r="AB66" i="32"/>
  <c r="AB53" i="32"/>
  <c r="AB37" i="32"/>
  <c r="AB26" i="32"/>
  <c r="AB23" i="32"/>
  <c r="AB18" i="32"/>
  <c r="Z106" i="32"/>
  <c r="Z88" i="32"/>
  <c r="Z79" i="32"/>
  <c r="Z66" i="32"/>
  <c r="Z53" i="32"/>
  <c r="Z43" i="32"/>
  <c r="Z37" i="32"/>
  <c r="Z26" i="32"/>
  <c r="Z23" i="32"/>
  <c r="Z18" i="32"/>
  <c r="X106" i="32"/>
  <c r="X88" i="32"/>
  <c r="X79" i="32"/>
  <c r="X74" i="32"/>
  <c r="X66" i="32"/>
  <c r="X53" i="32"/>
  <c r="X37" i="32"/>
  <c r="X34" i="32"/>
  <c r="X26" i="32"/>
  <c r="X23" i="32"/>
  <c r="X18" i="32"/>
  <c r="V106" i="32"/>
  <c r="V88" i="32"/>
  <c r="V79" i="32"/>
  <c r="V66" i="32"/>
  <c r="V53" i="32"/>
  <c r="V43" i="32"/>
  <c r="V37" i="32"/>
  <c r="V34" i="32"/>
  <c r="V26" i="32"/>
  <c r="V23" i="32"/>
  <c r="V18" i="32"/>
  <c r="T106" i="32"/>
  <c r="T88" i="32"/>
  <c r="T79" i="32"/>
  <c r="T74" i="32"/>
  <c r="T66" i="32"/>
  <c r="T53" i="32"/>
  <c r="T43" i="32"/>
  <c r="T37" i="32"/>
  <c r="T34" i="32"/>
  <c r="T26" i="32"/>
  <c r="T23" i="32"/>
  <c r="T18" i="32"/>
  <c r="R106" i="32"/>
  <c r="R88" i="32"/>
  <c r="R79" i="32"/>
  <c r="R74" i="32"/>
  <c r="R66" i="32"/>
  <c r="R53" i="32"/>
  <c r="R37" i="32"/>
  <c r="R34" i="32"/>
  <c r="R26" i="32"/>
  <c r="P106" i="32"/>
  <c r="P88" i="32"/>
  <c r="P79" i="32"/>
  <c r="P74" i="32"/>
  <c r="P66" i="32"/>
  <c r="P53" i="32"/>
  <c r="P37" i="32"/>
  <c r="P26" i="32"/>
  <c r="P23" i="32"/>
  <c r="P18" i="32"/>
  <c r="N106" i="32"/>
  <c r="N88" i="32"/>
  <c r="N79" i="32"/>
  <c r="N66" i="32"/>
  <c r="N53" i="32"/>
  <c r="N37" i="32"/>
  <c r="N34" i="32"/>
  <c r="N26" i="32"/>
  <c r="N23" i="32"/>
  <c r="N18" i="32"/>
  <c r="J88" i="32"/>
  <c r="J79" i="32"/>
  <c r="J74" i="32"/>
  <c r="J66" i="32"/>
  <c r="J53" i="32"/>
  <c r="J44" i="32"/>
  <c r="J18" i="32"/>
  <c r="L106" i="32"/>
  <c r="L79" i="32"/>
  <c r="L88" i="32"/>
  <c r="L66" i="32"/>
  <c r="L53" i="32"/>
  <c r="L37" i="32"/>
  <c r="L26" i="32"/>
  <c r="L23" i="32"/>
  <c r="L18" i="32"/>
  <c r="L32" i="32"/>
  <c r="L34" i="32" s="1"/>
  <c r="DL79" i="32"/>
  <c r="AF65" i="32"/>
  <c r="AF66" i="32" s="1"/>
  <c r="DS106" i="32"/>
  <c r="DQ106" i="32"/>
  <c r="DO106" i="32"/>
  <c r="DM106" i="32"/>
  <c r="DK106" i="32"/>
  <c r="DI106" i="32"/>
  <c r="DG106" i="32"/>
  <c r="DE106" i="32"/>
  <c r="DC106" i="32"/>
  <c r="DA106" i="32"/>
  <c r="CY106" i="32"/>
  <c r="CW106" i="32"/>
  <c r="CU106" i="32"/>
  <c r="CS106" i="32"/>
  <c r="CQ106" i="32"/>
  <c r="CO106" i="32"/>
  <c r="CM106" i="32"/>
  <c r="CK106" i="32"/>
  <c r="CI106" i="32"/>
  <c r="CG106" i="32"/>
  <c r="CE106" i="32"/>
  <c r="CC106" i="32"/>
  <c r="CA106" i="32"/>
  <c r="BY106" i="32"/>
  <c r="BW106" i="32"/>
  <c r="BU106" i="32"/>
  <c r="BS106" i="32"/>
  <c r="BQ106" i="32"/>
  <c r="BO106" i="32"/>
  <c r="BM106" i="32"/>
  <c r="BK106" i="32"/>
  <c r="BI106" i="32"/>
  <c r="BG106" i="32"/>
  <c r="BE106" i="32"/>
  <c r="BC106" i="32"/>
  <c r="BA106" i="32"/>
  <c r="AY106" i="32"/>
  <c r="AW106" i="32"/>
  <c r="AU106" i="32"/>
  <c r="AS106" i="32"/>
  <c r="AQ106" i="32"/>
  <c r="AO106" i="32"/>
  <c r="AM106" i="32"/>
  <c r="AK106" i="32"/>
  <c r="AI106" i="32"/>
  <c r="AE106" i="32"/>
  <c r="AC106" i="32"/>
  <c r="AA106" i="32"/>
  <c r="Y106" i="32"/>
  <c r="W106" i="32"/>
  <c r="U106" i="32"/>
  <c r="S106" i="32"/>
  <c r="Q106" i="32"/>
  <c r="O106" i="32"/>
  <c r="M106" i="32"/>
  <c r="K106" i="32"/>
  <c r="H105" i="32"/>
  <c r="G105" i="32"/>
  <c r="E105" i="32"/>
  <c r="C105" i="32"/>
  <c r="H104" i="32"/>
  <c r="G104" i="32"/>
  <c r="E104" i="32"/>
  <c r="C104" i="32"/>
  <c r="H103" i="32"/>
  <c r="G103" i="32"/>
  <c r="E103" i="32"/>
  <c r="C103" i="32"/>
  <c r="H102" i="32"/>
  <c r="G102" i="32"/>
  <c r="E102" i="32"/>
  <c r="C102" i="32"/>
  <c r="H101" i="32"/>
  <c r="G101" i="32"/>
  <c r="E101" i="32"/>
  <c r="C101" i="32"/>
  <c r="H100" i="32"/>
  <c r="G100" i="32"/>
  <c r="E100" i="32"/>
  <c r="C100" i="32"/>
  <c r="H99" i="32"/>
  <c r="G99" i="32"/>
  <c r="E99" i="32"/>
  <c r="C99" i="32"/>
  <c r="I98" i="32"/>
  <c r="I106" i="32" s="1"/>
  <c r="H98" i="32"/>
  <c r="G98" i="32"/>
  <c r="E98" i="32"/>
  <c r="H97" i="32"/>
  <c r="G97" i="32"/>
  <c r="E97" i="32"/>
  <c r="C97" i="32"/>
  <c r="H96" i="32"/>
  <c r="G96" i="32"/>
  <c r="E96" i="32"/>
  <c r="C96" i="32"/>
  <c r="H95" i="32"/>
  <c r="G95" i="32"/>
  <c r="E95" i="32"/>
  <c r="C95" i="32"/>
  <c r="H94" i="32"/>
  <c r="G94" i="32"/>
  <c r="E94" i="32"/>
  <c r="C94" i="32"/>
  <c r="H93" i="32"/>
  <c r="G93" i="32"/>
  <c r="E93" i="32"/>
  <c r="C93" i="32"/>
  <c r="H92" i="32"/>
  <c r="G92" i="32"/>
  <c r="E92" i="32"/>
  <c r="C92" i="32"/>
  <c r="H91" i="32"/>
  <c r="G91" i="32"/>
  <c r="E91" i="32"/>
  <c r="C91" i="32"/>
  <c r="H90" i="32"/>
  <c r="G90" i="32"/>
  <c r="E90" i="32"/>
  <c r="C90" i="32"/>
  <c r="H89" i="32"/>
  <c r="G89" i="32"/>
  <c r="E89" i="32"/>
  <c r="C89" i="32"/>
  <c r="DS88" i="32"/>
  <c r="DQ88" i="32"/>
  <c r="DO88" i="32"/>
  <c r="DM88" i="32"/>
  <c r="DK88" i="32"/>
  <c r="DI88" i="32"/>
  <c r="DG88" i="32"/>
  <c r="DE88" i="32"/>
  <c r="DC88" i="32"/>
  <c r="DA88" i="32"/>
  <c r="CY88" i="32"/>
  <c r="CW88" i="32"/>
  <c r="CU88" i="32"/>
  <c r="CS88" i="32"/>
  <c r="CQ88" i="32"/>
  <c r="CO88" i="32"/>
  <c r="CM88" i="32"/>
  <c r="CK88" i="32"/>
  <c r="CI88" i="32"/>
  <c r="CG88" i="32"/>
  <c r="CE88" i="32"/>
  <c r="CC88" i="32"/>
  <c r="CA88" i="32"/>
  <c r="BY88" i="32"/>
  <c r="BW88" i="32"/>
  <c r="BU88" i="32"/>
  <c r="BS88" i="32"/>
  <c r="BQ88" i="32"/>
  <c r="BO88" i="32"/>
  <c r="BM88" i="32"/>
  <c r="BK88" i="32"/>
  <c r="BI88" i="32"/>
  <c r="BG88" i="32"/>
  <c r="BE88" i="32"/>
  <c r="BC88" i="32"/>
  <c r="BA88" i="32"/>
  <c r="AY88" i="32"/>
  <c r="AW88" i="32"/>
  <c r="AU88" i="32"/>
  <c r="AS88" i="32"/>
  <c r="AQ88" i="32"/>
  <c r="AO88" i="32"/>
  <c r="AM88" i="32"/>
  <c r="AK88" i="32"/>
  <c r="AI88" i="32"/>
  <c r="AE88" i="32"/>
  <c r="AC88" i="32"/>
  <c r="AA88" i="32"/>
  <c r="Y88" i="32"/>
  <c r="W88" i="32"/>
  <c r="U88" i="32"/>
  <c r="S88" i="32"/>
  <c r="Q88" i="32"/>
  <c r="O88" i="32"/>
  <c r="M88" i="32"/>
  <c r="K88" i="32"/>
  <c r="I88" i="32"/>
  <c r="H87" i="32"/>
  <c r="G87" i="32"/>
  <c r="E87" i="32"/>
  <c r="C87" i="32"/>
  <c r="H86" i="32"/>
  <c r="G86" i="32"/>
  <c r="E86" i="32"/>
  <c r="C86" i="32"/>
  <c r="H85" i="32"/>
  <c r="D85" i="32" s="1"/>
  <c r="G85" i="32"/>
  <c r="E85" i="32"/>
  <c r="C85" i="32"/>
  <c r="H84" i="32"/>
  <c r="G84" i="32"/>
  <c r="E84" i="32"/>
  <c r="C84" i="32"/>
  <c r="H83" i="32"/>
  <c r="G83" i="32"/>
  <c r="E83" i="32"/>
  <c r="C83" i="32"/>
  <c r="H82" i="32"/>
  <c r="G82" i="32"/>
  <c r="E82" i="32"/>
  <c r="C82" i="32"/>
  <c r="H81" i="32"/>
  <c r="D81" i="32" s="1"/>
  <c r="G81" i="32"/>
  <c r="E81" i="32"/>
  <c r="C81" i="32"/>
  <c r="H80" i="32"/>
  <c r="G80" i="32"/>
  <c r="G88" i="32" s="1"/>
  <c r="E80" i="32"/>
  <c r="E88" i="32" s="1"/>
  <c r="C80" i="32"/>
  <c r="C88" i="32" s="1"/>
  <c r="DS79" i="32"/>
  <c r="DQ79" i="32"/>
  <c r="DO79" i="32"/>
  <c r="DM79" i="32"/>
  <c r="DI79" i="32"/>
  <c r="DG79" i="32"/>
  <c r="DE79" i="32"/>
  <c r="DC79" i="32"/>
  <c r="DA79" i="32"/>
  <c r="CY79" i="32"/>
  <c r="CW79" i="32"/>
  <c r="CU79" i="32"/>
  <c r="CS79" i="32"/>
  <c r="CQ79" i="32"/>
  <c r="CO79" i="32"/>
  <c r="CM79" i="32"/>
  <c r="CK79" i="32"/>
  <c r="CI79" i="32"/>
  <c r="CG79" i="32"/>
  <c r="CE79" i="32"/>
  <c r="CC79" i="32"/>
  <c r="CA79" i="32"/>
  <c r="BY79" i="32"/>
  <c r="BW79" i="32"/>
  <c r="BU79" i="32"/>
  <c r="BS79" i="32"/>
  <c r="BQ79" i="32"/>
  <c r="BO79" i="32"/>
  <c r="BM79" i="32"/>
  <c r="BK79" i="32"/>
  <c r="BI79" i="32"/>
  <c r="BG79" i="32"/>
  <c r="BE79" i="32"/>
  <c r="BC79" i="32"/>
  <c r="BA79" i="32"/>
  <c r="AY79" i="32"/>
  <c r="AW79" i="32"/>
  <c r="AU79" i="32"/>
  <c r="AS79" i="32"/>
  <c r="AQ79" i="32"/>
  <c r="AO79" i="32"/>
  <c r="AM79" i="32"/>
  <c r="AK79" i="32"/>
  <c r="AI79" i="32"/>
  <c r="AC79" i="32"/>
  <c r="AA79" i="32"/>
  <c r="Y79" i="32"/>
  <c r="W79" i="32"/>
  <c r="U79" i="32"/>
  <c r="S79" i="32"/>
  <c r="Q79" i="32"/>
  <c r="O79" i="32"/>
  <c r="M79" i="32"/>
  <c r="K79" i="32"/>
  <c r="I79" i="32"/>
  <c r="DK78" i="32"/>
  <c r="G78" i="32" s="1"/>
  <c r="AE78" i="32"/>
  <c r="E78" i="32" s="1"/>
  <c r="H78" i="32"/>
  <c r="H77" i="32"/>
  <c r="G77" i="32"/>
  <c r="E77" i="32"/>
  <c r="C77" i="32"/>
  <c r="H76" i="32"/>
  <c r="D76" i="32" s="1"/>
  <c r="G76" i="32"/>
  <c r="E76" i="32"/>
  <c r="C76" i="32"/>
  <c r="DK75" i="32"/>
  <c r="AE75" i="32"/>
  <c r="E75" i="32" s="1"/>
  <c r="H75" i="32"/>
  <c r="D75" i="32" s="1"/>
  <c r="DS74" i="32"/>
  <c r="DQ74" i="32"/>
  <c r="DO74" i="32"/>
  <c r="DM74" i="32"/>
  <c r="DK74" i="32"/>
  <c r="DG74" i="32"/>
  <c r="DE74" i="32"/>
  <c r="DC74" i="32"/>
  <c r="DA74" i="32"/>
  <c r="CY74" i="32"/>
  <c r="CW74" i="32"/>
  <c r="CU74" i="32"/>
  <c r="CS74" i="32"/>
  <c r="CQ74" i="32"/>
  <c r="CO74" i="32"/>
  <c r="CM74" i="32"/>
  <c r="CK74" i="32"/>
  <c r="CI74" i="32"/>
  <c r="CG74" i="32"/>
  <c r="CE74" i="32"/>
  <c r="CC74" i="32"/>
  <c r="CA74" i="32"/>
  <c r="BY74" i="32"/>
  <c r="BW74" i="32"/>
  <c r="BU74" i="32"/>
  <c r="BS74" i="32"/>
  <c r="BQ74" i="32"/>
  <c r="BO74" i="32"/>
  <c r="BM74" i="32"/>
  <c r="BK74" i="32"/>
  <c r="BI74" i="32"/>
  <c r="BG74" i="32"/>
  <c r="BE74" i="32"/>
  <c r="BC74" i="32"/>
  <c r="BA74" i="32"/>
  <c r="AY74" i="32"/>
  <c r="AW74" i="32"/>
  <c r="AU74" i="32"/>
  <c r="AS74" i="32"/>
  <c r="AQ74" i="32"/>
  <c r="AO74" i="32"/>
  <c r="AM74" i="32"/>
  <c r="AK74" i="32"/>
  <c r="AI74" i="32"/>
  <c r="AC74" i="32"/>
  <c r="AA74" i="32"/>
  <c r="Y74" i="32"/>
  <c r="W74" i="32"/>
  <c r="U74" i="32"/>
  <c r="S74" i="32"/>
  <c r="Q74" i="32"/>
  <c r="O74" i="32"/>
  <c r="M74" i="32"/>
  <c r="I74" i="32"/>
  <c r="DI73" i="32"/>
  <c r="G73" i="32" s="1"/>
  <c r="AE73" i="32"/>
  <c r="K73" i="32"/>
  <c r="K74" i="32" s="1"/>
  <c r="H73" i="32"/>
  <c r="H72" i="32"/>
  <c r="G72" i="32"/>
  <c r="E72" i="32"/>
  <c r="C72" i="32"/>
  <c r="H71" i="32"/>
  <c r="G71" i="32"/>
  <c r="E71" i="32"/>
  <c r="C71" i="32"/>
  <c r="DI70" i="32"/>
  <c r="G70" i="32" s="1"/>
  <c r="AE70" i="32"/>
  <c r="E70" i="32" s="1"/>
  <c r="H70" i="32"/>
  <c r="DI69" i="32"/>
  <c r="G69" i="32" s="1"/>
  <c r="H69" i="32"/>
  <c r="E69" i="32"/>
  <c r="DI68" i="32"/>
  <c r="G68" i="32" s="1"/>
  <c r="AE68" i="32"/>
  <c r="E68" i="32" s="1"/>
  <c r="AE67" i="32"/>
  <c r="E67" i="32" s="1"/>
  <c r="H67" i="32"/>
  <c r="G67" i="32"/>
  <c r="DU66" i="32"/>
  <c r="DS66" i="32"/>
  <c r="DQ66" i="32"/>
  <c r="DO66" i="32"/>
  <c r="DM66" i="32"/>
  <c r="DK66" i="32"/>
  <c r="DI66" i="32"/>
  <c r="DG66" i="32"/>
  <c r="DE66" i="32"/>
  <c r="DC66" i="32"/>
  <c r="DA66" i="32"/>
  <c r="CY66" i="32"/>
  <c r="CW66" i="32"/>
  <c r="CS66" i="32"/>
  <c r="CQ66" i="32"/>
  <c r="CM66" i="32"/>
  <c r="CK66" i="32"/>
  <c r="CI66" i="32"/>
  <c r="CG66" i="32"/>
  <c r="CE66" i="32"/>
  <c r="CC66" i="32"/>
  <c r="CA66" i="32"/>
  <c r="BW66" i="32"/>
  <c r="BQ66" i="32"/>
  <c r="BO66" i="32"/>
  <c r="BM66" i="32"/>
  <c r="BK66" i="32"/>
  <c r="BI66" i="32"/>
  <c r="BG66" i="32"/>
  <c r="BE66" i="32"/>
  <c r="BC66" i="32"/>
  <c r="BA66" i="32"/>
  <c r="AY66" i="32"/>
  <c r="AW66" i="32"/>
  <c r="AU66" i="32"/>
  <c r="AS66" i="32"/>
  <c r="AQ66" i="32"/>
  <c r="AO66" i="32"/>
  <c r="AM66" i="32"/>
  <c r="AK66" i="32"/>
  <c r="AI66" i="32"/>
  <c r="AC66" i="32"/>
  <c r="AA66" i="32"/>
  <c r="Y66" i="32"/>
  <c r="W66" i="32"/>
  <c r="U66" i="32"/>
  <c r="S66" i="32"/>
  <c r="Q66" i="32"/>
  <c r="O66" i="32"/>
  <c r="M66" i="32"/>
  <c r="K66" i="32"/>
  <c r="I66" i="32"/>
  <c r="AE65" i="32"/>
  <c r="AE66" i="32" s="1"/>
  <c r="H65" i="32"/>
  <c r="G65" i="32"/>
  <c r="CU64" i="32"/>
  <c r="CU66" i="32" s="1"/>
  <c r="CO64" i="32"/>
  <c r="CO66" i="32" s="1"/>
  <c r="E64" i="32"/>
  <c r="H63" i="32"/>
  <c r="D63" i="32" s="1"/>
  <c r="G63" i="32"/>
  <c r="E63" i="32"/>
  <c r="C63" i="32"/>
  <c r="H62" i="32"/>
  <c r="G62" i="32"/>
  <c r="E62" i="32"/>
  <c r="C62" i="32"/>
  <c r="H61" i="32"/>
  <c r="G61" i="32"/>
  <c r="E61" i="32"/>
  <c r="C61" i="32"/>
  <c r="H60" i="32"/>
  <c r="G60" i="32"/>
  <c r="E60" i="32"/>
  <c r="C60" i="32"/>
  <c r="BY59" i="32"/>
  <c r="BU59" i="32"/>
  <c r="BU66" i="32" s="1"/>
  <c r="BS59" i="32"/>
  <c r="E59" i="32"/>
  <c r="H58" i="32"/>
  <c r="G58" i="32"/>
  <c r="E58" i="32"/>
  <c r="C58" i="32"/>
  <c r="H57" i="32"/>
  <c r="G57" i="32"/>
  <c r="E57" i="32"/>
  <c r="C57" i="32"/>
  <c r="H56" i="32"/>
  <c r="G56" i="32"/>
  <c r="E56" i="32"/>
  <c r="C56" i="32"/>
  <c r="H55" i="32"/>
  <c r="D55" i="32" s="1"/>
  <c r="G55" i="32"/>
  <c r="E55" i="32"/>
  <c r="C55" i="32"/>
  <c r="H54" i="32"/>
  <c r="G54" i="32"/>
  <c r="E54" i="32"/>
  <c r="C54" i="32"/>
  <c r="DS53" i="32"/>
  <c r="DQ53" i="32"/>
  <c r="DO53" i="32"/>
  <c r="DM53" i="32"/>
  <c r="DK53" i="32"/>
  <c r="DI53" i="32"/>
  <c r="DG53" i="32"/>
  <c r="DC53" i="32"/>
  <c r="DA53" i="32"/>
  <c r="CY53" i="32"/>
  <c r="CW53" i="32"/>
  <c r="CU53" i="32"/>
  <c r="CS53" i="32"/>
  <c r="CQ53" i="32"/>
  <c r="CO53" i="32"/>
  <c r="CM53" i="32"/>
  <c r="CK53" i="32"/>
  <c r="CI53" i="32"/>
  <c r="CG53" i="32"/>
  <c r="CE53" i="32"/>
  <c r="CC53" i="32"/>
  <c r="CA53" i="32"/>
  <c r="BY53" i="32"/>
  <c r="BW53" i="32"/>
  <c r="BU53" i="32"/>
  <c r="BS53" i="32"/>
  <c r="BQ53" i="32"/>
  <c r="BO53" i="32"/>
  <c r="BM53" i="32"/>
  <c r="BK53" i="32"/>
  <c r="BI53" i="32"/>
  <c r="BG53" i="32"/>
  <c r="BE53" i="32"/>
  <c r="BC53" i="32"/>
  <c r="BA53" i="32"/>
  <c r="AY53" i="32"/>
  <c r="AW53" i="32"/>
  <c r="AU53" i="32"/>
  <c r="AS53" i="32"/>
  <c r="AQ53" i="32"/>
  <c r="AO53" i="32"/>
  <c r="AM53" i="32"/>
  <c r="AK53" i="32"/>
  <c r="AE53" i="32"/>
  <c r="AC53" i="32"/>
  <c r="AA53" i="32"/>
  <c r="Y53" i="32"/>
  <c r="W53" i="32"/>
  <c r="U53" i="32"/>
  <c r="S53" i="32"/>
  <c r="Q53" i="32"/>
  <c r="O53" i="32"/>
  <c r="M53" i="32"/>
  <c r="K53" i="32"/>
  <c r="I53" i="32"/>
  <c r="DE52" i="32"/>
  <c r="DE53" i="32" s="1"/>
  <c r="AI52" i="32"/>
  <c r="E52" i="32" s="1"/>
  <c r="H52" i="32"/>
  <c r="H51" i="32"/>
  <c r="G51" i="32"/>
  <c r="E51" i="32"/>
  <c r="C51" i="32"/>
  <c r="G50" i="32"/>
  <c r="E50" i="32"/>
  <c r="H49" i="32"/>
  <c r="G49" i="32"/>
  <c r="E49" i="32"/>
  <c r="C49" i="32"/>
  <c r="G48" i="32"/>
  <c r="E48" i="32"/>
  <c r="H47" i="32"/>
  <c r="G47" i="32"/>
  <c r="E47" i="32"/>
  <c r="C47" i="32"/>
  <c r="H46" i="32"/>
  <c r="D46" i="32" s="1"/>
  <c r="G46" i="32"/>
  <c r="E46" i="32"/>
  <c r="C46" i="32"/>
  <c r="H45" i="32"/>
  <c r="G45" i="32"/>
  <c r="E45" i="32"/>
  <c r="C45" i="32"/>
  <c r="DS43" i="32"/>
  <c r="DQ43" i="32"/>
  <c r="DM43" i="32"/>
  <c r="DK43" i="32"/>
  <c r="DI43" i="32"/>
  <c r="DG43" i="32"/>
  <c r="DE43" i="32"/>
  <c r="DC43" i="32"/>
  <c r="DA43" i="32"/>
  <c r="CY43" i="32"/>
  <c r="CW43" i="32"/>
  <c r="CU43" i="32"/>
  <c r="CS43" i="32"/>
  <c r="CQ43" i="32"/>
  <c r="CO43" i="32"/>
  <c r="CM43" i="32"/>
  <c r="CK43" i="32"/>
  <c r="CG43" i="32"/>
  <c r="CE43" i="32"/>
  <c r="CC43" i="32"/>
  <c r="CA43" i="32"/>
  <c r="BY43" i="32"/>
  <c r="BW43" i="32"/>
  <c r="BU43" i="32"/>
  <c r="BS43" i="32"/>
  <c r="BQ43" i="32"/>
  <c r="BM43" i="32"/>
  <c r="BK43" i="32"/>
  <c r="BG43" i="32"/>
  <c r="BC43" i="32"/>
  <c r="BA43" i="32"/>
  <c r="AY43" i="32"/>
  <c r="AW43" i="32"/>
  <c r="AU43" i="32"/>
  <c r="AS43" i="32"/>
  <c r="AO43" i="32"/>
  <c r="AM43" i="32"/>
  <c r="AK43" i="32"/>
  <c r="AI43" i="32"/>
  <c r="Y43" i="32"/>
  <c r="U43" i="32"/>
  <c r="S43" i="32"/>
  <c r="G42" i="32"/>
  <c r="E42" i="32"/>
  <c r="H41" i="32"/>
  <c r="G41" i="32"/>
  <c r="E41" i="32"/>
  <c r="H40" i="32"/>
  <c r="D40" i="32" s="1"/>
  <c r="G40" i="32"/>
  <c r="E40" i="32"/>
  <c r="H39" i="32"/>
  <c r="G39" i="32"/>
  <c r="E39" i="32"/>
  <c r="DS37" i="32"/>
  <c r="DQ37" i="32"/>
  <c r="DO37" i="32"/>
  <c r="DM37" i="32"/>
  <c r="DK37" i="32"/>
  <c r="DI37" i="32"/>
  <c r="DG37" i="32"/>
  <c r="DE37" i="32"/>
  <c r="DC37" i="32"/>
  <c r="DA37" i="32"/>
  <c r="CY37" i="32"/>
  <c r="CW37" i="32"/>
  <c r="CU37" i="32"/>
  <c r="CS37" i="32"/>
  <c r="CQ37" i="32"/>
  <c r="CO37" i="32"/>
  <c r="CM37" i="32"/>
  <c r="CK37" i="32"/>
  <c r="CI37" i="32"/>
  <c r="CG37" i="32"/>
  <c r="CE37" i="32"/>
  <c r="CC37" i="32"/>
  <c r="CA37" i="32"/>
  <c r="BY37" i="32"/>
  <c r="BW37" i="32"/>
  <c r="BU37" i="32"/>
  <c r="BS37" i="32"/>
  <c r="BQ37" i="32"/>
  <c r="BO37" i="32"/>
  <c r="BM37" i="32"/>
  <c r="BK37" i="32"/>
  <c r="BI37" i="32"/>
  <c r="BG37" i="32"/>
  <c r="BE37" i="32"/>
  <c r="BC37" i="32"/>
  <c r="BA37" i="32"/>
  <c r="AY37" i="32"/>
  <c r="AW37" i="32"/>
  <c r="AU37" i="32"/>
  <c r="AS37" i="32"/>
  <c r="AQ37" i="32"/>
  <c r="AO37" i="32"/>
  <c r="AM37" i="32"/>
  <c r="AK37" i="32"/>
  <c r="AI37" i="32"/>
  <c r="AE37" i="32"/>
  <c r="AC37" i="32"/>
  <c r="AA37" i="32"/>
  <c r="Y37" i="32"/>
  <c r="W37" i="32"/>
  <c r="U37" i="32"/>
  <c r="S37" i="32"/>
  <c r="Q37" i="32"/>
  <c r="O37" i="32"/>
  <c r="M37" i="32"/>
  <c r="K37" i="32"/>
  <c r="H36" i="32"/>
  <c r="G36" i="32"/>
  <c r="E36" i="32"/>
  <c r="H35" i="32"/>
  <c r="G35" i="32"/>
  <c r="E35" i="32"/>
  <c r="DS34" i="32"/>
  <c r="DQ34" i="32"/>
  <c r="DO34" i="32"/>
  <c r="DM34" i="32"/>
  <c r="DK34" i="32"/>
  <c r="DI34" i="32"/>
  <c r="DG34" i="32"/>
  <c r="DE34" i="32"/>
  <c r="DC34" i="32"/>
  <c r="DA34" i="32"/>
  <c r="CY34" i="32"/>
  <c r="CW34" i="32"/>
  <c r="CU34" i="32"/>
  <c r="CS34" i="32"/>
  <c r="CQ34" i="32"/>
  <c r="CO34" i="32"/>
  <c r="CM34" i="32"/>
  <c r="CK34" i="32"/>
  <c r="CI34" i="32"/>
  <c r="CG34" i="32"/>
  <c r="CE34" i="32"/>
  <c r="CC34" i="32"/>
  <c r="CA34" i="32"/>
  <c r="BY34" i="32"/>
  <c r="BW34" i="32"/>
  <c r="BU34" i="32"/>
  <c r="BS34" i="32"/>
  <c r="BQ34" i="32"/>
  <c r="BM34" i="32"/>
  <c r="BI34" i="32"/>
  <c r="BG34" i="32"/>
  <c r="BE34" i="32"/>
  <c r="BC34" i="32"/>
  <c r="BA34" i="32"/>
  <c r="AY34" i="32"/>
  <c r="AW34" i="32"/>
  <c r="AU34" i="32"/>
  <c r="AS34" i="32"/>
  <c r="AQ34" i="32"/>
  <c r="AO34" i="32"/>
  <c r="AM34" i="32"/>
  <c r="AK34" i="32"/>
  <c r="AI34" i="32"/>
  <c r="AE34" i="32"/>
  <c r="AC34" i="32"/>
  <c r="W34" i="32"/>
  <c r="U34" i="32"/>
  <c r="S34" i="32"/>
  <c r="Q34" i="32"/>
  <c r="O34" i="32"/>
  <c r="M34" i="32"/>
  <c r="BO33" i="32"/>
  <c r="BO34" i="32" s="1"/>
  <c r="AA33" i="32"/>
  <c r="AA34" i="32" s="1"/>
  <c r="Y33" i="32"/>
  <c r="Y34" i="32" s="1"/>
  <c r="K32" i="32"/>
  <c r="K34" i="32" s="1"/>
  <c r="G32" i="32"/>
  <c r="H31" i="32"/>
  <c r="D31" i="32" s="1"/>
  <c r="G31" i="32"/>
  <c r="E31" i="32"/>
  <c r="BK30" i="32"/>
  <c r="BK34" i="32" s="1"/>
  <c r="H30" i="32"/>
  <c r="E30" i="32"/>
  <c r="H29" i="32"/>
  <c r="G29" i="32"/>
  <c r="E29" i="32"/>
  <c r="H28" i="32"/>
  <c r="G28" i="32"/>
  <c r="E28" i="32"/>
  <c r="H27" i="32"/>
  <c r="G27" i="32"/>
  <c r="E27" i="32"/>
  <c r="DO26" i="32"/>
  <c r="DM26" i="32"/>
  <c r="DK26" i="32"/>
  <c r="DI26" i="32"/>
  <c r="DG26" i="32"/>
  <c r="DE26" i="32"/>
  <c r="DC26" i="32"/>
  <c r="DA26" i="32"/>
  <c r="CY26" i="32"/>
  <c r="CW26" i="32"/>
  <c r="CU26" i="32"/>
  <c r="CS26" i="32"/>
  <c r="CQ26" i="32"/>
  <c r="CO26" i="32"/>
  <c r="CM26" i="32"/>
  <c r="CK26" i="32"/>
  <c r="CI26" i="32"/>
  <c r="CG26" i="32"/>
  <c r="CE26" i="32"/>
  <c r="CC26" i="32"/>
  <c r="CA26" i="32"/>
  <c r="BY26" i="32"/>
  <c r="BW26" i="32"/>
  <c r="BU26" i="32"/>
  <c r="BS26" i="32"/>
  <c r="BQ26" i="32"/>
  <c r="BO26" i="32"/>
  <c r="BM26" i="32"/>
  <c r="BK26" i="32"/>
  <c r="BI26" i="32"/>
  <c r="BG26" i="32"/>
  <c r="BE26" i="32"/>
  <c r="BC26" i="32"/>
  <c r="BA26" i="32"/>
  <c r="AY26" i="32"/>
  <c r="AW26" i="32"/>
  <c r="AU26" i="32"/>
  <c r="AS26" i="32"/>
  <c r="AQ26" i="32"/>
  <c r="AO26" i="32"/>
  <c r="AM26" i="32"/>
  <c r="AK26" i="32"/>
  <c r="AI26" i="32"/>
  <c r="AE26" i="32"/>
  <c r="AC26" i="32"/>
  <c r="AA26" i="32"/>
  <c r="Y26" i="32"/>
  <c r="W26" i="32"/>
  <c r="U26" i="32"/>
  <c r="S26" i="32"/>
  <c r="Q26" i="32"/>
  <c r="O26" i="32"/>
  <c r="M26" i="32"/>
  <c r="K26" i="32"/>
  <c r="H25" i="32"/>
  <c r="D25" i="32" s="1"/>
  <c r="G25" i="32"/>
  <c r="E25" i="32"/>
  <c r="H24" i="32"/>
  <c r="G24" i="32"/>
  <c r="E24" i="32"/>
  <c r="DO23" i="32"/>
  <c r="DM23" i="32"/>
  <c r="DK23" i="32"/>
  <c r="DI23" i="32"/>
  <c r="DG23" i="32"/>
  <c r="DE23" i="32"/>
  <c r="DC23" i="32"/>
  <c r="DA23" i="32"/>
  <c r="CY23" i="32"/>
  <c r="CW23" i="32"/>
  <c r="CU23" i="32"/>
  <c r="CS23" i="32"/>
  <c r="CQ23" i="32"/>
  <c r="CO23" i="32"/>
  <c r="CM23" i="32"/>
  <c r="CK23" i="32"/>
  <c r="CI23" i="32"/>
  <c r="CG23" i="32"/>
  <c r="CE23" i="32"/>
  <c r="CC23" i="32"/>
  <c r="CA23" i="32"/>
  <c r="BY23" i="32"/>
  <c r="BW23" i="32"/>
  <c r="BU23" i="32"/>
  <c r="BS23" i="32"/>
  <c r="BQ23" i="32"/>
  <c r="BO23" i="32"/>
  <c r="BM23" i="32"/>
  <c r="BK23" i="32"/>
  <c r="BI23" i="32"/>
  <c r="BG23" i="32"/>
  <c r="BE23" i="32"/>
  <c r="BC23" i="32"/>
  <c r="BA23" i="32"/>
  <c r="AY23" i="32"/>
  <c r="AW23" i="32"/>
  <c r="AU23" i="32"/>
  <c r="AS23" i="32"/>
  <c r="AQ23" i="32"/>
  <c r="AO23" i="32"/>
  <c r="AM23" i="32"/>
  <c r="AK23" i="32"/>
  <c r="AI23" i="32"/>
  <c r="AE23" i="32"/>
  <c r="AC23" i="32"/>
  <c r="AA23" i="32"/>
  <c r="Y23" i="32"/>
  <c r="W23" i="32"/>
  <c r="U23" i="32"/>
  <c r="S23" i="32"/>
  <c r="Q23" i="32"/>
  <c r="O23" i="32"/>
  <c r="M23" i="32"/>
  <c r="K23" i="32"/>
  <c r="H22" i="32"/>
  <c r="G22" i="32"/>
  <c r="E22" i="32"/>
  <c r="H21" i="32"/>
  <c r="G21" i="32"/>
  <c r="E21" i="32"/>
  <c r="H20" i="32"/>
  <c r="G20" i="32"/>
  <c r="E20" i="32"/>
  <c r="Q19" i="32"/>
  <c r="O19" i="32"/>
  <c r="G19" i="32"/>
  <c r="DU18" i="32"/>
  <c r="DU107" i="32" s="1"/>
  <c r="DS18" i="32"/>
  <c r="DQ18" i="32"/>
  <c r="DO18" i="32"/>
  <c r="DM18" i="32"/>
  <c r="DK18" i="32"/>
  <c r="DI18" i="32"/>
  <c r="DG18" i="32"/>
  <c r="DE18" i="32"/>
  <c r="DC18" i="32"/>
  <c r="DA18" i="32"/>
  <c r="CY18" i="32"/>
  <c r="CW18" i="32"/>
  <c r="CU18" i="32"/>
  <c r="CS18" i="32"/>
  <c r="CQ18" i="32"/>
  <c r="CO18" i="32"/>
  <c r="CM18" i="32"/>
  <c r="CK18" i="32"/>
  <c r="CI18" i="32"/>
  <c r="CG18" i="32"/>
  <c r="CE18" i="32"/>
  <c r="CC18" i="32"/>
  <c r="CA18" i="32"/>
  <c r="BY18" i="32"/>
  <c r="BW18" i="32"/>
  <c r="BU18" i="32"/>
  <c r="BS18" i="32"/>
  <c r="BQ18" i="32"/>
  <c r="BO18" i="32"/>
  <c r="BM18" i="32"/>
  <c r="BK18" i="32"/>
  <c r="BI18" i="32"/>
  <c r="BG18" i="32"/>
  <c r="BE18" i="32"/>
  <c r="BC18" i="32"/>
  <c r="BA18" i="32"/>
  <c r="AY18" i="32"/>
  <c r="AW18" i="32"/>
  <c r="AU18" i="32"/>
  <c r="AS18" i="32"/>
  <c r="AQ18" i="32"/>
  <c r="AO18" i="32"/>
  <c r="AM18" i="32"/>
  <c r="AK18" i="32"/>
  <c r="AI18" i="32"/>
  <c r="AE18" i="32"/>
  <c r="AE19" i="32" s="1"/>
  <c r="AC18" i="32"/>
  <c r="AA18" i="32"/>
  <c r="Y18" i="32"/>
  <c r="W18" i="32"/>
  <c r="U18" i="32"/>
  <c r="S18" i="32"/>
  <c r="Q18" i="32"/>
  <c r="O18" i="32"/>
  <c r="M18" i="32"/>
  <c r="K18" i="32"/>
  <c r="I18" i="32"/>
  <c r="G17" i="32"/>
  <c r="E17" i="32"/>
  <c r="H16" i="32"/>
  <c r="G16" i="32"/>
  <c r="E16" i="32"/>
  <c r="H15" i="32"/>
  <c r="G15" i="32"/>
  <c r="E15" i="32"/>
  <c r="H14" i="32"/>
  <c r="G14" i="32"/>
  <c r="E14" i="32"/>
  <c r="H13" i="32"/>
  <c r="G13" i="32"/>
  <c r="E13" i="32"/>
  <c r="H12" i="32"/>
  <c r="G12" i="32"/>
  <c r="E12" i="32"/>
  <c r="H11" i="32"/>
  <c r="G11" i="32"/>
  <c r="E11" i="32"/>
  <c r="H10" i="32"/>
  <c r="G10" i="32"/>
  <c r="E10" i="32"/>
  <c r="H9" i="32"/>
  <c r="G9" i="32"/>
  <c r="E9" i="32"/>
  <c r="H8" i="32"/>
  <c r="G8" i="32"/>
  <c r="E8" i="32"/>
  <c r="H7" i="32"/>
  <c r="G7" i="32"/>
  <c r="E7" i="32"/>
  <c r="H6" i="32"/>
  <c r="G6" i="32"/>
  <c r="E6" i="32"/>
  <c r="H5" i="32"/>
  <c r="G5" i="32"/>
  <c r="E5" i="32"/>
  <c r="H4" i="32"/>
  <c r="G4" i="32"/>
  <c r="E4" i="32"/>
  <c r="H3" i="32"/>
  <c r="G3" i="32"/>
  <c r="E3" i="32"/>
  <c r="H2" i="32"/>
  <c r="G2" i="32"/>
  <c r="E2" i="32"/>
  <c r="B10" i="26"/>
  <c r="E32" i="32"/>
  <c r="C24" i="32"/>
  <c r="D183" i="37"/>
  <c r="M36" i="37"/>
  <c r="L36" i="37"/>
  <c r="M34" i="37"/>
  <c r="L34" i="37"/>
  <c r="E89" i="36"/>
  <c r="D88" i="36"/>
  <c r="D89" i="36"/>
  <c r="D90" i="36"/>
  <c r="E43" i="37"/>
  <c r="D42" i="37"/>
  <c r="D43" i="37"/>
  <c r="D44" i="37"/>
  <c r="D41" i="37"/>
  <c r="H165" i="37"/>
  <c r="I165" i="37"/>
  <c r="J165" i="37"/>
  <c r="K165" i="37"/>
  <c r="L165" i="37"/>
  <c r="M165" i="37"/>
  <c r="N165" i="37"/>
  <c r="O165" i="37"/>
  <c r="P165" i="37"/>
  <c r="P166" i="37" s="1"/>
  <c r="Q165" i="37"/>
  <c r="R165" i="37"/>
  <c r="S165" i="37"/>
  <c r="T165" i="37"/>
  <c r="U165" i="37"/>
  <c r="H159" i="37"/>
  <c r="I159" i="37"/>
  <c r="J159" i="37"/>
  <c r="K159" i="37"/>
  <c r="L159" i="37"/>
  <c r="M159" i="37"/>
  <c r="N159" i="37"/>
  <c r="P159" i="37"/>
  <c r="Q159" i="37"/>
  <c r="R159" i="37"/>
  <c r="S159" i="37"/>
  <c r="T159" i="37"/>
  <c r="U159" i="37"/>
  <c r="U166" i="37" s="1"/>
  <c r="T126" i="37"/>
  <c r="T123" i="37"/>
  <c r="T118" i="37"/>
  <c r="T114" i="37"/>
  <c r="T111" i="37"/>
  <c r="T106" i="37"/>
  <c r="T110" i="37" s="1"/>
  <c r="T100" i="37"/>
  <c r="T96" i="37"/>
  <c r="T93" i="37"/>
  <c r="T89" i="37"/>
  <c r="T84" i="37"/>
  <c r="T80" i="37"/>
  <c r="T73" i="37"/>
  <c r="T62" i="37"/>
  <c r="T55" i="37"/>
  <c r="E133" i="37"/>
  <c r="E134" i="37"/>
  <c r="E135" i="37"/>
  <c r="E136" i="37"/>
  <c r="E137" i="37"/>
  <c r="E138" i="37"/>
  <c r="E139" i="37"/>
  <c r="E140" i="37"/>
  <c r="D134" i="37"/>
  <c r="D135" i="37"/>
  <c r="D136" i="37"/>
  <c r="D137" i="37"/>
  <c r="D138" i="37"/>
  <c r="D139" i="37"/>
  <c r="D140" i="37"/>
  <c r="D133" i="37"/>
  <c r="F141" i="37"/>
  <c r="G141" i="37"/>
  <c r="H141" i="37"/>
  <c r="I141" i="37"/>
  <c r="J141" i="37"/>
  <c r="K141" i="37"/>
  <c r="L141" i="37"/>
  <c r="M141" i="37"/>
  <c r="N141" i="37"/>
  <c r="O141" i="37"/>
  <c r="P141" i="37"/>
  <c r="Q141" i="37"/>
  <c r="R141" i="37"/>
  <c r="S141" i="37"/>
  <c r="T141" i="37"/>
  <c r="U141" i="37"/>
  <c r="H180" i="37"/>
  <c r="I180" i="37"/>
  <c r="J180" i="37"/>
  <c r="K180" i="37"/>
  <c r="L180" i="37"/>
  <c r="M180" i="37"/>
  <c r="N180" i="37"/>
  <c r="O180" i="37"/>
  <c r="P180" i="37"/>
  <c r="Q180" i="37"/>
  <c r="R180" i="37"/>
  <c r="S180" i="37"/>
  <c r="T180" i="37"/>
  <c r="U180" i="37"/>
  <c r="P126" i="37"/>
  <c r="P123" i="37"/>
  <c r="P118" i="37"/>
  <c r="P114" i="37"/>
  <c r="P106" i="37"/>
  <c r="P110" i="37" s="1"/>
  <c r="P100" i="37"/>
  <c r="P96" i="37"/>
  <c r="P93" i="37"/>
  <c r="P89" i="37"/>
  <c r="P84" i="37"/>
  <c r="H83" i="37"/>
  <c r="I83" i="37"/>
  <c r="J83" i="37"/>
  <c r="K83" i="37"/>
  <c r="L83" i="37"/>
  <c r="M83" i="37"/>
  <c r="R83" i="37"/>
  <c r="S83" i="37"/>
  <c r="P80" i="37"/>
  <c r="P73" i="37"/>
  <c r="H72" i="37"/>
  <c r="I72" i="37"/>
  <c r="J72" i="37"/>
  <c r="K72" i="37"/>
  <c r="L72" i="37"/>
  <c r="M72" i="37"/>
  <c r="O72" i="37"/>
  <c r="R72" i="37"/>
  <c r="S72" i="37"/>
  <c r="U72" i="37"/>
  <c r="P69" i="37"/>
  <c r="P62" i="37"/>
  <c r="P55" i="37"/>
  <c r="P28" i="37"/>
  <c r="P26" i="37"/>
  <c r="D26" i="37" s="1"/>
  <c r="P24" i="37"/>
  <c r="P21" i="37"/>
  <c r="D21" i="37" s="1"/>
  <c r="P16" i="37"/>
  <c r="P10" i="37"/>
  <c r="N126" i="37"/>
  <c r="N106" i="37"/>
  <c r="N110" i="37" s="1"/>
  <c r="H39" i="37"/>
  <c r="I39" i="37"/>
  <c r="J39" i="37"/>
  <c r="K39" i="37"/>
  <c r="K40" i="37" s="1"/>
  <c r="O39" i="37"/>
  <c r="P39" i="37"/>
  <c r="Q39" i="37"/>
  <c r="R39" i="37"/>
  <c r="S39" i="37"/>
  <c r="T39" i="37"/>
  <c r="H30" i="37"/>
  <c r="I30" i="37"/>
  <c r="K30" i="37"/>
  <c r="L30" i="37"/>
  <c r="M30" i="37"/>
  <c r="R30" i="37"/>
  <c r="S30" i="37"/>
  <c r="T30" i="37"/>
  <c r="U30" i="37"/>
  <c r="M131" i="37"/>
  <c r="S131" i="37"/>
  <c r="H110" i="37"/>
  <c r="I110" i="37"/>
  <c r="J110" i="37"/>
  <c r="K110" i="37"/>
  <c r="L110" i="37"/>
  <c r="M110" i="37"/>
  <c r="O110" i="37"/>
  <c r="R110" i="37"/>
  <c r="S110" i="37"/>
  <c r="H105" i="37"/>
  <c r="I105" i="37"/>
  <c r="J105" i="37"/>
  <c r="K105" i="37"/>
  <c r="L105" i="37"/>
  <c r="M105" i="37"/>
  <c r="R105" i="37"/>
  <c r="S105" i="37"/>
  <c r="N100" i="37"/>
  <c r="N96" i="37"/>
  <c r="N93" i="37"/>
  <c r="N89" i="37"/>
  <c r="N84" i="37"/>
  <c r="N80" i="37"/>
  <c r="N73" i="37"/>
  <c r="N62" i="37"/>
  <c r="N72" i="37" s="1"/>
  <c r="N34" i="37"/>
  <c r="N39" i="37" s="1"/>
  <c r="N16" i="37"/>
  <c r="N30" i="37" s="1"/>
  <c r="J10" i="37"/>
  <c r="J30" i="37" s="1"/>
  <c r="E179" i="37"/>
  <c r="E178" i="37" s="1"/>
  <c r="D179" i="37"/>
  <c r="D178" i="37" s="1"/>
  <c r="F178" i="37"/>
  <c r="G178" i="37"/>
  <c r="H178" i="37"/>
  <c r="I178" i="37"/>
  <c r="J178" i="37"/>
  <c r="K178" i="37"/>
  <c r="L178" i="37"/>
  <c r="M178" i="37"/>
  <c r="N178" i="37"/>
  <c r="O178" i="37"/>
  <c r="P178" i="37"/>
  <c r="Q178" i="37"/>
  <c r="R178" i="37"/>
  <c r="S178" i="37"/>
  <c r="T178" i="37"/>
  <c r="U178" i="37"/>
  <c r="F126" i="37"/>
  <c r="F123" i="37"/>
  <c r="F118" i="37"/>
  <c r="F114" i="37"/>
  <c r="F106" i="37"/>
  <c r="F110" i="37" s="1"/>
  <c r="F100" i="37"/>
  <c r="F96" i="37"/>
  <c r="F93" i="37"/>
  <c r="F89" i="37"/>
  <c r="F84" i="37"/>
  <c r="F80" i="37"/>
  <c r="F73" i="37"/>
  <c r="F69" i="37"/>
  <c r="F62" i="37"/>
  <c r="F55" i="37"/>
  <c r="F36" i="37"/>
  <c r="F34" i="37"/>
  <c r="F31" i="37"/>
  <c r="D31" i="37" s="1"/>
  <c r="F28" i="37"/>
  <c r="F24" i="37"/>
  <c r="D24" i="37" s="1"/>
  <c r="F16" i="37"/>
  <c r="E151" i="37"/>
  <c r="E152" i="37"/>
  <c r="E153" i="37"/>
  <c r="E154" i="37"/>
  <c r="E155" i="37"/>
  <c r="E156" i="37"/>
  <c r="E157" i="37"/>
  <c r="E160" i="37"/>
  <c r="E161" i="37"/>
  <c r="E162" i="37"/>
  <c r="E163" i="37"/>
  <c r="E109" i="37"/>
  <c r="E6" i="37"/>
  <c r="E8" i="37"/>
  <c r="E9" i="37"/>
  <c r="E13" i="37"/>
  <c r="E19" i="37"/>
  <c r="E20" i="37"/>
  <c r="E24" i="37"/>
  <c r="E31" i="37"/>
  <c r="D182" i="37"/>
  <c r="D184" i="37"/>
  <c r="D185" i="37"/>
  <c r="D186" i="37"/>
  <c r="D187" i="37"/>
  <c r="D188" i="37"/>
  <c r="D189" i="37"/>
  <c r="D190" i="37"/>
  <c r="D181" i="37"/>
  <c r="D161" i="37"/>
  <c r="D162" i="37"/>
  <c r="D163" i="37"/>
  <c r="D164" i="37"/>
  <c r="D160" i="37"/>
  <c r="D152" i="37"/>
  <c r="D153" i="37"/>
  <c r="D154" i="37"/>
  <c r="D155" i="37"/>
  <c r="D156" i="37"/>
  <c r="D157" i="37"/>
  <c r="D158" i="37"/>
  <c r="D151" i="37"/>
  <c r="D109" i="37"/>
  <c r="D92" i="37"/>
  <c r="D20" i="37"/>
  <c r="D19" i="37"/>
  <c r="D13" i="37"/>
  <c r="D9" i="37"/>
  <c r="D8" i="37"/>
  <c r="D6" i="37"/>
  <c r="E191" i="37"/>
  <c r="D191" i="37"/>
  <c r="E190" i="37"/>
  <c r="E189" i="37"/>
  <c r="E188" i="37"/>
  <c r="E187" i="37"/>
  <c r="G186" i="37"/>
  <c r="E186" i="37" s="1"/>
  <c r="E185" i="37"/>
  <c r="E184" i="37"/>
  <c r="E183" i="37"/>
  <c r="E182" i="37"/>
  <c r="E181" i="37"/>
  <c r="F180" i="37"/>
  <c r="F165" i="37"/>
  <c r="G164" i="37"/>
  <c r="G165" i="37" s="1"/>
  <c r="F159" i="37"/>
  <c r="G158" i="37"/>
  <c r="G159" i="37" s="1"/>
  <c r="R111" i="37"/>
  <c r="R131" i="37" s="1"/>
  <c r="P111" i="37"/>
  <c r="N111" i="37"/>
  <c r="L111" i="37"/>
  <c r="L131" i="37" s="1"/>
  <c r="J111" i="37"/>
  <c r="J131" i="37" s="1"/>
  <c r="H111" i="37"/>
  <c r="H131" i="37" s="1"/>
  <c r="F111" i="37"/>
  <c r="D88" i="37"/>
  <c r="E88" i="37"/>
  <c r="R45" i="37"/>
  <c r="P45" i="37"/>
  <c r="N45" i="37"/>
  <c r="L45" i="37"/>
  <c r="J45" i="37"/>
  <c r="F45" i="37"/>
  <c r="M44" i="37"/>
  <c r="K44" i="37"/>
  <c r="I44" i="37"/>
  <c r="K42" i="37"/>
  <c r="I42" i="37"/>
  <c r="D14" i="37"/>
  <c r="E14" i="37"/>
  <c r="K41" i="37"/>
  <c r="E10" i="37"/>
  <c r="E173" i="25"/>
  <c r="E174" i="25"/>
  <c r="E175" i="25"/>
  <c r="E176" i="25"/>
  <c r="E177" i="25"/>
  <c r="E179" i="25"/>
  <c r="E180" i="25"/>
  <c r="E181" i="25"/>
  <c r="E182" i="25"/>
  <c r="E154" i="25"/>
  <c r="E155" i="25"/>
  <c r="E156" i="25"/>
  <c r="E157" i="25"/>
  <c r="E145" i="25"/>
  <c r="E146" i="25"/>
  <c r="E147" i="25"/>
  <c r="E148" i="25"/>
  <c r="E149" i="25"/>
  <c r="E150" i="25"/>
  <c r="E151" i="25"/>
  <c r="E112" i="25"/>
  <c r="E48" i="25"/>
  <c r="E39" i="25"/>
  <c r="E33" i="25"/>
  <c r="E29" i="25"/>
  <c r="E30" i="25"/>
  <c r="E25" i="25"/>
  <c r="E26" i="25"/>
  <c r="E20" i="25"/>
  <c r="E21" i="25"/>
  <c r="J172" i="25"/>
  <c r="J184" i="25" s="1"/>
  <c r="K172" i="25"/>
  <c r="K184" i="25" s="1"/>
  <c r="J160" i="33"/>
  <c r="J172" i="33" s="1"/>
  <c r="K160" i="33"/>
  <c r="K172" i="33" s="1"/>
  <c r="H84" i="33"/>
  <c r="H15" i="33"/>
  <c r="D15" i="33" s="1"/>
  <c r="H10" i="33"/>
  <c r="E171" i="33"/>
  <c r="D171" i="33"/>
  <c r="D170" i="33"/>
  <c r="D169" i="33"/>
  <c r="D168" i="33"/>
  <c r="D167" i="33"/>
  <c r="I166" i="33"/>
  <c r="I160" i="33" s="1"/>
  <c r="I172" i="33" s="1"/>
  <c r="G166" i="33"/>
  <c r="G160" i="33" s="1"/>
  <c r="G172" i="33" s="1"/>
  <c r="D166" i="33"/>
  <c r="D165" i="33"/>
  <c r="D164" i="33"/>
  <c r="D163" i="33"/>
  <c r="D162" i="33"/>
  <c r="D161" i="33"/>
  <c r="H160" i="33"/>
  <c r="H172" i="33" s="1"/>
  <c r="F160" i="33"/>
  <c r="F172" i="33" s="1"/>
  <c r="K147" i="33"/>
  <c r="J147" i="33"/>
  <c r="H147" i="33"/>
  <c r="F147" i="33"/>
  <c r="I146" i="33"/>
  <c r="I147" i="33" s="1"/>
  <c r="G146" i="33"/>
  <c r="D146" i="33"/>
  <c r="D145" i="33"/>
  <c r="D144" i="33"/>
  <c r="D143" i="33"/>
  <c r="D142" i="33"/>
  <c r="K141" i="33"/>
  <c r="J141" i="33"/>
  <c r="H141" i="33"/>
  <c r="F141" i="33"/>
  <c r="I140" i="33"/>
  <c r="G140" i="33"/>
  <c r="G141" i="33" s="1"/>
  <c r="D140" i="33"/>
  <c r="D139" i="33"/>
  <c r="D138" i="33"/>
  <c r="D137" i="33"/>
  <c r="D136" i="33"/>
  <c r="D135" i="33"/>
  <c r="D134" i="33"/>
  <c r="D133" i="33"/>
  <c r="K117" i="33"/>
  <c r="J117" i="33"/>
  <c r="I117" i="33"/>
  <c r="H117" i="33"/>
  <c r="G117" i="33"/>
  <c r="F117" i="33"/>
  <c r="K114" i="33"/>
  <c r="J114" i="33"/>
  <c r="I114" i="33"/>
  <c r="H114" i="33"/>
  <c r="G114" i="33"/>
  <c r="F114" i="33"/>
  <c r="K109" i="33"/>
  <c r="J109" i="33"/>
  <c r="I109" i="33"/>
  <c r="H109" i="33"/>
  <c r="G109" i="33"/>
  <c r="F109" i="33"/>
  <c r="K105" i="33"/>
  <c r="J105" i="33"/>
  <c r="I105" i="33"/>
  <c r="H105" i="33"/>
  <c r="G105" i="33"/>
  <c r="F105" i="33"/>
  <c r="K102" i="33"/>
  <c r="J102" i="33"/>
  <c r="H102" i="33"/>
  <c r="F102" i="33"/>
  <c r="D100" i="33"/>
  <c r="K97" i="33"/>
  <c r="K101" i="33" s="1"/>
  <c r="J97" i="33"/>
  <c r="J101" i="33" s="1"/>
  <c r="I97" i="33"/>
  <c r="I101" i="33" s="1"/>
  <c r="H97" i="33"/>
  <c r="H101" i="33" s="1"/>
  <c r="G97" i="33"/>
  <c r="G101" i="33" s="1"/>
  <c r="F97" i="33"/>
  <c r="F101" i="33" s="1"/>
  <c r="K91" i="33"/>
  <c r="J91" i="33"/>
  <c r="I91" i="33"/>
  <c r="H91" i="33"/>
  <c r="G91" i="33"/>
  <c r="F91" i="33"/>
  <c r="K87" i="33"/>
  <c r="J87" i="33"/>
  <c r="I87" i="33"/>
  <c r="H87" i="33"/>
  <c r="G87" i="33"/>
  <c r="F87" i="33"/>
  <c r="K84" i="33"/>
  <c r="J84" i="33"/>
  <c r="I84" i="33"/>
  <c r="G84" i="33"/>
  <c r="F84" i="33"/>
  <c r="D83" i="33"/>
  <c r="K80" i="33"/>
  <c r="J80" i="33"/>
  <c r="I80" i="33"/>
  <c r="H80" i="33"/>
  <c r="G80" i="33"/>
  <c r="F80" i="33"/>
  <c r="K78" i="33"/>
  <c r="J78" i="33"/>
  <c r="D78" i="33" s="1"/>
  <c r="I78" i="33"/>
  <c r="G78" i="33"/>
  <c r="K74" i="33"/>
  <c r="J74" i="33"/>
  <c r="I74" i="33"/>
  <c r="H74" i="33"/>
  <c r="G74" i="33"/>
  <c r="F74" i="33"/>
  <c r="K70" i="33"/>
  <c r="J70" i="33"/>
  <c r="I70" i="33"/>
  <c r="H70" i="33"/>
  <c r="G70" i="33"/>
  <c r="F70" i="33"/>
  <c r="K63" i="33"/>
  <c r="J63" i="33"/>
  <c r="I63" i="33"/>
  <c r="H63" i="33"/>
  <c r="G63" i="33"/>
  <c r="F63" i="33"/>
  <c r="K59" i="33"/>
  <c r="J59" i="33"/>
  <c r="I59" i="33"/>
  <c r="H59" i="33"/>
  <c r="G59" i="33"/>
  <c r="F59" i="33"/>
  <c r="K52" i="33"/>
  <c r="J52" i="33"/>
  <c r="I52" i="33"/>
  <c r="H52" i="33"/>
  <c r="G52" i="33"/>
  <c r="F52" i="33"/>
  <c r="K45" i="33"/>
  <c r="J45" i="33"/>
  <c r="I45" i="33"/>
  <c r="H45" i="33"/>
  <c r="G45" i="33"/>
  <c r="F45" i="33"/>
  <c r="J38" i="33"/>
  <c r="F38" i="33"/>
  <c r="D37" i="33"/>
  <c r="D36" i="33"/>
  <c r="D35" i="33"/>
  <c r="J30" i="33"/>
  <c r="I30" i="33"/>
  <c r="H30" i="33"/>
  <c r="G30" i="33"/>
  <c r="F30" i="33"/>
  <c r="J28" i="33"/>
  <c r="I28" i="33"/>
  <c r="H28" i="33"/>
  <c r="G28" i="33"/>
  <c r="F28" i="33"/>
  <c r="D27" i="33"/>
  <c r="J26" i="33"/>
  <c r="I24" i="33"/>
  <c r="G24" i="33"/>
  <c r="D24" i="33"/>
  <c r="G23" i="33"/>
  <c r="G22" i="33" s="1"/>
  <c r="I22" i="33"/>
  <c r="H22" i="33"/>
  <c r="F22" i="33"/>
  <c r="D21" i="33"/>
  <c r="I19" i="33"/>
  <c r="G19" i="33"/>
  <c r="D19" i="33"/>
  <c r="D18" i="33"/>
  <c r="D17" i="33"/>
  <c r="G37" i="33"/>
  <c r="I15" i="33"/>
  <c r="I37" i="33" s="1"/>
  <c r="G15" i="33"/>
  <c r="D14" i="33"/>
  <c r="D13" i="33"/>
  <c r="I10" i="33"/>
  <c r="G10" i="33"/>
  <c r="F10" i="33"/>
  <c r="D9" i="33"/>
  <c r="D8" i="33"/>
  <c r="D6" i="33"/>
  <c r="L21" i="2"/>
  <c r="D21" i="2"/>
  <c r="J159" i="25"/>
  <c r="K159" i="25"/>
  <c r="J153" i="25"/>
  <c r="K153" i="25"/>
  <c r="J129" i="25"/>
  <c r="K129" i="25"/>
  <c r="J126" i="25"/>
  <c r="K126" i="25"/>
  <c r="J121" i="25"/>
  <c r="K121" i="25"/>
  <c r="J117" i="25"/>
  <c r="K117" i="25"/>
  <c r="J114" i="25"/>
  <c r="K114" i="25"/>
  <c r="J109" i="25"/>
  <c r="J113" i="25" s="1"/>
  <c r="K109" i="25"/>
  <c r="K113" i="25" s="1"/>
  <c r="J103" i="25"/>
  <c r="K103" i="25"/>
  <c r="J99" i="25"/>
  <c r="K99" i="25"/>
  <c r="J96" i="25"/>
  <c r="K96" i="25"/>
  <c r="J92" i="25"/>
  <c r="K92" i="25"/>
  <c r="J90" i="25"/>
  <c r="D90" i="25" s="1"/>
  <c r="K90" i="25"/>
  <c r="J86" i="25"/>
  <c r="K86" i="25"/>
  <c r="J75" i="25"/>
  <c r="K75" i="25"/>
  <c r="J82" i="25"/>
  <c r="K82" i="25"/>
  <c r="J71" i="25"/>
  <c r="K71" i="25"/>
  <c r="J64" i="25"/>
  <c r="K64" i="25"/>
  <c r="J57" i="25"/>
  <c r="K57" i="25"/>
  <c r="J42" i="25"/>
  <c r="J40" i="25"/>
  <c r="J50" i="25"/>
  <c r="J38" i="25"/>
  <c r="F96" i="25"/>
  <c r="D182" i="25"/>
  <c r="D181" i="25"/>
  <c r="D180" i="25"/>
  <c r="D179" i="25"/>
  <c r="D178" i="25"/>
  <c r="D177" i="25"/>
  <c r="D176" i="25"/>
  <c r="D175" i="25"/>
  <c r="D174" i="25"/>
  <c r="D173" i="25"/>
  <c r="D158" i="25"/>
  <c r="D157" i="25"/>
  <c r="D156" i="25"/>
  <c r="D155" i="25"/>
  <c r="D154" i="25"/>
  <c r="D146" i="25"/>
  <c r="D147" i="25"/>
  <c r="D148" i="25"/>
  <c r="D149" i="25"/>
  <c r="D150" i="25"/>
  <c r="D151" i="25"/>
  <c r="D152" i="25"/>
  <c r="D145" i="25"/>
  <c r="D112" i="25"/>
  <c r="D95" i="25"/>
  <c r="D47" i="25"/>
  <c r="D48" i="25"/>
  <c r="D49" i="25"/>
  <c r="D39" i="25"/>
  <c r="D36" i="25"/>
  <c r="D33" i="25"/>
  <c r="D31" i="25"/>
  <c r="D30" i="25"/>
  <c r="D29" i="25"/>
  <c r="D27" i="25"/>
  <c r="D26" i="25"/>
  <c r="D25" i="25"/>
  <c r="D21" i="25"/>
  <c r="D20" i="25"/>
  <c r="D6" i="25"/>
  <c r="E183" i="25"/>
  <c r="D183" i="25"/>
  <c r="I178" i="25"/>
  <c r="I172" i="25" s="1"/>
  <c r="I184" i="25" s="1"/>
  <c r="G178" i="25"/>
  <c r="G172" i="25" s="1"/>
  <c r="G184" i="25" s="1"/>
  <c r="H172" i="25"/>
  <c r="H184" i="25" s="1"/>
  <c r="F172" i="25"/>
  <c r="F184" i="25" s="1"/>
  <c r="H159" i="25"/>
  <c r="F159" i="25"/>
  <c r="I158" i="25"/>
  <c r="I159" i="25" s="1"/>
  <c r="G158" i="25"/>
  <c r="H153" i="25"/>
  <c r="F153" i="25"/>
  <c r="F160" i="25" s="1"/>
  <c r="I153" i="25"/>
  <c r="I160" i="25" s="1"/>
  <c r="G152" i="25"/>
  <c r="G153" i="25" s="1"/>
  <c r="I129" i="25"/>
  <c r="H129" i="25"/>
  <c r="G129" i="25"/>
  <c r="F129" i="25"/>
  <c r="I126" i="25"/>
  <c r="H126" i="25"/>
  <c r="G126" i="25"/>
  <c r="F126" i="25"/>
  <c r="I121" i="25"/>
  <c r="H121" i="25"/>
  <c r="G121" i="25"/>
  <c r="F121" i="25"/>
  <c r="I117" i="25"/>
  <c r="H117" i="25"/>
  <c r="G117" i="25"/>
  <c r="F117" i="25"/>
  <c r="H114" i="25"/>
  <c r="F114" i="25"/>
  <c r="I109" i="25"/>
  <c r="I113" i="25" s="1"/>
  <c r="H109" i="25"/>
  <c r="H113" i="25" s="1"/>
  <c r="G109" i="25"/>
  <c r="G113" i="25" s="1"/>
  <c r="F109" i="25"/>
  <c r="F113" i="25" s="1"/>
  <c r="I103" i="25"/>
  <c r="H103" i="25"/>
  <c r="F103" i="25"/>
  <c r="I99" i="25"/>
  <c r="H99" i="25"/>
  <c r="F99" i="25"/>
  <c r="I96" i="25"/>
  <c r="G96" i="25"/>
  <c r="I92" i="25"/>
  <c r="H92" i="25"/>
  <c r="G92" i="25"/>
  <c r="F92" i="25"/>
  <c r="I90" i="25"/>
  <c r="G90" i="25"/>
  <c r="I86" i="25"/>
  <c r="H86" i="25"/>
  <c r="G86" i="25"/>
  <c r="F86" i="25"/>
  <c r="I82" i="25"/>
  <c r="H82" i="25"/>
  <c r="G82" i="25"/>
  <c r="F82" i="25"/>
  <c r="I75" i="25"/>
  <c r="I85" i="25" s="1"/>
  <c r="H75" i="25"/>
  <c r="H85" i="25" s="1"/>
  <c r="F75" i="25"/>
  <c r="I71" i="25"/>
  <c r="H71" i="25"/>
  <c r="G71" i="25"/>
  <c r="F71" i="25"/>
  <c r="I64" i="25"/>
  <c r="H64" i="25"/>
  <c r="G64" i="25"/>
  <c r="F64" i="25"/>
  <c r="I57" i="25"/>
  <c r="I74" i="25" s="1"/>
  <c r="H57" i="25"/>
  <c r="H74" i="25" s="1"/>
  <c r="G57" i="25"/>
  <c r="G74" i="25" s="1"/>
  <c r="F57" i="25"/>
  <c r="F74" i="25" s="1"/>
  <c r="F50" i="25"/>
  <c r="I42" i="25"/>
  <c r="H42" i="25"/>
  <c r="G42" i="25"/>
  <c r="F42" i="25"/>
  <c r="I40" i="25"/>
  <c r="I44" i="25" s="1"/>
  <c r="H40" i="25"/>
  <c r="H46" i="25" s="1"/>
  <c r="G40" i="25"/>
  <c r="F40" i="25"/>
  <c r="F44" i="25" s="1"/>
  <c r="I36" i="25"/>
  <c r="G36" i="25"/>
  <c r="I34" i="25"/>
  <c r="H34" i="25"/>
  <c r="H38" i="25" s="1"/>
  <c r="F34" i="25"/>
  <c r="I31" i="25"/>
  <c r="G31" i="25"/>
  <c r="I27" i="25"/>
  <c r="G27" i="25"/>
  <c r="I22" i="25"/>
  <c r="G22" i="25"/>
  <c r="F22" i="25"/>
  <c r="F38" i="25" s="1"/>
  <c r="I6" i="25"/>
  <c r="E6" i="25" s="1"/>
  <c r="K222" i="36"/>
  <c r="K216" i="36" s="1"/>
  <c r="K228" i="36" s="1"/>
  <c r="O222" i="36"/>
  <c r="O216" i="36" s="1"/>
  <c r="O228" i="36" s="1"/>
  <c r="H62" i="33"/>
  <c r="E80" i="33"/>
  <c r="I73" i="33"/>
  <c r="G180" i="37"/>
  <c r="E55" i="37"/>
  <c r="E164" i="37"/>
  <c r="H45" i="37"/>
  <c r="I111" i="37"/>
  <c r="I131" i="37" s="1"/>
  <c r="K111" i="37"/>
  <c r="K131" i="37" s="1"/>
  <c r="H40" i="37"/>
  <c r="I41" i="37"/>
  <c r="M41" i="37"/>
  <c r="I102" i="33"/>
  <c r="H38" i="33"/>
  <c r="D34" i="33"/>
  <c r="K21" i="2"/>
  <c r="G35" i="25"/>
  <c r="G34" i="25" s="1"/>
  <c r="G102" i="33"/>
  <c r="O203" i="36"/>
  <c r="O196" i="36"/>
  <c r="O197" i="36" s="1"/>
  <c r="O173" i="36"/>
  <c r="O170" i="36"/>
  <c r="O165" i="36"/>
  <c r="O161" i="36"/>
  <c r="O153" i="36"/>
  <c r="O157" i="36" s="1"/>
  <c r="O147" i="36"/>
  <c r="O143" i="36"/>
  <c r="O136" i="36"/>
  <c r="O134" i="36"/>
  <c r="O130" i="36"/>
  <c r="O126" i="36"/>
  <c r="O119" i="36"/>
  <c r="O115" i="36"/>
  <c r="O108" i="36"/>
  <c r="O101" i="36"/>
  <c r="O91" i="36"/>
  <c r="O85" i="36"/>
  <c r="O57" i="36"/>
  <c r="O79" i="36" s="1"/>
  <c r="K203" i="36"/>
  <c r="K197" i="36"/>
  <c r="M203" i="36"/>
  <c r="M196" i="36"/>
  <c r="M197" i="36" s="1"/>
  <c r="M173" i="36"/>
  <c r="M170" i="36"/>
  <c r="M165" i="36"/>
  <c r="M161" i="36"/>
  <c r="M153" i="36"/>
  <c r="M157" i="36" s="1"/>
  <c r="M147" i="36"/>
  <c r="M143" i="36"/>
  <c r="M140" i="36"/>
  <c r="M136" i="36"/>
  <c r="M130" i="36"/>
  <c r="M126" i="36"/>
  <c r="M119" i="36"/>
  <c r="M115" i="36"/>
  <c r="M108" i="36"/>
  <c r="M101" i="36"/>
  <c r="M90" i="36"/>
  <c r="M83" i="36"/>
  <c r="M81" i="36"/>
  <c r="M66" i="36"/>
  <c r="M61" i="36"/>
  <c r="M57" i="36"/>
  <c r="E217" i="36"/>
  <c r="E218" i="36"/>
  <c r="E219" i="36"/>
  <c r="E220" i="36"/>
  <c r="E221" i="36"/>
  <c r="E223" i="36"/>
  <c r="E224" i="36"/>
  <c r="E225" i="36"/>
  <c r="E226" i="36"/>
  <c r="E198" i="36"/>
  <c r="E199" i="36"/>
  <c r="E200" i="36"/>
  <c r="E201" i="36"/>
  <c r="E189" i="36"/>
  <c r="E190" i="36"/>
  <c r="E191" i="36"/>
  <c r="E192" i="36"/>
  <c r="E193" i="36"/>
  <c r="E194" i="36"/>
  <c r="E195" i="36"/>
  <c r="K173" i="36"/>
  <c r="K170" i="36"/>
  <c r="K165" i="36"/>
  <c r="K161" i="36"/>
  <c r="K153" i="36"/>
  <c r="K157" i="36" s="1"/>
  <c r="K147" i="36"/>
  <c r="K143" i="36"/>
  <c r="K140" i="36"/>
  <c r="K136" i="36"/>
  <c r="K134" i="36"/>
  <c r="K130" i="36"/>
  <c r="K126" i="36"/>
  <c r="K119" i="36"/>
  <c r="K115" i="36"/>
  <c r="K101" i="36"/>
  <c r="K90" i="36"/>
  <c r="K85" i="36"/>
  <c r="K66" i="36"/>
  <c r="K88" i="36" s="1"/>
  <c r="K108" i="36"/>
  <c r="K118" i="36" s="1"/>
  <c r="I90" i="36"/>
  <c r="G61" i="36"/>
  <c r="I61" i="36"/>
  <c r="I6" i="36"/>
  <c r="I75" i="36" s="1"/>
  <c r="I74" i="36" s="1"/>
  <c r="E156" i="36"/>
  <c r="E139" i="36"/>
  <c r="E80" i="36"/>
  <c r="E73" i="36"/>
  <c r="E69" i="36"/>
  <c r="E68" i="36"/>
  <c r="E60" i="36"/>
  <c r="E56" i="36"/>
  <c r="E55" i="36"/>
  <c r="G6" i="36"/>
  <c r="G78" i="36" s="1"/>
  <c r="G76" i="36" s="1"/>
  <c r="R216" i="36"/>
  <c r="R228" i="36" s="1"/>
  <c r="R203" i="36"/>
  <c r="R197" i="36"/>
  <c r="R173" i="36"/>
  <c r="R170" i="36"/>
  <c r="R165" i="36"/>
  <c r="R161" i="36"/>
  <c r="R158" i="36"/>
  <c r="R153" i="36"/>
  <c r="R157" i="36" s="1"/>
  <c r="R147" i="36"/>
  <c r="R143" i="36"/>
  <c r="R140" i="36"/>
  <c r="R136" i="36"/>
  <c r="R134" i="36"/>
  <c r="R130" i="36"/>
  <c r="R126" i="36"/>
  <c r="R119" i="36"/>
  <c r="R115" i="36"/>
  <c r="R108" i="36"/>
  <c r="R101" i="36"/>
  <c r="R91" i="36"/>
  <c r="R83" i="36"/>
  <c r="R81" i="36"/>
  <c r="R66" i="36"/>
  <c r="R61" i="36"/>
  <c r="R57" i="36"/>
  <c r="P216" i="36"/>
  <c r="P228" i="36" s="1"/>
  <c r="P203" i="36"/>
  <c r="P197" i="36"/>
  <c r="P173" i="36"/>
  <c r="P170" i="36"/>
  <c r="P165" i="36"/>
  <c r="P161" i="36"/>
  <c r="P158" i="36"/>
  <c r="P153" i="36"/>
  <c r="P157" i="36" s="1"/>
  <c r="P147" i="36"/>
  <c r="P143" i="36"/>
  <c r="P140" i="36"/>
  <c r="P136" i="36"/>
  <c r="P134" i="36"/>
  <c r="P130" i="36"/>
  <c r="P126" i="36"/>
  <c r="P119" i="36"/>
  <c r="P115" i="36"/>
  <c r="P108" i="36"/>
  <c r="P101" i="36"/>
  <c r="P91" i="36"/>
  <c r="P83" i="36"/>
  <c r="P81" i="36"/>
  <c r="P66" i="36"/>
  <c r="P61" i="36"/>
  <c r="P57" i="36"/>
  <c r="D227" i="36"/>
  <c r="D226" i="36"/>
  <c r="D225" i="36"/>
  <c r="D224" i="36"/>
  <c r="D223" i="36"/>
  <c r="D222" i="36"/>
  <c r="D221" i="36"/>
  <c r="D220" i="36"/>
  <c r="D219" i="36"/>
  <c r="D218" i="36"/>
  <c r="D217" i="36"/>
  <c r="D202" i="36"/>
  <c r="D201" i="36"/>
  <c r="D200" i="36"/>
  <c r="D199" i="36"/>
  <c r="D198" i="36"/>
  <c r="D190" i="36"/>
  <c r="D191" i="36"/>
  <c r="D192" i="36"/>
  <c r="D193" i="36"/>
  <c r="D194" i="36"/>
  <c r="D195" i="36"/>
  <c r="D196" i="36"/>
  <c r="D189" i="36"/>
  <c r="D156" i="36"/>
  <c r="D139" i="36"/>
  <c r="D80" i="36"/>
  <c r="D76" i="36"/>
  <c r="D73" i="36"/>
  <c r="D70" i="36"/>
  <c r="D69" i="36"/>
  <c r="D68" i="36"/>
  <c r="D60" i="36"/>
  <c r="D56" i="36"/>
  <c r="D55" i="36"/>
  <c r="D6" i="36"/>
  <c r="N203" i="36"/>
  <c r="N197" i="36"/>
  <c r="L216" i="36"/>
  <c r="L228" i="36" s="1"/>
  <c r="N216" i="36"/>
  <c r="N228" i="36" s="1"/>
  <c r="N173" i="36"/>
  <c r="N170" i="36"/>
  <c r="N165" i="36"/>
  <c r="N161" i="36"/>
  <c r="N158" i="36"/>
  <c r="N153" i="36"/>
  <c r="N157" i="36" s="1"/>
  <c r="N147" i="36"/>
  <c r="N143" i="36"/>
  <c r="N140" i="36"/>
  <c r="N136" i="36"/>
  <c r="N134" i="36"/>
  <c r="N130" i="36"/>
  <c r="N126" i="36"/>
  <c r="N119" i="36"/>
  <c r="N115" i="36"/>
  <c r="N108" i="36"/>
  <c r="N101" i="36"/>
  <c r="N91" i="36"/>
  <c r="N83" i="36"/>
  <c r="N81" i="36"/>
  <c r="N66" i="36"/>
  <c r="N61" i="36"/>
  <c r="N57" i="36"/>
  <c r="L203" i="36"/>
  <c r="L197" i="36"/>
  <c r="L173" i="36"/>
  <c r="L170" i="36"/>
  <c r="L165" i="36"/>
  <c r="L161" i="36"/>
  <c r="L158" i="36"/>
  <c r="L153" i="36"/>
  <c r="L157" i="36" s="1"/>
  <c r="L147" i="36"/>
  <c r="L143" i="36"/>
  <c r="L140" i="36"/>
  <c r="L136" i="36"/>
  <c r="L134" i="36"/>
  <c r="L130" i="36"/>
  <c r="L126" i="36"/>
  <c r="L119" i="36"/>
  <c r="L115" i="36"/>
  <c r="L108" i="36"/>
  <c r="L101" i="36"/>
  <c r="L91" i="36"/>
  <c r="L83" i="36"/>
  <c r="L81" i="36"/>
  <c r="L66" i="36"/>
  <c r="L61" i="36"/>
  <c r="L57" i="36"/>
  <c r="K57" i="36"/>
  <c r="K87" i="36" s="1"/>
  <c r="J216" i="36"/>
  <c r="J228" i="36" s="1"/>
  <c r="J203" i="36"/>
  <c r="J197" i="36"/>
  <c r="J173" i="36"/>
  <c r="J170" i="36"/>
  <c r="J165" i="36"/>
  <c r="J161" i="36"/>
  <c r="J158" i="36"/>
  <c r="J153" i="36"/>
  <c r="J157" i="36" s="1"/>
  <c r="J147" i="36"/>
  <c r="J143" i="36"/>
  <c r="J140" i="36"/>
  <c r="J136" i="36"/>
  <c r="J134" i="36"/>
  <c r="J130" i="36"/>
  <c r="J126" i="36"/>
  <c r="J119" i="36"/>
  <c r="J115" i="36"/>
  <c r="J108" i="36"/>
  <c r="J101" i="36"/>
  <c r="J91" i="36"/>
  <c r="J85" i="36"/>
  <c r="J66" i="36"/>
  <c r="J57" i="36"/>
  <c r="H140" i="36"/>
  <c r="H66" i="36"/>
  <c r="F66" i="36"/>
  <c r="H57" i="36"/>
  <c r="F140" i="36"/>
  <c r="E227" i="36"/>
  <c r="I222" i="36"/>
  <c r="I216" i="36" s="1"/>
  <c r="I228" i="36" s="1"/>
  <c r="G222" i="36"/>
  <c r="G216" i="36" s="1"/>
  <c r="G228" i="36" s="1"/>
  <c r="H216" i="36"/>
  <c r="H228" i="36" s="1"/>
  <c r="F216" i="36"/>
  <c r="F228" i="36" s="1"/>
  <c r="H203" i="36"/>
  <c r="F203" i="36"/>
  <c r="I202" i="36"/>
  <c r="I203" i="36" s="1"/>
  <c r="G202" i="36"/>
  <c r="G203" i="36" s="1"/>
  <c r="H197" i="36"/>
  <c r="F197" i="36"/>
  <c r="I196" i="36"/>
  <c r="I197" i="36" s="1"/>
  <c r="G196" i="36"/>
  <c r="G197" i="36" s="1"/>
  <c r="I173" i="36"/>
  <c r="H173" i="36"/>
  <c r="G173" i="36"/>
  <c r="F173" i="36"/>
  <c r="I170" i="36"/>
  <c r="H170" i="36"/>
  <c r="G170" i="36"/>
  <c r="F170" i="36"/>
  <c r="I165" i="36"/>
  <c r="H165" i="36"/>
  <c r="G165" i="36"/>
  <c r="F165" i="36"/>
  <c r="I161" i="36"/>
  <c r="H161" i="36"/>
  <c r="G161" i="36"/>
  <c r="F161" i="36"/>
  <c r="H158" i="36"/>
  <c r="F158" i="36"/>
  <c r="I153" i="36"/>
  <c r="I157" i="36" s="1"/>
  <c r="H153" i="36"/>
  <c r="H157" i="36" s="1"/>
  <c r="G153" i="36"/>
  <c r="G157" i="36" s="1"/>
  <c r="F153" i="36"/>
  <c r="F157" i="36" s="1"/>
  <c r="I147" i="36"/>
  <c r="H147" i="36"/>
  <c r="G147" i="36"/>
  <c r="F147" i="36"/>
  <c r="I143" i="36"/>
  <c r="H143" i="36"/>
  <c r="G143" i="36"/>
  <c r="F143" i="36"/>
  <c r="I140" i="36"/>
  <c r="G140" i="36"/>
  <c r="I136" i="36"/>
  <c r="H136" i="36"/>
  <c r="G136" i="36"/>
  <c r="F136" i="36"/>
  <c r="I134" i="36"/>
  <c r="G134" i="36"/>
  <c r="I130" i="36"/>
  <c r="H130" i="36"/>
  <c r="G130" i="36"/>
  <c r="F130" i="36"/>
  <c r="I126" i="36"/>
  <c r="H126" i="36"/>
  <c r="G126" i="36"/>
  <c r="F126" i="36"/>
  <c r="I119" i="36"/>
  <c r="I129" i="36" s="1"/>
  <c r="H119" i="36"/>
  <c r="H129" i="36" s="1"/>
  <c r="G119" i="36"/>
  <c r="F119" i="36"/>
  <c r="F129" i="36" s="1"/>
  <c r="I115" i="36"/>
  <c r="H115" i="36"/>
  <c r="G115" i="36"/>
  <c r="F115" i="36"/>
  <c r="I108" i="36"/>
  <c r="H108" i="36"/>
  <c r="G108" i="36"/>
  <c r="F108" i="36"/>
  <c r="I101" i="36"/>
  <c r="I118" i="36" s="1"/>
  <c r="H101" i="36"/>
  <c r="H118" i="36" s="1"/>
  <c r="G101" i="36"/>
  <c r="G118" i="36" s="1"/>
  <c r="F101" i="36"/>
  <c r="F118" i="36" s="1"/>
  <c r="F91" i="36"/>
  <c r="G90" i="36"/>
  <c r="I83" i="36"/>
  <c r="H83" i="36"/>
  <c r="G83" i="36"/>
  <c r="F83" i="36"/>
  <c r="I81" i="36"/>
  <c r="I85" i="36" s="1"/>
  <c r="H81" i="36"/>
  <c r="H85" i="36" s="1"/>
  <c r="G81" i="36"/>
  <c r="G85" i="36" s="1"/>
  <c r="F81" i="36"/>
  <c r="F85" i="36" s="1"/>
  <c r="F74" i="36"/>
  <c r="D74" i="36" s="1"/>
  <c r="I66" i="36"/>
  <c r="G66" i="36"/>
  <c r="G88" i="36" s="1"/>
  <c r="I57" i="36"/>
  <c r="G57" i="36"/>
  <c r="F57" i="36"/>
  <c r="G42" i="35"/>
  <c r="E42" i="35" s="1"/>
  <c r="E179" i="35"/>
  <c r="D179" i="35"/>
  <c r="E178" i="35"/>
  <c r="D178" i="35"/>
  <c r="E177" i="35"/>
  <c r="D177" i="35"/>
  <c r="E176" i="35"/>
  <c r="D176" i="35"/>
  <c r="E175" i="35"/>
  <c r="D175" i="35"/>
  <c r="I174" i="35"/>
  <c r="I168" i="35" s="1"/>
  <c r="I180" i="35" s="1"/>
  <c r="G174" i="35"/>
  <c r="D174" i="35"/>
  <c r="E173" i="35"/>
  <c r="D173" i="35"/>
  <c r="E172" i="35"/>
  <c r="D172" i="35"/>
  <c r="E171" i="35"/>
  <c r="D171" i="35"/>
  <c r="E170" i="35"/>
  <c r="D170" i="35"/>
  <c r="E169" i="35"/>
  <c r="D169" i="35"/>
  <c r="H168" i="35"/>
  <c r="H180" i="35" s="1"/>
  <c r="F168" i="35"/>
  <c r="F180" i="35" s="1"/>
  <c r="H155" i="35"/>
  <c r="F155" i="35"/>
  <c r="I154" i="35"/>
  <c r="I155" i="35" s="1"/>
  <c r="G154" i="35"/>
  <c r="G155" i="35" s="1"/>
  <c r="D154" i="35"/>
  <c r="E153" i="35"/>
  <c r="D153" i="35"/>
  <c r="E152" i="35"/>
  <c r="D152" i="35"/>
  <c r="E151" i="35"/>
  <c r="D151" i="35"/>
  <c r="E150" i="35"/>
  <c r="D150" i="35"/>
  <c r="H149" i="35"/>
  <c r="F149" i="35"/>
  <c r="I148" i="35"/>
  <c r="I149" i="35" s="1"/>
  <c r="G148" i="35"/>
  <c r="G149" i="35" s="1"/>
  <c r="D148" i="35"/>
  <c r="E147" i="35"/>
  <c r="D147" i="35"/>
  <c r="E146" i="35"/>
  <c r="D146" i="35"/>
  <c r="E145" i="35"/>
  <c r="D145" i="35"/>
  <c r="E144" i="35"/>
  <c r="D144" i="35"/>
  <c r="E143" i="35"/>
  <c r="D143" i="35"/>
  <c r="E142" i="35"/>
  <c r="D142" i="35"/>
  <c r="E141" i="35"/>
  <c r="D141" i="35"/>
  <c r="I125" i="35"/>
  <c r="H125" i="35"/>
  <c r="G125" i="35"/>
  <c r="F125" i="35"/>
  <c r="I122" i="35"/>
  <c r="H122" i="35"/>
  <c r="G122" i="35"/>
  <c r="F122" i="35"/>
  <c r="I117" i="35"/>
  <c r="H117" i="35"/>
  <c r="G117" i="35"/>
  <c r="F117" i="35"/>
  <c r="I113" i="35"/>
  <c r="H113" i="35"/>
  <c r="G113" i="35"/>
  <c r="F113" i="35"/>
  <c r="H110" i="35"/>
  <c r="F110" i="35"/>
  <c r="D110" i="35" s="1"/>
  <c r="E108" i="35"/>
  <c r="D108" i="35"/>
  <c r="I105" i="35"/>
  <c r="I109" i="35" s="1"/>
  <c r="H105" i="35"/>
  <c r="H109" i="35" s="1"/>
  <c r="G105" i="35"/>
  <c r="G109" i="35" s="1"/>
  <c r="F105" i="35"/>
  <c r="F109" i="35" s="1"/>
  <c r="I99" i="35"/>
  <c r="H99" i="35"/>
  <c r="G99" i="35"/>
  <c r="F99" i="35"/>
  <c r="I95" i="35"/>
  <c r="H95" i="35"/>
  <c r="G95" i="35"/>
  <c r="F95" i="35"/>
  <c r="I92" i="35"/>
  <c r="G92" i="35"/>
  <c r="D92" i="35"/>
  <c r="E91" i="35"/>
  <c r="D91" i="35"/>
  <c r="I88" i="35"/>
  <c r="H88" i="35"/>
  <c r="G88" i="35"/>
  <c r="F88" i="35"/>
  <c r="I86" i="35"/>
  <c r="G86" i="35"/>
  <c r="D86" i="35"/>
  <c r="I82" i="35"/>
  <c r="H82" i="35"/>
  <c r="G82" i="35"/>
  <c r="F82" i="35"/>
  <c r="I78" i="35"/>
  <c r="H78" i="35"/>
  <c r="G78" i="35"/>
  <c r="F78" i="35"/>
  <c r="I71" i="35"/>
  <c r="I81" i="35" s="1"/>
  <c r="H71" i="35"/>
  <c r="H81" i="35" s="1"/>
  <c r="G71" i="35"/>
  <c r="G81" i="35" s="1"/>
  <c r="F71" i="35"/>
  <c r="F81" i="35" s="1"/>
  <c r="I67" i="35"/>
  <c r="H67" i="35"/>
  <c r="G67" i="35"/>
  <c r="F67" i="35"/>
  <c r="I60" i="35"/>
  <c r="H60" i="35"/>
  <c r="G60" i="35"/>
  <c r="F60" i="35"/>
  <c r="I53" i="35"/>
  <c r="I70" i="35" s="1"/>
  <c r="H53" i="35"/>
  <c r="H70" i="35" s="1"/>
  <c r="G53" i="35"/>
  <c r="F53" i="35"/>
  <c r="F70" i="35" s="1"/>
  <c r="F43" i="35"/>
  <c r="D42" i="35"/>
  <c r="E41" i="35"/>
  <c r="D41" i="35"/>
  <c r="D40" i="35"/>
  <c r="I35" i="35"/>
  <c r="H35" i="35"/>
  <c r="G35" i="35"/>
  <c r="F35" i="35"/>
  <c r="I33" i="35"/>
  <c r="I37" i="35" s="1"/>
  <c r="H33" i="35"/>
  <c r="H39" i="35" s="1"/>
  <c r="G33" i="35"/>
  <c r="G37" i="35" s="1"/>
  <c r="F33" i="35"/>
  <c r="F37" i="35" s="1"/>
  <c r="E32" i="35"/>
  <c r="D32" i="35"/>
  <c r="I28" i="35"/>
  <c r="E28" i="35" s="1"/>
  <c r="D28" i="35"/>
  <c r="I26" i="35"/>
  <c r="H26" i="35"/>
  <c r="H31" i="35" s="1"/>
  <c r="F26" i="35"/>
  <c r="E25" i="35"/>
  <c r="D25" i="35"/>
  <c r="I22" i="35"/>
  <c r="D22" i="35"/>
  <c r="E21" i="35"/>
  <c r="D21" i="35"/>
  <c r="E20" i="35"/>
  <c r="D20" i="35"/>
  <c r="I18" i="35"/>
  <c r="G18" i="35"/>
  <c r="D18" i="35"/>
  <c r="G15" i="35"/>
  <c r="E15" i="35" s="1"/>
  <c r="D15" i="35"/>
  <c r="E14" i="35"/>
  <c r="D14" i="35"/>
  <c r="I11" i="35"/>
  <c r="G11" i="35"/>
  <c r="F11" i="35"/>
  <c r="D11" i="35" s="1"/>
  <c r="E10" i="35"/>
  <c r="D10" i="35"/>
  <c r="E9" i="35"/>
  <c r="D9" i="35"/>
  <c r="I6" i="35"/>
  <c r="D6" i="35"/>
  <c r="G46" i="34"/>
  <c r="E46" i="34" s="1"/>
  <c r="E210" i="34"/>
  <c r="D210" i="34"/>
  <c r="E209" i="34"/>
  <c r="D209" i="34"/>
  <c r="E208" i="34"/>
  <c r="D208" i="34"/>
  <c r="E207" i="34"/>
  <c r="D207" i="34"/>
  <c r="E206" i="34"/>
  <c r="D206" i="34"/>
  <c r="I205" i="34"/>
  <c r="I199" i="34" s="1"/>
  <c r="I211" i="34" s="1"/>
  <c r="G205" i="34"/>
  <c r="G199" i="34" s="1"/>
  <c r="G211" i="34" s="1"/>
  <c r="D205" i="34"/>
  <c r="E204" i="34"/>
  <c r="D204" i="34"/>
  <c r="E203" i="34"/>
  <c r="D203" i="34"/>
  <c r="E202" i="34"/>
  <c r="D202" i="34"/>
  <c r="E201" i="34"/>
  <c r="D201" i="34"/>
  <c r="E200" i="34"/>
  <c r="D200" i="34"/>
  <c r="H199" i="34"/>
  <c r="H211" i="34" s="1"/>
  <c r="F199" i="34"/>
  <c r="F211" i="34" s="1"/>
  <c r="H186" i="34"/>
  <c r="F186" i="34"/>
  <c r="I185" i="34"/>
  <c r="I186" i="34" s="1"/>
  <c r="G185" i="34"/>
  <c r="G186" i="34" s="1"/>
  <c r="D185" i="34"/>
  <c r="E184" i="34"/>
  <c r="D184" i="34"/>
  <c r="E183" i="34"/>
  <c r="D183" i="34"/>
  <c r="E182" i="34"/>
  <c r="D182" i="34"/>
  <c r="E181" i="34"/>
  <c r="D181" i="34"/>
  <c r="H180" i="34"/>
  <c r="F180" i="34"/>
  <c r="I179" i="34"/>
  <c r="I180" i="34" s="1"/>
  <c r="G179" i="34"/>
  <c r="G180" i="34" s="1"/>
  <c r="D179" i="34"/>
  <c r="E178" i="34"/>
  <c r="D178" i="34"/>
  <c r="E177" i="34"/>
  <c r="D177" i="34"/>
  <c r="E176" i="34"/>
  <c r="D176" i="34"/>
  <c r="E175" i="34"/>
  <c r="D175" i="34"/>
  <c r="E174" i="34"/>
  <c r="D174" i="34"/>
  <c r="E173" i="34"/>
  <c r="D173" i="34"/>
  <c r="E172" i="34"/>
  <c r="D172" i="34"/>
  <c r="I156" i="34"/>
  <c r="H156" i="34"/>
  <c r="G156" i="34"/>
  <c r="F156" i="34"/>
  <c r="I153" i="34"/>
  <c r="H153" i="34"/>
  <c r="G153" i="34"/>
  <c r="E153" i="34" s="1"/>
  <c r="F153" i="34"/>
  <c r="D153" i="34" s="1"/>
  <c r="I148" i="34"/>
  <c r="H148" i="34"/>
  <c r="G148" i="34"/>
  <c r="E148" i="34" s="1"/>
  <c r="F148" i="34"/>
  <c r="I144" i="34"/>
  <c r="H144" i="34"/>
  <c r="G144" i="34"/>
  <c r="E144" i="34" s="1"/>
  <c r="F144" i="34"/>
  <c r="H141" i="34"/>
  <c r="F141" i="34"/>
  <c r="E139" i="34"/>
  <c r="D139" i="34"/>
  <c r="I136" i="34"/>
  <c r="I140" i="34" s="1"/>
  <c r="H136" i="34"/>
  <c r="H140" i="34" s="1"/>
  <c r="G136" i="34"/>
  <c r="G140" i="34" s="1"/>
  <c r="F136" i="34"/>
  <c r="F140" i="34" s="1"/>
  <c r="I130" i="34"/>
  <c r="H130" i="34"/>
  <c r="G130" i="34"/>
  <c r="E130" i="34" s="1"/>
  <c r="F130" i="34"/>
  <c r="I126" i="34"/>
  <c r="H126" i="34"/>
  <c r="G126" i="34"/>
  <c r="E126" i="34" s="1"/>
  <c r="F126" i="34"/>
  <c r="I123" i="34"/>
  <c r="G123" i="34"/>
  <c r="D123" i="34"/>
  <c r="E122" i="34"/>
  <c r="D122" i="34"/>
  <c r="I119" i="34"/>
  <c r="H119" i="34"/>
  <c r="G119" i="34"/>
  <c r="F119" i="34"/>
  <c r="I117" i="34"/>
  <c r="G117" i="34"/>
  <c r="D117" i="34"/>
  <c r="I113" i="34"/>
  <c r="H113" i="34"/>
  <c r="G113" i="34"/>
  <c r="E113" i="34" s="1"/>
  <c r="F113" i="34"/>
  <c r="F135" i="34" s="1"/>
  <c r="I109" i="34"/>
  <c r="H109" i="34"/>
  <c r="G109" i="34"/>
  <c r="E109" i="34" s="1"/>
  <c r="F109" i="34"/>
  <c r="I102" i="34"/>
  <c r="H102" i="34"/>
  <c r="H112" i="34" s="1"/>
  <c r="G102" i="34"/>
  <c r="G112" i="34" s="1"/>
  <c r="F102" i="34"/>
  <c r="I98" i="34"/>
  <c r="H98" i="34"/>
  <c r="G98" i="34"/>
  <c r="E98" i="34" s="1"/>
  <c r="F98" i="34"/>
  <c r="I91" i="34"/>
  <c r="H91" i="34"/>
  <c r="G91" i="34"/>
  <c r="E91" i="34" s="1"/>
  <c r="F91" i="34"/>
  <c r="I84" i="34"/>
  <c r="I101" i="34" s="1"/>
  <c r="H84" i="34"/>
  <c r="H101" i="34" s="1"/>
  <c r="G84" i="34"/>
  <c r="E84" i="34" s="1"/>
  <c r="E101" i="34" s="1"/>
  <c r="F84" i="34"/>
  <c r="F101" i="34" s="1"/>
  <c r="F74" i="34"/>
  <c r="D73" i="34"/>
  <c r="E72" i="34"/>
  <c r="D72" i="34"/>
  <c r="D71" i="34"/>
  <c r="I66" i="34"/>
  <c r="H66" i="34"/>
  <c r="G66" i="34"/>
  <c r="F66" i="34"/>
  <c r="I64" i="34"/>
  <c r="I68" i="34" s="1"/>
  <c r="H64" i="34"/>
  <c r="H70" i="34" s="1"/>
  <c r="H74" i="34" s="1"/>
  <c r="G64" i="34"/>
  <c r="F64" i="34"/>
  <c r="E63" i="34"/>
  <c r="D63" i="34"/>
  <c r="I59" i="34"/>
  <c r="D59" i="34"/>
  <c r="I57" i="34"/>
  <c r="H57" i="34"/>
  <c r="H62" i="34" s="1"/>
  <c r="F57" i="34"/>
  <c r="E56" i="34"/>
  <c r="D56" i="34"/>
  <c r="I53" i="34"/>
  <c r="E53" i="34" s="1"/>
  <c r="D53" i="34"/>
  <c r="E52" i="34"/>
  <c r="D52" i="34"/>
  <c r="E51" i="34"/>
  <c r="D51" i="34"/>
  <c r="G73" i="34"/>
  <c r="E73" i="34" s="1"/>
  <c r="I49" i="34"/>
  <c r="G49" i="34"/>
  <c r="D49" i="34"/>
  <c r="D46" i="34"/>
  <c r="E45" i="34"/>
  <c r="D45" i="34"/>
  <c r="I42" i="34"/>
  <c r="G42" i="34"/>
  <c r="F42" i="34"/>
  <c r="E41" i="34"/>
  <c r="D41" i="34"/>
  <c r="E40" i="34"/>
  <c r="D40" i="34"/>
  <c r="I6" i="34"/>
  <c r="D6" i="34"/>
  <c r="D183" i="23"/>
  <c r="E183" i="23"/>
  <c r="D181" i="23"/>
  <c r="E181" i="23"/>
  <c r="I180" i="23"/>
  <c r="I174" i="23" s="1"/>
  <c r="I186" i="23" s="1"/>
  <c r="G180" i="23"/>
  <c r="G174" i="23" s="1"/>
  <c r="G186" i="23" s="1"/>
  <c r="D179" i="23"/>
  <c r="E179" i="23"/>
  <c r="E185" i="23"/>
  <c r="D185" i="23"/>
  <c r="F174" i="23"/>
  <c r="F186" i="23" s="1"/>
  <c r="H174" i="23"/>
  <c r="H186" i="23" s="1"/>
  <c r="E175" i="23"/>
  <c r="E176" i="23"/>
  <c r="E177" i="23"/>
  <c r="E178" i="23"/>
  <c r="E182" i="23"/>
  <c r="E184" i="23"/>
  <c r="D176" i="23"/>
  <c r="D177" i="23"/>
  <c r="D178" i="23"/>
  <c r="D180" i="23"/>
  <c r="D182" i="23"/>
  <c r="D184" i="23"/>
  <c r="D175" i="23"/>
  <c r="F161" i="23"/>
  <c r="H161" i="23"/>
  <c r="E158" i="23"/>
  <c r="D156" i="23"/>
  <c r="D160" i="23"/>
  <c r="E159" i="23"/>
  <c r="D159" i="23"/>
  <c r="D158" i="23"/>
  <c r="E157" i="23"/>
  <c r="D157" i="23"/>
  <c r="E156" i="23"/>
  <c r="I160" i="23"/>
  <c r="I161" i="23" s="1"/>
  <c r="G160" i="23"/>
  <c r="G161" i="23" s="1"/>
  <c r="I154" i="23"/>
  <c r="I155" i="23" s="1"/>
  <c r="G154" i="23"/>
  <c r="G155" i="23" s="1"/>
  <c r="F155" i="23"/>
  <c r="H155" i="23"/>
  <c r="E147" i="23"/>
  <c r="E148" i="23"/>
  <c r="E149" i="23"/>
  <c r="E150" i="23"/>
  <c r="E151" i="23"/>
  <c r="E152" i="23"/>
  <c r="E153" i="23"/>
  <c r="D148" i="23"/>
  <c r="D149" i="23"/>
  <c r="D150" i="23"/>
  <c r="D151" i="23"/>
  <c r="D152" i="23"/>
  <c r="D153" i="23"/>
  <c r="D154" i="23"/>
  <c r="D147" i="23"/>
  <c r="G131" i="23"/>
  <c r="H131" i="23"/>
  <c r="I131" i="23"/>
  <c r="F131" i="23"/>
  <c r="G128" i="23"/>
  <c r="H128" i="23"/>
  <c r="I128" i="23"/>
  <c r="F128" i="23"/>
  <c r="G123" i="23"/>
  <c r="H123" i="23"/>
  <c r="I123" i="23"/>
  <c r="F123" i="23"/>
  <c r="G119" i="23"/>
  <c r="H119" i="23"/>
  <c r="I119" i="23"/>
  <c r="F119" i="23"/>
  <c r="H116" i="23"/>
  <c r="F116" i="23"/>
  <c r="G111" i="23"/>
  <c r="G115" i="23" s="1"/>
  <c r="H111" i="23"/>
  <c r="H115" i="23" s="1"/>
  <c r="I111" i="23"/>
  <c r="I115" i="23" s="1"/>
  <c r="F111" i="23"/>
  <c r="F115" i="23" s="1"/>
  <c r="E114" i="23"/>
  <c r="D114" i="23"/>
  <c r="G101" i="23"/>
  <c r="H101" i="23"/>
  <c r="I101" i="23"/>
  <c r="F101" i="23"/>
  <c r="G105" i="23"/>
  <c r="H105" i="23"/>
  <c r="I105" i="23"/>
  <c r="F105" i="23"/>
  <c r="D98" i="23"/>
  <c r="I98" i="23"/>
  <c r="G98" i="23"/>
  <c r="E97" i="23"/>
  <c r="D97" i="23"/>
  <c r="F68" i="34"/>
  <c r="G94" i="23"/>
  <c r="H94" i="23"/>
  <c r="I94" i="23"/>
  <c r="F94" i="23"/>
  <c r="D92" i="23"/>
  <c r="I92" i="23"/>
  <c r="G92" i="23"/>
  <c r="G88" i="23"/>
  <c r="H88" i="23"/>
  <c r="I88" i="23"/>
  <c r="E88" i="23" s="1"/>
  <c r="F88" i="23"/>
  <c r="F110" i="23" s="1"/>
  <c r="G84" i="23"/>
  <c r="H84" i="23"/>
  <c r="I84" i="23"/>
  <c r="F84" i="23"/>
  <c r="H77" i="23"/>
  <c r="I77" i="23"/>
  <c r="G77" i="23"/>
  <c r="G87" i="23" s="1"/>
  <c r="F77" i="23"/>
  <c r="F87" i="23" s="1"/>
  <c r="G73" i="23"/>
  <c r="H73" i="23"/>
  <c r="I73" i="23"/>
  <c r="F73" i="23"/>
  <c r="H66" i="23"/>
  <c r="I66" i="23"/>
  <c r="G66" i="23"/>
  <c r="F66" i="23"/>
  <c r="G59" i="23"/>
  <c r="H59" i="23"/>
  <c r="I59" i="23"/>
  <c r="F59" i="23"/>
  <c r="F52" i="23"/>
  <c r="E50" i="23"/>
  <c r="D49" i="23"/>
  <c r="D50" i="23"/>
  <c r="D51" i="23"/>
  <c r="G44" i="23"/>
  <c r="H44" i="23"/>
  <c r="I44" i="23"/>
  <c r="F44" i="23"/>
  <c r="G42" i="23"/>
  <c r="G46" i="23" s="1"/>
  <c r="H42" i="23"/>
  <c r="H46" i="23" s="1"/>
  <c r="I42" i="23"/>
  <c r="I46" i="23" s="1"/>
  <c r="F42" i="23"/>
  <c r="E41" i="23"/>
  <c r="D41" i="23"/>
  <c r="D37" i="23"/>
  <c r="I37" i="23"/>
  <c r="H35" i="23"/>
  <c r="H40" i="23" s="1"/>
  <c r="I35" i="23"/>
  <c r="F35" i="23"/>
  <c r="E34" i="23"/>
  <c r="D34" i="23"/>
  <c r="D31" i="23"/>
  <c r="I31" i="23"/>
  <c r="D30" i="23"/>
  <c r="E30" i="23"/>
  <c r="E29" i="23"/>
  <c r="D29" i="23"/>
  <c r="I27" i="23"/>
  <c r="D27" i="23"/>
  <c r="G28" i="23"/>
  <c r="G27" i="23" s="1"/>
  <c r="E26" i="23"/>
  <c r="D26" i="23"/>
  <c r="E25" i="23"/>
  <c r="D25" i="23"/>
  <c r="I22" i="23"/>
  <c r="G22" i="23"/>
  <c r="F22" i="23"/>
  <c r="D22" i="23" s="1"/>
  <c r="E21" i="23"/>
  <c r="D21" i="23"/>
  <c r="I6" i="23"/>
  <c r="E20" i="23"/>
  <c r="D20" i="23"/>
  <c r="D6" i="23"/>
  <c r="J98" i="32"/>
  <c r="E17" i="7"/>
  <c r="D98" i="32" l="1"/>
  <c r="I76" i="23"/>
  <c r="E66" i="23"/>
  <c r="F187" i="34"/>
  <c r="D36" i="37"/>
  <c r="D30" i="32"/>
  <c r="E126" i="37"/>
  <c r="I8" i="24"/>
  <c r="AA38" i="6"/>
  <c r="D77" i="23"/>
  <c r="H87" i="23"/>
  <c r="D5" i="32"/>
  <c r="D9" i="32"/>
  <c r="D13" i="32"/>
  <c r="H106" i="32"/>
  <c r="D90" i="32"/>
  <c r="D94" i="32"/>
  <c r="D102" i="32"/>
  <c r="F52" i="32"/>
  <c r="J22" i="21"/>
  <c r="F166" i="37"/>
  <c r="D28" i="33"/>
  <c r="I96" i="33"/>
  <c r="J122" i="33"/>
  <c r="H148" i="33"/>
  <c r="Q192" i="37"/>
  <c r="G106" i="32"/>
  <c r="G6" i="23"/>
  <c r="G36" i="23" s="1"/>
  <c r="G35" i="23" s="1"/>
  <c r="E35" i="23" s="1"/>
  <c r="W41" i="7"/>
  <c r="E16" i="37"/>
  <c r="F192" i="37"/>
  <c r="D93" i="37"/>
  <c r="U192" i="37"/>
  <c r="I192" i="37"/>
  <c r="T83" i="37"/>
  <c r="E118" i="37"/>
  <c r="D35" i="23"/>
  <c r="D95" i="35"/>
  <c r="D109" i="25"/>
  <c r="D113" i="25" s="1"/>
  <c r="E106" i="37"/>
  <c r="E110" i="37" s="1"/>
  <c r="O30" i="37"/>
  <c r="O40" i="37" s="1"/>
  <c r="G64" i="32"/>
  <c r="H37" i="32"/>
  <c r="D72" i="32"/>
  <c r="D92" i="32"/>
  <c r="D96" i="32"/>
  <c r="D100" i="32"/>
  <c r="D104" i="32"/>
  <c r="F21" i="32"/>
  <c r="F70" i="32"/>
  <c r="D70" i="32" s="1"/>
  <c r="P34" i="32"/>
  <c r="P38" i="32" s="1"/>
  <c r="P43" i="32" s="1"/>
  <c r="P44" i="32" s="1"/>
  <c r="P107" i="32" s="1"/>
  <c r="L148" i="33"/>
  <c r="G49" i="23"/>
  <c r="E49" i="23" s="1"/>
  <c r="D59" i="23"/>
  <c r="D73" i="23"/>
  <c r="E59" i="34"/>
  <c r="D126" i="34"/>
  <c r="D156" i="34"/>
  <c r="D180" i="34"/>
  <c r="D187" i="34" s="1"/>
  <c r="E22" i="35"/>
  <c r="G32" i="33"/>
  <c r="K192" i="37"/>
  <c r="P72" i="37"/>
  <c r="C17" i="32"/>
  <c r="K38" i="32"/>
  <c r="K43" i="32" s="1"/>
  <c r="D24" i="32"/>
  <c r="C48" i="32"/>
  <c r="G39" i="37"/>
  <c r="E69" i="37"/>
  <c r="U83" i="37"/>
  <c r="N46" i="17"/>
  <c r="E105" i="23"/>
  <c r="D155" i="35"/>
  <c r="F85" i="25"/>
  <c r="D114" i="33"/>
  <c r="N131" i="37"/>
  <c r="G72" i="37"/>
  <c r="E98" i="23"/>
  <c r="R40" i="37"/>
  <c r="I40" i="37"/>
  <c r="I46" i="37" s="1"/>
  <c r="I142" i="37" s="1"/>
  <c r="I168" i="37" s="1"/>
  <c r="M39" i="37"/>
  <c r="G33" i="32"/>
  <c r="DS44" i="32"/>
  <c r="DS107" i="32" s="1"/>
  <c r="H79" i="32"/>
  <c r="G85" i="25"/>
  <c r="E93" i="37"/>
  <c r="E114" i="37"/>
  <c r="K20" i="21"/>
  <c r="L22" i="20"/>
  <c r="L22" i="16"/>
  <c r="D84" i="23"/>
  <c r="E34" i="37"/>
  <c r="M42" i="37"/>
  <c r="I35" i="33"/>
  <c r="K44" i="25"/>
  <c r="K45" i="25" s="1"/>
  <c r="F83" i="37"/>
  <c r="L192" i="37"/>
  <c r="S192" i="37"/>
  <c r="O192" i="37"/>
  <c r="T105" i="37"/>
  <c r="T166" i="37"/>
  <c r="H166" i="37"/>
  <c r="D34" i="37"/>
  <c r="D39" i="37" s="1"/>
  <c r="CI38" i="32"/>
  <c r="CI43" i="32" s="1"/>
  <c r="CI44" i="32" s="1"/>
  <c r="CI107" i="32" s="1"/>
  <c r="C25" i="32"/>
  <c r="C28" i="32"/>
  <c r="L32" i="33"/>
  <c r="E21" i="37"/>
  <c r="E30" i="37" s="1"/>
  <c r="E70" i="36"/>
  <c r="I112" i="15"/>
  <c r="H38" i="21"/>
  <c r="I36" i="24"/>
  <c r="I35" i="24" s="1"/>
  <c r="I34" i="24" s="1"/>
  <c r="S38" i="16"/>
  <c r="D42" i="23"/>
  <c r="D105" i="23"/>
  <c r="D101" i="23"/>
  <c r="D123" i="23"/>
  <c r="D128" i="23"/>
  <c r="D131" i="23"/>
  <c r="D35" i="35"/>
  <c r="K108" i="25"/>
  <c r="I62" i="33"/>
  <c r="E52" i="33"/>
  <c r="E63" i="33"/>
  <c r="K73" i="33"/>
  <c r="G96" i="33"/>
  <c r="K96" i="33"/>
  <c r="E87" i="33"/>
  <c r="E91" i="33"/>
  <c r="F122" i="33"/>
  <c r="D84" i="37"/>
  <c r="D100" i="37"/>
  <c r="D73" i="37"/>
  <c r="N105" i="37"/>
  <c r="R46" i="37"/>
  <c r="AT18" i="32"/>
  <c r="DH34" i="32"/>
  <c r="J46" i="19"/>
  <c r="W20" i="20"/>
  <c r="I45" i="37"/>
  <c r="T40" i="37"/>
  <c r="D3" i="32"/>
  <c r="D7" i="32"/>
  <c r="D11" i="32"/>
  <c r="D57" i="32"/>
  <c r="D61" i="32"/>
  <c r="D67" i="32"/>
  <c r="BH44" i="32"/>
  <c r="BH107" i="32" s="1"/>
  <c r="G30" i="37"/>
  <c r="E84" i="37"/>
  <c r="E96" i="37"/>
  <c r="E80" i="37"/>
  <c r="E83" i="37" s="1"/>
  <c r="E100" i="37"/>
  <c r="U105" i="37"/>
  <c r="U113" i="37" s="1"/>
  <c r="U111" i="37" s="1"/>
  <c r="U131" i="37" s="1"/>
  <c r="U132" i="37" s="1"/>
  <c r="O105" i="37"/>
  <c r="C8" i="20"/>
  <c r="G81" i="6"/>
  <c r="J22" i="16"/>
  <c r="F76" i="23"/>
  <c r="H110" i="23"/>
  <c r="G27" i="35"/>
  <c r="G26" i="35" s="1"/>
  <c r="E26" i="35" s="1"/>
  <c r="E125" i="35"/>
  <c r="E108" i="36"/>
  <c r="E119" i="36"/>
  <c r="M75" i="36"/>
  <c r="M74" i="36" s="1"/>
  <c r="M87" i="36" s="1"/>
  <c r="L39" i="37"/>
  <c r="L40" i="37" s="1"/>
  <c r="L46" i="37" s="1"/>
  <c r="E97" i="33"/>
  <c r="E101" i="33" s="1"/>
  <c r="E74" i="33"/>
  <c r="E92" i="37"/>
  <c r="R23" i="32"/>
  <c r="R38" i="32" s="1"/>
  <c r="R43" i="32" s="1"/>
  <c r="R44" i="32" s="1"/>
  <c r="K5" i="15"/>
  <c r="K109" i="15"/>
  <c r="J6" i="15"/>
  <c r="J108" i="15"/>
  <c r="P5" i="15"/>
  <c r="P109" i="15"/>
  <c r="N5" i="15"/>
  <c r="N109" i="15"/>
  <c r="G51" i="23"/>
  <c r="E51" i="23" s="1"/>
  <c r="D94" i="23"/>
  <c r="E136" i="34"/>
  <c r="E140" i="34" s="1"/>
  <c r="D102" i="33"/>
  <c r="G192" i="37"/>
  <c r="G73" i="33"/>
  <c r="M40" i="37"/>
  <c r="C32" i="32"/>
  <c r="L62" i="33"/>
  <c r="L73" i="33"/>
  <c r="L96" i="33"/>
  <c r="M148" i="33"/>
  <c r="F107" i="15"/>
  <c r="F112" i="15" s="1"/>
  <c r="I104" i="24"/>
  <c r="H22" i="19"/>
  <c r="H22" i="18"/>
  <c r="J46" i="18"/>
  <c r="C107" i="15"/>
  <c r="Q5" i="15"/>
  <c r="Q109" i="15"/>
  <c r="U19" i="3"/>
  <c r="W19" i="3" s="1"/>
  <c r="M6" i="15"/>
  <c r="M5" i="15" s="1"/>
  <c r="M108" i="15"/>
  <c r="E37" i="23"/>
  <c r="E92" i="23"/>
  <c r="G101" i="34"/>
  <c r="D38" i="33"/>
  <c r="H46" i="37"/>
  <c r="F39" i="37"/>
  <c r="E45" i="33"/>
  <c r="E62" i="37"/>
  <c r="E72" i="37" s="1"/>
  <c r="AA38" i="32"/>
  <c r="AA43" i="32" s="1"/>
  <c r="AA44" i="32" s="1"/>
  <c r="AA107" i="32" s="1"/>
  <c r="F8" i="19"/>
  <c r="E25" i="12"/>
  <c r="D37" i="21"/>
  <c r="G37" i="21" s="1"/>
  <c r="K9" i="21"/>
  <c r="K11" i="21"/>
  <c r="I22" i="21"/>
  <c r="R107" i="15"/>
  <c r="M88" i="36"/>
  <c r="M45" i="37"/>
  <c r="J46" i="16"/>
  <c r="E130" i="36"/>
  <c r="D117" i="33"/>
  <c r="S11" i="21"/>
  <c r="Q8" i="20"/>
  <c r="E33" i="35"/>
  <c r="G40" i="35"/>
  <c r="E40" i="35" s="1"/>
  <c r="E64" i="25"/>
  <c r="I108" i="25"/>
  <c r="I116" i="25" s="1"/>
  <c r="I114" i="25" s="1"/>
  <c r="I134" i="25" s="1"/>
  <c r="I135" i="25" s="1"/>
  <c r="E92" i="25"/>
  <c r="E103" i="25"/>
  <c r="E121" i="25"/>
  <c r="E126" i="25"/>
  <c r="E129" i="25"/>
  <c r="J74" i="25"/>
  <c r="J134" i="25"/>
  <c r="I26" i="33"/>
  <c r="I32" i="33"/>
  <c r="D45" i="33"/>
  <c r="J62" i="33"/>
  <c r="D59" i="33"/>
  <c r="H73" i="33"/>
  <c r="D70" i="33"/>
  <c r="J73" i="33"/>
  <c r="H96" i="33"/>
  <c r="D80" i="33"/>
  <c r="D87" i="33"/>
  <c r="E105" i="33"/>
  <c r="E114" i="33"/>
  <c r="F148" i="33"/>
  <c r="S40" i="37"/>
  <c r="S46" i="37" s="1"/>
  <c r="O166" i="37"/>
  <c r="K166" i="37"/>
  <c r="E95" i="35"/>
  <c r="E99" i="35"/>
  <c r="E113" i="35"/>
  <c r="E117" i="35"/>
  <c r="E122" i="35"/>
  <c r="F130" i="35"/>
  <c r="D149" i="35"/>
  <c r="D156" i="35" s="1"/>
  <c r="E57" i="25"/>
  <c r="E82" i="25"/>
  <c r="D114" i="25"/>
  <c r="D86" i="25"/>
  <c r="D63" i="33"/>
  <c r="J96" i="33"/>
  <c r="E109" i="33"/>
  <c r="J148" i="33"/>
  <c r="D160" i="33"/>
  <c r="D172" i="33" s="1"/>
  <c r="K45" i="37"/>
  <c r="D180" i="37"/>
  <c r="D192" i="37" s="1"/>
  <c r="D55" i="37"/>
  <c r="D10" i="37"/>
  <c r="D69" i="37"/>
  <c r="S132" i="37"/>
  <c r="BA44" i="32"/>
  <c r="BA107" i="32" s="1"/>
  <c r="G30" i="32"/>
  <c r="C30" i="32" s="1"/>
  <c r="Q30" i="37"/>
  <c r="Q40" i="37" s="1"/>
  <c r="G28" i="16"/>
  <c r="S20" i="22"/>
  <c r="R22" i="19"/>
  <c r="S28" i="19"/>
  <c r="J79" i="36"/>
  <c r="J86" i="36" s="1"/>
  <c r="J92" i="36" s="1"/>
  <c r="P204" i="36"/>
  <c r="Q8" i="19"/>
  <c r="D44" i="23"/>
  <c r="F136" i="23"/>
  <c r="F137" i="23" s="1"/>
  <c r="D172" i="25"/>
  <c r="D184" i="25" s="1"/>
  <c r="D75" i="25"/>
  <c r="D103" i="25"/>
  <c r="H32" i="33"/>
  <c r="H122" i="33"/>
  <c r="D159" i="37"/>
  <c r="M132" i="37"/>
  <c r="P105" i="37"/>
  <c r="D123" i="37"/>
  <c r="D45" i="37"/>
  <c r="F79" i="32"/>
  <c r="N46" i="16"/>
  <c r="D78" i="35"/>
  <c r="D82" i="35"/>
  <c r="E88" i="35"/>
  <c r="D113" i="35"/>
  <c r="D117" i="35"/>
  <c r="D122" i="35"/>
  <c r="I87" i="36"/>
  <c r="D134" i="36"/>
  <c r="R152" i="36"/>
  <c r="I78" i="36"/>
  <c r="I76" i="36" s="1"/>
  <c r="I79" i="36" s="1"/>
  <c r="I86" i="36" s="1"/>
  <c r="D40" i="25"/>
  <c r="M192" i="37"/>
  <c r="L166" i="37"/>
  <c r="C6" i="32"/>
  <c r="C27" i="32"/>
  <c r="BE38" i="32"/>
  <c r="BE43" i="32" s="1"/>
  <c r="BE44" i="32" s="1"/>
  <c r="BE107" i="32" s="1"/>
  <c r="C41" i="32"/>
  <c r="I78" i="6"/>
  <c r="W31" i="12"/>
  <c r="L22" i="17"/>
  <c r="E8" i="17"/>
  <c r="D13" i="3"/>
  <c r="G34" i="6"/>
  <c r="W23" i="22"/>
  <c r="S20" i="17"/>
  <c r="K46" i="37"/>
  <c r="D113" i="34"/>
  <c r="E18" i="35"/>
  <c r="H178" i="36"/>
  <c r="I122" i="33"/>
  <c r="K132" i="37"/>
  <c r="E158" i="37"/>
  <c r="E159" i="37" s="1"/>
  <c r="D111" i="37"/>
  <c r="H44" i="25"/>
  <c r="T131" i="37"/>
  <c r="G52" i="32"/>
  <c r="G53" i="32" s="1"/>
  <c r="E33" i="32"/>
  <c r="C33" i="32" s="1"/>
  <c r="H23" i="32"/>
  <c r="BY66" i="32"/>
  <c r="G59" i="32"/>
  <c r="D83" i="32"/>
  <c r="D87" i="32"/>
  <c r="E89" i="37"/>
  <c r="E105" i="37" s="1"/>
  <c r="O45" i="37"/>
  <c r="O46" i="37" s="1"/>
  <c r="Q83" i="37"/>
  <c r="Q105" i="37"/>
  <c r="BP34" i="32"/>
  <c r="BP38" i="32" s="1"/>
  <c r="BP43" i="32" s="1"/>
  <c r="BP44" i="32" s="1"/>
  <c r="BP107" i="32" s="1"/>
  <c r="H33" i="32"/>
  <c r="R19" i="32"/>
  <c r="F2" i="32"/>
  <c r="R18" i="32"/>
  <c r="AF19" i="32"/>
  <c r="F15" i="32"/>
  <c r="D15" i="32" s="1"/>
  <c r="S28" i="22"/>
  <c r="D98" i="34"/>
  <c r="D109" i="34"/>
  <c r="E119" i="34"/>
  <c r="D130" i="34"/>
  <c r="D148" i="34"/>
  <c r="E35" i="35"/>
  <c r="D53" i="35"/>
  <c r="D130" i="36"/>
  <c r="G152" i="36"/>
  <c r="F178" i="36"/>
  <c r="D173" i="36"/>
  <c r="I132" i="37"/>
  <c r="E165" i="37"/>
  <c r="D106" i="37"/>
  <c r="D110" i="37" s="1"/>
  <c r="E109" i="25"/>
  <c r="E113" i="25" s="1"/>
  <c r="E166" i="33"/>
  <c r="E160" i="33" s="1"/>
  <c r="E172" i="33" s="1"/>
  <c r="E71" i="25"/>
  <c r="D10" i="33"/>
  <c r="D89" i="37"/>
  <c r="G105" i="37"/>
  <c r="G113" i="37" s="1"/>
  <c r="G111" i="37" s="1"/>
  <c r="U42" i="37"/>
  <c r="U39" i="37"/>
  <c r="U40" i="37" s="1"/>
  <c r="O25" i="18"/>
  <c r="S28" i="21"/>
  <c r="E66" i="34"/>
  <c r="D91" i="34"/>
  <c r="D102" i="34"/>
  <c r="D144" i="34"/>
  <c r="D186" i="34"/>
  <c r="F46" i="23"/>
  <c r="E117" i="34"/>
  <c r="I39" i="35"/>
  <c r="I43" i="35" s="1"/>
  <c r="N129" i="36"/>
  <c r="F62" i="33"/>
  <c r="D80" i="37"/>
  <c r="D83" i="37" s="1"/>
  <c r="E15" i="33"/>
  <c r="D62" i="37"/>
  <c r="S44" i="32"/>
  <c r="S107" i="32" s="1"/>
  <c r="CO44" i="32"/>
  <c r="CO107" i="32" s="1"/>
  <c r="CM44" i="32"/>
  <c r="CM107" i="32" s="1"/>
  <c r="C50" i="32"/>
  <c r="H50" i="32"/>
  <c r="D50" i="32" s="1"/>
  <c r="L36" i="24"/>
  <c r="L35" i="24" s="1"/>
  <c r="L34" i="24" s="1"/>
  <c r="C98" i="24"/>
  <c r="D39" i="21"/>
  <c r="G39" i="21" s="1"/>
  <c r="C39" i="21"/>
  <c r="S25" i="14"/>
  <c r="J192" i="37"/>
  <c r="P83" i="37"/>
  <c r="Q166" i="37"/>
  <c r="M166" i="37"/>
  <c r="I166" i="37"/>
  <c r="E36" i="37"/>
  <c r="D36" i="32"/>
  <c r="D42" i="32"/>
  <c r="Q152" i="36"/>
  <c r="C8" i="16"/>
  <c r="N22" i="18"/>
  <c r="W25" i="22"/>
  <c r="S20" i="21"/>
  <c r="W20" i="21"/>
  <c r="Q22" i="19"/>
  <c r="P22" i="19"/>
  <c r="T22" i="18"/>
  <c r="W9" i="16"/>
  <c r="W20" i="16"/>
  <c r="E40" i="25"/>
  <c r="F108" i="25"/>
  <c r="G108" i="25"/>
  <c r="G116" i="25" s="1"/>
  <c r="G114" i="25" s="1"/>
  <c r="G134" i="25" s="1"/>
  <c r="G135" i="25" s="1"/>
  <c r="H108" i="25"/>
  <c r="F134" i="25"/>
  <c r="J44" i="25"/>
  <c r="J45" i="25" s="1"/>
  <c r="J51" i="25" s="1"/>
  <c r="E86" i="25"/>
  <c r="K134" i="25"/>
  <c r="K160" i="25"/>
  <c r="G35" i="33"/>
  <c r="E30" i="33"/>
  <c r="G62" i="33"/>
  <c r="K62" i="33"/>
  <c r="K123" i="33" s="1"/>
  <c r="K124" i="33" s="1"/>
  <c r="K150" i="33" s="1"/>
  <c r="E59" i="33"/>
  <c r="E70" i="33"/>
  <c r="D109" i="33"/>
  <c r="T46" i="37"/>
  <c r="D28" i="32"/>
  <c r="W38" i="32"/>
  <c r="W43" i="32" s="1"/>
  <c r="W44" i="32" s="1"/>
  <c r="W107" i="32" s="1"/>
  <c r="D52" i="32"/>
  <c r="D78" i="32"/>
  <c r="DV107" i="32"/>
  <c r="E6" i="33"/>
  <c r="M32" i="33"/>
  <c r="M33" i="33" s="1"/>
  <c r="M39" i="33" s="1"/>
  <c r="M124" i="33" s="1"/>
  <c r="M150" i="33" s="1"/>
  <c r="M96" i="33"/>
  <c r="M104" i="33" s="1"/>
  <c r="M102" i="33" s="1"/>
  <c r="F8" i="20"/>
  <c r="D22" i="20"/>
  <c r="G28" i="18"/>
  <c r="E22" i="14"/>
  <c r="F25" i="12"/>
  <c r="K9" i="20"/>
  <c r="K28" i="18"/>
  <c r="H26" i="4"/>
  <c r="N46" i="19"/>
  <c r="N46" i="18"/>
  <c r="O9" i="17"/>
  <c r="L8" i="16"/>
  <c r="O28" i="12"/>
  <c r="W28" i="20"/>
  <c r="R8" i="19"/>
  <c r="R34" i="19" s="1"/>
  <c r="R32" i="19" s="1"/>
  <c r="R31" i="19" s="1"/>
  <c r="R35" i="19" s="1"/>
  <c r="S9" i="17"/>
  <c r="E8" i="21"/>
  <c r="K25" i="21"/>
  <c r="K11" i="17"/>
  <c r="J26" i="6"/>
  <c r="N25" i="12"/>
  <c r="I3" i="10"/>
  <c r="T22" i="20"/>
  <c r="N17" i="3"/>
  <c r="F8" i="14"/>
  <c r="D155" i="23"/>
  <c r="D60" i="35"/>
  <c r="D70" i="35" s="1"/>
  <c r="D67" i="35"/>
  <c r="D88" i="35"/>
  <c r="I152" i="36"/>
  <c r="I160" i="36" s="1"/>
  <c r="I158" i="36" s="1"/>
  <c r="I178" i="36" s="1"/>
  <c r="I179" i="36" s="1"/>
  <c r="P118" i="36"/>
  <c r="R85" i="36"/>
  <c r="E75" i="25"/>
  <c r="E85" i="25" s="1"/>
  <c r="E99" i="25"/>
  <c r="H134" i="25"/>
  <c r="J108" i="25"/>
  <c r="J160" i="25"/>
  <c r="F26" i="33"/>
  <c r="I34" i="33"/>
  <c r="E24" i="33"/>
  <c r="D52" i="33"/>
  <c r="F73" i="33"/>
  <c r="D91" i="33"/>
  <c r="K122" i="33"/>
  <c r="E117" i="33"/>
  <c r="D147" i="33"/>
  <c r="P131" i="37"/>
  <c r="F72" i="37"/>
  <c r="F131" i="37"/>
  <c r="H192" i="37"/>
  <c r="P30" i="37"/>
  <c r="P40" i="37" s="1"/>
  <c r="P46" i="37" s="1"/>
  <c r="S166" i="37"/>
  <c r="C14" i="32"/>
  <c r="F26" i="32"/>
  <c r="F53" i="32"/>
  <c r="F106" i="32"/>
  <c r="M62" i="33"/>
  <c r="F46" i="16"/>
  <c r="K28" i="21"/>
  <c r="J8" i="20"/>
  <c r="K23" i="18"/>
  <c r="K20" i="17"/>
  <c r="K20" i="14"/>
  <c r="K25" i="14"/>
  <c r="K9" i="12"/>
  <c r="M22" i="22"/>
  <c r="O11" i="14"/>
  <c r="M22" i="14"/>
  <c r="U8" i="22"/>
  <c r="S23" i="19"/>
  <c r="D66" i="34"/>
  <c r="E156" i="34"/>
  <c r="E53" i="35"/>
  <c r="E60" i="35"/>
  <c r="E67" i="35"/>
  <c r="E78" i="35"/>
  <c r="E82" i="35"/>
  <c r="D99" i="35"/>
  <c r="E105" i="35"/>
  <c r="E109" i="35" s="1"/>
  <c r="H79" i="36"/>
  <c r="D57" i="25"/>
  <c r="K74" i="25"/>
  <c r="D105" i="33"/>
  <c r="R166" i="37"/>
  <c r="N166" i="37"/>
  <c r="J166" i="37"/>
  <c r="D26" i="32"/>
  <c r="Q38" i="32"/>
  <c r="Q43" i="32" s="1"/>
  <c r="Q44" i="32" s="1"/>
  <c r="Q107" i="32" s="1"/>
  <c r="AQ38" i="32"/>
  <c r="AQ43" i="32" s="1"/>
  <c r="AQ44" i="32" s="1"/>
  <c r="AQ107" i="32" s="1"/>
  <c r="AY44" i="32"/>
  <c r="AY107" i="32" s="1"/>
  <c r="BW44" i="32"/>
  <c r="BW107" i="32" s="1"/>
  <c r="DC44" i="32"/>
  <c r="DC107" i="32" s="1"/>
  <c r="CK44" i="32"/>
  <c r="CK107" i="32" s="1"/>
  <c r="DQ44" i="32"/>
  <c r="DQ107" i="32" s="1"/>
  <c r="C39" i="32"/>
  <c r="G42" i="37"/>
  <c r="E42" i="37" s="1"/>
  <c r="U45" i="37"/>
  <c r="U46" i="37" s="1"/>
  <c r="F46" i="18"/>
  <c r="J46" i="22"/>
  <c r="L8" i="12"/>
  <c r="O11" i="17"/>
  <c r="O11" i="16"/>
  <c r="O12" i="3"/>
  <c r="M17" i="3"/>
  <c r="S20" i="18"/>
  <c r="R46" i="14"/>
  <c r="D119" i="34"/>
  <c r="D125" i="35"/>
  <c r="L79" i="36"/>
  <c r="R118" i="36"/>
  <c r="E117" i="25"/>
  <c r="E37" i="33"/>
  <c r="D22" i="33"/>
  <c r="D26" i="33" s="1"/>
  <c r="E78" i="33"/>
  <c r="E84" i="33"/>
  <c r="D141" i="33"/>
  <c r="F30" i="37"/>
  <c r="F105" i="37"/>
  <c r="D126" i="37"/>
  <c r="D114" i="37"/>
  <c r="C8" i="32"/>
  <c r="C16" i="32"/>
  <c r="DP38" i="32"/>
  <c r="DP43" i="32" s="1"/>
  <c r="DP44" i="32" s="1"/>
  <c r="DP107" i="32" s="1"/>
  <c r="BT44" i="32"/>
  <c r="BT107" i="32" s="1"/>
  <c r="D48" i="32"/>
  <c r="M122" i="33"/>
  <c r="M123" i="33" s="1"/>
  <c r="K25" i="18"/>
  <c r="I22" i="18"/>
  <c r="K23" i="17"/>
  <c r="K9" i="16"/>
  <c r="K11" i="16"/>
  <c r="I22" i="14"/>
  <c r="K41" i="7"/>
  <c r="N8" i="17"/>
  <c r="O23" i="16"/>
  <c r="M25" i="12"/>
  <c r="R46" i="22"/>
  <c r="U22" i="22"/>
  <c r="U30" i="22" s="1"/>
  <c r="U44" i="32"/>
  <c r="U107" i="32" s="1"/>
  <c r="CY44" i="32"/>
  <c r="CY107" i="32" s="1"/>
  <c r="DO38" i="32"/>
  <c r="DO43" i="32" s="1"/>
  <c r="DO44" i="32" s="1"/>
  <c r="DO107" i="32" s="1"/>
  <c r="L33" i="33"/>
  <c r="L39" i="33" s="1"/>
  <c r="E32" i="4"/>
  <c r="CB66" i="32"/>
  <c r="C64" i="32"/>
  <c r="E22" i="23"/>
  <c r="E179" i="34"/>
  <c r="E180" i="34" s="1"/>
  <c r="D116" i="23"/>
  <c r="E42" i="34"/>
  <c r="G71" i="34"/>
  <c r="E71" i="34" s="1"/>
  <c r="D199" i="34"/>
  <c r="D211" i="34" s="1"/>
  <c r="E66" i="36"/>
  <c r="D83" i="36"/>
  <c r="D108" i="36"/>
  <c r="D115" i="36"/>
  <c r="F152" i="36"/>
  <c r="F179" i="36" s="1"/>
  <c r="D136" i="36"/>
  <c r="D143" i="36"/>
  <c r="E202" i="36"/>
  <c r="E203" i="36" s="1"/>
  <c r="J118" i="36"/>
  <c r="J129" i="36"/>
  <c r="L129" i="36"/>
  <c r="L178" i="36"/>
  <c r="E28" i="33"/>
  <c r="D74" i="33"/>
  <c r="F96" i="33"/>
  <c r="I141" i="33"/>
  <c r="I148" i="33" s="1"/>
  <c r="E140" i="33"/>
  <c r="E141" i="33" s="1"/>
  <c r="G147" i="33"/>
  <c r="G148" i="33" s="1"/>
  <c r="E146" i="33"/>
  <c r="E147" i="33" s="1"/>
  <c r="D165" i="37"/>
  <c r="T192" i="37"/>
  <c r="D141" i="37"/>
  <c r="E141" i="37"/>
  <c r="H34" i="32"/>
  <c r="D4" i="32"/>
  <c r="D6" i="32"/>
  <c r="D8" i="32"/>
  <c r="D10" i="32"/>
  <c r="D12" i="32"/>
  <c r="D14" i="32"/>
  <c r="D16" i="32"/>
  <c r="E23" i="32"/>
  <c r="C21" i="32"/>
  <c r="K44" i="32"/>
  <c r="K107" i="32" s="1"/>
  <c r="O38" i="32"/>
  <c r="O43" i="32" s="1"/>
  <c r="O44" i="32" s="1"/>
  <c r="O107" i="32" s="1"/>
  <c r="AE38" i="32"/>
  <c r="AE43" i="32" s="1"/>
  <c r="AE44" i="32" s="1"/>
  <c r="AK44" i="32"/>
  <c r="AK107" i="32" s="1"/>
  <c r="AO44" i="32"/>
  <c r="AO107" i="32" s="1"/>
  <c r="AS44" i="32"/>
  <c r="AS107" i="32" s="1"/>
  <c r="AW44" i="32"/>
  <c r="BI38" i="32"/>
  <c r="BI43" i="32" s="1"/>
  <c r="BI44" i="32" s="1"/>
  <c r="BI107" i="32" s="1"/>
  <c r="BM44" i="32"/>
  <c r="BM107" i="32" s="1"/>
  <c r="BQ44" i="32"/>
  <c r="BQ107" i="32" s="1"/>
  <c r="BU44" i="32"/>
  <c r="BU107" i="32" s="1"/>
  <c r="BY44" i="32"/>
  <c r="CC44" i="32"/>
  <c r="CC107" i="32" s="1"/>
  <c r="CG44" i="32"/>
  <c r="CG107" i="32" s="1"/>
  <c r="CS44" i="32"/>
  <c r="CW44" i="32"/>
  <c r="CW107" i="32" s="1"/>
  <c r="DA44" i="32"/>
  <c r="DA107" i="32" s="1"/>
  <c r="DE44" i="32"/>
  <c r="DE107" i="32" s="1"/>
  <c r="DI44" i="32"/>
  <c r="DM44" i="32"/>
  <c r="DM107" i="32" s="1"/>
  <c r="E26" i="32"/>
  <c r="D51" i="32"/>
  <c r="AI53" i="32"/>
  <c r="C52" i="32"/>
  <c r="D54" i="32"/>
  <c r="D56" i="32"/>
  <c r="BS66" i="32"/>
  <c r="C59" i="32"/>
  <c r="D60" i="32"/>
  <c r="D62" i="32"/>
  <c r="D84" i="32"/>
  <c r="D86" i="32"/>
  <c r="D99" i="32"/>
  <c r="C3" i="10"/>
  <c r="C5" i="11"/>
  <c r="C18" i="11" s="1"/>
  <c r="J22" i="22"/>
  <c r="W28" i="14"/>
  <c r="D64" i="25"/>
  <c r="D71" i="25"/>
  <c r="D82" i="25"/>
  <c r="D92" i="25"/>
  <c r="D99" i="25"/>
  <c r="D117" i="25"/>
  <c r="D121" i="25"/>
  <c r="D126" i="25"/>
  <c r="D129" i="25"/>
  <c r="D20" i="32"/>
  <c r="D22" i="32"/>
  <c r="D45" i="32"/>
  <c r="D71" i="32"/>
  <c r="AB38" i="32"/>
  <c r="AB43" i="32" s="1"/>
  <c r="AB44" i="32" s="1"/>
  <c r="AB107" i="32" s="1"/>
  <c r="AD38" i="32"/>
  <c r="AD43" i="32" s="1"/>
  <c r="AD44" i="32" s="1"/>
  <c r="AD107" i="32" s="1"/>
  <c r="AJ44" i="32"/>
  <c r="AJ107" i="32" s="1"/>
  <c r="E22" i="25"/>
  <c r="E27" i="25"/>
  <c r="E36" i="25"/>
  <c r="E96" i="25"/>
  <c r="E178" i="25"/>
  <c r="E172" i="25" s="1"/>
  <c r="E184" i="25" s="1"/>
  <c r="D96" i="25"/>
  <c r="J40" i="37"/>
  <c r="J46" i="37" s="1"/>
  <c r="I8" i="22"/>
  <c r="K28" i="22"/>
  <c r="R8" i="22"/>
  <c r="V13" i="3"/>
  <c r="Z13" i="3"/>
  <c r="V11" i="3"/>
  <c r="Z11" i="3"/>
  <c r="U12" i="3"/>
  <c r="I87" i="23"/>
  <c r="E5" i="11"/>
  <c r="E18" i="11" s="1"/>
  <c r="F8" i="18"/>
  <c r="D22" i="18"/>
  <c r="G11" i="16"/>
  <c r="G25" i="14"/>
  <c r="D25" i="12"/>
  <c r="I22" i="22"/>
  <c r="V46" i="17"/>
  <c r="V12" i="3"/>
  <c r="Z12" i="3"/>
  <c r="U13" i="3"/>
  <c r="W13" i="3" s="1"/>
  <c r="Y13" i="3"/>
  <c r="U11" i="3"/>
  <c r="Y11" i="3"/>
  <c r="G34" i="4"/>
  <c r="I26" i="4"/>
  <c r="D42" i="25"/>
  <c r="D44" i="25" s="1"/>
  <c r="N192" i="37"/>
  <c r="E19" i="32"/>
  <c r="C19" i="32" s="1"/>
  <c r="AW107" i="32"/>
  <c r="CS107" i="32"/>
  <c r="M38" i="32"/>
  <c r="M43" i="32" s="1"/>
  <c r="M44" i="32" s="1"/>
  <c r="M107" i="32" s="1"/>
  <c r="Y44" i="32"/>
  <c r="Y107" i="32" s="1"/>
  <c r="AC38" i="32"/>
  <c r="AC43" i="32" s="1"/>
  <c r="AC44" i="32" s="1"/>
  <c r="AC107" i="32" s="1"/>
  <c r="BG44" i="32"/>
  <c r="BG107" i="32" s="1"/>
  <c r="BO38" i="32"/>
  <c r="BO43" i="32" s="1"/>
  <c r="BO44" i="32" s="1"/>
  <c r="BO107" i="32" s="1"/>
  <c r="CA44" i="32"/>
  <c r="CA107" i="32" s="1"/>
  <c r="CE44" i="32"/>
  <c r="CE107" i="32" s="1"/>
  <c r="CU44" i="32"/>
  <c r="CU107" i="32" s="1"/>
  <c r="DK44" i="32"/>
  <c r="C35" i="32"/>
  <c r="C40" i="32"/>
  <c r="C25" i="12"/>
  <c r="R22" i="22"/>
  <c r="J85" i="25"/>
  <c r="E19" i="33"/>
  <c r="F32" i="33"/>
  <c r="K148" i="33"/>
  <c r="E44" i="37"/>
  <c r="D96" i="37"/>
  <c r="H18" i="32"/>
  <c r="K20" i="22"/>
  <c r="K23" i="22"/>
  <c r="J19" i="10"/>
  <c r="J32" i="10" s="1"/>
  <c r="J3" i="10" s="1"/>
  <c r="O41" i="7"/>
  <c r="N10" i="3"/>
  <c r="O13" i="3"/>
  <c r="R6" i="8"/>
  <c r="E42" i="25"/>
  <c r="E44" i="25" s="1"/>
  <c r="G47" i="25"/>
  <c r="E47" i="25" s="1"/>
  <c r="G70" i="35"/>
  <c r="D33" i="35"/>
  <c r="D119" i="36"/>
  <c r="I46" i="25"/>
  <c r="I50" i="25" s="1"/>
  <c r="D22" i="25"/>
  <c r="F45" i="25"/>
  <c r="F51" i="25" s="1"/>
  <c r="G44" i="25"/>
  <c r="E152" i="25"/>
  <c r="E153" i="25" s="1"/>
  <c r="I38" i="25"/>
  <c r="L9" i="3"/>
  <c r="O9" i="3" s="1"/>
  <c r="W81" i="6"/>
  <c r="W38" i="6"/>
  <c r="W106" i="6"/>
  <c r="W31" i="4"/>
  <c r="D97" i="33"/>
  <c r="D101" i="33" s="1"/>
  <c r="D30" i="33"/>
  <c r="D32" i="33" s="1"/>
  <c r="D153" i="25"/>
  <c r="D159" i="25"/>
  <c r="H26" i="33"/>
  <c r="H132" i="37"/>
  <c r="L132" i="37"/>
  <c r="D16" i="37"/>
  <c r="D118" i="37"/>
  <c r="R192" i="37"/>
  <c r="P192" i="37"/>
  <c r="N83" i="37"/>
  <c r="H26" i="32"/>
  <c r="E53" i="32"/>
  <c r="J22" i="20"/>
  <c r="J8" i="19"/>
  <c r="K23" i="19"/>
  <c r="I8" i="16"/>
  <c r="L19" i="3"/>
  <c r="O19" i="3" s="1"/>
  <c r="AA106" i="6"/>
  <c r="O11" i="19"/>
  <c r="E205" i="34"/>
  <c r="E199" i="34" s="1"/>
  <c r="E211" i="34" s="1"/>
  <c r="E31" i="25"/>
  <c r="D34" i="25"/>
  <c r="D38" i="25" s="1"/>
  <c r="T72" i="37"/>
  <c r="G23" i="17"/>
  <c r="G9" i="14"/>
  <c r="M22" i="21"/>
  <c r="N8" i="19"/>
  <c r="N22" i="17"/>
  <c r="O6" i="3"/>
  <c r="O11" i="3"/>
  <c r="M10" i="3"/>
  <c r="Q8" i="5"/>
  <c r="O8" i="5"/>
  <c r="Q9" i="5"/>
  <c r="O19" i="5"/>
  <c r="O9" i="5"/>
  <c r="Q14" i="5"/>
  <c r="O14" i="5"/>
  <c r="O39" i="5"/>
  <c r="Q44" i="5"/>
  <c r="O44" i="5"/>
  <c r="Q46" i="5"/>
  <c r="O46" i="5"/>
  <c r="Q49" i="5"/>
  <c r="O49" i="5"/>
  <c r="Q51" i="5"/>
  <c r="O51" i="5"/>
  <c r="Q53" i="5"/>
  <c r="O53" i="5"/>
  <c r="Q57" i="5"/>
  <c r="O57" i="5"/>
  <c r="L50" i="24"/>
  <c r="W28" i="21"/>
  <c r="S28" i="18"/>
  <c r="V46" i="18"/>
  <c r="H161" i="34"/>
  <c r="E86" i="35"/>
  <c r="H130" i="35"/>
  <c r="F135" i="25"/>
  <c r="T44" i="32"/>
  <c r="T107" i="32" s="1"/>
  <c r="V44" i="32"/>
  <c r="V107" i="32" s="1"/>
  <c r="X38" i="32"/>
  <c r="X43" i="32" s="1"/>
  <c r="X44" i="32" s="1"/>
  <c r="X107" i="32" s="1"/>
  <c r="Z44" i="32"/>
  <c r="C8" i="18"/>
  <c r="G85" i="6"/>
  <c r="O18" i="4"/>
  <c r="L10" i="3"/>
  <c r="E5" i="2" s="1"/>
  <c r="L70" i="6"/>
  <c r="L37" i="3"/>
  <c r="O43" i="3"/>
  <c r="M40" i="3"/>
  <c r="Q7" i="5"/>
  <c r="O7" i="5"/>
  <c r="Q10" i="5"/>
  <c r="O21" i="5"/>
  <c r="O10" i="5"/>
  <c r="Q45" i="5"/>
  <c r="O45" i="5"/>
  <c r="Q48" i="5"/>
  <c r="O48" i="5"/>
  <c r="Q50" i="5"/>
  <c r="O50" i="5"/>
  <c r="Q52" i="5"/>
  <c r="O52" i="5"/>
  <c r="Q54" i="5"/>
  <c r="O54" i="5"/>
  <c r="Q56" i="5"/>
  <c r="O56" i="5"/>
  <c r="Q13" i="5"/>
  <c r="O37" i="5"/>
  <c r="O13" i="5"/>
  <c r="W62" i="6"/>
  <c r="W101" i="6"/>
  <c r="U94" i="6"/>
  <c r="U93" i="6" s="1"/>
  <c r="AA85" i="6"/>
  <c r="AA101" i="6"/>
  <c r="Y26" i="6"/>
  <c r="I42" i="17"/>
  <c r="K43" i="17"/>
  <c r="Q59" i="5"/>
  <c r="O59" i="5"/>
  <c r="J6" i="4"/>
  <c r="K9" i="7"/>
  <c r="Q15" i="5"/>
  <c r="O15" i="5"/>
  <c r="O41" i="14"/>
  <c r="L9" i="4"/>
  <c r="O17" i="4"/>
  <c r="J5" i="15"/>
  <c r="O5" i="4"/>
  <c r="Q55" i="5"/>
  <c r="O55" i="5"/>
  <c r="Q6" i="5"/>
  <c r="O6" i="5"/>
  <c r="O21" i="3"/>
  <c r="D4" i="5"/>
  <c r="E128" i="23"/>
  <c r="E131" i="23"/>
  <c r="H187" i="34"/>
  <c r="E6" i="35"/>
  <c r="E174" i="35"/>
  <c r="E168" i="35" s="1"/>
  <c r="E180" i="35" s="1"/>
  <c r="I204" i="36"/>
  <c r="H204" i="36"/>
  <c r="F204" i="36"/>
  <c r="E222" i="36"/>
  <c r="E216" i="36" s="1"/>
  <c r="E228" i="36" s="1"/>
  <c r="D66" i="36"/>
  <c r="J178" i="36"/>
  <c r="D165" i="36"/>
  <c r="J204" i="36"/>
  <c r="D61" i="36"/>
  <c r="L152" i="36"/>
  <c r="L204" i="36"/>
  <c r="N79" i="36"/>
  <c r="N85" i="36"/>
  <c r="N118" i="36"/>
  <c r="N152" i="36"/>
  <c r="P79" i="36"/>
  <c r="P85" i="36"/>
  <c r="P129" i="36"/>
  <c r="P152" i="36"/>
  <c r="P178" i="36"/>
  <c r="R79" i="36"/>
  <c r="R86" i="36" s="1"/>
  <c r="R92" i="36" s="1"/>
  <c r="R129" i="36"/>
  <c r="R178" i="36"/>
  <c r="R204" i="36"/>
  <c r="E61" i="36"/>
  <c r="E115" i="36"/>
  <c r="E134" i="36"/>
  <c r="M85" i="36"/>
  <c r="M118" i="36"/>
  <c r="O152" i="36"/>
  <c r="C31" i="32"/>
  <c r="E84" i="23"/>
  <c r="E49" i="34"/>
  <c r="D57" i="34"/>
  <c r="N8" i="22"/>
  <c r="O9" i="20"/>
  <c r="L8" i="20"/>
  <c r="L30" i="20" s="1"/>
  <c r="N8" i="18"/>
  <c r="M8" i="17"/>
  <c r="L67" i="24"/>
  <c r="L66" i="24" s="1"/>
  <c r="T22" i="21"/>
  <c r="Q22" i="20"/>
  <c r="P22" i="18"/>
  <c r="V22" i="17"/>
  <c r="U22" i="17"/>
  <c r="W28" i="17"/>
  <c r="T22" i="17"/>
  <c r="W23" i="17"/>
  <c r="Q22" i="16"/>
  <c r="P22" i="16"/>
  <c r="E106" i="32"/>
  <c r="F37" i="32"/>
  <c r="F88" i="32"/>
  <c r="CL44" i="32"/>
  <c r="CL107" i="32" s="1"/>
  <c r="DJ44" i="32"/>
  <c r="DT44" i="32"/>
  <c r="DT107" i="32" s="1"/>
  <c r="Z73" i="32"/>
  <c r="Z74" i="32" s="1"/>
  <c r="Z107" i="32" s="1"/>
  <c r="D19" i="10"/>
  <c r="D32" i="10" s="1"/>
  <c r="F22" i="21"/>
  <c r="G45" i="6"/>
  <c r="G27" i="6"/>
  <c r="E8" i="12"/>
  <c r="D8" i="20"/>
  <c r="F22" i="20"/>
  <c r="G20" i="19"/>
  <c r="G23" i="19"/>
  <c r="E22" i="19"/>
  <c r="G28" i="19"/>
  <c r="G20" i="18"/>
  <c r="G25" i="18"/>
  <c r="F22" i="18"/>
  <c r="D8" i="14"/>
  <c r="G11" i="14"/>
  <c r="G20" i="14"/>
  <c r="G23" i="14"/>
  <c r="G28" i="14"/>
  <c r="F22" i="14"/>
  <c r="E17" i="4"/>
  <c r="G17" i="4" s="1"/>
  <c r="G11" i="12"/>
  <c r="G23" i="12"/>
  <c r="G26" i="12"/>
  <c r="G28" i="12"/>
  <c r="G31" i="12"/>
  <c r="G41" i="7"/>
  <c r="H22" i="17"/>
  <c r="H8" i="22"/>
  <c r="K11" i="20"/>
  <c r="I22" i="20"/>
  <c r="K23" i="16"/>
  <c r="K9" i="14"/>
  <c r="J25" i="12"/>
  <c r="H19" i="10"/>
  <c r="H32" i="10" s="1"/>
  <c r="H3" i="10" s="1"/>
  <c r="I57" i="6"/>
  <c r="K57" i="6" s="1"/>
  <c r="L91" i="24"/>
  <c r="L90" i="24" s="1"/>
  <c r="O9" i="19"/>
  <c r="M8" i="19"/>
  <c r="L39" i="21"/>
  <c r="L36" i="21" s="1"/>
  <c r="L98" i="24"/>
  <c r="S9" i="21"/>
  <c r="W9" i="21"/>
  <c r="S28" i="17"/>
  <c r="V8" i="17"/>
  <c r="W20" i="17"/>
  <c r="U8" i="17"/>
  <c r="W9" i="17"/>
  <c r="Q8" i="16"/>
  <c r="K11" i="3"/>
  <c r="K72" i="6"/>
  <c r="L8" i="22"/>
  <c r="L30" i="22" s="1"/>
  <c r="O20" i="22"/>
  <c r="O28" i="22"/>
  <c r="N22" i="22"/>
  <c r="O9" i="21"/>
  <c r="O23" i="21"/>
  <c r="N22" i="21"/>
  <c r="O20" i="20"/>
  <c r="N22" i="20"/>
  <c r="M22" i="20"/>
  <c r="O25" i="19"/>
  <c r="O23" i="17"/>
  <c r="O25" i="17"/>
  <c r="O20" i="16"/>
  <c r="O9" i="14"/>
  <c r="O23" i="14"/>
  <c r="O9" i="12"/>
  <c r="O27" i="6"/>
  <c r="M43" i="6"/>
  <c r="P8" i="21"/>
  <c r="P22" i="21"/>
  <c r="T8" i="21"/>
  <c r="R46" i="19"/>
  <c r="V46" i="19"/>
  <c r="P8" i="18"/>
  <c r="P30" i="18" s="1"/>
  <c r="S28" i="16"/>
  <c r="S23" i="16"/>
  <c r="R46" i="16"/>
  <c r="W5" i="13"/>
  <c r="R8" i="12"/>
  <c r="S41" i="7"/>
  <c r="S27" i="4"/>
  <c r="E62" i="33"/>
  <c r="L74" i="32"/>
  <c r="D40" i="23"/>
  <c r="D87" i="23"/>
  <c r="H68" i="34"/>
  <c r="H69" i="34" s="1"/>
  <c r="H75" i="34" s="1"/>
  <c r="E160" i="23"/>
  <c r="E161" i="23" s="1"/>
  <c r="H162" i="23"/>
  <c r="G162" i="23"/>
  <c r="D161" i="23"/>
  <c r="F62" i="34"/>
  <c r="D64" i="34"/>
  <c r="E64" i="34"/>
  <c r="E68" i="34" s="1"/>
  <c r="G135" i="34"/>
  <c r="I135" i="34"/>
  <c r="I187" i="34"/>
  <c r="E71" i="35"/>
  <c r="D26" i="35"/>
  <c r="D31" i="35" s="1"/>
  <c r="I156" i="35"/>
  <c r="H156" i="35"/>
  <c r="F156" i="35"/>
  <c r="E101" i="36"/>
  <c r="E118" i="36" s="1"/>
  <c r="K79" i="36"/>
  <c r="K86" i="36" s="1"/>
  <c r="E90" i="36"/>
  <c r="E126" i="36"/>
  <c r="E136" i="36"/>
  <c r="E140" i="36"/>
  <c r="E143" i="36"/>
  <c r="E147" i="36"/>
  <c r="E153" i="36"/>
  <c r="E157" i="36" s="1"/>
  <c r="E161" i="36"/>
  <c r="E165" i="36"/>
  <c r="E170" i="36"/>
  <c r="E173" i="36"/>
  <c r="D197" i="36"/>
  <c r="D21" i="32"/>
  <c r="D27" i="32"/>
  <c r="D29" i="32"/>
  <c r="DD44" i="32"/>
  <c r="DD107" i="32" s="1"/>
  <c r="L122" i="33"/>
  <c r="G9" i="22"/>
  <c r="G11" i="22"/>
  <c r="F8" i="22"/>
  <c r="D22" i="22"/>
  <c r="F8" i="21"/>
  <c r="F30" i="21" s="1"/>
  <c r="F34" i="21" s="1"/>
  <c r="F32" i="21" s="1"/>
  <c r="F31" i="21" s="1"/>
  <c r="F35" i="21" s="1"/>
  <c r="G23" i="21"/>
  <c r="K23" i="20"/>
  <c r="I8" i="20"/>
  <c r="K28" i="20"/>
  <c r="K11" i="19"/>
  <c r="K20" i="19"/>
  <c r="J22" i="19"/>
  <c r="I22" i="19"/>
  <c r="I30" i="19" s="1"/>
  <c r="I8" i="12"/>
  <c r="K38" i="6"/>
  <c r="K95" i="6"/>
  <c r="H9" i="3"/>
  <c r="K9" i="3" s="1"/>
  <c r="O11" i="20"/>
  <c r="N8" i="20"/>
  <c r="M8" i="20"/>
  <c r="M30" i="20" s="1"/>
  <c r="O11" i="12"/>
  <c r="N8" i="12"/>
  <c r="W20" i="18"/>
  <c r="V46" i="16"/>
  <c r="W31" i="6"/>
  <c r="W17" i="6"/>
  <c r="S34" i="4"/>
  <c r="V32" i="4"/>
  <c r="E83" i="36"/>
  <c r="M204" i="36"/>
  <c r="K204" i="36"/>
  <c r="O86" i="36"/>
  <c r="O92" i="36" s="1"/>
  <c r="O129" i="36"/>
  <c r="E102" i="33"/>
  <c r="E34" i="32"/>
  <c r="C26" i="32"/>
  <c r="C3" i="32"/>
  <c r="C5" i="32"/>
  <c r="C9" i="32"/>
  <c r="C10" i="32"/>
  <c r="C20" i="32"/>
  <c r="C22" i="32"/>
  <c r="G37" i="32"/>
  <c r="C42" i="32"/>
  <c r="D49" i="32"/>
  <c r="D82" i="32"/>
  <c r="D91" i="32"/>
  <c r="D101" i="32"/>
  <c r="D103" i="32"/>
  <c r="AL44" i="32"/>
  <c r="AL107" i="32" s="1"/>
  <c r="BJ38" i="32"/>
  <c r="BJ43" i="32" s="1"/>
  <c r="BJ44" i="32" s="1"/>
  <c r="BJ107" i="32" s="1"/>
  <c r="G41" i="37"/>
  <c r="E41" i="37" s="1"/>
  <c r="F33" i="32"/>
  <c r="D33" i="32" s="1"/>
  <c r="I8" i="19"/>
  <c r="I8" i="14"/>
  <c r="O28" i="17"/>
  <c r="M8" i="14"/>
  <c r="U26" i="4"/>
  <c r="W27" i="4"/>
  <c r="K12" i="3"/>
  <c r="T7" i="4"/>
  <c r="W33" i="4"/>
  <c r="U32" i="4"/>
  <c r="T32" i="4"/>
  <c r="K8" i="4"/>
  <c r="L7" i="2" s="1"/>
  <c r="T42" i="5"/>
  <c r="H8" i="17"/>
  <c r="H5" i="5"/>
  <c r="J10" i="3"/>
  <c r="H136" i="23"/>
  <c r="D174" i="23"/>
  <c r="D186" i="23" s="1"/>
  <c r="H135" i="34"/>
  <c r="O204" i="36"/>
  <c r="E18" i="32"/>
  <c r="C2" i="32"/>
  <c r="I40" i="23"/>
  <c r="I47" i="23" s="1"/>
  <c r="F40" i="23"/>
  <c r="H76" i="23"/>
  <c r="E101" i="23"/>
  <c r="E119" i="23"/>
  <c r="E123" i="23"/>
  <c r="G156" i="35"/>
  <c r="D101" i="36"/>
  <c r="E57" i="36"/>
  <c r="I88" i="36"/>
  <c r="I91" i="36" s="1"/>
  <c r="R179" i="36"/>
  <c r="G75" i="36"/>
  <c r="G74" i="36" s="1"/>
  <c r="G87" i="36" s="1"/>
  <c r="K129" i="36"/>
  <c r="K152" i="36"/>
  <c r="M129" i="36"/>
  <c r="M178" i="36"/>
  <c r="J32" i="33"/>
  <c r="J33" i="33" s="1"/>
  <c r="J39" i="33" s="1"/>
  <c r="D84" i="33"/>
  <c r="G166" i="37"/>
  <c r="G66" i="32"/>
  <c r="C4" i="32"/>
  <c r="D95" i="32"/>
  <c r="D105" i="32"/>
  <c r="AF38" i="32"/>
  <c r="AF43" i="32" s="1"/>
  <c r="AF44" i="32" s="1"/>
  <c r="F19" i="32"/>
  <c r="E3" i="11"/>
  <c r="K57" i="5"/>
  <c r="G57" i="5"/>
  <c r="G59" i="5"/>
  <c r="K59" i="5"/>
  <c r="G23" i="3"/>
  <c r="E17" i="3"/>
  <c r="E10" i="3"/>
  <c r="G43" i="3"/>
  <c r="E40" i="3"/>
  <c r="G57" i="6"/>
  <c r="G19" i="3"/>
  <c r="D17" i="3"/>
  <c r="G13" i="3"/>
  <c r="G11" i="3"/>
  <c r="D10" i="3"/>
  <c r="G6" i="3"/>
  <c r="D5" i="3"/>
  <c r="K28" i="17"/>
  <c r="I10" i="3"/>
  <c r="H13" i="3"/>
  <c r="K13" i="3" s="1"/>
  <c r="K34" i="6"/>
  <c r="H43" i="6"/>
  <c r="H19" i="3"/>
  <c r="J17" i="3"/>
  <c r="K48" i="6"/>
  <c r="I21" i="3"/>
  <c r="K21" i="3" s="1"/>
  <c r="K53" i="6"/>
  <c r="I23" i="3"/>
  <c r="K23" i="3" s="1"/>
  <c r="K29" i="3"/>
  <c r="I27" i="3"/>
  <c r="K27" i="3" s="1"/>
  <c r="D7" i="2" s="1"/>
  <c r="K81" i="6"/>
  <c r="I43" i="3"/>
  <c r="K15" i="5"/>
  <c r="K44" i="5"/>
  <c r="K46" i="5"/>
  <c r="K50" i="5"/>
  <c r="K52" i="5"/>
  <c r="K54" i="5"/>
  <c r="K56" i="5"/>
  <c r="K48" i="5"/>
  <c r="M8" i="21"/>
  <c r="O20" i="21"/>
  <c r="O28" i="19"/>
  <c r="O28" i="18"/>
  <c r="O28" i="16"/>
  <c r="C104" i="24"/>
  <c r="C97" i="24" s="1"/>
  <c r="C96" i="24" s="1"/>
  <c r="P22" i="22"/>
  <c r="R8" i="21"/>
  <c r="V22" i="21"/>
  <c r="V22" i="20"/>
  <c r="S20" i="19"/>
  <c r="S9" i="19"/>
  <c r="V22" i="19"/>
  <c r="U22" i="19"/>
  <c r="U30" i="19" s="1"/>
  <c r="W28" i="19"/>
  <c r="T22" i="19"/>
  <c r="R8" i="18"/>
  <c r="V8" i="18"/>
  <c r="S25" i="17"/>
  <c r="R46" i="17"/>
  <c r="V22" i="16"/>
  <c r="Q22" i="14"/>
  <c r="V22" i="14"/>
  <c r="Q25" i="12"/>
  <c r="W28" i="12"/>
  <c r="W11" i="12"/>
  <c r="S31" i="4"/>
  <c r="F23" i="32"/>
  <c r="G23" i="32"/>
  <c r="G26" i="32"/>
  <c r="AI44" i="32"/>
  <c r="AI107" i="32" s="1"/>
  <c r="AU44" i="32"/>
  <c r="AU107" i="32" s="1"/>
  <c r="BC44" i="32"/>
  <c r="BC107" i="32" s="1"/>
  <c r="CQ44" i="32"/>
  <c r="CQ107" i="32" s="1"/>
  <c r="C29" i="32"/>
  <c r="D35" i="32"/>
  <c r="D39" i="32"/>
  <c r="D41" i="32"/>
  <c r="D47" i="32"/>
  <c r="D58" i="32"/>
  <c r="H59" i="32"/>
  <c r="H64" i="32"/>
  <c r="D64" i="32" s="1"/>
  <c r="D69" i="32"/>
  <c r="D77" i="32"/>
  <c r="D79" i="32" s="1"/>
  <c r="D80" i="32"/>
  <c r="H88" i="32"/>
  <c r="F32" i="32"/>
  <c r="F34" i="32" s="1"/>
  <c r="N38" i="32"/>
  <c r="N43" i="32" s="1"/>
  <c r="N44" i="32" s="1"/>
  <c r="N107" i="32" s="1"/>
  <c r="AV44" i="32"/>
  <c r="AV107" i="32" s="1"/>
  <c r="AZ44" i="32"/>
  <c r="AZ107" i="32" s="1"/>
  <c r="BF38" i="32"/>
  <c r="BF43" i="32" s="1"/>
  <c r="BX44" i="32"/>
  <c r="BX107" i="32" s="1"/>
  <c r="BZ44" i="32"/>
  <c r="BZ107" i="32" s="1"/>
  <c r="CB44" i="32"/>
  <c r="CD44" i="32"/>
  <c r="CD107" i="32" s="1"/>
  <c r="CN44" i="32"/>
  <c r="CN107" i="32" s="1"/>
  <c r="CP44" i="32"/>
  <c r="CP107" i="32" s="1"/>
  <c r="CR44" i="32"/>
  <c r="CR107" i="32" s="1"/>
  <c r="CV44" i="32"/>
  <c r="CV107" i="32" s="1"/>
  <c r="CX44" i="32"/>
  <c r="CX107" i="32" s="1"/>
  <c r="DF44" i="32"/>
  <c r="K32" i="33"/>
  <c r="K33" i="33" s="1"/>
  <c r="K39" i="33" s="1"/>
  <c r="K50" i="25"/>
  <c r="Q45" i="37"/>
  <c r="Q46" i="37" s="1"/>
  <c r="D17" i="32"/>
  <c r="C94" i="6"/>
  <c r="C93" i="6" s="1"/>
  <c r="C43" i="6"/>
  <c r="C6" i="6"/>
  <c r="H42" i="5"/>
  <c r="E3" i="10"/>
  <c r="F19" i="10"/>
  <c r="F32" i="10" s="1"/>
  <c r="F3" i="10" s="1"/>
  <c r="C22" i="14"/>
  <c r="C8" i="14"/>
  <c r="C8" i="17"/>
  <c r="C8" i="19"/>
  <c r="C8" i="21"/>
  <c r="C22" i="22"/>
  <c r="G9" i="20"/>
  <c r="G20" i="20"/>
  <c r="G28" i="20"/>
  <c r="E8" i="19"/>
  <c r="E30" i="19" s="1"/>
  <c r="E22" i="17"/>
  <c r="G25" i="17"/>
  <c r="F8" i="16"/>
  <c r="G23" i="16"/>
  <c r="G25" i="16"/>
  <c r="G58" i="5"/>
  <c r="K58" i="5"/>
  <c r="E12" i="7"/>
  <c r="E9" i="4" s="1"/>
  <c r="F17" i="3"/>
  <c r="F10" i="3"/>
  <c r="G21" i="3"/>
  <c r="G12" i="3"/>
  <c r="I8" i="21"/>
  <c r="H8" i="19"/>
  <c r="K25" i="19"/>
  <c r="K23" i="14"/>
  <c r="I25" i="12"/>
  <c r="I33" i="12" s="1"/>
  <c r="I37" i="12" s="1"/>
  <c r="G3" i="10"/>
  <c r="K49" i="5"/>
  <c r="K51" i="5"/>
  <c r="K53" i="5"/>
  <c r="K55" i="5"/>
  <c r="K13" i="5"/>
  <c r="K14" i="5"/>
  <c r="O23" i="22"/>
  <c r="O20" i="14"/>
  <c r="M78" i="6"/>
  <c r="R22" i="21"/>
  <c r="V8" i="21"/>
  <c r="S25" i="20"/>
  <c r="V8" i="20"/>
  <c r="V8" i="19"/>
  <c r="R22" i="18"/>
  <c r="V22" i="18"/>
  <c r="W11" i="18"/>
  <c r="S25" i="16"/>
  <c r="S20" i="16"/>
  <c r="S9" i="16"/>
  <c r="V8" i="16"/>
  <c r="Q8" i="14"/>
  <c r="Q30" i="14" s="1"/>
  <c r="V8" i="14"/>
  <c r="T22" i="14"/>
  <c r="E16" i="4"/>
  <c r="G16" i="4" s="1"/>
  <c r="E6" i="4"/>
  <c r="G6" i="4" s="1"/>
  <c r="I7" i="4"/>
  <c r="G8" i="4"/>
  <c r="K7" i="2" s="1"/>
  <c r="E7" i="4"/>
  <c r="G7" i="4" s="1"/>
  <c r="I6" i="4"/>
  <c r="I16" i="4"/>
  <c r="K18" i="4"/>
  <c r="L13" i="2" s="1"/>
  <c r="J16" i="4"/>
  <c r="J11" i="4"/>
  <c r="K11" i="4" s="1"/>
  <c r="J17" i="4"/>
  <c r="J12" i="4"/>
  <c r="K12" i="4" s="1"/>
  <c r="U8" i="19"/>
  <c r="K7" i="6"/>
  <c r="H6" i="3"/>
  <c r="U31" i="7"/>
  <c r="W15" i="5"/>
  <c r="W5" i="5" s="1"/>
  <c r="W59" i="5"/>
  <c r="D8" i="19"/>
  <c r="G11" i="18"/>
  <c r="O6" i="15"/>
  <c r="C32" i="4"/>
  <c r="G27" i="4"/>
  <c r="G28" i="4"/>
  <c r="G31" i="4"/>
  <c r="D32" i="4"/>
  <c r="F32" i="4"/>
  <c r="G39" i="19"/>
  <c r="K27" i="4"/>
  <c r="H86" i="36"/>
  <c r="E34" i="25"/>
  <c r="G46" i="25"/>
  <c r="G38" i="25"/>
  <c r="E73" i="23"/>
  <c r="E77" i="23"/>
  <c r="D66" i="23"/>
  <c r="D76" i="23" s="1"/>
  <c r="E44" i="23"/>
  <c r="I110" i="23"/>
  <c r="I118" i="23" s="1"/>
  <c r="I116" i="23" s="1"/>
  <c r="I136" i="23" s="1"/>
  <c r="I137" i="23" s="1"/>
  <c r="G110" i="23"/>
  <c r="D70" i="34"/>
  <c r="D74" i="34" s="1"/>
  <c r="D111" i="23"/>
  <c r="D115" i="23" s="1"/>
  <c r="E111" i="23"/>
  <c r="E115" i="23" s="1"/>
  <c r="D42" i="34"/>
  <c r="D62" i="34" s="1"/>
  <c r="D119" i="23"/>
  <c r="I162" i="23"/>
  <c r="F162" i="23"/>
  <c r="I62" i="34"/>
  <c r="I69" i="34" s="1"/>
  <c r="E123" i="34"/>
  <c r="D141" i="34"/>
  <c r="F161" i="34"/>
  <c r="E148" i="35"/>
  <c r="E149" i="35" s="1"/>
  <c r="H37" i="35"/>
  <c r="F31" i="35"/>
  <c r="F38" i="35" s="1"/>
  <c r="F44" i="35" s="1"/>
  <c r="G104" i="35"/>
  <c r="E11" i="35"/>
  <c r="I104" i="35"/>
  <c r="I112" i="35" s="1"/>
  <c r="I110" i="35" s="1"/>
  <c r="I130" i="35" s="1"/>
  <c r="I131" i="35" s="1"/>
  <c r="E92" i="35"/>
  <c r="G129" i="36"/>
  <c r="E196" i="36"/>
  <c r="E197" i="36" s="1"/>
  <c r="F79" i="36"/>
  <c r="F86" i="36" s="1"/>
  <c r="F92" i="36" s="1"/>
  <c r="E81" i="36"/>
  <c r="H87" i="36"/>
  <c r="H91" i="36" s="1"/>
  <c r="D158" i="36"/>
  <c r="D161" i="36"/>
  <c r="D170" i="36"/>
  <c r="G204" i="36"/>
  <c r="D140" i="36"/>
  <c r="J152" i="36"/>
  <c r="L85" i="36"/>
  <c r="L118" i="36"/>
  <c r="N178" i="36"/>
  <c r="N179" i="36" s="1"/>
  <c r="N204" i="36"/>
  <c r="D203" i="36"/>
  <c r="D216" i="36"/>
  <c r="D228" i="36" s="1"/>
  <c r="M79" i="36"/>
  <c r="M152" i="36"/>
  <c r="O118" i="36"/>
  <c r="G159" i="25"/>
  <c r="G160" i="25" s="1"/>
  <c r="E158" i="25"/>
  <c r="E159" i="25" s="1"/>
  <c r="F47" i="23"/>
  <c r="F53" i="23" s="1"/>
  <c r="H47" i="23"/>
  <c r="E59" i="23"/>
  <c r="E94" i="23"/>
  <c r="G143" i="34"/>
  <c r="G141" i="34" s="1"/>
  <c r="G161" i="34" s="1"/>
  <c r="G162" i="34" s="1"/>
  <c r="F69" i="34"/>
  <c r="F75" i="34" s="1"/>
  <c r="I70" i="34"/>
  <c r="I74" i="34" s="1"/>
  <c r="I75" i="34" s="1"/>
  <c r="I112" i="34"/>
  <c r="I143" i="34" s="1"/>
  <c r="I141" i="34" s="1"/>
  <c r="I161" i="34" s="1"/>
  <c r="I162" i="34" s="1"/>
  <c r="I31" i="35"/>
  <c r="H38" i="35"/>
  <c r="E70" i="35"/>
  <c r="H104" i="35"/>
  <c r="D168" i="35"/>
  <c r="D180" i="35" s="1"/>
  <c r="L86" i="36"/>
  <c r="L92" i="36" s="1"/>
  <c r="D126" i="36"/>
  <c r="D129" i="36" s="1"/>
  <c r="D147" i="36"/>
  <c r="K91" i="36"/>
  <c r="K92" i="36" s="1"/>
  <c r="I45" i="25"/>
  <c r="K85" i="25"/>
  <c r="H45" i="25"/>
  <c r="E90" i="25"/>
  <c r="H160" i="25"/>
  <c r="E10" i="33"/>
  <c r="J132" i="37"/>
  <c r="R132" i="37"/>
  <c r="R142" i="37" s="1"/>
  <c r="R168" i="37" s="1"/>
  <c r="E180" i="37"/>
  <c r="E192" i="37" s="1"/>
  <c r="D28" i="37"/>
  <c r="N40" i="37"/>
  <c r="N46" i="37" s="1"/>
  <c r="O113" i="37"/>
  <c r="O111" i="37" s="1"/>
  <c r="O131" i="37" s="1"/>
  <c r="O132" i="37" s="1"/>
  <c r="C11" i="32"/>
  <c r="C36" i="32"/>
  <c r="C37" i="32" s="1"/>
  <c r="E37" i="32"/>
  <c r="D19" i="32"/>
  <c r="G18" i="32"/>
  <c r="C12" i="32"/>
  <c r="C13" i="32"/>
  <c r="C15" i="32"/>
  <c r="AM44" i="32"/>
  <c r="AM107" i="32" s="1"/>
  <c r="BK44" i="32"/>
  <c r="BK107" i="32" s="1"/>
  <c r="BS44" i="32"/>
  <c r="BS107" i="32" s="1"/>
  <c r="DG44" i="32"/>
  <c r="DG107" i="32" s="1"/>
  <c r="E73" i="32"/>
  <c r="AP44" i="32"/>
  <c r="AP107" i="32" s="1"/>
  <c r="AT44" i="32"/>
  <c r="AX44" i="32"/>
  <c r="AX107" i="32" s="1"/>
  <c r="BD44" i="32"/>
  <c r="BD107" i="32" s="1"/>
  <c r="BF44" i="32"/>
  <c r="BF107" i="32" s="1"/>
  <c r="BN44" i="32"/>
  <c r="BN107" i="32" s="1"/>
  <c r="BR44" i="32"/>
  <c r="BR107" i="32" s="1"/>
  <c r="BV44" i="32"/>
  <c r="BV107" i="32" s="1"/>
  <c r="CF44" i="32"/>
  <c r="CF107" i="32" s="1"/>
  <c r="CH44" i="32"/>
  <c r="CH107" i="32" s="1"/>
  <c r="DF53" i="32"/>
  <c r="DL44" i="32"/>
  <c r="DL107" i="32" s="1"/>
  <c r="DN44" i="32"/>
  <c r="DN107" i="32" s="1"/>
  <c r="AF18" i="32"/>
  <c r="Q179" i="36"/>
  <c r="C22" i="16"/>
  <c r="C22" i="17"/>
  <c r="C22" i="18"/>
  <c r="C22" i="19"/>
  <c r="C22" i="20"/>
  <c r="C22" i="21"/>
  <c r="C30" i="21" s="1"/>
  <c r="E8" i="22"/>
  <c r="G20" i="22"/>
  <c r="G23" i="22"/>
  <c r="G25" i="22"/>
  <c r="G28" i="22"/>
  <c r="D8" i="21"/>
  <c r="G8" i="21" s="1"/>
  <c r="G11" i="21"/>
  <c r="G20" i="21"/>
  <c r="E22" i="21"/>
  <c r="G28" i="21"/>
  <c r="F46" i="21"/>
  <c r="G9" i="19"/>
  <c r="G11" i="19"/>
  <c r="E8" i="18"/>
  <c r="F46" i="19"/>
  <c r="D22" i="14"/>
  <c r="E8" i="20"/>
  <c r="G11" i="20"/>
  <c r="G25" i="19"/>
  <c r="F22" i="19"/>
  <c r="F8" i="17"/>
  <c r="G11" i="17"/>
  <c r="G20" i="17"/>
  <c r="F22" i="17"/>
  <c r="G28" i="17"/>
  <c r="G9" i="16"/>
  <c r="D8" i="16"/>
  <c r="G20" i="16"/>
  <c r="D22" i="16"/>
  <c r="F22" i="16"/>
  <c r="F30" i="16" s="1"/>
  <c r="E8" i="14"/>
  <c r="E30" i="14" s="1"/>
  <c r="L38" i="32"/>
  <c r="D89" i="32"/>
  <c r="D93" i="32"/>
  <c r="D97" i="32"/>
  <c r="C3" i="11"/>
  <c r="G14" i="12"/>
  <c r="E22" i="16"/>
  <c r="J8" i="22"/>
  <c r="K8" i="22" s="1"/>
  <c r="J8" i="21"/>
  <c r="J8" i="16"/>
  <c r="J22" i="14"/>
  <c r="K14" i="12"/>
  <c r="H23" i="11"/>
  <c r="H34" i="11" s="1"/>
  <c r="H3" i="11" s="1"/>
  <c r="I98" i="24"/>
  <c r="O11" i="22"/>
  <c r="N46" i="20"/>
  <c r="M22" i="17"/>
  <c r="N8" i="16"/>
  <c r="O25" i="16"/>
  <c r="M94" i="6"/>
  <c r="M93" i="6" s="1"/>
  <c r="O39" i="19"/>
  <c r="O38" i="19"/>
  <c r="W20" i="22"/>
  <c r="W9" i="22"/>
  <c r="V46" i="22"/>
  <c r="R46" i="21"/>
  <c r="V46" i="21"/>
  <c r="W23" i="19"/>
  <c r="W20" i="19"/>
  <c r="W9" i="19"/>
  <c r="S9" i="18"/>
  <c r="R46" i="18"/>
  <c r="W9" i="18"/>
  <c r="P8" i="17"/>
  <c r="W25" i="16"/>
  <c r="W28" i="16"/>
  <c r="W20" i="14"/>
  <c r="S31" i="12"/>
  <c r="S28" i="12"/>
  <c r="S9" i="12"/>
  <c r="W44" i="12"/>
  <c r="R32" i="4"/>
  <c r="K9" i="22"/>
  <c r="K11" i="22"/>
  <c r="K25" i="22"/>
  <c r="J46" i="21"/>
  <c r="K20" i="20"/>
  <c r="K9" i="19"/>
  <c r="J22" i="18"/>
  <c r="J8" i="17"/>
  <c r="K25" i="17"/>
  <c r="J46" i="17"/>
  <c r="K20" i="16"/>
  <c r="J8" i="12"/>
  <c r="J33" i="12" s="1"/>
  <c r="K28" i="12"/>
  <c r="J6" i="6"/>
  <c r="K85" i="6"/>
  <c r="M8" i="22"/>
  <c r="L22" i="22"/>
  <c r="O25" i="22"/>
  <c r="N46" i="22"/>
  <c r="O28" i="21"/>
  <c r="N46" i="21"/>
  <c r="N22" i="19"/>
  <c r="M22" i="19"/>
  <c r="L22" i="18"/>
  <c r="N22" i="16"/>
  <c r="O22" i="16" s="1"/>
  <c r="O28" i="14"/>
  <c r="I5" i="11"/>
  <c r="I18" i="11" s="1"/>
  <c r="I3" i="11" s="1"/>
  <c r="L56" i="24"/>
  <c r="C96" i="15"/>
  <c r="C38" i="14" s="1"/>
  <c r="P8" i="22"/>
  <c r="U7" i="4"/>
  <c r="U17" i="4"/>
  <c r="V7" i="4"/>
  <c r="V5" i="4"/>
  <c r="Q26" i="4"/>
  <c r="S33" i="4"/>
  <c r="S28" i="4"/>
  <c r="W28" i="4"/>
  <c r="V21" i="3"/>
  <c r="V20" i="3"/>
  <c r="W20" i="3" s="1"/>
  <c r="V48" i="3"/>
  <c r="U48" i="3"/>
  <c r="U6" i="4"/>
  <c r="U5" i="4"/>
  <c r="U18" i="4"/>
  <c r="G33" i="4"/>
  <c r="E19" i="26"/>
  <c r="K28" i="4"/>
  <c r="H32" i="4"/>
  <c r="H25" i="4" s="1"/>
  <c r="J32" i="4"/>
  <c r="M26" i="4"/>
  <c r="O28" i="4"/>
  <c r="M32" i="4"/>
  <c r="O34" i="4"/>
  <c r="N17" i="7"/>
  <c r="N12" i="7" s="1"/>
  <c r="O38" i="18"/>
  <c r="O38" i="16"/>
  <c r="W17" i="12"/>
  <c r="W22" i="12"/>
  <c r="T17" i="3"/>
  <c r="T6" i="4"/>
  <c r="U8" i="4"/>
  <c r="V8" i="4"/>
  <c r="V6" i="4"/>
  <c r="Q32" i="4"/>
  <c r="P32" i="4"/>
  <c r="P26" i="4"/>
  <c r="T26" i="4"/>
  <c r="W28" i="18"/>
  <c r="T8" i="18"/>
  <c r="T30" i="18" s="1"/>
  <c r="T8" i="16"/>
  <c r="T30" i="16" s="1"/>
  <c r="B19" i="26"/>
  <c r="F46" i="14"/>
  <c r="M42" i="14"/>
  <c r="D36" i="14"/>
  <c r="O37" i="14"/>
  <c r="C95" i="15"/>
  <c r="C37" i="14" s="1"/>
  <c r="V36" i="14"/>
  <c r="E42" i="14"/>
  <c r="F100" i="15"/>
  <c r="J36" i="14"/>
  <c r="L41" i="15"/>
  <c r="L108" i="15" s="1"/>
  <c r="N42" i="14"/>
  <c r="N36" i="14"/>
  <c r="F6" i="15"/>
  <c r="F5" i="15" s="1"/>
  <c r="J42" i="14"/>
  <c r="J10" i="4" s="1"/>
  <c r="K10" i="4" s="1"/>
  <c r="L32" i="15"/>
  <c r="L100" i="15"/>
  <c r="C65" i="15"/>
  <c r="C110" i="15" s="1"/>
  <c r="C60" i="15"/>
  <c r="Q42" i="14"/>
  <c r="V42" i="14"/>
  <c r="L6" i="4"/>
  <c r="G40" i="23"/>
  <c r="G47" i="23" s="1"/>
  <c r="G79" i="36"/>
  <c r="G86" i="36" s="1"/>
  <c r="K160" i="36"/>
  <c r="K158" i="36" s="1"/>
  <c r="K178" i="36" s="1"/>
  <c r="K179" i="36" s="1"/>
  <c r="O160" i="36"/>
  <c r="O158" i="36" s="1"/>
  <c r="O178" i="36" s="1"/>
  <c r="O179" i="36" s="1"/>
  <c r="D46" i="25"/>
  <c r="D50" i="25" s="1"/>
  <c r="H50" i="25"/>
  <c r="G187" i="34"/>
  <c r="I38" i="35"/>
  <c r="H43" i="35"/>
  <c r="D39" i="35"/>
  <c r="D43" i="35" s="1"/>
  <c r="E22" i="33"/>
  <c r="G34" i="33"/>
  <c r="G26" i="33"/>
  <c r="G33" i="33" s="1"/>
  <c r="E27" i="23"/>
  <c r="E31" i="23"/>
  <c r="E42" i="23"/>
  <c r="H48" i="23"/>
  <c r="G76" i="23"/>
  <c r="I48" i="23"/>
  <c r="D88" i="23"/>
  <c r="E180" i="23"/>
  <c r="E174" i="23" s="1"/>
  <c r="E186" i="23" s="1"/>
  <c r="F112" i="34"/>
  <c r="D84" i="34"/>
  <c r="D101" i="34" s="1"/>
  <c r="D136" i="34"/>
  <c r="D140" i="34" s="1"/>
  <c r="E102" i="34"/>
  <c r="E112" i="34" s="1"/>
  <c r="G68" i="34"/>
  <c r="E154" i="23"/>
  <c r="E155" i="23" s="1"/>
  <c r="E162" i="23" s="1"/>
  <c r="E185" i="34"/>
  <c r="E186" i="34" s="1"/>
  <c r="G39" i="35"/>
  <c r="G168" i="35"/>
  <c r="G180" i="35" s="1"/>
  <c r="E154" i="35"/>
  <c r="E155" i="35" s="1"/>
  <c r="E156" i="35" s="1"/>
  <c r="F104" i="35"/>
  <c r="D105" i="35"/>
  <c r="D109" i="35" s="1"/>
  <c r="D71" i="35"/>
  <c r="D57" i="36"/>
  <c r="D153" i="36"/>
  <c r="D157" i="36" s="1"/>
  <c r="D81" i="36"/>
  <c r="H152" i="36"/>
  <c r="H179" i="36" s="1"/>
  <c r="E6" i="36"/>
  <c r="G122" i="33"/>
  <c r="C7" i="32"/>
  <c r="BL38" i="32"/>
  <c r="BL43" i="32" s="1"/>
  <c r="BL44" i="32" s="1"/>
  <c r="BL107" i="32" s="1"/>
  <c r="CJ38" i="32"/>
  <c r="CJ43" i="32" s="1"/>
  <c r="CJ44" i="32" s="1"/>
  <c r="CJ107" i="32" s="1"/>
  <c r="DH38" i="32"/>
  <c r="DH43" i="32" s="1"/>
  <c r="DH44" i="32" s="1"/>
  <c r="DH107" i="32" s="1"/>
  <c r="CT38" i="32"/>
  <c r="CT43" i="32" s="1"/>
  <c r="CT44" i="32" s="1"/>
  <c r="CT107" i="32" s="1"/>
  <c r="Q86" i="36"/>
  <c r="Q92" i="36" s="1"/>
  <c r="G6" i="34"/>
  <c r="C8" i="12"/>
  <c r="F46" i="22"/>
  <c r="E22" i="22"/>
  <c r="G9" i="21"/>
  <c r="D8" i="22"/>
  <c r="F22" i="22"/>
  <c r="F30" i="22" s="1"/>
  <c r="F34" i="22" s="1"/>
  <c r="F32" i="22" s="1"/>
  <c r="F31" i="22" s="1"/>
  <c r="F35" i="22" s="1"/>
  <c r="I107" i="32"/>
  <c r="AR38" i="32"/>
  <c r="BB38" i="32"/>
  <c r="BB43" i="32" s="1"/>
  <c r="BB44" i="32" s="1"/>
  <c r="BB107" i="32" s="1"/>
  <c r="C8" i="22"/>
  <c r="G25" i="21"/>
  <c r="D22" i="21"/>
  <c r="D30" i="20"/>
  <c r="J30" i="21"/>
  <c r="J34" i="21" s="1"/>
  <c r="J32" i="21" s="1"/>
  <c r="J31" i="21" s="1"/>
  <c r="J35" i="21" s="1"/>
  <c r="K11" i="18"/>
  <c r="H8" i="18"/>
  <c r="J8" i="18"/>
  <c r="I8" i="18"/>
  <c r="I30" i="18" s="1"/>
  <c r="K28" i="16"/>
  <c r="H22" i="16"/>
  <c r="K28" i="14"/>
  <c r="K23" i="12"/>
  <c r="K31" i="12"/>
  <c r="K106" i="6"/>
  <c r="K33" i="4"/>
  <c r="I32" i="4"/>
  <c r="I25" i="4" s="1"/>
  <c r="H39" i="21"/>
  <c r="I109" i="24"/>
  <c r="N30" i="20"/>
  <c r="O20" i="19"/>
  <c r="L8" i="19"/>
  <c r="O23" i="19"/>
  <c r="L22" i="19"/>
  <c r="O11" i="18"/>
  <c r="L8" i="18"/>
  <c r="M8" i="18"/>
  <c r="O20" i="17"/>
  <c r="L8" i="17"/>
  <c r="N22" i="14"/>
  <c r="O25" i="14"/>
  <c r="O23" i="12"/>
  <c r="O31" i="6"/>
  <c r="O72" i="6"/>
  <c r="M70" i="6"/>
  <c r="O70" i="6" s="1"/>
  <c r="L74" i="24"/>
  <c r="L73" i="24" s="1"/>
  <c r="L72" i="24" s="1"/>
  <c r="L37" i="21"/>
  <c r="O37" i="21" s="1"/>
  <c r="L104" i="24"/>
  <c r="L97" i="24" s="1"/>
  <c r="L96" i="24" s="1"/>
  <c r="R22" i="20"/>
  <c r="S28" i="20"/>
  <c r="P22" i="20"/>
  <c r="S23" i="20"/>
  <c r="U22" i="16"/>
  <c r="T22" i="16"/>
  <c r="W23" i="16"/>
  <c r="V25" i="12"/>
  <c r="U25" i="3"/>
  <c r="W25" i="3" s="1"/>
  <c r="W21" i="12"/>
  <c r="U22" i="3"/>
  <c r="W22" i="3" s="1"/>
  <c r="W18" i="12"/>
  <c r="T14" i="12"/>
  <c r="T8" i="12" s="1"/>
  <c r="W20" i="12"/>
  <c r="W9" i="12"/>
  <c r="W43" i="12"/>
  <c r="F23" i="11"/>
  <c r="F34" i="11" s="1"/>
  <c r="F3" i="11" s="1"/>
  <c r="C38" i="21"/>
  <c r="F46" i="17"/>
  <c r="D22" i="17"/>
  <c r="E8" i="16"/>
  <c r="G72" i="6"/>
  <c r="G23" i="20"/>
  <c r="D22" i="19"/>
  <c r="D8" i="17"/>
  <c r="G25" i="20"/>
  <c r="E22" i="20"/>
  <c r="D8" i="18"/>
  <c r="G9" i="18"/>
  <c r="G23" i="18"/>
  <c r="E22" i="18"/>
  <c r="G9" i="17"/>
  <c r="G9" i="12"/>
  <c r="D8" i="12"/>
  <c r="D38" i="21"/>
  <c r="I31" i="7"/>
  <c r="G106" i="6"/>
  <c r="H22" i="22"/>
  <c r="H22" i="20"/>
  <c r="H8" i="20"/>
  <c r="H8" i="16"/>
  <c r="K34" i="4"/>
  <c r="K38" i="14"/>
  <c r="H8" i="21"/>
  <c r="K23" i="21"/>
  <c r="H22" i="21"/>
  <c r="K25" i="20"/>
  <c r="K28" i="19"/>
  <c r="K9" i="18"/>
  <c r="K20" i="18"/>
  <c r="K9" i="17"/>
  <c r="I8" i="17"/>
  <c r="I30" i="17" s="1"/>
  <c r="J22" i="17"/>
  <c r="I22" i="16"/>
  <c r="K25" i="16"/>
  <c r="K11" i="14"/>
  <c r="H8" i="14"/>
  <c r="J8" i="14"/>
  <c r="J30" i="14" s="1"/>
  <c r="H22" i="14"/>
  <c r="K11" i="12"/>
  <c r="H8" i="12"/>
  <c r="H25" i="12"/>
  <c r="K26" i="12"/>
  <c r="G5" i="11"/>
  <c r="G18" i="11" s="1"/>
  <c r="G3" i="11" s="1"/>
  <c r="K31" i="4"/>
  <c r="I74" i="24"/>
  <c r="I73" i="24" s="1"/>
  <c r="I72" i="24" s="1"/>
  <c r="I22" i="24"/>
  <c r="I21" i="24" s="1"/>
  <c r="I20" i="24" s="1"/>
  <c r="I7" i="15"/>
  <c r="I6" i="15" s="1"/>
  <c r="I50" i="24"/>
  <c r="I49" i="24" s="1"/>
  <c r="I48" i="24" s="1"/>
  <c r="H38" i="22"/>
  <c r="K38" i="22" s="1"/>
  <c r="I117" i="24"/>
  <c r="I116" i="24" s="1"/>
  <c r="I115" i="24" s="1"/>
  <c r="L43" i="6"/>
  <c r="L26" i="4"/>
  <c r="L117" i="24"/>
  <c r="L116" i="24" s="1"/>
  <c r="L115" i="24" s="1"/>
  <c r="O9" i="22"/>
  <c r="L8" i="21"/>
  <c r="O11" i="21"/>
  <c r="O25" i="21"/>
  <c r="L22" i="21"/>
  <c r="N8" i="21"/>
  <c r="N30" i="21" s="1"/>
  <c r="N34" i="21" s="1"/>
  <c r="N32" i="21" s="1"/>
  <c r="N31" i="21" s="1"/>
  <c r="N35" i="21" s="1"/>
  <c r="O23" i="20"/>
  <c r="O25" i="20"/>
  <c r="O28" i="20"/>
  <c r="O9" i="18"/>
  <c r="O20" i="18"/>
  <c r="L30" i="16"/>
  <c r="O31" i="12"/>
  <c r="L25" i="12"/>
  <c r="Q37" i="19"/>
  <c r="Q36" i="19" s="1"/>
  <c r="O67" i="24"/>
  <c r="O66" i="24" s="1"/>
  <c r="Q8" i="22"/>
  <c r="V22" i="22"/>
  <c r="Q8" i="21"/>
  <c r="U8" i="21"/>
  <c r="U8" i="20"/>
  <c r="W9" i="20"/>
  <c r="V46" i="20"/>
  <c r="S25" i="19"/>
  <c r="W25" i="19"/>
  <c r="Q8" i="18"/>
  <c r="R22" i="16"/>
  <c r="U8" i="14"/>
  <c r="W9" i="14"/>
  <c r="R25" i="12"/>
  <c r="R33" i="12" s="1"/>
  <c r="F8" i="12"/>
  <c r="E49" i="12"/>
  <c r="G95" i="6"/>
  <c r="G37" i="20"/>
  <c r="F46" i="20"/>
  <c r="F94" i="6"/>
  <c r="F93" i="6" s="1"/>
  <c r="E43" i="6"/>
  <c r="E78" i="6"/>
  <c r="E61" i="6" s="1"/>
  <c r="D94" i="6"/>
  <c r="D93" i="6" s="1"/>
  <c r="J46" i="20"/>
  <c r="K101" i="6"/>
  <c r="M22" i="18"/>
  <c r="O23" i="18"/>
  <c r="O9" i="16"/>
  <c r="M8" i="16"/>
  <c r="M30" i="16" s="1"/>
  <c r="L8" i="14"/>
  <c r="L22" i="14"/>
  <c r="N8" i="14"/>
  <c r="O26" i="12"/>
  <c r="J23" i="11"/>
  <c r="J34" i="11" s="1"/>
  <c r="J3" i="11" s="1"/>
  <c r="O7" i="6"/>
  <c r="L26" i="6"/>
  <c r="Q22" i="22"/>
  <c r="S23" i="22"/>
  <c r="S25" i="22"/>
  <c r="W28" i="22"/>
  <c r="T22" i="22"/>
  <c r="R30" i="21"/>
  <c r="R34" i="21" s="1"/>
  <c r="R32" i="21" s="1"/>
  <c r="R31" i="21" s="1"/>
  <c r="R35" i="21" s="1"/>
  <c r="Q22" i="21"/>
  <c r="S23" i="21"/>
  <c r="S25" i="21"/>
  <c r="U22" i="21"/>
  <c r="W23" i="21"/>
  <c r="W25" i="21"/>
  <c r="R8" i="20"/>
  <c r="Q30" i="20"/>
  <c r="S20" i="20"/>
  <c r="S9" i="20"/>
  <c r="U22" i="20"/>
  <c r="W23" i="20"/>
  <c r="T8" i="20"/>
  <c r="W11" i="20"/>
  <c r="W25" i="20"/>
  <c r="Q22" i="18"/>
  <c r="S23" i="18"/>
  <c r="S25" i="18"/>
  <c r="U22" i="18"/>
  <c r="W23" i="18"/>
  <c r="W25" i="18"/>
  <c r="R22" i="17"/>
  <c r="Q22" i="17"/>
  <c r="P22" i="17"/>
  <c r="S23" i="17"/>
  <c r="R22" i="14"/>
  <c r="S28" i="14"/>
  <c r="P22" i="14"/>
  <c r="S23" i="14"/>
  <c r="W23" i="12"/>
  <c r="O14" i="12"/>
  <c r="O62" i="6"/>
  <c r="O101" i="6"/>
  <c r="O106" i="6"/>
  <c r="O27" i="4"/>
  <c r="O33" i="4"/>
  <c r="N32" i="4"/>
  <c r="N6" i="6"/>
  <c r="N43" i="6"/>
  <c r="O85" i="6"/>
  <c r="V8" i="22"/>
  <c r="T8" i="22"/>
  <c r="P8" i="20"/>
  <c r="R46" i="20"/>
  <c r="P8" i="19"/>
  <c r="T8" i="19"/>
  <c r="U8" i="18"/>
  <c r="R8" i="17"/>
  <c r="Q8" i="17"/>
  <c r="W25" i="17"/>
  <c r="R8" i="16"/>
  <c r="U8" i="16"/>
  <c r="R8" i="14"/>
  <c r="S20" i="14"/>
  <c r="S9" i="14"/>
  <c r="U22" i="14"/>
  <c r="W23" i="14"/>
  <c r="T8" i="14"/>
  <c r="T30" i="14" s="1"/>
  <c r="W11" i="14"/>
  <c r="W25" i="14"/>
  <c r="S23" i="12"/>
  <c r="P25" i="12"/>
  <c r="S26" i="12"/>
  <c r="V18" i="3"/>
  <c r="W18" i="3" s="1"/>
  <c r="W15" i="12"/>
  <c r="U25" i="12"/>
  <c r="T25" i="12"/>
  <c r="W26" i="12"/>
  <c r="AA72" i="6"/>
  <c r="Z78" i="6"/>
  <c r="X94" i="6"/>
  <c r="X93" i="6" s="1"/>
  <c r="T54" i="3"/>
  <c r="W54" i="3" s="1"/>
  <c r="B12" i="1" s="1"/>
  <c r="W34" i="4"/>
  <c r="W11" i="17"/>
  <c r="P8" i="16"/>
  <c r="P30" i="16" s="1"/>
  <c r="P8" i="14"/>
  <c r="Q8" i="12"/>
  <c r="Q33" i="12" s="1"/>
  <c r="S11" i="12"/>
  <c r="P31" i="7"/>
  <c r="J10" i="26"/>
  <c r="J20" i="26" s="1"/>
  <c r="W57" i="3"/>
  <c r="E23" i="2" s="1"/>
  <c r="U14" i="12"/>
  <c r="U8" i="12" s="1"/>
  <c r="U33" i="12" s="1"/>
  <c r="J106" i="32"/>
  <c r="J107" i="32" s="1"/>
  <c r="O31" i="4"/>
  <c r="V14" i="12"/>
  <c r="V8" i="12" s="1"/>
  <c r="V33" i="12" s="1"/>
  <c r="W42" i="3"/>
  <c r="K33" i="13"/>
  <c r="X70" i="6"/>
  <c r="T27" i="3"/>
  <c r="K62" i="6"/>
  <c r="K31" i="6"/>
  <c r="H78" i="6"/>
  <c r="J78" i="6"/>
  <c r="O48" i="6"/>
  <c r="O95" i="6"/>
  <c r="N94" i="6"/>
  <c r="N93" i="6" s="1"/>
  <c r="W95" i="6"/>
  <c r="W38" i="3"/>
  <c r="G70" i="6"/>
  <c r="T94" i="6"/>
  <c r="T93" i="6" s="1"/>
  <c r="AA27" i="6"/>
  <c r="AA95" i="6"/>
  <c r="Z6" i="6"/>
  <c r="Z94" i="6"/>
  <c r="Z93" i="6" s="1"/>
  <c r="Y43" i="6"/>
  <c r="E94" i="6"/>
  <c r="E93" i="6" s="1"/>
  <c r="V43" i="6"/>
  <c r="F43" i="6"/>
  <c r="F6" i="6"/>
  <c r="E26" i="6"/>
  <c r="E6" i="6"/>
  <c r="G48" i="6"/>
  <c r="G17" i="6"/>
  <c r="I61" i="6"/>
  <c r="H94" i="6"/>
  <c r="H93" i="6" s="1"/>
  <c r="I6" i="6"/>
  <c r="J94" i="6"/>
  <c r="J93" i="6" s="1"/>
  <c r="O38" i="6"/>
  <c r="V78" i="6"/>
  <c r="V61" i="6" s="1"/>
  <c r="W53" i="6"/>
  <c r="U26" i="6"/>
  <c r="AA62" i="6"/>
  <c r="C78" i="6"/>
  <c r="C61" i="6" s="1"/>
  <c r="G7" i="6"/>
  <c r="K17" i="6"/>
  <c r="K27" i="6"/>
  <c r="L6" i="6"/>
  <c r="L5" i="6" s="1"/>
  <c r="O57" i="6"/>
  <c r="O34" i="6"/>
  <c r="W57" i="6"/>
  <c r="Z43" i="6"/>
  <c r="Z26" i="6"/>
  <c r="Z70" i="6"/>
  <c r="E26" i="4"/>
  <c r="G44" i="14"/>
  <c r="W47" i="12"/>
  <c r="T45" i="12"/>
  <c r="R17" i="7"/>
  <c r="R12" i="7" s="1"/>
  <c r="R7" i="7" s="1"/>
  <c r="V17" i="4"/>
  <c r="S38" i="19"/>
  <c r="W38" i="19"/>
  <c r="W34" i="3"/>
  <c r="C26" i="4"/>
  <c r="C25" i="4" s="1"/>
  <c r="F26" i="4"/>
  <c r="G43" i="14"/>
  <c r="O44" i="14"/>
  <c r="W43" i="14"/>
  <c r="V45" i="12"/>
  <c r="V35" i="3"/>
  <c r="H4" i="13"/>
  <c r="D4" i="13"/>
  <c r="M8" i="12"/>
  <c r="S14" i="12"/>
  <c r="C34" i="9"/>
  <c r="D34" i="9"/>
  <c r="AH65" i="32" s="1"/>
  <c r="AH66" i="32" s="1"/>
  <c r="AH107" i="32" s="1"/>
  <c r="G38" i="6"/>
  <c r="F26" i="6"/>
  <c r="G101" i="6"/>
  <c r="L94" i="6"/>
  <c r="V94" i="6"/>
  <c r="V93" i="6" s="1"/>
  <c r="I94" i="6"/>
  <c r="I93" i="6" s="1"/>
  <c r="D78" i="6"/>
  <c r="D61" i="6" s="1"/>
  <c r="L78" i="6"/>
  <c r="L61" i="6" s="1"/>
  <c r="W85" i="6"/>
  <c r="F78" i="6"/>
  <c r="F61" i="6" s="1"/>
  <c r="N78" i="6"/>
  <c r="N61" i="6" s="1"/>
  <c r="O81" i="6"/>
  <c r="J70" i="6"/>
  <c r="K70" i="6" s="1"/>
  <c r="W72" i="6"/>
  <c r="G62" i="6"/>
  <c r="D43" i="6"/>
  <c r="G53" i="6"/>
  <c r="J43" i="6"/>
  <c r="I43" i="6"/>
  <c r="K45" i="6"/>
  <c r="O45" i="6"/>
  <c r="U43" i="6"/>
  <c r="D26" i="6"/>
  <c r="G26" i="6" s="1"/>
  <c r="H26" i="6"/>
  <c r="M26" i="6"/>
  <c r="V26" i="6"/>
  <c r="W34" i="6"/>
  <c r="C26" i="6"/>
  <c r="N26" i="6"/>
  <c r="O26" i="6" s="1"/>
  <c r="G31" i="6"/>
  <c r="I26" i="6"/>
  <c r="W27" i="6"/>
  <c r="M6" i="6"/>
  <c r="D6" i="6"/>
  <c r="H6" i="6"/>
  <c r="W12" i="3"/>
  <c r="W26" i="3"/>
  <c r="W8" i="3"/>
  <c r="W39" i="3"/>
  <c r="W15" i="3"/>
  <c r="W56" i="3"/>
  <c r="E20" i="2" s="1"/>
  <c r="B13" i="1" s="1"/>
  <c r="W49" i="3"/>
  <c r="X78" i="6"/>
  <c r="T40" i="3"/>
  <c r="AA81" i="6"/>
  <c r="AA48" i="6"/>
  <c r="AA31" i="6"/>
  <c r="U5" i="3"/>
  <c r="AA17" i="6"/>
  <c r="W9" i="3"/>
  <c r="AA7" i="6"/>
  <c r="F34" i="9"/>
  <c r="G10" i="26"/>
  <c r="W11" i="16"/>
  <c r="T8" i="17"/>
  <c r="G19" i="26"/>
  <c r="W11" i="22"/>
  <c r="W8" i="22"/>
  <c r="D23" i="11"/>
  <c r="D34" i="11" s="1"/>
  <c r="D3" i="11" s="1"/>
  <c r="C19" i="7"/>
  <c r="J17" i="7"/>
  <c r="J12" i="7" s="1"/>
  <c r="J9" i="4" s="1"/>
  <c r="K19" i="7"/>
  <c r="I17" i="7"/>
  <c r="M17" i="7"/>
  <c r="O19" i="7"/>
  <c r="V17" i="7"/>
  <c r="V12" i="7" s="1"/>
  <c r="V9" i="4" s="1"/>
  <c r="G37" i="19"/>
  <c r="K44" i="14"/>
  <c r="G37" i="17"/>
  <c r="G5" i="13"/>
  <c r="M39" i="12"/>
  <c r="O60" i="5"/>
  <c r="G60" i="5"/>
  <c r="K60" i="5"/>
  <c r="O33" i="13"/>
  <c r="P4" i="13"/>
  <c r="G33" i="13"/>
  <c r="K5" i="13"/>
  <c r="C33" i="13"/>
  <c r="O5" i="13"/>
  <c r="W11" i="19"/>
  <c r="C39" i="12"/>
  <c r="C49" i="12" s="1"/>
  <c r="C5" i="13"/>
  <c r="D39" i="12"/>
  <c r="J39" i="12"/>
  <c r="J49" i="12" s="1"/>
  <c r="V39" i="12"/>
  <c r="V49" i="12" s="1"/>
  <c r="C51" i="13"/>
  <c r="F39" i="12"/>
  <c r="W60" i="5"/>
  <c r="L36" i="18"/>
  <c r="L46" i="18" s="1"/>
  <c r="H97" i="24"/>
  <c r="H96" i="24" s="1"/>
  <c r="S37" i="16"/>
  <c r="W41" i="16"/>
  <c r="K39" i="21"/>
  <c r="K37" i="19"/>
  <c r="G37" i="16"/>
  <c r="G49" i="24"/>
  <c r="G48" i="24" s="1"/>
  <c r="M36" i="17"/>
  <c r="O37" i="20"/>
  <c r="W38" i="20"/>
  <c r="E21" i="24"/>
  <c r="E20" i="24" s="1"/>
  <c r="K37" i="16"/>
  <c r="C98" i="32"/>
  <c r="C106" i="32" s="1"/>
  <c r="U23" i="3"/>
  <c r="W23" i="3" s="1"/>
  <c r="AA53" i="6"/>
  <c r="U21" i="3"/>
  <c r="M36" i="14"/>
  <c r="G37" i="14"/>
  <c r="O43" i="22"/>
  <c r="N49" i="24"/>
  <c r="N48" i="24" s="1"/>
  <c r="M72" i="24"/>
  <c r="W37" i="21"/>
  <c r="O43" i="20"/>
  <c r="O39" i="18"/>
  <c r="O38" i="22"/>
  <c r="O39" i="17"/>
  <c r="M49" i="24"/>
  <c r="M48" i="24" s="1"/>
  <c r="H116" i="24"/>
  <c r="H115" i="24" s="1"/>
  <c r="W39" i="22"/>
  <c r="S39" i="21"/>
  <c r="S42" i="20"/>
  <c r="W39" i="20"/>
  <c r="H7" i="24"/>
  <c r="H6" i="24" s="1"/>
  <c r="S43" i="18"/>
  <c r="E36" i="21"/>
  <c r="E46" i="21" s="1"/>
  <c r="G42" i="19"/>
  <c r="J49" i="24"/>
  <c r="J48" i="24" s="1"/>
  <c r="S37" i="18"/>
  <c r="W41" i="18"/>
  <c r="S39" i="17"/>
  <c r="S43" i="16"/>
  <c r="O176" i="8"/>
  <c r="O207" i="8"/>
  <c r="F82" i="8"/>
  <c r="Q16" i="7"/>
  <c r="S16" i="7" s="1"/>
  <c r="O211" i="8"/>
  <c r="Q10" i="7"/>
  <c r="O209" i="8"/>
  <c r="I167" i="8"/>
  <c r="O10" i="7"/>
  <c r="I195" i="8"/>
  <c r="L176" i="8"/>
  <c r="W38" i="17"/>
  <c r="C67" i="32"/>
  <c r="E65" i="32"/>
  <c r="E66" i="32" s="1"/>
  <c r="C69" i="32"/>
  <c r="DK79" i="32"/>
  <c r="C70" i="32"/>
  <c r="C65" i="32"/>
  <c r="G75" i="32"/>
  <c r="G79" i="32" s="1"/>
  <c r="E74" i="32"/>
  <c r="AE74" i="32"/>
  <c r="G74" i="32"/>
  <c r="W20" i="7"/>
  <c r="O20" i="7"/>
  <c r="D17" i="7"/>
  <c r="D12" i="7" s="1"/>
  <c r="D9" i="4" s="1"/>
  <c r="K20" i="7"/>
  <c r="H17" i="7"/>
  <c r="H12" i="7" s="1"/>
  <c r="H9" i="4" s="1"/>
  <c r="C20" i="7"/>
  <c r="B34" i="9"/>
  <c r="S20" i="7"/>
  <c r="T19" i="7"/>
  <c r="W19" i="7" s="1"/>
  <c r="D18" i="2"/>
  <c r="D17" i="2" s="1"/>
  <c r="W44" i="3"/>
  <c r="V27" i="3"/>
  <c r="V5" i="3"/>
  <c r="V40" i="3"/>
  <c r="W36" i="3"/>
  <c r="T35" i="3"/>
  <c r="T14" i="3"/>
  <c r="T10" i="3" s="1"/>
  <c r="W41" i="3"/>
  <c r="Y94" i="6"/>
  <c r="V31" i="3"/>
  <c r="W32" i="3"/>
  <c r="W24" i="3"/>
  <c r="T31" i="3"/>
  <c r="W33" i="3"/>
  <c r="V14" i="3"/>
  <c r="U14" i="3"/>
  <c r="W16" i="3"/>
  <c r="W28" i="3"/>
  <c r="U31" i="3"/>
  <c r="C11" i="29"/>
  <c r="C12" i="29" s="1"/>
  <c r="W7" i="3"/>
  <c r="U40" i="3"/>
  <c r="W43" i="3"/>
  <c r="Y78" i="6"/>
  <c r="U35" i="3"/>
  <c r="W37" i="3"/>
  <c r="Y70" i="6"/>
  <c r="Y57" i="6"/>
  <c r="AA57" i="6" s="1"/>
  <c r="U27" i="3"/>
  <c r="W29" i="3"/>
  <c r="X43" i="6"/>
  <c r="AA45" i="6"/>
  <c r="Y6" i="6"/>
  <c r="T5" i="3"/>
  <c r="W6" i="3"/>
  <c r="X6" i="6"/>
  <c r="C42" i="14"/>
  <c r="G39" i="14"/>
  <c r="C78" i="32"/>
  <c r="DI74" i="32"/>
  <c r="DI107" i="32" s="1"/>
  <c r="E79" i="32"/>
  <c r="AE79" i="32"/>
  <c r="C35" i="12"/>
  <c r="C34" i="12" s="1"/>
  <c r="F49" i="12"/>
  <c r="K45" i="12"/>
  <c r="O45" i="12"/>
  <c r="V18" i="4"/>
  <c r="D45" i="12"/>
  <c r="I49" i="12"/>
  <c r="H49" i="12"/>
  <c r="L39" i="12"/>
  <c r="N39" i="12"/>
  <c r="W48" i="12"/>
  <c r="U39" i="12"/>
  <c r="S60" i="5"/>
  <c r="W46" i="12"/>
  <c r="C21" i="2"/>
  <c r="C17" i="2" s="1"/>
  <c r="C75" i="32"/>
  <c r="O43" i="21"/>
  <c r="N21" i="24"/>
  <c r="N20" i="24" s="1"/>
  <c r="F90" i="24"/>
  <c r="K37" i="18"/>
  <c r="P42" i="22"/>
  <c r="S42" i="22" s="1"/>
  <c r="W37" i="18"/>
  <c r="W43" i="16"/>
  <c r="G72" i="24"/>
  <c r="K38" i="16"/>
  <c r="P72" i="24"/>
  <c r="W38" i="21"/>
  <c r="H36" i="18"/>
  <c r="G39" i="17"/>
  <c r="Q73" i="24"/>
  <c r="Q72" i="24" s="1"/>
  <c r="S38" i="17"/>
  <c r="W37" i="17"/>
  <c r="E49" i="24"/>
  <c r="E48" i="24" s="1"/>
  <c r="E73" i="24"/>
  <c r="E72" i="24" s="1"/>
  <c r="D36" i="22"/>
  <c r="G43" i="22"/>
  <c r="H49" i="24"/>
  <c r="H48" i="24" s="1"/>
  <c r="O42" i="16"/>
  <c r="M36" i="18"/>
  <c r="O37" i="18"/>
  <c r="L36" i="16"/>
  <c r="L46" i="16" s="1"/>
  <c r="N35" i="24"/>
  <c r="N34" i="24" s="1"/>
  <c r="C29" i="29"/>
  <c r="X26" i="6"/>
  <c r="W11" i="3"/>
  <c r="W11" i="21"/>
  <c r="W33" i="13"/>
  <c r="W4" i="13" s="1"/>
  <c r="U45" i="12"/>
  <c r="W42" i="12"/>
  <c r="W41" i="12"/>
  <c r="T39" i="12"/>
  <c r="U36" i="20"/>
  <c r="T36" i="19"/>
  <c r="R49" i="24"/>
  <c r="O21" i="24"/>
  <c r="O20" i="24" s="1"/>
  <c r="O7" i="24"/>
  <c r="O6" i="24" s="1"/>
  <c r="W38" i="14"/>
  <c r="T42" i="14"/>
  <c r="R100" i="15"/>
  <c r="W37" i="14"/>
  <c r="I42" i="14"/>
  <c r="D5" i="15"/>
  <c r="S38" i="14"/>
  <c r="S41" i="16"/>
  <c r="C36" i="18"/>
  <c r="C46" i="18" s="1"/>
  <c r="C36" i="20"/>
  <c r="C46" i="20" s="1"/>
  <c r="G43" i="21"/>
  <c r="G39" i="18"/>
  <c r="G42" i="16"/>
  <c r="K43" i="22"/>
  <c r="H73" i="24"/>
  <c r="H72" i="24" s="1"/>
  <c r="K37" i="22"/>
  <c r="K37" i="20"/>
  <c r="K39" i="20"/>
  <c r="K39" i="19"/>
  <c r="I36" i="19"/>
  <c r="K21" i="24"/>
  <c r="K20" i="24" s="1"/>
  <c r="K35" i="24"/>
  <c r="K34" i="24" s="1"/>
  <c r="K97" i="24"/>
  <c r="K96" i="24" s="1"/>
  <c r="C7" i="24"/>
  <c r="C6" i="24" s="1"/>
  <c r="Q42" i="16"/>
  <c r="S42" i="16" s="1"/>
  <c r="K38" i="18"/>
  <c r="K38" i="21"/>
  <c r="K116" i="24"/>
  <c r="K115" i="24" s="1"/>
  <c r="M36" i="22"/>
  <c r="M36" i="20"/>
  <c r="M46" i="20" s="1"/>
  <c r="O39" i="16"/>
  <c r="O37" i="17"/>
  <c r="S38" i="20"/>
  <c r="C36" i="16"/>
  <c r="C46" i="16" s="1"/>
  <c r="C36" i="22"/>
  <c r="C46" i="22" s="1"/>
  <c r="G37" i="18"/>
  <c r="G39" i="16"/>
  <c r="G38" i="20"/>
  <c r="G38" i="18"/>
  <c r="D36" i="17"/>
  <c r="G38" i="16"/>
  <c r="K38" i="20"/>
  <c r="D36" i="19"/>
  <c r="D46" i="19" s="1"/>
  <c r="I36" i="18"/>
  <c r="I46" i="18" s="1"/>
  <c r="C35" i="24"/>
  <c r="C34" i="24" s="1"/>
  <c r="N73" i="24"/>
  <c r="N72" i="24" s="1"/>
  <c r="Q116" i="24"/>
  <c r="Q115" i="24" s="1"/>
  <c r="Q36" i="22"/>
  <c r="Q36" i="21"/>
  <c r="Q36" i="18"/>
  <c r="G37" i="22"/>
  <c r="D42" i="22"/>
  <c r="G42" i="22" s="1"/>
  <c r="G39" i="20"/>
  <c r="H21" i="24"/>
  <c r="H20" i="24" s="1"/>
  <c r="K43" i="20"/>
  <c r="I36" i="16"/>
  <c r="I46" i="16" s="1"/>
  <c r="O38" i="20"/>
  <c r="O39" i="22"/>
  <c r="O43" i="16"/>
  <c r="O39" i="20"/>
  <c r="L36" i="17"/>
  <c r="L46" i="17" s="1"/>
  <c r="O37" i="22"/>
  <c r="O42" i="20"/>
  <c r="N7" i="24"/>
  <c r="N6" i="24" s="1"/>
  <c r="N97" i="24"/>
  <c r="N96" i="24" s="1"/>
  <c r="N116" i="24"/>
  <c r="N115" i="24" s="1"/>
  <c r="P49" i="24"/>
  <c r="P48" i="24" s="1"/>
  <c r="R97" i="24"/>
  <c r="R96" i="24" s="1"/>
  <c r="S43" i="22"/>
  <c r="W37" i="19"/>
  <c r="U42" i="16"/>
  <c r="W42" i="16" s="1"/>
  <c r="G38" i="19"/>
  <c r="G43" i="17"/>
  <c r="G43" i="18"/>
  <c r="K39" i="18"/>
  <c r="K39" i="22"/>
  <c r="K37" i="17"/>
  <c r="U36" i="22"/>
  <c r="S43" i="20"/>
  <c r="U36" i="18"/>
  <c r="W43" i="17"/>
  <c r="O42" i="21"/>
  <c r="C36" i="17"/>
  <c r="C46" i="17" s="1"/>
  <c r="F7" i="24"/>
  <c r="F6" i="24" s="1"/>
  <c r="D72" i="24"/>
  <c r="E36" i="22"/>
  <c r="E46" i="22" s="1"/>
  <c r="G38" i="22"/>
  <c r="H42" i="22"/>
  <c r="K42" i="22" s="1"/>
  <c r="K39" i="17"/>
  <c r="J72" i="24"/>
  <c r="Q97" i="24"/>
  <c r="Q96" i="24" s="1"/>
  <c r="S39" i="22"/>
  <c r="W38" i="22"/>
  <c r="T36" i="22"/>
  <c r="Q36" i="20"/>
  <c r="Q46" i="20" s="1"/>
  <c r="S39" i="18"/>
  <c r="S11" i="14"/>
  <c r="S11" i="20"/>
  <c r="S11" i="17"/>
  <c r="S11" i="18"/>
  <c r="S11" i="19"/>
  <c r="S11" i="16"/>
  <c r="P8" i="12"/>
  <c r="S11" i="22"/>
  <c r="U78" i="6"/>
  <c r="T78" i="6"/>
  <c r="T61" i="6" s="1"/>
  <c r="U70" i="6"/>
  <c r="W70" i="6" s="1"/>
  <c r="W48" i="6"/>
  <c r="T43" i="6"/>
  <c r="W45" i="6"/>
  <c r="T26" i="6"/>
  <c r="V6" i="6"/>
  <c r="U6" i="6"/>
  <c r="W7" i="6"/>
  <c r="T6" i="6"/>
  <c r="F21" i="24"/>
  <c r="F20" i="24" s="1"/>
  <c r="F35" i="24"/>
  <c r="F34" i="24" s="1"/>
  <c r="F73" i="24"/>
  <c r="D36" i="16"/>
  <c r="D46" i="16" s="1"/>
  <c r="E36" i="19"/>
  <c r="G43" i="19"/>
  <c r="I36" i="17"/>
  <c r="H35" i="24"/>
  <c r="H34" i="24" s="1"/>
  <c r="H42" i="20"/>
  <c r="K42" i="20" s="1"/>
  <c r="D36" i="20"/>
  <c r="D46" i="20" s="1"/>
  <c r="L36" i="20"/>
  <c r="L7" i="24"/>
  <c r="L6" i="24" s="1"/>
  <c r="L21" i="24"/>
  <c r="L20" i="24" s="1"/>
  <c r="K73" i="24"/>
  <c r="K72" i="24" s="1"/>
  <c r="E7" i="24"/>
  <c r="E6" i="24" s="1"/>
  <c r="E35" i="24"/>
  <c r="E34" i="24" s="1"/>
  <c r="E97" i="24"/>
  <c r="E96" i="24" s="1"/>
  <c r="E116" i="24"/>
  <c r="E115" i="24" s="1"/>
  <c r="G42" i="18"/>
  <c r="E36" i="16"/>
  <c r="E46" i="16" s="1"/>
  <c r="K43" i="21"/>
  <c r="I36" i="22"/>
  <c r="O38" i="21"/>
  <c r="L36" i="22"/>
  <c r="O38" i="17"/>
  <c r="K7" i="24"/>
  <c r="K6" i="24" s="1"/>
  <c r="K49" i="24"/>
  <c r="K48" i="24" s="1"/>
  <c r="C49" i="24"/>
  <c r="C48" i="24" s="1"/>
  <c r="O73" i="24"/>
  <c r="O72" i="24" s="1"/>
  <c r="Q49" i="24"/>
  <c r="Q48" i="24" s="1"/>
  <c r="S38" i="22"/>
  <c r="C36" i="19"/>
  <c r="F97" i="24"/>
  <c r="F96" i="24" s="1"/>
  <c r="D49" i="24"/>
  <c r="D48" i="24" s="1"/>
  <c r="G42" i="21"/>
  <c r="G45" i="22"/>
  <c r="G39" i="22"/>
  <c r="G38" i="21"/>
  <c r="E36" i="18"/>
  <c r="E46" i="18" s="1"/>
  <c r="E36" i="17"/>
  <c r="E46" i="17" s="1"/>
  <c r="H42" i="17"/>
  <c r="K38" i="19"/>
  <c r="H36" i="21"/>
  <c r="I36" i="21"/>
  <c r="I46" i="21" s="1"/>
  <c r="M42" i="22"/>
  <c r="C73" i="24"/>
  <c r="C72" i="24" s="1"/>
  <c r="Q21" i="24"/>
  <c r="Q20" i="24" s="1"/>
  <c r="R35" i="24"/>
  <c r="R34" i="24" s="1"/>
  <c r="Q42" i="18"/>
  <c r="S42" i="18" s="1"/>
  <c r="Q36" i="16"/>
  <c r="E36" i="20"/>
  <c r="H36" i="16"/>
  <c r="E42" i="20"/>
  <c r="G42" i="20" s="1"/>
  <c r="G43" i="20"/>
  <c r="T42" i="22"/>
  <c r="W42" i="22" s="1"/>
  <c r="W43" i="22"/>
  <c r="T36" i="21"/>
  <c r="W39" i="21"/>
  <c r="S39" i="20"/>
  <c r="P36" i="20"/>
  <c r="P46" i="20" s="1"/>
  <c r="W37" i="20"/>
  <c r="T36" i="20"/>
  <c r="U42" i="20"/>
  <c r="W43" i="20"/>
  <c r="P42" i="19"/>
  <c r="S42" i="19" s="1"/>
  <c r="S43" i="19"/>
  <c r="U36" i="19"/>
  <c r="W39" i="19"/>
  <c r="T36" i="18"/>
  <c r="W38" i="18"/>
  <c r="P36" i="17"/>
  <c r="S37" i="17"/>
  <c r="P42" i="17"/>
  <c r="S42" i="17" s="1"/>
  <c r="S43" i="17"/>
  <c r="W41" i="17"/>
  <c r="T36" i="17"/>
  <c r="S39" i="16"/>
  <c r="P36" i="16"/>
  <c r="P46" i="16" s="1"/>
  <c r="T36" i="16"/>
  <c r="W38" i="16"/>
  <c r="F49" i="24"/>
  <c r="F48" i="24" s="1"/>
  <c r="G42" i="17"/>
  <c r="H42" i="21"/>
  <c r="K39" i="16"/>
  <c r="K43" i="16"/>
  <c r="I36" i="20"/>
  <c r="I46" i="20" s="1"/>
  <c r="H36" i="19"/>
  <c r="S37" i="20"/>
  <c r="T42" i="19"/>
  <c r="W42" i="19" s="1"/>
  <c r="W43" i="19"/>
  <c r="F116" i="24"/>
  <c r="F115" i="24" s="1"/>
  <c r="G38" i="17"/>
  <c r="D36" i="18"/>
  <c r="G43" i="16"/>
  <c r="H36" i="20"/>
  <c r="K42" i="16"/>
  <c r="I7" i="24"/>
  <c r="I6" i="24" s="1"/>
  <c r="I42" i="19"/>
  <c r="K43" i="19"/>
  <c r="K43" i="18"/>
  <c r="H42" i="18"/>
  <c r="K42" i="18" s="1"/>
  <c r="K38" i="17"/>
  <c r="H36" i="17"/>
  <c r="W37" i="22"/>
  <c r="M42" i="17"/>
  <c r="O43" i="17"/>
  <c r="Q42" i="21"/>
  <c r="S43" i="21"/>
  <c r="U42" i="21"/>
  <c r="W42" i="21" s="1"/>
  <c r="W43" i="21"/>
  <c r="C21" i="24"/>
  <c r="C20" i="24" s="1"/>
  <c r="Q36" i="17"/>
  <c r="S41" i="17"/>
  <c r="U36" i="17"/>
  <c r="W39" i="17"/>
  <c r="O43" i="19"/>
  <c r="L42" i="19"/>
  <c r="O43" i="18"/>
  <c r="M42" i="18"/>
  <c r="O42" i="18" s="1"/>
  <c r="M36" i="21"/>
  <c r="O39" i="21"/>
  <c r="O37" i="19"/>
  <c r="M36" i="19"/>
  <c r="O37" i="16"/>
  <c r="M36" i="16"/>
  <c r="C116" i="24"/>
  <c r="C115" i="24" s="1"/>
  <c r="R7" i="24"/>
  <c r="R6" i="24" s="1"/>
  <c r="L42" i="22"/>
  <c r="N15" i="4"/>
  <c r="R21" i="24"/>
  <c r="R20" i="24" s="1"/>
  <c r="R116" i="24"/>
  <c r="R115" i="24" s="1"/>
  <c r="S45" i="22"/>
  <c r="U36" i="21"/>
  <c r="S41" i="18"/>
  <c r="W39" i="18"/>
  <c r="W42" i="17"/>
  <c r="R66" i="24"/>
  <c r="Q7" i="24"/>
  <c r="Q6" i="24" s="1"/>
  <c r="Q35" i="24"/>
  <c r="Q34" i="24" s="1"/>
  <c r="R73" i="24"/>
  <c r="R72" i="24" s="1"/>
  <c r="U42" i="18"/>
  <c r="W42" i="18" s="1"/>
  <c r="W43" i="18"/>
  <c r="W37" i="16"/>
  <c r="U36" i="16"/>
  <c r="T18" i="4"/>
  <c r="T5" i="4"/>
  <c r="S37" i="22"/>
  <c r="S39" i="19"/>
  <c r="P36" i="18"/>
  <c r="P46" i="18" s="1"/>
  <c r="R6" i="15"/>
  <c r="C75" i="15"/>
  <c r="E5" i="15"/>
  <c r="D42" i="14"/>
  <c r="E36" i="14"/>
  <c r="K37" i="14"/>
  <c r="K43" i="14"/>
  <c r="R75" i="15"/>
  <c r="R109" i="15" s="1"/>
  <c r="K39" i="14"/>
  <c r="I36" i="14"/>
  <c r="T36" i="14"/>
  <c r="W39" i="14"/>
  <c r="S44" i="14"/>
  <c r="U36" i="14"/>
  <c r="L75" i="15"/>
  <c r="L109" i="15" s="1"/>
  <c r="U42" i="14"/>
  <c r="W44" i="14"/>
  <c r="H42" i="14"/>
  <c r="O75" i="15"/>
  <c r="O109" i="15" s="1"/>
  <c r="O112" i="15" s="1"/>
  <c r="S19" i="7"/>
  <c r="P17" i="7"/>
  <c r="E34" i="9"/>
  <c r="O35" i="24"/>
  <c r="O34" i="24" s="1"/>
  <c r="P36" i="19"/>
  <c r="G15" i="7"/>
  <c r="I131" i="8"/>
  <c r="I82" i="8"/>
  <c r="E8" i="7"/>
  <c r="E5" i="4" s="1"/>
  <c r="G5" i="4" s="1"/>
  <c r="M16" i="4"/>
  <c r="R167" i="8"/>
  <c r="R176" i="8"/>
  <c r="N37" i="7"/>
  <c r="L167" i="8"/>
  <c r="U16" i="4"/>
  <c r="R131" i="8"/>
  <c r="W16" i="7"/>
  <c r="S63" i="5"/>
  <c r="C75" i="8"/>
  <c r="I16" i="7"/>
  <c r="L120" i="8"/>
  <c r="O16" i="7"/>
  <c r="W58" i="5"/>
  <c r="Q8" i="7"/>
  <c r="I8" i="7"/>
  <c r="I5" i="4" s="1"/>
  <c r="O39" i="7"/>
  <c r="L131" i="8"/>
  <c r="L165" i="8"/>
  <c r="O157" i="8"/>
  <c r="R165" i="8"/>
  <c r="W63" i="5"/>
  <c r="C6" i="8"/>
  <c r="F6" i="8"/>
  <c r="I173" i="8"/>
  <c r="DJ68" i="32"/>
  <c r="DJ74" i="32" s="1"/>
  <c r="DJ107" i="32" s="1"/>
  <c r="K11" i="7"/>
  <c r="O23" i="7"/>
  <c r="K15" i="7"/>
  <c r="O49" i="24"/>
  <c r="J21" i="7"/>
  <c r="O15" i="7"/>
  <c r="T5" i="5"/>
  <c r="W29" i="7"/>
  <c r="G16" i="7"/>
  <c r="C7" i="7"/>
  <c r="G63" i="5"/>
  <c r="N21" i="7"/>
  <c r="L4" i="5"/>
  <c r="S39" i="7"/>
  <c r="K24" i="7"/>
  <c r="G9" i="7"/>
  <c r="E32" i="7"/>
  <c r="E31" i="7" s="1"/>
  <c r="K29" i="7"/>
  <c r="I23" i="7"/>
  <c r="I17" i="4" s="1"/>
  <c r="W9" i="7"/>
  <c r="C63" i="5"/>
  <c r="G39" i="7"/>
  <c r="G23" i="7"/>
  <c r="E21" i="7"/>
  <c r="W11" i="7"/>
  <c r="W37" i="7"/>
  <c r="P24" i="7"/>
  <c r="S22" i="7"/>
  <c r="C21" i="7"/>
  <c r="G11" i="7"/>
  <c r="F21" i="7"/>
  <c r="D24" i="7"/>
  <c r="D18" i="4" s="1"/>
  <c r="G18" i="4" s="1"/>
  <c r="D26" i="4"/>
  <c r="O8" i="7"/>
  <c r="S11" i="7"/>
  <c r="Q21" i="7"/>
  <c r="S23" i="7"/>
  <c r="T17" i="4"/>
  <c r="W23" i="7"/>
  <c r="W39" i="7"/>
  <c r="W30" i="4"/>
  <c r="G22" i="7"/>
  <c r="O9" i="7"/>
  <c r="R26" i="4"/>
  <c r="K39" i="7"/>
  <c r="K37" i="7"/>
  <c r="V21" i="7"/>
  <c r="V16" i="4"/>
  <c r="O11" i="7"/>
  <c r="S13" i="7"/>
  <c r="W29" i="4"/>
  <c r="P5" i="5"/>
  <c r="P4" i="5" s="1"/>
  <c r="S15" i="7"/>
  <c r="S37" i="7"/>
  <c r="R21" i="7"/>
  <c r="W8" i="7"/>
  <c r="W13" i="7"/>
  <c r="S9" i="7"/>
  <c r="W10" i="7"/>
  <c r="W24" i="7"/>
  <c r="T21" i="7"/>
  <c r="T16" i="4"/>
  <c r="S39" i="14"/>
  <c r="Q36" i="14"/>
  <c r="S37" i="14"/>
  <c r="P42" i="14"/>
  <c r="S43" i="14"/>
  <c r="O100" i="15"/>
  <c r="P36" i="14"/>
  <c r="P39" i="12"/>
  <c r="S5" i="13"/>
  <c r="Q45" i="12"/>
  <c r="S45" i="12" s="1"/>
  <c r="Q39" i="12"/>
  <c r="S33" i="13"/>
  <c r="R39" i="12"/>
  <c r="P36" i="22"/>
  <c r="O116" i="24"/>
  <c r="O115" i="24" s="1"/>
  <c r="O97" i="24"/>
  <c r="O96" i="24" s="1"/>
  <c r="P36" i="21"/>
  <c r="S38" i="21"/>
  <c r="N30" i="19" l="1"/>
  <c r="G45" i="25"/>
  <c r="AT107" i="32"/>
  <c r="E129" i="36"/>
  <c r="D37" i="35"/>
  <c r="D105" i="37"/>
  <c r="K8" i="21"/>
  <c r="D85" i="36"/>
  <c r="D86" i="36" s="1"/>
  <c r="D92" i="36" s="1"/>
  <c r="H44" i="35"/>
  <c r="F34" i="19"/>
  <c r="F32" i="19" s="1"/>
  <c r="F31" i="19" s="1"/>
  <c r="F35" i="19" s="1"/>
  <c r="G22" i="14"/>
  <c r="C30" i="17"/>
  <c r="E76" i="23"/>
  <c r="V30" i="16"/>
  <c r="V30" i="20"/>
  <c r="E6" i="23"/>
  <c r="E40" i="23" s="1"/>
  <c r="E47" i="23" s="1"/>
  <c r="D62" i="33"/>
  <c r="E73" i="33"/>
  <c r="E39" i="37"/>
  <c r="P179" i="36"/>
  <c r="C38" i="12"/>
  <c r="DK107" i="32"/>
  <c r="S37" i="19"/>
  <c r="P30" i="19"/>
  <c r="T30" i="20"/>
  <c r="E30" i="18"/>
  <c r="C33" i="12"/>
  <c r="G48" i="23"/>
  <c r="G52" i="23" s="1"/>
  <c r="G53" i="23" s="1"/>
  <c r="T25" i="4"/>
  <c r="M30" i="22"/>
  <c r="H131" i="35"/>
  <c r="E87" i="23"/>
  <c r="K8" i="19"/>
  <c r="D118" i="36"/>
  <c r="D74" i="25"/>
  <c r="E37" i="35"/>
  <c r="M30" i="21"/>
  <c r="F18" i="32"/>
  <c r="K142" i="37"/>
  <c r="D135" i="34"/>
  <c r="S142" i="37"/>
  <c r="R180" i="36"/>
  <c r="D104" i="35"/>
  <c r="V30" i="14"/>
  <c r="I30" i="22"/>
  <c r="E96" i="33"/>
  <c r="Q180" i="36"/>
  <c r="Q206" i="36" s="1"/>
  <c r="F162" i="34"/>
  <c r="F163" i="34" s="1"/>
  <c r="F189" i="34" s="1"/>
  <c r="D87" i="36"/>
  <c r="D91" i="36" s="1"/>
  <c r="E104" i="35"/>
  <c r="J34" i="19"/>
  <c r="J32" i="19" s="1"/>
  <c r="J31" i="19" s="1"/>
  <c r="J35" i="19" s="1"/>
  <c r="I30" i="20"/>
  <c r="I34" i="20" s="1"/>
  <c r="I32" i="20" s="1"/>
  <c r="I31" i="20" s="1"/>
  <c r="I35" i="20" s="1"/>
  <c r="L123" i="33"/>
  <c r="L124" i="33" s="1"/>
  <c r="L150" i="33" s="1"/>
  <c r="J135" i="25"/>
  <c r="J136" i="25" s="1"/>
  <c r="J162" i="25" s="1"/>
  <c r="E40" i="37"/>
  <c r="I34" i="19"/>
  <c r="I32" i="19" s="1"/>
  <c r="I31" i="19" s="1"/>
  <c r="I35" i="19" s="1"/>
  <c r="C34" i="19"/>
  <c r="C32" i="19" s="1"/>
  <c r="C31" i="19" s="1"/>
  <c r="C35" i="19" s="1"/>
  <c r="R30" i="16"/>
  <c r="W22" i="18"/>
  <c r="O25" i="12"/>
  <c r="O180" i="36"/>
  <c r="O206" i="36" s="1"/>
  <c r="E135" i="34"/>
  <c r="D88" i="32"/>
  <c r="D96" i="33"/>
  <c r="D2" i="32"/>
  <c r="D18" i="32" s="1"/>
  <c r="F40" i="37"/>
  <c r="F46" i="37" s="1"/>
  <c r="D73" i="33"/>
  <c r="K8" i="20"/>
  <c r="F131" i="35"/>
  <c r="D110" i="23"/>
  <c r="C30" i="20"/>
  <c r="C34" i="20" s="1"/>
  <c r="C32" i="20" s="1"/>
  <c r="C31" i="20" s="1"/>
  <c r="C35" i="20" s="1"/>
  <c r="M86" i="36"/>
  <c r="F136" i="25"/>
  <c r="F162" i="25" s="1"/>
  <c r="T132" i="37"/>
  <c r="T142" i="37" s="1"/>
  <c r="T168" i="37" s="1"/>
  <c r="H33" i="33"/>
  <c r="H39" i="33" s="1"/>
  <c r="G40" i="37"/>
  <c r="D30" i="22"/>
  <c r="E152" i="36"/>
  <c r="O22" i="20"/>
  <c r="P86" i="36"/>
  <c r="P92" i="36" s="1"/>
  <c r="P180" i="36" s="1"/>
  <c r="P206" i="36" s="1"/>
  <c r="CB107" i="32"/>
  <c r="D162" i="23"/>
  <c r="H135" i="25"/>
  <c r="N30" i="18"/>
  <c r="N34" i="18" s="1"/>
  <c r="N32" i="18" s="1"/>
  <c r="N31" i="18" s="1"/>
  <c r="N35" i="18" s="1"/>
  <c r="G160" i="36"/>
  <c r="G158" i="36" s="1"/>
  <c r="G178" i="36" s="1"/>
  <c r="G179" i="36" s="1"/>
  <c r="D72" i="37"/>
  <c r="E122" i="33"/>
  <c r="J123" i="33"/>
  <c r="J124" i="33" s="1"/>
  <c r="J150" i="33" s="1"/>
  <c r="E74" i="25"/>
  <c r="V34" i="19"/>
  <c r="V32" i="19" s="1"/>
  <c r="V31" i="19" s="1"/>
  <c r="V35" i="19" s="1"/>
  <c r="H137" i="23"/>
  <c r="O22" i="22"/>
  <c r="V34" i="17"/>
  <c r="V32" i="17" s="1"/>
  <c r="V31" i="17" s="1"/>
  <c r="V35" i="17" s="1"/>
  <c r="H162" i="34"/>
  <c r="L49" i="24"/>
  <c r="R30" i="22"/>
  <c r="R34" i="22" s="1"/>
  <c r="R32" i="22" s="1"/>
  <c r="R31" i="22" s="1"/>
  <c r="R35" i="22" s="1"/>
  <c r="E38" i="25"/>
  <c r="E45" i="25" s="1"/>
  <c r="J30" i="20"/>
  <c r="I30" i="21"/>
  <c r="M46" i="37"/>
  <c r="M142" i="37" s="1"/>
  <c r="M168" i="37" s="1"/>
  <c r="D122" i="33"/>
  <c r="N132" i="37"/>
  <c r="I123" i="33"/>
  <c r="D46" i="23"/>
  <c r="D47" i="23" s="1"/>
  <c r="E35" i="33"/>
  <c r="C36" i="21"/>
  <c r="C46" i="21" s="1"/>
  <c r="F38" i="32"/>
  <c r="F43" i="32" s="1"/>
  <c r="F44" i="32" s="1"/>
  <c r="J4" i="4"/>
  <c r="S8" i="18"/>
  <c r="N30" i="22"/>
  <c r="N34" i="22" s="1"/>
  <c r="N32" i="22" s="1"/>
  <c r="N31" i="22" s="1"/>
  <c r="N35" i="22" s="1"/>
  <c r="E46" i="23"/>
  <c r="I44" i="35"/>
  <c r="I132" i="35" s="1"/>
  <c r="I158" i="35" s="1"/>
  <c r="M30" i="19"/>
  <c r="D136" i="23"/>
  <c r="D37" i="32"/>
  <c r="W22" i="19"/>
  <c r="D204" i="36"/>
  <c r="I51" i="25"/>
  <c r="I136" i="25" s="1"/>
  <c r="I162" i="25" s="1"/>
  <c r="E204" i="36"/>
  <c r="D131" i="37"/>
  <c r="D132" i="37" s="1"/>
  <c r="D148" i="33"/>
  <c r="D68" i="34"/>
  <c r="D69" i="34" s="1"/>
  <c r="F132" i="37"/>
  <c r="F142" i="37" s="1"/>
  <c r="F168" i="37" s="1"/>
  <c r="N33" i="12"/>
  <c r="G25" i="12"/>
  <c r="F30" i="20"/>
  <c r="F34" i="20" s="1"/>
  <c r="F32" i="20" s="1"/>
  <c r="F31" i="20" s="1"/>
  <c r="F35" i="20" s="1"/>
  <c r="E123" i="33"/>
  <c r="P132" i="37"/>
  <c r="P142" i="37" s="1"/>
  <c r="P168" i="37" s="1"/>
  <c r="C53" i="32"/>
  <c r="F123" i="33"/>
  <c r="M91" i="36"/>
  <c r="E166" i="37"/>
  <c r="C66" i="32"/>
  <c r="D33" i="12"/>
  <c r="D79" i="36"/>
  <c r="C109" i="15"/>
  <c r="J30" i="16"/>
  <c r="K135" i="25"/>
  <c r="H163" i="34"/>
  <c r="H189" i="34" s="1"/>
  <c r="E160" i="25"/>
  <c r="R30" i="18"/>
  <c r="R34" i="18" s="1"/>
  <c r="R32" i="18" s="1"/>
  <c r="R31" i="18" s="1"/>
  <c r="R35" i="18" s="1"/>
  <c r="K51" i="25"/>
  <c r="D53" i="32"/>
  <c r="J4" i="3"/>
  <c r="J45" i="3" s="1"/>
  <c r="M30" i="14"/>
  <c r="I38" i="33"/>
  <c r="E33" i="12"/>
  <c r="E37" i="12" s="1"/>
  <c r="E35" i="12" s="1"/>
  <c r="E34" i="12" s="1"/>
  <c r="E38" i="12" s="1"/>
  <c r="F33" i="33"/>
  <c r="F39" i="33" s="1"/>
  <c r="F124" i="33" s="1"/>
  <c r="F150" i="33" s="1"/>
  <c r="U142" i="37"/>
  <c r="U168" i="37" s="1"/>
  <c r="S8" i="16"/>
  <c r="O8" i="22"/>
  <c r="D81" i="35"/>
  <c r="D131" i="35" s="1"/>
  <c r="J179" i="36"/>
  <c r="J180" i="36" s="1"/>
  <c r="J206" i="36" s="1"/>
  <c r="D161" i="34"/>
  <c r="E81" i="35"/>
  <c r="P30" i="21"/>
  <c r="P34" i="21" s="1"/>
  <c r="P32" i="21" s="1"/>
  <c r="Q30" i="16"/>
  <c r="T30" i="21"/>
  <c r="L142" i="37"/>
  <c r="L168" i="37" s="1"/>
  <c r="J142" i="37"/>
  <c r="J168" i="37" s="1"/>
  <c r="D108" i="25"/>
  <c r="H53" i="32"/>
  <c r="D130" i="35"/>
  <c r="D85" i="25"/>
  <c r="S8" i="19"/>
  <c r="S22" i="19"/>
  <c r="C34" i="32"/>
  <c r="H123" i="33"/>
  <c r="I33" i="33"/>
  <c r="AI19" i="3"/>
  <c r="AG17" i="3"/>
  <c r="V10" i="3"/>
  <c r="K26" i="6"/>
  <c r="G94" i="6"/>
  <c r="E25" i="4"/>
  <c r="P30" i="14"/>
  <c r="S8" i="20"/>
  <c r="W22" i="22"/>
  <c r="F33" i="12"/>
  <c r="G33" i="12" s="1"/>
  <c r="S22" i="16"/>
  <c r="O8" i="19"/>
  <c r="F30" i="19"/>
  <c r="G123" i="33"/>
  <c r="G31" i="35"/>
  <c r="G38" i="35" s="1"/>
  <c r="L43" i="32"/>
  <c r="L44" i="32" s="1"/>
  <c r="L107" i="32" s="1"/>
  <c r="E26" i="33"/>
  <c r="K168" i="37"/>
  <c r="E76" i="36"/>
  <c r="C30" i="16"/>
  <c r="D152" i="36"/>
  <c r="F138" i="23"/>
  <c r="F164" i="23" s="1"/>
  <c r="L179" i="36"/>
  <c r="L180" i="36" s="1"/>
  <c r="L206" i="36" s="1"/>
  <c r="E31" i="35"/>
  <c r="E38" i="35" s="1"/>
  <c r="G50" i="25"/>
  <c r="D23" i="32"/>
  <c r="G34" i="32"/>
  <c r="H142" i="37"/>
  <c r="H168" i="37" s="1"/>
  <c r="BY107" i="32"/>
  <c r="C108" i="15"/>
  <c r="Q34" i="20"/>
  <c r="Q32" i="20" s="1"/>
  <c r="M61" i="6"/>
  <c r="O61" i="6" s="1"/>
  <c r="T30" i="19"/>
  <c r="I97" i="24"/>
  <c r="I96" i="24" s="1"/>
  <c r="I5" i="24" s="1"/>
  <c r="E187" i="34"/>
  <c r="E38" i="32"/>
  <c r="E43" i="32" s="1"/>
  <c r="E108" i="25"/>
  <c r="R206" i="36"/>
  <c r="S168" i="37"/>
  <c r="E30" i="17"/>
  <c r="H30" i="17"/>
  <c r="I30" i="14"/>
  <c r="G38" i="32"/>
  <c r="G43" i="32" s="1"/>
  <c r="R107" i="32"/>
  <c r="R30" i="19"/>
  <c r="L112" i="15"/>
  <c r="D36" i="21"/>
  <c r="G36" i="21" s="1"/>
  <c r="F65" i="32"/>
  <c r="C73" i="32"/>
  <c r="O8" i="12"/>
  <c r="U30" i="16"/>
  <c r="W30" i="16" s="1"/>
  <c r="V30" i="22"/>
  <c r="V34" i="22" s="1"/>
  <c r="V32" i="22" s="1"/>
  <c r="V31" i="22" s="1"/>
  <c r="V35" i="22" s="1"/>
  <c r="S8" i="21"/>
  <c r="I30" i="16"/>
  <c r="I34" i="16" s="1"/>
  <c r="I32" i="16" s="1"/>
  <c r="I31" i="16" s="1"/>
  <c r="I35" i="16" s="1"/>
  <c r="K22" i="19"/>
  <c r="E30" i="16"/>
  <c r="K22" i="18"/>
  <c r="G8" i="20"/>
  <c r="E30" i="21"/>
  <c r="D30" i="37"/>
  <c r="D40" i="37" s="1"/>
  <c r="D46" i="37" s="1"/>
  <c r="M179" i="36"/>
  <c r="G45" i="37"/>
  <c r="G46" i="37" s="1"/>
  <c r="I39" i="33"/>
  <c r="I124" i="33" s="1"/>
  <c r="I150" i="33" s="1"/>
  <c r="D166" i="37"/>
  <c r="E32" i="33"/>
  <c r="Q30" i="19"/>
  <c r="R112" i="15"/>
  <c r="Q113" i="37"/>
  <c r="Q111" i="37" s="1"/>
  <c r="Q131" i="37" s="1"/>
  <c r="Q132" i="37" s="1"/>
  <c r="Q142" i="37" s="1"/>
  <c r="Q168" i="37" s="1"/>
  <c r="R34" i="17"/>
  <c r="R32" i="17" s="1"/>
  <c r="R31" i="17" s="1"/>
  <c r="R35" i="17" s="1"/>
  <c r="S8" i="22"/>
  <c r="J5" i="6"/>
  <c r="D112" i="34"/>
  <c r="K22" i="17"/>
  <c r="N30" i="17"/>
  <c r="N34" i="17"/>
  <c r="N32" i="17" s="1"/>
  <c r="N31" i="17" s="1"/>
  <c r="N35" i="17" s="1"/>
  <c r="K42" i="17"/>
  <c r="W22" i="17"/>
  <c r="N4" i="3"/>
  <c r="N45" i="3" s="1"/>
  <c r="K16" i="4"/>
  <c r="L11" i="2" s="1"/>
  <c r="G131" i="37"/>
  <c r="G132" i="37" s="1"/>
  <c r="S17" i="7"/>
  <c r="E34" i="16"/>
  <c r="E32" i="16" s="1"/>
  <c r="E31" i="16" s="1"/>
  <c r="E35" i="16" s="1"/>
  <c r="P30" i="20"/>
  <c r="D34" i="17"/>
  <c r="T30" i="22"/>
  <c r="G8" i="22"/>
  <c r="V30" i="18"/>
  <c r="V34" i="18" s="1"/>
  <c r="V32" i="18" s="1"/>
  <c r="V31" i="18" s="1"/>
  <c r="V35" i="18" s="1"/>
  <c r="F73" i="32"/>
  <c r="G8" i="14"/>
  <c r="F30" i="18"/>
  <c r="F34" i="18" s="1"/>
  <c r="F32" i="18" s="1"/>
  <c r="F31" i="18" s="1"/>
  <c r="F35" i="18" s="1"/>
  <c r="D134" i="25"/>
  <c r="W26" i="6"/>
  <c r="W8" i="20"/>
  <c r="H51" i="25"/>
  <c r="H136" i="25" s="1"/>
  <c r="H162" i="25" s="1"/>
  <c r="H36" i="22"/>
  <c r="F5" i="6"/>
  <c r="F109" i="6" s="1"/>
  <c r="S22" i="20"/>
  <c r="E30" i="22"/>
  <c r="E34" i="22" s="1"/>
  <c r="E32" i="22" s="1"/>
  <c r="E31" i="22" s="1"/>
  <c r="E35" i="22" s="1"/>
  <c r="C18" i="32"/>
  <c r="E148" i="33"/>
  <c r="O142" i="37"/>
  <c r="O168" i="37" s="1"/>
  <c r="P34" i="20"/>
  <c r="P32" i="20" s="1"/>
  <c r="P31" i="20" s="1"/>
  <c r="P35" i="20" s="1"/>
  <c r="D34" i="20"/>
  <c r="M34" i="20"/>
  <c r="M32" i="20" s="1"/>
  <c r="M31" i="20" s="1"/>
  <c r="M35" i="20" s="1"/>
  <c r="E34" i="18"/>
  <c r="E32" i="18" s="1"/>
  <c r="E31" i="18" s="1"/>
  <c r="E35" i="18" s="1"/>
  <c r="M30" i="18"/>
  <c r="C30" i="18"/>
  <c r="C34" i="18" s="1"/>
  <c r="C32" i="18" s="1"/>
  <c r="C31" i="18" s="1"/>
  <c r="C35" i="18" s="1"/>
  <c r="S8" i="17"/>
  <c r="O8" i="17"/>
  <c r="P30" i="17"/>
  <c r="F30" i="14"/>
  <c r="W8" i="18"/>
  <c r="W8" i="14"/>
  <c r="G43" i="6"/>
  <c r="S22" i="14"/>
  <c r="J30" i="18"/>
  <c r="J34" i="18" s="1"/>
  <c r="J32" i="18" s="1"/>
  <c r="J31" i="18" s="1"/>
  <c r="J35" i="18" s="1"/>
  <c r="I34" i="18"/>
  <c r="I32" i="18" s="1"/>
  <c r="I31" i="18" s="1"/>
  <c r="I35" i="18" s="1"/>
  <c r="M5" i="24"/>
  <c r="G8" i="12"/>
  <c r="E45" i="37"/>
  <c r="O75" i="8"/>
  <c r="C17" i="7"/>
  <c r="U25" i="4"/>
  <c r="J7" i="7"/>
  <c r="J30" i="7" s="1"/>
  <c r="I12" i="7"/>
  <c r="I9" i="4" s="1"/>
  <c r="K9" i="4" s="1"/>
  <c r="L8" i="2" s="1"/>
  <c r="AA13" i="3"/>
  <c r="I35" i="12"/>
  <c r="I34" i="12" s="1"/>
  <c r="I38" i="12" s="1"/>
  <c r="N86" i="36"/>
  <c r="N92" i="36" s="1"/>
  <c r="N180" i="36" s="1"/>
  <c r="N206" i="36" s="1"/>
  <c r="D45" i="25"/>
  <c r="D51" i="25" s="1"/>
  <c r="AA12" i="3"/>
  <c r="Z10" i="3"/>
  <c r="Z4" i="3" s="1"/>
  <c r="Y10" i="3"/>
  <c r="AA11" i="3"/>
  <c r="P25" i="4"/>
  <c r="AF107" i="32"/>
  <c r="R75" i="8"/>
  <c r="L75" i="8"/>
  <c r="O5" i="5"/>
  <c r="L5" i="3"/>
  <c r="O5" i="3" s="1"/>
  <c r="Z61" i="6"/>
  <c r="L17" i="3"/>
  <c r="O17" i="3" s="1"/>
  <c r="K5" i="5"/>
  <c r="D160" i="25"/>
  <c r="D33" i="33"/>
  <c r="D39" i="33" s="1"/>
  <c r="L6" i="15"/>
  <c r="L5" i="15" s="1"/>
  <c r="K78" i="6"/>
  <c r="S30" i="16"/>
  <c r="O6" i="4"/>
  <c r="M30" i="3"/>
  <c r="O40" i="3"/>
  <c r="O37" i="3"/>
  <c r="L35" i="3"/>
  <c r="I163" i="34"/>
  <c r="I189" i="34" s="1"/>
  <c r="O10" i="3"/>
  <c r="M4" i="3"/>
  <c r="W48" i="3"/>
  <c r="E22" i="2" s="1"/>
  <c r="B17" i="1" s="1"/>
  <c r="Q58" i="5"/>
  <c r="Q42" i="5" s="1"/>
  <c r="O58" i="5"/>
  <c r="O42" i="5" s="1"/>
  <c r="N7" i="7"/>
  <c r="N30" i="7" s="1"/>
  <c r="N9" i="4"/>
  <c r="N4" i="4" s="1"/>
  <c r="N24" i="4" s="1"/>
  <c r="D46" i="17"/>
  <c r="G46" i="17" s="1"/>
  <c r="L32" i="16"/>
  <c r="L31" i="16" s="1"/>
  <c r="L35" i="16" s="1"/>
  <c r="G42" i="14"/>
  <c r="O39" i="14"/>
  <c r="L7" i="4"/>
  <c r="O43" i="14"/>
  <c r="L16" i="4"/>
  <c r="D30" i="10"/>
  <c r="D3" i="10"/>
  <c r="L30" i="18"/>
  <c r="S8" i="14"/>
  <c r="W8" i="21"/>
  <c r="G22" i="22"/>
  <c r="D38" i="35"/>
  <c r="D44" i="35" s="1"/>
  <c r="U30" i="17"/>
  <c r="G22" i="18"/>
  <c r="D75" i="34"/>
  <c r="H92" i="36"/>
  <c r="H180" i="36" s="1"/>
  <c r="H206" i="36" s="1"/>
  <c r="V30" i="19"/>
  <c r="V30" i="21"/>
  <c r="V34" i="21" s="1"/>
  <c r="V32" i="21" s="1"/>
  <c r="V31" i="21" s="1"/>
  <c r="V35" i="21" s="1"/>
  <c r="P30" i="22"/>
  <c r="P34" i="22" s="1"/>
  <c r="P32" i="22" s="1"/>
  <c r="P31" i="22" s="1"/>
  <c r="C23" i="32"/>
  <c r="O8" i="20"/>
  <c r="V30" i="17"/>
  <c r="O36" i="22"/>
  <c r="J15" i="4"/>
  <c r="H4" i="5"/>
  <c r="W32" i="4"/>
  <c r="M20" i="2" s="1"/>
  <c r="P12" i="7"/>
  <c r="P7" i="7" s="1"/>
  <c r="K8" i="12"/>
  <c r="G91" i="36"/>
  <c r="G92" i="36" s="1"/>
  <c r="E87" i="36"/>
  <c r="Q34" i="19"/>
  <c r="Q32" i="19" s="1"/>
  <c r="Q31" i="19" s="1"/>
  <c r="Q35" i="19" s="1"/>
  <c r="Q46" i="19"/>
  <c r="S36" i="19"/>
  <c r="D137" i="23"/>
  <c r="G112" i="35"/>
  <c r="G110" i="35" s="1"/>
  <c r="G130" i="35" s="1"/>
  <c r="G131" i="35" s="1"/>
  <c r="R37" i="12"/>
  <c r="V5" i="6"/>
  <c r="V92" i="6" s="1"/>
  <c r="J5" i="24"/>
  <c r="U34" i="22"/>
  <c r="U32" i="22" s="1"/>
  <c r="U31" i="22" s="1"/>
  <c r="U35" i="22" s="1"/>
  <c r="P5" i="24"/>
  <c r="L32" i="18"/>
  <c r="L31" i="18" s="1"/>
  <c r="L35" i="18" s="1"/>
  <c r="K4" i="13"/>
  <c r="W8" i="16"/>
  <c r="O6" i="6"/>
  <c r="C5" i="6"/>
  <c r="C92" i="6" s="1"/>
  <c r="H61" i="6"/>
  <c r="K93" i="6"/>
  <c r="K94" i="6"/>
  <c r="O94" i="6"/>
  <c r="F25" i="4"/>
  <c r="S25" i="12"/>
  <c r="J34" i="20"/>
  <c r="J32" i="20" s="1"/>
  <c r="J31" i="20" s="1"/>
  <c r="J35" i="20" s="1"/>
  <c r="N34" i="19"/>
  <c r="N32" i="19" s="1"/>
  <c r="N31" i="19" s="1"/>
  <c r="N35" i="19" s="1"/>
  <c r="H30" i="19"/>
  <c r="G8" i="17"/>
  <c r="J30" i="19"/>
  <c r="J30" i="22"/>
  <c r="J34" i="22" s="1"/>
  <c r="J32" i="22" s="1"/>
  <c r="J31" i="22" s="1"/>
  <c r="J35" i="22" s="1"/>
  <c r="C30" i="22"/>
  <c r="E46" i="25"/>
  <c r="E50" i="25" s="1"/>
  <c r="F132" i="35"/>
  <c r="F158" i="35" s="1"/>
  <c r="E74" i="36"/>
  <c r="D32" i="32"/>
  <c r="D34" i="32" s="1"/>
  <c r="C30" i="19"/>
  <c r="DF107" i="32"/>
  <c r="K136" i="25"/>
  <c r="K162" i="25" s="1"/>
  <c r="E110" i="23"/>
  <c r="E85" i="36"/>
  <c r="E88" i="36"/>
  <c r="G8" i="19"/>
  <c r="C30" i="14"/>
  <c r="J37" i="12"/>
  <c r="V7" i="7"/>
  <c r="V30" i="7" s="1"/>
  <c r="T4" i="5"/>
  <c r="L36" i="19"/>
  <c r="L46" i="19" s="1"/>
  <c r="K39" i="12"/>
  <c r="K6" i="4"/>
  <c r="L5" i="2" s="1"/>
  <c r="K5" i="4"/>
  <c r="L4" i="2" s="1"/>
  <c r="K7" i="4"/>
  <c r="L6" i="2" s="1"/>
  <c r="G32" i="4"/>
  <c r="K20" i="2" s="1"/>
  <c r="I17" i="3"/>
  <c r="I4" i="3" s="1"/>
  <c r="AA94" i="6"/>
  <c r="AA70" i="6"/>
  <c r="X61" i="6"/>
  <c r="H10" i="3"/>
  <c r="K10" i="3" s="1"/>
  <c r="D5" i="2" s="1"/>
  <c r="V30" i="3"/>
  <c r="W25" i="12"/>
  <c r="R34" i="16"/>
  <c r="R32" i="16" s="1"/>
  <c r="R31" i="16" s="1"/>
  <c r="R35" i="16" s="1"/>
  <c r="K180" i="36"/>
  <c r="K206" i="36" s="1"/>
  <c r="N34" i="20"/>
  <c r="N32" i="20" s="1"/>
  <c r="N31" i="20" s="1"/>
  <c r="N35" i="20" s="1"/>
  <c r="J34" i="16"/>
  <c r="J32" i="16" s="1"/>
  <c r="J31" i="16" s="1"/>
  <c r="J35" i="16" s="1"/>
  <c r="D106" i="32"/>
  <c r="F30" i="17"/>
  <c r="N142" i="37"/>
  <c r="N168" i="37" s="1"/>
  <c r="G51" i="25"/>
  <c r="G136" i="25" s="1"/>
  <c r="G162" i="25" s="1"/>
  <c r="D59" i="32"/>
  <c r="H66" i="32"/>
  <c r="K43" i="3"/>
  <c r="I40" i="3"/>
  <c r="G17" i="3"/>
  <c r="C6" i="2" s="1"/>
  <c r="Q37" i="12"/>
  <c r="K45" i="5"/>
  <c r="K42" i="5" s="1"/>
  <c r="F75" i="8"/>
  <c r="G45" i="5"/>
  <c r="G42" i="5" s="1"/>
  <c r="D37" i="12"/>
  <c r="D35" i="12" s="1"/>
  <c r="M33" i="12"/>
  <c r="F34" i="14"/>
  <c r="F32" i="14" s="1"/>
  <c r="F31" i="14" s="1"/>
  <c r="F35" i="14" s="1"/>
  <c r="I92" i="36"/>
  <c r="I180" i="36" s="1"/>
  <c r="I206" i="36" s="1"/>
  <c r="F4" i="3"/>
  <c r="F45" i="3" s="1"/>
  <c r="K19" i="3"/>
  <c r="H17" i="3"/>
  <c r="G5" i="3"/>
  <c r="C4" i="2" s="1"/>
  <c r="D4" i="3"/>
  <c r="G10" i="3"/>
  <c r="C5" i="2" s="1"/>
  <c r="E30" i="3"/>
  <c r="G30" i="3" s="1"/>
  <c r="G40" i="3"/>
  <c r="C13" i="2" s="1"/>
  <c r="C10" i="2" s="1"/>
  <c r="E4" i="3"/>
  <c r="O36" i="18"/>
  <c r="W14" i="12"/>
  <c r="L25" i="4"/>
  <c r="Q25" i="4"/>
  <c r="H5" i="3"/>
  <c r="K6" i="3"/>
  <c r="C34" i="21"/>
  <c r="C32" i="21" s="1"/>
  <c r="C31" i="21" s="1"/>
  <c r="C35" i="21" s="1"/>
  <c r="S32" i="4"/>
  <c r="K17" i="4"/>
  <c r="L12" i="2" s="1"/>
  <c r="I75" i="8"/>
  <c r="P49" i="12"/>
  <c r="M49" i="12"/>
  <c r="M35" i="12"/>
  <c r="M34" i="12" s="1"/>
  <c r="M38" i="12" s="1"/>
  <c r="J46" i="14"/>
  <c r="C36" i="14"/>
  <c r="C46" i="14" s="1"/>
  <c r="I5" i="15"/>
  <c r="O5" i="15"/>
  <c r="G20" i="26"/>
  <c r="V17" i="3"/>
  <c r="W22" i="16"/>
  <c r="O30" i="20"/>
  <c r="H132" i="35"/>
  <c r="H158" i="35" s="1"/>
  <c r="K32" i="4"/>
  <c r="N30" i="16"/>
  <c r="G22" i="16"/>
  <c r="D30" i="16"/>
  <c r="D30" i="14"/>
  <c r="G30" i="14" s="1"/>
  <c r="D178" i="36"/>
  <c r="F180" i="36"/>
  <c r="F206" i="36" s="1"/>
  <c r="C34" i="16"/>
  <c r="C32" i="16" s="1"/>
  <c r="C31" i="16" s="1"/>
  <c r="C35" i="16" s="1"/>
  <c r="M30" i="17"/>
  <c r="O22" i="17"/>
  <c r="F34" i="17"/>
  <c r="F32" i="17" s="1"/>
  <c r="F31" i="17" s="1"/>
  <c r="F35" i="17" s="1"/>
  <c r="E44" i="32"/>
  <c r="E107" i="32" s="1"/>
  <c r="T33" i="12"/>
  <c r="W33" i="12" s="1"/>
  <c r="W8" i="12"/>
  <c r="M25" i="4"/>
  <c r="L42" i="14"/>
  <c r="O42" i="14" s="1"/>
  <c r="O36" i="20"/>
  <c r="W45" i="12"/>
  <c r="K17" i="7"/>
  <c r="O17" i="7"/>
  <c r="L58" i="8" s="1"/>
  <c r="L6" i="8" s="1"/>
  <c r="O32" i="4"/>
  <c r="L20" i="2" s="1"/>
  <c r="W8" i="19"/>
  <c r="W21" i="3"/>
  <c r="W17" i="3" s="1"/>
  <c r="M46" i="14"/>
  <c r="L36" i="14"/>
  <c r="O36" i="14" s="1"/>
  <c r="S42" i="14"/>
  <c r="O38" i="14"/>
  <c r="H36" i="14"/>
  <c r="H46" i="14" s="1"/>
  <c r="Q46" i="14"/>
  <c r="G38" i="14"/>
  <c r="I100" i="15"/>
  <c r="V46" i="14"/>
  <c r="V34" i="14" s="1"/>
  <c r="V32" i="14" s="1"/>
  <c r="V31" i="14" s="1"/>
  <c r="V35" i="14" s="1"/>
  <c r="C6" i="15"/>
  <c r="C5" i="15" s="1"/>
  <c r="C100" i="15"/>
  <c r="E46" i="14"/>
  <c r="N46" i="14"/>
  <c r="V15" i="4"/>
  <c r="Q30" i="17"/>
  <c r="O22" i="14"/>
  <c r="L30" i="14"/>
  <c r="O30" i="16"/>
  <c r="O22" i="21"/>
  <c r="L30" i="21"/>
  <c r="O30" i="21" s="1"/>
  <c r="L33" i="12"/>
  <c r="H33" i="12"/>
  <c r="K25" i="12"/>
  <c r="H30" i="14"/>
  <c r="K22" i="14"/>
  <c r="K8" i="17"/>
  <c r="H30" i="21"/>
  <c r="K22" i="21"/>
  <c r="H30" i="22"/>
  <c r="K22" i="22"/>
  <c r="G8" i="18"/>
  <c r="D30" i="18"/>
  <c r="D30" i="19"/>
  <c r="G22" i="19"/>
  <c r="D30" i="17"/>
  <c r="G22" i="17"/>
  <c r="V34" i="16"/>
  <c r="V32" i="16" s="1"/>
  <c r="V31" i="16" s="1"/>
  <c r="V35" i="16" s="1"/>
  <c r="O22" i="18"/>
  <c r="H30" i="18"/>
  <c r="K8" i="18"/>
  <c r="F34" i="16"/>
  <c r="F32" i="16" s="1"/>
  <c r="F31" i="16" s="1"/>
  <c r="F35" i="16" s="1"/>
  <c r="G8" i="16"/>
  <c r="D30" i="21"/>
  <c r="G22" i="21"/>
  <c r="AR43" i="32"/>
  <c r="AR44" i="32" s="1"/>
  <c r="AR107" i="32" s="1"/>
  <c r="H38" i="32"/>
  <c r="H43" i="32" s="1"/>
  <c r="H44" i="32" s="1"/>
  <c r="L30" i="17"/>
  <c r="I52" i="23"/>
  <c r="I53" i="23" s="1"/>
  <c r="I138" i="23" s="1"/>
  <c r="I164" i="23" s="1"/>
  <c r="H52" i="23"/>
  <c r="H53" i="23" s="1"/>
  <c r="H138" i="23" s="1"/>
  <c r="H164" i="23" s="1"/>
  <c r="D48" i="23"/>
  <c r="D52" i="23" s="1"/>
  <c r="G38" i="33"/>
  <c r="G39" i="33" s="1"/>
  <c r="E34" i="33"/>
  <c r="E38" i="33" s="1"/>
  <c r="U46" i="22"/>
  <c r="E34" i="21"/>
  <c r="E32" i="21" s="1"/>
  <c r="E31" i="21" s="1"/>
  <c r="E35" i="21" s="1"/>
  <c r="G39" i="12"/>
  <c r="U30" i="14"/>
  <c r="W30" i="14" s="1"/>
  <c r="W22" i="14"/>
  <c r="R30" i="14"/>
  <c r="S22" i="17"/>
  <c r="R30" i="17"/>
  <c r="U30" i="18"/>
  <c r="W30" i="18" s="1"/>
  <c r="Q30" i="18"/>
  <c r="S30" i="18" s="1"/>
  <c r="S22" i="18"/>
  <c r="U30" i="20"/>
  <c r="W30" i="20" s="1"/>
  <c r="W22" i="20"/>
  <c r="U30" i="21"/>
  <c r="W22" i="21"/>
  <c r="Q30" i="21"/>
  <c r="S30" i="21" s="1"/>
  <c r="S22" i="21"/>
  <c r="Q30" i="22"/>
  <c r="Q34" i="22" s="1"/>
  <c r="S22" i="22"/>
  <c r="O8" i="14"/>
  <c r="V34" i="20"/>
  <c r="V32" i="20" s="1"/>
  <c r="V31" i="20" s="1"/>
  <c r="V35" i="20" s="1"/>
  <c r="O8" i="16"/>
  <c r="O8" i="21"/>
  <c r="O43" i="6"/>
  <c r="K8" i="14"/>
  <c r="J30" i="17"/>
  <c r="J34" i="17"/>
  <c r="J32" i="17" s="1"/>
  <c r="J31" i="17" s="1"/>
  <c r="J35" i="17" s="1"/>
  <c r="H30" i="16"/>
  <c r="K8" i="16"/>
  <c r="K22" i="20"/>
  <c r="H30" i="20"/>
  <c r="E30" i="20"/>
  <c r="G22" i="20"/>
  <c r="R30" i="20"/>
  <c r="R34" i="20" s="1"/>
  <c r="N30" i="14"/>
  <c r="O8" i="18"/>
  <c r="L30" i="19"/>
  <c r="O22" i="19"/>
  <c r="K22" i="16"/>
  <c r="E6" i="34"/>
  <c r="G58" i="34"/>
  <c r="G57" i="34" s="1"/>
  <c r="E57" i="34" s="1"/>
  <c r="G43" i="35"/>
  <c r="E39" i="35"/>
  <c r="E43" i="35" s="1"/>
  <c r="G118" i="23"/>
  <c r="G116" i="23" s="1"/>
  <c r="E114" i="25"/>
  <c r="E134" i="25" s="1"/>
  <c r="E141" i="34"/>
  <c r="E161" i="34" s="1"/>
  <c r="E162" i="34" s="1"/>
  <c r="G4" i="13"/>
  <c r="G93" i="6"/>
  <c r="Z5" i="6"/>
  <c r="Z109" i="6" s="1"/>
  <c r="E5" i="6"/>
  <c r="E92" i="6" s="1"/>
  <c r="Y5" i="6"/>
  <c r="AA43" i="6"/>
  <c r="O78" i="6"/>
  <c r="K43" i="6"/>
  <c r="W22" i="7"/>
  <c r="W16" i="4"/>
  <c r="O4" i="13"/>
  <c r="Q12" i="7"/>
  <c r="Q7" i="7" s="1"/>
  <c r="M5" i="6"/>
  <c r="N5" i="6"/>
  <c r="N109" i="6" s="1"/>
  <c r="F92" i="6"/>
  <c r="W93" i="6"/>
  <c r="W94" i="6"/>
  <c r="L93" i="6"/>
  <c r="L92" i="6"/>
  <c r="G78" i="6"/>
  <c r="W40" i="3"/>
  <c r="G61" i="6"/>
  <c r="J61" i="6"/>
  <c r="U5" i="6"/>
  <c r="W43" i="6"/>
  <c r="I5" i="6"/>
  <c r="I92" i="6" s="1"/>
  <c r="K6" i="6"/>
  <c r="H5" i="6"/>
  <c r="D5" i="6"/>
  <c r="D109" i="6" s="1"/>
  <c r="G6" i="6"/>
  <c r="W27" i="3"/>
  <c r="W35" i="3"/>
  <c r="U17" i="3"/>
  <c r="T30" i="3"/>
  <c r="B14" i="1"/>
  <c r="AA78" i="6"/>
  <c r="X5" i="6"/>
  <c r="W39" i="12"/>
  <c r="T30" i="17"/>
  <c r="W8" i="17"/>
  <c r="R48" i="24"/>
  <c r="H7" i="7"/>
  <c r="L7" i="7"/>
  <c r="U46" i="16"/>
  <c r="U34" i="16" s="1"/>
  <c r="U32" i="16" s="1"/>
  <c r="U31" i="16" s="1"/>
  <c r="U35" i="16" s="1"/>
  <c r="G5" i="24"/>
  <c r="S36" i="21"/>
  <c r="K10" i="7"/>
  <c r="C4" i="13"/>
  <c r="V4" i="4"/>
  <c r="K49" i="12"/>
  <c r="U49" i="12"/>
  <c r="Q46" i="22"/>
  <c r="D46" i="22"/>
  <c r="G46" i="22" s="1"/>
  <c r="U46" i="20"/>
  <c r="C34" i="22"/>
  <c r="C32" i="22" s="1"/>
  <c r="C31" i="22" s="1"/>
  <c r="C35" i="22" s="1"/>
  <c r="S36" i="18"/>
  <c r="C34" i="17"/>
  <c r="C32" i="17" s="1"/>
  <c r="C31" i="17" s="1"/>
  <c r="C35" i="17" s="1"/>
  <c r="L48" i="24"/>
  <c r="L5" i="24" s="1"/>
  <c r="I34" i="21"/>
  <c r="I32" i="21" s="1"/>
  <c r="I31" i="21" s="1"/>
  <c r="I35" i="21" s="1"/>
  <c r="G36" i="17"/>
  <c r="S36" i="20"/>
  <c r="G36" i="22"/>
  <c r="G36" i="14"/>
  <c r="K36" i="18"/>
  <c r="K36" i="21"/>
  <c r="W36" i="22"/>
  <c r="R52" i="7"/>
  <c r="W8" i="4"/>
  <c r="Q4" i="4"/>
  <c r="R30" i="7"/>
  <c r="R15" i="4"/>
  <c r="E15" i="4"/>
  <c r="M21" i="7"/>
  <c r="R4" i="4"/>
  <c r="AE107" i="32"/>
  <c r="C79" i="32"/>
  <c r="D65" i="32"/>
  <c r="F66" i="32"/>
  <c r="O58" i="8"/>
  <c r="O6" i="8" s="1"/>
  <c r="C42" i="5"/>
  <c r="T17" i="7"/>
  <c r="Y93" i="6"/>
  <c r="AA93" i="6" s="1"/>
  <c r="E18" i="2"/>
  <c r="K5" i="2"/>
  <c r="M15" i="4"/>
  <c r="W31" i="3"/>
  <c r="W5" i="3"/>
  <c r="W14" i="3"/>
  <c r="U30" i="3"/>
  <c r="U10" i="3"/>
  <c r="C30" i="29"/>
  <c r="Y61" i="6"/>
  <c r="AA6" i="6"/>
  <c r="T4" i="3"/>
  <c r="W42" i="14"/>
  <c r="T49" i="12"/>
  <c r="N49" i="12"/>
  <c r="N35" i="12"/>
  <c r="N34" i="12" s="1"/>
  <c r="N38" i="12" s="1"/>
  <c r="G45" i="12"/>
  <c r="D49" i="12"/>
  <c r="G49" i="12" s="1"/>
  <c r="O39" i="12"/>
  <c r="L49" i="12"/>
  <c r="W18" i="4"/>
  <c r="F15" i="4"/>
  <c r="F72" i="24"/>
  <c r="F5" i="24" s="1"/>
  <c r="P46" i="19"/>
  <c r="S46" i="19" s="1"/>
  <c r="Q46" i="21"/>
  <c r="L46" i="20"/>
  <c r="O46" i="20" s="1"/>
  <c r="Q46" i="16"/>
  <c r="Q34" i="16" s="1"/>
  <c r="Q32" i="16" s="1"/>
  <c r="Q31" i="16" s="1"/>
  <c r="Q35" i="16" s="1"/>
  <c r="G36" i="19"/>
  <c r="E5" i="24"/>
  <c r="W42" i="20"/>
  <c r="S46" i="16"/>
  <c r="C46" i="19"/>
  <c r="D5" i="24"/>
  <c r="K5" i="24"/>
  <c r="AA26" i="6"/>
  <c r="P46" i="17"/>
  <c r="P34" i="16"/>
  <c r="P32" i="16" s="1"/>
  <c r="S36" i="16"/>
  <c r="R5" i="15"/>
  <c r="I46" i="14"/>
  <c r="K42" i="14"/>
  <c r="U46" i="14"/>
  <c r="S42" i="21"/>
  <c r="N5" i="24"/>
  <c r="L46" i="22"/>
  <c r="S46" i="20"/>
  <c r="D34" i="19"/>
  <c r="D32" i="19" s="1"/>
  <c r="D46" i="21"/>
  <c r="G46" i="21" s="1"/>
  <c r="Q5" i="24"/>
  <c r="H5" i="24"/>
  <c r="L46" i="21"/>
  <c r="P34" i="17"/>
  <c r="P32" i="17" s="1"/>
  <c r="P31" i="17" s="1"/>
  <c r="P35" i="17" s="1"/>
  <c r="O36" i="17"/>
  <c r="L32" i="17"/>
  <c r="L31" i="17" s="1"/>
  <c r="P33" i="12"/>
  <c r="S33" i="12" s="1"/>
  <c r="S8" i="12"/>
  <c r="W78" i="6"/>
  <c r="U61" i="6"/>
  <c r="W61" i="6" s="1"/>
  <c r="T5" i="6"/>
  <c r="T92" i="6" s="1"/>
  <c r="W6" i="6"/>
  <c r="W17" i="4"/>
  <c r="G5" i="5"/>
  <c r="K6" i="2"/>
  <c r="W5" i="4"/>
  <c r="K4" i="2"/>
  <c r="G10" i="7"/>
  <c r="D7" i="7"/>
  <c r="C5" i="5"/>
  <c r="E46" i="19"/>
  <c r="G46" i="19" s="1"/>
  <c r="E34" i="19"/>
  <c r="E32" i="19" s="1"/>
  <c r="E31" i="19" s="1"/>
  <c r="E35" i="19" s="1"/>
  <c r="O48" i="24"/>
  <c r="O5" i="24" s="1"/>
  <c r="P34" i="18"/>
  <c r="P32" i="18" s="1"/>
  <c r="S36" i="17"/>
  <c r="C5" i="24"/>
  <c r="I46" i="22"/>
  <c r="I34" i="22"/>
  <c r="I32" i="22" s="1"/>
  <c r="I31" i="22" s="1"/>
  <c r="I35" i="22" s="1"/>
  <c r="I46" i="17"/>
  <c r="I34" i="17"/>
  <c r="I32" i="17" s="1"/>
  <c r="I31" i="17" s="1"/>
  <c r="I35" i="17" s="1"/>
  <c r="G36" i="16"/>
  <c r="Q46" i="18"/>
  <c r="T46" i="19"/>
  <c r="M46" i="22"/>
  <c r="M34" i="22"/>
  <c r="M32" i="22" s="1"/>
  <c r="M31" i="22" s="1"/>
  <c r="M35" i="22" s="1"/>
  <c r="E34" i="17"/>
  <c r="E32" i="17" s="1"/>
  <c r="E31" i="17" s="1"/>
  <c r="E35" i="17" s="1"/>
  <c r="P34" i="19"/>
  <c r="P32" i="19" s="1"/>
  <c r="R5" i="24"/>
  <c r="O36" i="16"/>
  <c r="M46" i="16"/>
  <c r="O42" i="19"/>
  <c r="H46" i="17"/>
  <c r="K36" i="17"/>
  <c r="T46" i="16"/>
  <c r="W36" i="16"/>
  <c r="U34" i="19"/>
  <c r="U46" i="19"/>
  <c r="W36" i="21"/>
  <c r="T46" i="21"/>
  <c r="H46" i="18"/>
  <c r="I46" i="19"/>
  <c r="W7" i="4"/>
  <c r="U46" i="18"/>
  <c r="U46" i="21"/>
  <c r="M46" i="21"/>
  <c r="M34" i="21"/>
  <c r="O36" i="21"/>
  <c r="Q46" i="17"/>
  <c r="Q34" i="17"/>
  <c r="W36" i="19"/>
  <c r="E46" i="20"/>
  <c r="G36" i="20"/>
  <c r="D32" i="20"/>
  <c r="M32" i="19"/>
  <c r="M31" i="19" s="1"/>
  <c r="M35" i="19" s="1"/>
  <c r="M46" i="19"/>
  <c r="D46" i="18"/>
  <c r="G36" i="18"/>
  <c r="M46" i="18"/>
  <c r="K42" i="21"/>
  <c r="W36" i="18"/>
  <c r="T46" i="18"/>
  <c r="G46" i="16"/>
  <c r="K42" i="19"/>
  <c r="D32" i="17"/>
  <c r="O42" i="22"/>
  <c r="L34" i="22"/>
  <c r="U46" i="17"/>
  <c r="U34" i="17"/>
  <c r="U32" i="17" s="1"/>
  <c r="U31" i="17" s="1"/>
  <c r="U35" i="17" s="1"/>
  <c r="O42" i="17"/>
  <c r="M34" i="17"/>
  <c r="H46" i="20"/>
  <c r="K36" i="20"/>
  <c r="M46" i="17"/>
  <c r="O46" i="17" s="1"/>
  <c r="K36" i="19"/>
  <c r="H46" i="19"/>
  <c r="H46" i="21"/>
  <c r="K46" i="21" s="1"/>
  <c r="T46" i="17"/>
  <c r="W36" i="17"/>
  <c r="T46" i="20"/>
  <c r="W36" i="20"/>
  <c r="T46" i="22"/>
  <c r="H46" i="16"/>
  <c r="K36" i="16"/>
  <c r="D46" i="14"/>
  <c r="W36" i="14"/>
  <c r="T46" i="14"/>
  <c r="W42" i="5"/>
  <c r="W4" i="5" s="1"/>
  <c r="U21" i="7"/>
  <c r="W21" i="7" s="1"/>
  <c r="K8" i="7"/>
  <c r="F17" i="7"/>
  <c r="F12" i="7" s="1"/>
  <c r="F9" i="4" s="1"/>
  <c r="G9" i="4" s="1"/>
  <c r="G19" i="7"/>
  <c r="P46" i="21"/>
  <c r="S36" i="22"/>
  <c r="G8" i="7"/>
  <c r="E4" i="4"/>
  <c r="U12" i="7"/>
  <c r="U9" i="4" s="1"/>
  <c r="U4" i="4" s="1"/>
  <c r="S8" i="7"/>
  <c r="O22" i="7"/>
  <c r="O37" i="7"/>
  <c r="N26" i="4"/>
  <c r="K16" i="7"/>
  <c r="C30" i="7"/>
  <c r="M12" i="7"/>
  <c r="M9" i="4" s="1"/>
  <c r="P21" i="7"/>
  <c r="S21" i="7" s="1"/>
  <c r="H68" i="32"/>
  <c r="D68" i="32" s="1"/>
  <c r="D74" i="32" s="1"/>
  <c r="C68" i="32"/>
  <c r="C74" i="32" s="1"/>
  <c r="I58" i="8"/>
  <c r="I6" i="8" s="1"/>
  <c r="C15" i="4"/>
  <c r="E7" i="7"/>
  <c r="S24" i="7"/>
  <c r="W6" i="4"/>
  <c r="O24" i="7"/>
  <c r="C4" i="4"/>
  <c r="K23" i="7"/>
  <c r="L21" i="7"/>
  <c r="V26" i="4"/>
  <c r="H4" i="4"/>
  <c r="Q15" i="4"/>
  <c r="D21" i="7"/>
  <c r="G24" i="7"/>
  <c r="K22" i="7"/>
  <c r="H21" i="7"/>
  <c r="K11" i="2"/>
  <c r="G26" i="4"/>
  <c r="K19" i="2" s="1"/>
  <c r="D25" i="4"/>
  <c r="J26" i="4"/>
  <c r="S26" i="4"/>
  <c r="R25" i="4"/>
  <c r="I21" i="7"/>
  <c r="I15" i="4"/>
  <c r="K12" i="2"/>
  <c r="T15" i="4"/>
  <c r="P15" i="4"/>
  <c r="P46" i="14"/>
  <c r="S36" i="14"/>
  <c r="S4" i="13"/>
  <c r="Q49" i="12"/>
  <c r="Q35" i="12"/>
  <c r="Q34" i="12" s="1"/>
  <c r="Q38" i="12" s="1"/>
  <c r="S39" i="12"/>
  <c r="R49" i="12"/>
  <c r="P46" i="22"/>
  <c r="D66" i="32" l="1"/>
  <c r="K30" i="20"/>
  <c r="G124" i="33"/>
  <c r="G150" i="33" s="1"/>
  <c r="E48" i="23"/>
  <c r="E52" i="23" s="1"/>
  <c r="E53" i="23" s="1"/>
  <c r="W30" i="22"/>
  <c r="M92" i="36"/>
  <c r="M180" i="36" s="1"/>
  <c r="M206" i="36" s="1"/>
  <c r="P34" i="14"/>
  <c r="P32" i="14" s="1"/>
  <c r="H109" i="6"/>
  <c r="F37" i="12"/>
  <c r="D135" i="25"/>
  <c r="W30" i="19"/>
  <c r="D123" i="33"/>
  <c r="D124" i="33" s="1"/>
  <c r="D150" i="33" s="1"/>
  <c r="E46" i="37"/>
  <c r="G30" i="22"/>
  <c r="O36" i="19"/>
  <c r="E158" i="36"/>
  <c r="E178" i="36" s="1"/>
  <c r="E179" i="36" s="1"/>
  <c r="G30" i="19"/>
  <c r="J24" i="4"/>
  <c r="D34" i="14"/>
  <c r="W46" i="22"/>
  <c r="M92" i="6"/>
  <c r="E135" i="25"/>
  <c r="E44" i="35"/>
  <c r="W30" i="21"/>
  <c r="G30" i="16"/>
  <c r="E51" i="25"/>
  <c r="E33" i="33"/>
  <c r="E39" i="33" s="1"/>
  <c r="E124" i="33" s="1"/>
  <c r="E150" i="33" s="1"/>
  <c r="T34" i="22"/>
  <c r="T55" i="3" s="1"/>
  <c r="D34" i="22"/>
  <c r="D32" i="22" s="1"/>
  <c r="J92" i="6"/>
  <c r="C109" i="6"/>
  <c r="G30" i="20"/>
  <c r="O30" i="22"/>
  <c r="D53" i="23"/>
  <c r="D138" i="23" s="1"/>
  <c r="D164" i="23" s="1"/>
  <c r="G30" i="21"/>
  <c r="K30" i="21"/>
  <c r="D179" i="36"/>
  <c r="C38" i="32"/>
  <c r="C43" i="32" s="1"/>
  <c r="C44" i="32" s="1"/>
  <c r="G142" i="37"/>
  <c r="G168" i="37" s="1"/>
  <c r="D162" i="34"/>
  <c r="D163" i="34" s="1"/>
  <c r="D189" i="34" s="1"/>
  <c r="C112" i="15"/>
  <c r="H124" i="33"/>
  <c r="H150" i="33" s="1"/>
  <c r="V109" i="6"/>
  <c r="D136" i="25"/>
  <c r="D162" i="25" s="1"/>
  <c r="H34" i="22"/>
  <c r="K34" i="22" s="1"/>
  <c r="D142" i="37"/>
  <c r="D168" i="37" s="1"/>
  <c r="S30" i="19"/>
  <c r="K30" i="17"/>
  <c r="E4" i="2"/>
  <c r="E3" i="2" s="1"/>
  <c r="K36" i="22"/>
  <c r="L34" i="21"/>
  <c r="L32" i="21" s="1"/>
  <c r="L31" i="21" s="1"/>
  <c r="L35" i="21" s="1"/>
  <c r="U34" i="20"/>
  <c r="U32" i="20" s="1"/>
  <c r="U31" i="20" s="1"/>
  <c r="U35" i="20" s="1"/>
  <c r="K30" i="16"/>
  <c r="K30" i="22"/>
  <c r="V4" i="3"/>
  <c r="V45" i="3" s="1"/>
  <c r="C34" i="14"/>
  <c r="C32" i="14" s="1"/>
  <c r="C31" i="14" s="1"/>
  <c r="C35" i="14" s="1"/>
  <c r="D38" i="32"/>
  <c r="D43" i="32" s="1"/>
  <c r="D44" i="32" s="1"/>
  <c r="D107" i="32" s="1"/>
  <c r="G30" i="18"/>
  <c r="S15" i="4"/>
  <c r="U34" i="21"/>
  <c r="U32" i="21" s="1"/>
  <c r="U31" i="21" s="1"/>
  <c r="U35" i="21" s="1"/>
  <c r="O30" i="19"/>
  <c r="E110" i="35"/>
  <c r="E130" i="35" s="1"/>
  <c r="E131" i="35" s="1"/>
  <c r="E132" i="35" s="1"/>
  <c r="E158" i="35" s="1"/>
  <c r="K30" i="18"/>
  <c r="G44" i="32"/>
  <c r="G107" i="32" s="1"/>
  <c r="H34" i="21"/>
  <c r="H32" i="21" s="1"/>
  <c r="H46" i="22"/>
  <c r="AA61" i="6"/>
  <c r="E79" i="36"/>
  <c r="E86" i="36" s="1"/>
  <c r="X109" i="6"/>
  <c r="D34" i="21"/>
  <c r="D32" i="21" s="1"/>
  <c r="G32" i="21" s="1"/>
  <c r="AG4" i="3"/>
  <c r="AI17" i="3"/>
  <c r="H6" i="2" s="1"/>
  <c r="H3" i="2" s="1"/>
  <c r="H15" i="2" s="1"/>
  <c r="H24" i="2" s="1"/>
  <c r="G44" i="35"/>
  <c r="G132" i="35" s="1"/>
  <c r="G158" i="35" s="1"/>
  <c r="K30" i="14"/>
  <c r="O30" i="18"/>
  <c r="E111" i="37"/>
  <c r="E131" i="37" s="1"/>
  <c r="E132" i="37" s="1"/>
  <c r="E142" i="37" s="1"/>
  <c r="E168" i="37" s="1"/>
  <c r="D132" i="35"/>
  <c r="D158" i="35" s="1"/>
  <c r="O9" i="4"/>
  <c r="W30" i="17"/>
  <c r="E21" i="2"/>
  <c r="F74" i="32"/>
  <c r="F107" i="32" s="1"/>
  <c r="D73" i="32"/>
  <c r="S30" i="17"/>
  <c r="G180" i="36"/>
  <c r="G206" i="36" s="1"/>
  <c r="U34" i="18"/>
  <c r="U32" i="18" s="1"/>
  <c r="U31" i="18" s="1"/>
  <c r="U35" i="18" s="1"/>
  <c r="O30" i="17"/>
  <c r="G30" i="17"/>
  <c r="D34" i="16"/>
  <c r="D32" i="16" s="1"/>
  <c r="L4" i="3"/>
  <c r="U34" i="14"/>
  <c r="U32" i="14" s="1"/>
  <c r="U31" i="14" s="1"/>
  <c r="U35" i="14" s="1"/>
  <c r="O33" i="12"/>
  <c r="C3" i="2"/>
  <c r="C15" i="2" s="1"/>
  <c r="C24" i="2" s="1"/>
  <c r="M45" i="3"/>
  <c r="S37" i="12"/>
  <c r="E45" i="3"/>
  <c r="G25" i="4"/>
  <c r="S25" i="4"/>
  <c r="K18" i="2"/>
  <c r="K17" i="2" s="1"/>
  <c r="K12" i="7"/>
  <c r="V24" i="4"/>
  <c r="I7" i="7"/>
  <c r="K7" i="7" s="1"/>
  <c r="Y4" i="3"/>
  <c r="AA10" i="3"/>
  <c r="F5" i="2" s="1"/>
  <c r="F3" i="2" s="1"/>
  <c r="Z45" i="3"/>
  <c r="Z60" i="3"/>
  <c r="J35" i="12"/>
  <c r="J34" i="12" s="1"/>
  <c r="J38" i="12" s="1"/>
  <c r="Z14" i="7"/>
  <c r="O93" i="6"/>
  <c r="L109" i="6"/>
  <c r="K36" i="14"/>
  <c r="E12" i="2"/>
  <c r="E10" i="2" s="1"/>
  <c r="L30" i="3"/>
  <c r="O30" i="3" s="1"/>
  <c r="O35" i="3"/>
  <c r="O16" i="4"/>
  <c r="M10" i="2"/>
  <c r="O7" i="4"/>
  <c r="O4" i="3"/>
  <c r="H4" i="3"/>
  <c r="H45" i="3" s="1"/>
  <c r="D180" i="36"/>
  <c r="D206" i="36" s="1"/>
  <c r="O5" i="6"/>
  <c r="K30" i="19"/>
  <c r="E91" i="36"/>
  <c r="K17" i="3"/>
  <c r="D6" i="2" s="1"/>
  <c r="K5" i="3"/>
  <c r="D4" i="2" s="1"/>
  <c r="G62" i="34"/>
  <c r="G69" i="34" s="1"/>
  <c r="R34" i="14"/>
  <c r="Q202" i="8" s="1"/>
  <c r="Q38" i="7" s="1"/>
  <c r="Q32" i="7" s="1"/>
  <c r="Q31" i="7" s="1"/>
  <c r="G37" i="12"/>
  <c r="G4" i="3"/>
  <c r="D45" i="3"/>
  <c r="K40" i="3"/>
  <c r="D13" i="2" s="1"/>
  <c r="D10" i="2" s="1"/>
  <c r="I30" i="3"/>
  <c r="N34" i="14"/>
  <c r="P37" i="12"/>
  <c r="F55" i="3"/>
  <c r="F47" i="3" s="1"/>
  <c r="F46" i="3" s="1"/>
  <c r="F60" i="3" s="1"/>
  <c r="F35" i="12"/>
  <c r="F34" i="12" s="1"/>
  <c r="F38" i="12" s="1"/>
  <c r="H34" i="14"/>
  <c r="J34" i="14"/>
  <c r="I202" i="8" s="1"/>
  <c r="J14" i="4"/>
  <c r="K14" i="4" s="1"/>
  <c r="U32" i="19"/>
  <c r="U31" i="19" s="1"/>
  <c r="U35" i="19" s="1"/>
  <c r="K33" i="12"/>
  <c r="K37" i="12" s="1"/>
  <c r="H37" i="12"/>
  <c r="M34" i="14"/>
  <c r="I34" i="14"/>
  <c r="H202" i="8" s="1"/>
  <c r="E34" i="14"/>
  <c r="Q34" i="14"/>
  <c r="S46" i="22"/>
  <c r="Q34" i="21"/>
  <c r="Q32" i="21" s="1"/>
  <c r="Q31" i="21" s="1"/>
  <c r="Q35" i="21" s="1"/>
  <c r="Q34" i="18"/>
  <c r="Q32" i="18" s="1"/>
  <c r="Q31" i="18" s="1"/>
  <c r="Q35" i="18" s="1"/>
  <c r="M109" i="6"/>
  <c r="E109" i="6"/>
  <c r="G109" i="6" s="1"/>
  <c r="G70" i="34"/>
  <c r="E70" i="34" s="1"/>
  <c r="E74" i="34" s="1"/>
  <c r="N34" i="16"/>
  <c r="N32" i="16" s="1"/>
  <c r="N31" i="16" s="1"/>
  <c r="N35" i="16" s="1"/>
  <c r="U35" i="12"/>
  <c r="U34" i="12" s="1"/>
  <c r="U38" i="12" s="1"/>
  <c r="V35" i="12"/>
  <c r="V34" i="12" s="1"/>
  <c r="V38" i="12" s="1"/>
  <c r="V55" i="3"/>
  <c r="V47" i="3" s="1"/>
  <c r="V46" i="3" s="1"/>
  <c r="G34" i="21"/>
  <c r="U4" i="3"/>
  <c r="U45" i="3" s="1"/>
  <c r="S12" i="7"/>
  <c r="Z12" i="7" s="1"/>
  <c r="L46" i="14"/>
  <c r="S46" i="14"/>
  <c r="G46" i="14"/>
  <c r="G34" i="14" s="1"/>
  <c r="R32" i="20"/>
  <c r="R31" i="20" s="1"/>
  <c r="R35" i="20" s="1"/>
  <c r="S34" i="20"/>
  <c r="Q32" i="22"/>
  <c r="S34" i="22"/>
  <c r="E116" i="23"/>
  <c r="E136" i="23" s="1"/>
  <c r="E137" i="23" s="1"/>
  <c r="G136" i="23"/>
  <c r="G137" i="23" s="1"/>
  <c r="G138" i="23" s="1"/>
  <c r="G164" i="23" s="1"/>
  <c r="S30" i="20"/>
  <c r="E136" i="25"/>
  <c r="E162" i="25" s="1"/>
  <c r="S30" i="22"/>
  <c r="Q24" i="4"/>
  <c r="Q35" i="4" s="1"/>
  <c r="N92" i="6"/>
  <c r="O92" i="6" s="1"/>
  <c r="E62" i="34"/>
  <c r="E69" i="34" s="1"/>
  <c r="S30" i="14"/>
  <c r="O30" i="14"/>
  <c r="AA5" i="6"/>
  <c r="Z92" i="6"/>
  <c r="K61" i="6"/>
  <c r="J109" i="6"/>
  <c r="U109" i="6"/>
  <c r="I109" i="6"/>
  <c r="G5" i="6"/>
  <c r="D92" i="6"/>
  <c r="G92" i="6" s="1"/>
  <c r="H92" i="6"/>
  <c r="K92" i="6" s="1"/>
  <c r="K5" i="6"/>
  <c r="W10" i="3"/>
  <c r="E17" i="2"/>
  <c r="X92" i="6"/>
  <c r="W49" i="12"/>
  <c r="O49" i="12"/>
  <c r="S34" i="16"/>
  <c r="L4" i="4"/>
  <c r="S46" i="21"/>
  <c r="C201" i="8"/>
  <c r="C215" i="8" s="1"/>
  <c r="C216" i="8" s="1"/>
  <c r="O46" i="21"/>
  <c r="O46" i="22"/>
  <c r="W46" i="19"/>
  <c r="L30" i="7"/>
  <c r="U15" i="4"/>
  <c r="W15" i="4" s="1"/>
  <c r="S7" i="7"/>
  <c r="Z7" i="7" s="1"/>
  <c r="W37" i="12"/>
  <c r="T35" i="12"/>
  <c r="S5" i="5"/>
  <c r="S4" i="5" s="1"/>
  <c r="R24" i="4"/>
  <c r="R35" i="4" s="1"/>
  <c r="L10" i="2"/>
  <c r="C4" i="5"/>
  <c r="E24" i="4"/>
  <c r="E35" i="4" s="1"/>
  <c r="C107" i="32"/>
  <c r="Y109" i="6"/>
  <c r="Y92" i="6"/>
  <c r="W17" i="7"/>
  <c r="T12" i="7"/>
  <c r="T9" i="4" s="1"/>
  <c r="W30" i="3"/>
  <c r="T45" i="3"/>
  <c r="D34" i="12"/>
  <c r="G35" i="12"/>
  <c r="G34" i="19"/>
  <c r="K46" i="17"/>
  <c r="H74" i="32"/>
  <c r="H107" i="32" s="1"/>
  <c r="S46" i="17"/>
  <c r="G4" i="5"/>
  <c r="S34" i="19"/>
  <c r="K46" i="22"/>
  <c r="W46" i="21"/>
  <c r="U92" i="6"/>
  <c r="W5" i="6"/>
  <c r="T109" i="6"/>
  <c r="O4" i="5"/>
  <c r="G34" i="17"/>
  <c r="W46" i="17"/>
  <c r="S46" i="18"/>
  <c r="O34" i="20"/>
  <c r="L32" i="20"/>
  <c r="D31" i="17"/>
  <c r="G32" i="17"/>
  <c r="W34" i="19"/>
  <c r="T32" i="19"/>
  <c r="G32" i="19"/>
  <c r="D31" i="19"/>
  <c r="G34" i="16"/>
  <c r="G46" i="18"/>
  <c r="D34" i="18"/>
  <c r="E34" i="20"/>
  <c r="G46" i="20"/>
  <c r="W34" i="21"/>
  <c r="T32" i="21"/>
  <c r="K34" i="17"/>
  <c r="H32" i="17"/>
  <c r="M34" i="16"/>
  <c r="O46" i="16"/>
  <c r="D31" i="21"/>
  <c r="W46" i="20"/>
  <c r="D31" i="20"/>
  <c r="T32" i="17"/>
  <c r="K46" i="19"/>
  <c r="W46" i="18"/>
  <c r="H34" i="16"/>
  <c r="K46" i="16"/>
  <c r="K46" i="20"/>
  <c r="H34" i="20"/>
  <c r="M32" i="21"/>
  <c r="H34" i="18"/>
  <c r="K46" i="18"/>
  <c r="W46" i="16"/>
  <c r="O46" i="19"/>
  <c r="H32" i="19"/>
  <c r="K34" i="19"/>
  <c r="M32" i="17"/>
  <c r="O34" i="17"/>
  <c r="O34" i="22"/>
  <c r="L32" i="22"/>
  <c r="M34" i="18"/>
  <c r="O46" i="18"/>
  <c r="L35" i="17"/>
  <c r="W34" i="22"/>
  <c r="Q32" i="17"/>
  <c r="S34" i="17"/>
  <c r="O34" i="19"/>
  <c r="L32" i="19"/>
  <c r="W46" i="14"/>
  <c r="K46" i="14"/>
  <c r="G17" i="7"/>
  <c r="G12" i="7" s="1"/>
  <c r="P31" i="16"/>
  <c r="P35" i="16" s="1"/>
  <c r="S32" i="16"/>
  <c r="P31" i="18"/>
  <c r="P31" i="21"/>
  <c r="Q31" i="20"/>
  <c r="I4" i="4"/>
  <c r="K4" i="4" s="1"/>
  <c r="U7" i="7"/>
  <c r="C24" i="4"/>
  <c r="C35" i="4" s="1"/>
  <c r="P30" i="7"/>
  <c r="P44" i="7" s="1"/>
  <c r="P48" i="7" s="1"/>
  <c r="O12" i="7"/>
  <c r="M7" i="7"/>
  <c r="K4" i="5"/>
  <c r="E30" i="7"/>
  <c r="E44" i="7" s="1"/>
  <c r="P31" i="19"/>
  <c r="S32" i="19"/>
  <c r="O21" i="7"/>
  <c r="Q30" i="7"/>
  <c r="L15" i="4"/>
  <c r="O15" i="4" s="1"/>
  <c r="P4" i="4"/>
  <c r="P24" i="4" s="1"/>
  <c r="K21" i="7"/>
  <c r="H30" i="7"/>
  <c r="D4" i="4"/>
  <c r="H15" i="4"/>
  <c r="K15" i="4" s="1"/>
  <c r="G21" i="7"/>
  <c r="D30" i="7"/>
  <c r="V25" i="4"/>
  <c r="W25" i="4" s="1"/>
  <c r="W26" i="4"/>
  <c r="M18" i="2" s="1"/>
  <c r="M17" i="2" s="1"/>
  <c r="N25" i="4"/>
  <c r="O25" i="4" s="1"/>
  <c r="O26" i="4"/>
  <c r="J25" i="4"/>
  <c r="K26" i="4"/>
  <c r="L19" i="2" s="1"/>
  <c r="K13" i="2"/>
  <c r="K10" i="2" s="1"/>
  <c r="D15" i="4"/>
  <c r="G15" i="4" s="1"/>
  <c r="S49" i="12"/>
  <c r="R35" i="12"/>
  <c r="P35" i="22"/>
  <c r="E138" i="23" l="1"/>
  <c r="E164" i="23" s="1"/>
  <c r="D31" i="22"/>
  <c r="G32" i="22"/>
  <c r="V60" i="3"/>
  <c r="T32" i="22"/>
  <c r="K34" i="21"/>
  <c r="O34" i="21"/>
  <c r="D55" i="3"/>
  <c r="D47" i="3" s="1"/>
  <c r="D46" i="3" s="1"/>
  <c r="H32" i="22"/>
  <c r="AA109" i="6"/>
  <c r="G34" i="22"/>
  <c r="K34" i="14"/>
  <c r="U55" i="3"/>
  <c r="U47" i="3" s="1"/>
  <c r="U46" i="3" s="1"/>
  <c r="U60" i="3" s="1"/>
  <c r="AG60" i="3"/>
  <c r="AI60" i="3" s="1"/>
  <c r="AG45" i="3"/>
  <c r="AI45" i="3" s="1"/>
  <c r="AI4" i="3"/>
  <c r="H9" i="2"/>
  <c r="H16" i="2" s="1"/>
  <c r="I30" i="7"/>
  <c r="I44" i="7" s="1"/>
  <c r="I48" i="7" s="1"/>
  <c r="K4" i="3"/>
  <c r="G74" i="34"/>
  <c r="G75" i="34" s="1"/>
  <c r="G163" i="34" s="1"/>
  <c r="G189" i="34" s="1"/>
  <c r="K109" i="6"/>
  <c r="E92" i="36"/>
  <c r="E180" i="36" s="1"/>
  <c r="E206" i="36" s="1"/>
  <c r="G45" i="3"/>
  <c r="P202" i="8"/>
  <c r="O34" i="14"/>
  <c r="L202" i="8"/>
  <c r="M202" i="8"/>
  <c r="F9" i="2"/>
  <c r="N9" i="2"/>
  <c r="F15" i="2"/>
  <c r="F24" i="2" s="1"/>
  <c r="N25" i="2" s="1"/>
  <c r="H35" i="12"/>
  <c r="H34" i="12" s="1"/>
  <c r="G202" i="8"/>
  <c r="P35" i="12"/>
  <c r="P34" i="12" s="1"/>
  <c r="P38" i="12" s="1"/>
  <c r="O202" i="8"/>
  <c r="R38" i="7" s="1"/>
  <c r="Y45" i="3"/>
  <c r="AA45" i="3" s="1"/>
  <c r="Y60" i="3"/>
  <c r="AA60" i="3" s="1"/>
  <c r="AA4" i="3"/>
  <c r="S32" i="20"/>
  <c r="S31" i="21"/>
  <c r="S32" i="18"/>
  <c r="S32" i="21"/>
  <c r="O109" i="6"/>
  <c r="L45" i="3"/>
  <c r="O45" i="3" s="1"/>
  <c r="N55" i="3"/>
  <c r="N47" i="3" s="1"/>
  <c r="N46" i="3" s="1"/>
  <c r="N60" i="3" s="1"/>
  <c r="M32" i="14"/>
  <c r="M31" i="14" s="1"/>
  <c r="M35" i="14" s="1"/>
  <c r="M55" i="3"/>
  <c r="M47" i="3" s="1"/>
  <c r="M46" i="3" s="1"/>
  <c r="M60" i="3" s="1"/>
  <c r="N32" i="14"/>
  <c r="N31" i="14" s="1"/>
  <c r="N35" i="14" s="1"/>
  <c r="L35" i="12"/>
  <c r="L34" i="12" s="1"/>
  <c r="D3" i="2"/>
  <c r="D15" i="2" s="1"/>
  <c r="D24" i="2" s="1"/>
  <c r="Q44" i="7"/>
  <c r="Q48" i="7" s="1"/>
  <c r="S34" i="18"/>
  <c r="R32" i="14"/>
  <c r="R31" i="14" s="1"/>
  <c r="R35" i="14" s="1"/>
  <c r="D14" i="2"/>
  <c r="E15" i="2"/>
  <c r="E24" i="2" s="1"/>
  <c r="S24" i="4"/>
  <c r="S34" i="21"/>
  <c r="S34" i="14"/>
  <c r="I45" i="3"/>
  <c r="K45" i="3" s="1"/>
  <c r="K30" i="3"/>
  <c r="L18" i="2"/>
  <c r="L17" i="2" s="1"/>
  <c r="H55" i="3"/>
  <c r="H47" i="3" s="1"/>
  <c r="J55" i="3"/>
  <c r="J47" i="3" s="1"/>
  <c r="J46" i="3" s="1"/>
  <c r="J60" i="3" s="1"/>
  <c r="J32" i="14"/>
  <c r="J31" i="14" s="1"/>
  <c r="J35" i="14" s="1"/>
  <c r="Q32" i="14"/>
  <c r="Q31" i="14" s="1"/>
  <c r="Q35" i="14" s="1"/>
  <c r="O46" i="14"/>
  <c r="L32" i="14"/>
  <c r="E32" i="14"/>
  <c r="E31" i="14" s="1"/>
  <c r="E35" i="14" s="1"/>
  <c r="E55" i="3"/>
  <c r="I32" i="14"/>
  <c r="I31" i="14" s="1"/>
  <c r="I35" i="14" s="1"/>
  <c r="I55" i="3"/>
  <c r="I47" i="3" s="1"/>
  <c r="I46" i="3" s="1"/>
  <c r="I60" i="3" s="1"/>
  <c r="T47" i="3"/>
  <c r="W55" i="3"/>
  <c r="W35" i="12"/>
  <c r="W4" i="3"/>
  <c r="M14" i="2"/>
  <c r="B7" i="1" s="1"/>
  <c r="I24" i="4"/>
  <c r="I35" i="4" s="1"/>
  <c r="E75" i="34"/>
  <c r="E163" i="34" s="1"/>
  <c r="E189" i="34" s="1"/>
  <c r="L24" i="4"/>
  <c r="L35" i="4" s="1"/>
  <c r="H24" i="4"/>
  <c r="Q31" i="22"/>
  <c r="S32" i="22"/>
  <c r="AA92" i="6"/>
  <c r="W109" i="6"/>
  <c r="K111" i="6"/>
  <c r="W92" i="6"/>
  <c r="T34" i="12"/>
  <c r="W34" i="12" s="1"/>
  <c r="C5" i="8"/>
  <c r="C38" i="7"/>
  <c r="C32" i="7" s="1"/>
  <c r="C31" i="7" s="1"/>
  <c r="C44" i="7" s="1"/>
  <c r="D32" i="14"/>
  <c r="D31" i="14" s="1"/>
  <c r="P35" i="21"/>
  <c r="S35" i="21" s="1"/>
  <c r="L14" i="2"/>
  <c r="W45" i="3"/>
  <c r="T7" i="7"/>
  <c r="T30" i="7" s="1"/>
  <c r="W12" i="7"/>
  <c r="T4" i="4" s="1"/>
  <c r="E14" i="2"/>
  <c r="B6" i="1" s="1"/>
  <c r="C14" i="2"/>
  <c r="K14" i="2"/>
  <c r="D38" i="12"/>
  <c r="G38" i="12" s="1"/>
  <c r="G34" i="12"/>
  <c r="W34" i="18"/>
  <c r="T32" i="18"/>
  <c r="T31" i="17"/>
  <c r="W32" i="17"/>
  <c r="M32" i="16"/>
  <c r="O34" i="16"/>
  <c r="D35" i="19"/>
  <c r="G35" i="19" s="1"/>
  <c r="G31" i="19"/>
  <c r="D35" i="17"/>
  <c r="G35" i="17" s="1"/>
  <c r="G31" i="17"/>
  <c r="M32" i="18"/>
  <c r="O34" i="18"/>
  <c r="H31" i="19"/>
  <c r="K32" i="19"/>
  <c r="M31" i="21"/>
  <c r="O32" i="21"/>
  <c r="T31" i="21"/>
  <c r="W32" i="21"/>
  <c r="G32" i="16"/>
  <c r="D31" i="16"/>
  <c r="D35" i="16" s="1"/>
  <c r="L31" i="19"/>
  <c r="O32" i="19"/>
  <c r="K32" i="21"/>
  <c r="H31" i="21"/>
  <c r="M31" i="17"/>
  <c r="O32" i="17"/>
  <c r="K34" i="18"/>
  <c r="H32" i="18"/>
  <c r="K34" i="16"/>
  <c r="H32" i="16"/>
  <c r="D35" i="21"/>
  <c r="G35" i="21" s="1"/>
  <c r="G31" i="21"/>
  <c r="K32" i="17"/>
  <c r="H31" i="17"/>
  <c r="H31" i="22"/>
  <c r="K32" i="22"/>
  <c r="L31" i="20"/>
  <c r="O32" i="20"/>
  <c r="T32" i="20"/>
  <c r="W34" i="20"/>
  <c r="D32" i="18"/>
  <c r="G34" i="18"/>
  <c r="Q31" i="17"/>
  <c r="S32" i="17"/>
  <c r="W32" i="22"/>
  <c r="T31" i="22"/>
  <c r="O32" i="22"/>
  <c r="L31" i="22"/>
  <c r="T32" i="16"/>
  <c r="W34" i="16"/>
  <c r="K34" i="20"/>
  <c r="H32" i="20"/>
  <c r="D35" i="20"/>
  <c r="E32" i="20"/>
  <c r="G34" i="20"/>
  <c r="T31" i="19"/>
  <c r="W32" i="19"/>
  <c r="H32" i="14"/>
  <c r="F7" i="7"/>
  <c r="S31" i="16"/>
  <c r="S35" i="16" s="1"/>
  <c r="S31" i="18"/>
  <c r="P35" i="18"/>
  <c r="S35" i="18" s="1"/>
  <c r="Q35" i="20"/>
  <c r="S35" i="20" s="1"/>
  <c r="S31" i="20"/>
  <c r="U30" i="7"/>
  <c r="U24" i="4"/>
  <c r="O7" i="7"/>
  <c r="M30" i="7"/>
  <c r="M4" i="4"/>
  <c r="M24" i="4" s="1"/>
  <c r="L3" i="2"/>
  <c r="P35" i="19"/>
  <c r="S35" i="19" s="1"/>
  <c r="S31" i="19"/>
  <c r="S30" i="7"/>
  <c r="S4" i="4"/>
  <c r="J35" i="4"/>
  <c r="K25" i="4"/>
  <c r="N35" i="4"/>
  <c r="K30" i="7"/>
  <c r="V35" i="4"/>
  <c r="D24" i="4"/>
  <c r="P31" i="14"/>
  <c r="R34" i="12"/>
  <c r="P35" i="4"/>
  <c r="S35" i="4" s="1"/>
  <c r="P16" i="2" l="1"/>
  <c r="W47" i="3"/>
  <c r="K35" i="12"/>
  <c r="G31" i="22"/>
  <c r="D35" i="22"/>
  <c r="G35" i="22" s="1"/>
  <c r="S35" i="12"/>
  <c r="J202" i="8"/>
  <c r="R202" i="8"/>
  <c r="F16" i="2"/>
  <c r="N16" i="2"/>
  <c r="N202" i="8"/>
  <c r="H38" i="7"/>
  <c r="H32" i="7" s="1"/>
  <c r="H31" i="7" s="1"/>
  <c r="H44" i="7" s="1"/>
  <c r="H48" i="7" s="1"/>
  <c r="F202" i="8"/>
  <c r="D38" i="7" s="1"/>
  <c r="D32" i="7" s="1"/>
  <c r="D31" i="7" s="1"/>
  <c r="D44" i="7" s="1"/>
  <c r="L38" i="7"/>
  <c r="L32" i="7" s="1"/>
  <c r="L31" i="7" s="1"/>
  <c r="L44" i="7" s="1"/>
  <c r="L48" i="7" s="1"/>
  <c r="L55" i="3"/>
  <c r="L47" i="3" s="1"/>
  <c r="O47" i="3" s="1"/>
  <c r="O35" i="12"/>
  <c r="T46" i="3"/>
  <c r="T60" i="3" s="1"/>
  <c r="W60" i="3" s="1"/>
  <c r="M32" i="7"/>
  <c r="M31" i="7" s="1"/>
  <c r="M44" i="7" s="1"/>
  <c r="M48" i="7" s="1"/>
  <c r="T38" i="12"/>
  <c r="W38" i="12" s="1"/>
  <c r="S32" i="14"/>
  <c r="E47" i="3"/>
  <c r="G55" i="3"/>
  <c r="D60" i="3"/>
  <c r="K55" i="3"/>
  <c r="H46" i="3"/>
  <c r="K47" i="3"/>
  <c r="K24" i="4"/>
  <c r="K34" i="12"/>
  <c r="H38" i="12"/>
  <c r="K38" i="12" s="1"/>
  <c r="Q35" i="22"/>
  <c r="S35" i="22" s="1"/>
  <c r="S31" i="22"/>
  <c r="O24" i="4"/>
  <c r="W30" i="7"/>
  <c r="G32" i="14"/>
  <c r="T24" i="4"/>
  <c r="W24" i="4" s="1"/>
  <c r="W7" i="7"/>
  <c r="L15" i="2"/>
  <c r="L24" i="2" s="1"/>
  <c r="D9" i="2"/>
  <c r="L9" i="2"/>
  <c r="W9" i="4"/>
  <c r="M3" i="2" s="1"/>
  <c r="M15" i="2" s="1"/>
  <c r="M24" i="2" s="1"/>
  <c r="M25" i="2" s="1"/>
  <c r="O34" i="12"/>
  <c r="L38" i="12"/>
  <c r="O38" i="12" s="1"/>
  <c r="O201" i="8"/>
  <c r="O5" i="8" s="1"/>
  <c r="K32" i="20"/>
  <c r="H31" i="20"/>
  <c r="L35" i="22"/>
  <c r="O35" i="22" s="1"/>
  <c r="O31" i="22"/>
  <c r="G32" i="18"/>
  <c r="D31" i="18"/>
  <c r="H35" i="17"/>
  <c r="K35" i="17" s="1"/>
  <c r="K31" i="17"/>
  <c r="H31" i="16"/>
  <c r="H35" i="16" s="1"/>
  <c r="K32" i="16"/>
  <c r="G31" i="16"/>
  <c r="G35" i="16" s="1"/>
  <c r="E31" i="20"/>
  <c r="G32" i="20"/>
  <c r="O31" i="20"/>
  <c r="L35" i="20"/>
  <c r="O35" i="20" s="1"/>
  <c r="M35" i="17"/>
  <c r="O35" i="17" s="1"/>
  <c r="O31" i="17"/>
  <c r="L35" i="19"/>
  <c r="O35" i="19" s="1"/>
  <c r="O31" i="19"/>
  <c r="M35" i="21"/>
  <c r="O35" i="21" s="1"/>
  <c r="O31" i="21"/>
  <c r="M31" i="18"/>
  <c r="O32" i="18"/>
  <c r="W31" i="17"/>
  <c r="T35" i="17"/>
  <c r="W35" i="17" s="1"/>
  <c r="T35" i="22"/>
  <c r="W35" i="22" s="1"/>
  <c r="W31" i="22"/>
  <c r="Q35" i="17"/>
  <c r="S35" i="17" s="1"/>
  <c r="S31" i="17"/>
  <c r="W32" i="20"/>
  <c r="T31" i="20"/>
  <c r="K32" i="18"/>
  <c r="H31" i="18"/>
  <c r="H35" i="21"/>
  <c r="K35" i="21" s="1"/>
  <c r="K31" i="21"/>
  <c r="T31" i="18"/>
  <c r="W32" i="18"/>
  <c r="T35" i="19"/>
  <c r="W35" i="19" s="1"/>
  <c r="W31" i="19"/>
  <c r="W32" i="16"/>
  <c r="T31" i="16"/>
  <c r="H35" i="22"/>
  <c r="K35" i="22" s="1"/>
  <c r="K31" i="22"/>
  <c r="W31" i="21"/>
  <c r="T35" i="21"/>
  <c r="W35" i="21" s="1"/>
  <c r="H35" i="19"/>
  <c r="K35" i="19" s="1"/>
  <c r="K31" i="19"/>
  <c r="M31" i="16"/>
  <c r="M35" i="16" s="1"/>
  <c r="O32" i="16"/>
  <c r="H31" i="14"/>
  <c r="K32" i="14"/>
  <c r="G31" i="14"/>
  <c r="D35" i="14"/>
  <c r="G35" i="14" s="1"/>
  <c r="L31" i="14"/>
  <c r="O32" i="14"/>
  <c r="F30" i="7"/>
  <c r="G7" i="7"/>
  <c r="F4" i="4"/>
  <c r="K8" i="2"/>
  <c r="K3" i="2" s="1"/>
  <c r="W4" i="4"/>
  <c r="U44" i="7"/>
  <c r="U48" i="7" s="1"/>
  <c r="H35" i="4"/>
  <c r="K35" i="4" s="1"/>
  <c r="O30" i="7"/>
  <c r="M35" i="4"/>
  <c r="O35" i="4" s="1"/>
  <c r="O4" i="4"/>
  <c r="D35" i="4"/>
  <c r="S31" i="14"/>
  <c r="P35" i="14"/>
  <c r="S35" i="14" s="1"/>
  <c r="R32" i="7"/>
  <c r="S38" i="7"/>
  <c r="R38" i="12"/>
  <c r="S38" i="12" s="1"/>
  <c r="S34" i="12"/>
  <c r="O55" i="3" l="1"/>
  <c r="W46" i="3"/>
  <c r="F201" i="8"/>
  <c r="F5" i="8" s="1"/>
  <c r="L46" i="3"/>
  <c r="E46" i="3"/>
  <c r="G47" i="3"/>
  <c r="K46" i="3"/>
  <c r="H60" i="3"/>
  <c r="K60" i="3" s="1"/>
  <c r="T35" i="4"/>
  <c r="G38" i="7"/>
  <c r="L201" i="8"/>
  <c r="L5" i="8" s="1"/>
  <c r="L25" i="2"/>
  <c r="L16" i="2"/>
  <c r="D16" i="2"/>
  <c r="B21" i="1"/>
  <c r="M9" i="2"/>
  <c r="B4" i="1" s="1"/>
  <c r="B20" i="1"/>
  <c r="E9" i="2"/>
  <c r="B2" i="1" s="1"/>
  <c r="B3" i="1" s="1"/>
  <c r="C9" i="2"/>
  <c r="K15" i="2"/>
  <c r="K24" i="2" s="1"/>
  <c r="K9" i="2"/>
  <c r="O215" i="8"/>
  <c r="O216" i="8" s="1"/>
  <c r="I201" i="8"/>
  <c r="I5" i="8" s="1"/>
  <c r="F32" i="7"/>
  <c r="F31" i="7" s="1"/>
  <c r="G31" i="7" s="1"/>
  <c r="W31" i="20"/>
  <c r="T35" i="20"/>
  <c r="W35" i="20" s="1"/>
  <c r="E35" i="20"/>
  <c r="G35" i="20" s="1"/>
  <c r="G31" i="20"/>
  <c r="K31" i="16"/>
  <c r="K35" i="16" s="1"/>
  <c r="W31" i="16"/>
  <c r="T35" i="16"/>
  <c r="W35" i="16" s="1"/>
  <c r="H35" i="18"/>
  <c r="K35" i="18" s="1"/>
  <c r="K31" i="18"/>
  <c r="M35" i="18"/>
  <c r="O35" i="18" s="1"/>
  <c r="O31" i="18"/>
  <c r="O31" i="16"/>
  <c r="O35" i="16" s="1"/>
  <c r="T35" i="18"/>
  <c r="W35" i="18" s="1"/>
  <c r="W31" i="18"/>
  <c r="D35" i="18"/>
  <c r="G35" i="18" s="1"/>
  <c r="G31" i="18"/>
  <c r="K31" i="20"/>
  <c r="H35" i="20"/>
  <c r="K35" i="20" s="1"/>
  <c r="J32" i="7"/>
  <c r="K38" i="7"/>
  <c r="K48" i="7" s="1"/>
  <c r="H35" i="14"/>
  <c r="K35" i="14" s="1"/>
  <c r="K31" i="14"/>
  <c r="O38" i="7"/>
  <c r="N32" i="7"/>
  <c r="O31" i="14"/>
  <c r="L35" i="14"/>
  <c r="O35" i="14" s="1"/>
  <c r="F24" i="4"/>
  <c r="G4" i="4"/>
  <c r="G30" i="7"/>
  <c r="U35" i="4"/>
  <c r="R31" i="7"/>
  <c r="S32" i="7"/>
  <c r="O46" i="3" l="1"/>
  <c r="L60" i="3"/>
  <c r="O60" i="3" s="1"/>
  <c r="I207" i="8"/>
  <c r="E60" i="3"/>
  <c r="G60" i="3" s="1"/>
  <c r="G46" i="3"/>
  <c r="W35" i="4"/>
  <c r="M16" i="2"/>
  <c r="B10" i="1" s="1"/>
  <c r="E16" i="2"/>
  <c r="B9" i="1" s="1"/>
  <c r="C16" i="2"/>
  <c r="K16" i="2"/>
  <c r="G32" i="7"/>
  <c r="F44" i="7"/>
  <c r="G44" i="7" s="1"/>
  <c r="G48" i="7" s="1"/>
  <c r="N31" i="7"/>
  <c r="O32" i="7"/>
  <c r="K32" i="7"/>
  <c r="J31" i="7"/>
  <c r="F35" i="4"/>
  <c r="G35" i="4" s="1"/>
  <c r="G24" i="4"/>
  <c r="R44" i="7"/>
  <c r="S31" i="7"/>
  <c r="S44" i="7" l="1"/>
  <c r="S51" i="7" s="1"/>
  <c r="R48" i="7"/>
  <c r="J44" i="7"/>
  <c r="J48" i="7" s="1"/>
  <c r="K31" i="7"/>
  <c r="N44" i="7"/>
  <c r="O31" i="7"/>
  <c r="S47" i="7" l="1"/>
  <c r="S48" i="7"/>
  <c r="O44" i="7"/>
  <c r="O48" i="7" s="1"/>
  <c r="N48" i="7"/>
  <c r="S56" i="7"/>
  <c r="K46" i="7"/>
  <c r="T32" i="14"/>
  <c r="W32" i="14" s="1"/>
  <c r="W34" i="14"/>
  <c r="T38" i="7" l="1"/>
  <c r="T32" i="7" s="1"/>
  <c r="T31" i="7" s="1"/>
  <c r="T44" i="7" s="1"/>
  <c r="T48" i="7" s="1"/>
  <c r="T31" i="14"/>
  <c r="T35" i="14" s="1"/>
  <c r="W35" i="14" s="1"/>
  <c r="R201" i="8"/>
  <c r="R5" i="8" s="1"/>
  <c r="W31" i="14" l="1"/>
  <c r="R215" i="8"/>
  <c r="R216" i="8" s="1"/>
  <c r="W38" i="7"/>
  <c r="V32" i="7"/>
  <c r="W32" i="7" l="1"/>
  <c r="V31" i="7"/>
  <c r="W31" i="7" l="1"/>
  <c r="V44" i="7"/>
  <c r="W44" i="7" l="1"/>
  <c r="W48" i="7" s="1"/>
  <c r="V48" i="7"/>
</calcChain>
</file>

<file path=xl/sharedStrings.xml><?xml version="1.0" encoding="utf-8"?>
<sst xmlns="http://schemas.openxmlformats.org/spreadsheetml/2006/main" count="6238" uniqueCount="1471">
  <si>
    <t>rovat</t>
  </si>
  <si>
    <t>főkönyvi szám</t>
  </si>
  <si>
    <t>megnevezés</t>
  </si>
  <si>
    <t>SZEMÉLYI JUTTATÁSOK ÉS JÁRULÉKOK</t>
  </si>
  <si>
    <t>K1101</t>
  </si>
  <si>
    <t>0511011</t>
  </si>
  <si>
    <t>Törvény szerinti illetmények, munkabérek</t>
  </si>
  <si>
    <t>K1102</t>
  </si>
  <si>
    <t>0511021</t>
  </si>
  <si>
    <t>Normatív jutalmak</t>
  </si>
  <si>
    <t>K1103</t>
  </si>
  <si>
    <t>0511031</t>
  </si>
  <si>
    <t>Céljuttatás, projektprémium</t>
  </si>
  <si>
    <t>K1104</t>
  </si>
  <si>
    <t>0511041</t>
  </si>
  <si>
    <t>Készenlét, ügyelet, helyettesítés, túlóra</t>
  </si>
  <si>
    <t>Készenléti, ügyeleti, helyettesítési díj</t>
  </si>
  <si>
    <t>Túlóra, túlszolgálat</t>
  </si>
  <si>
    <t>K1105</t>
  </si>
  <si>
    <t>0511051</t>
  </si>
  <si>
    <t>Végkielégítés</t>
  </si>
  <si>
    <t>K1106</t>
  </si>
  <si>
    <t>0511061</t>
  </si>
  <si>
    <t>Jubileumi jutalom</t>
  </si>
  <si>
    <t>K1107</t>
  </si>
  <si>
    <t>0511071</t>
  </si>
  <si>
    <t>Béren kívüli juttatások</t>
  </si>
  <si>
    <t>K1108</t>
  </si>
  <si>
    <t>0511081</t>
  </si>
  <si>
    <t>Ruházati költségtérítés</t>
  </si>
  <si>
    <t>K1109</t>
  </si>
  <si>
    <t>0511091</t>
  </si>
  <si>
    <t>Közlekedési költségtérítés</t>
  </si>
  <si>
    <t>K1110</t>
  </si>
  <si>
    <t>0511101</t>
  </si>
  <si>
    <t>Egyéb költségtérítések</t>
  </si>
  <si>
    <t>K1111</t>
  </si>
  <si>
    <t>0511111</t>
  </si>
  <si>
    <t>Lakhatási támogatások</t>
  </si>
  <si>
    <t>K1112</t>
  </si>
  <si>
    <t>0511121</t>
  </si>
  <si>
    <t>Szociális támogatások</t>
  </si>
  <si>
    <t>K1113</t>
  </si>
  <si>
    <t>0511131</t>
  </si>
  <si>
    <t>Foglalkoztatottak egyéb személyi juttatásai</t>
  </si>
  <si>
    <t>K11</t>
  </si>
  <si>
    <t>0511</t>
  </si>
  <si>
    <t>Foglalkoztatottak személyi juttatásai</t>
  </si>
  <si>
    <t>K121</t>
  </si>
  <si>
    <t>051211</t>
  </si>
  <si>
    <t>Választott tisztviselők juttatásai</t>
  </si>
  <si>
    <t>K122</t>
  </si>
  <si>
    <t>051221</t>
  </si>
  <si>
    <t>Nem saját foglalkoztatottnak fizetett jutt</t>
  </si>
  <si>
    <t>K123</t>
  </si>
  <si>
    <t>051231</t>
  </si>
  <si>
    <t>K12</t>
  </si>
  <si>
    <t>0512</t>
  </si>
  <si>
    <t>Külső személyi juttatások</t>
  </si>
  <si>
    <t>K1</t>
  </si>
  <si>
    <t>051</t>
  </si>
  <si>
    <t>Egészségügyi hozzájárulás</t>
  </si>
  <si>
    <t>Rehabilitációs hozzájárulás</t>
  </si>
  <si>
    <t>Munkáltatót terhelő SZJA</t>
  </si>
  <si>
    <t>K2</t>
  </si>
  <si>
    <t>052</t>
  </si>
  <si>
    <t>SZEMÉLYI JUTTATÁSOK ÉS JÁRULÉKOK ÖSSZESEN:</t>
  </si>
  <si>
    <t>K311</t>
  </si>
  <si>
    <t>053111</t>
  </si>
  <si>
    <t>Szakmai anyagok beszerzése összesen</t>
  </si>
  <si>
    <t>Gyógyszerbeszerzés</t>
  </si>
  <si>
    <t>Vegyszerbeszerzés</t>
  </si>
  <si>
    <t>Könyvbeszerzés</t>
  </si>
  <si>
    <t>Folyóirat-beszerzés</t>
  </si>
  <si>
    <t>Egyéb információhordozó beszerzés</t>
  </si>
  <si>
    <t>Egyéb szakmai anyagbeszerzés</t>
  </si>
  <si>
    <t>K312</t>
  </si>
  <si>
    <t>053121</t>
  </si>
  <si>
    <t>Üzemeltetési anyagok beszerzése összesen</t>
  </si>
  <si>
    <t>Élelmiszer-beszerzés</t>
  </si>
  <si>
    <t>Irodaszer-nyomtatvány beszerzés</t>
  </si>
  <si>
    <t>Tüzelőanyag-beszerzés</t>
  </si>
  <si>
    <t>Hajtó- és kenőanyag beszerzés</t>
  </si>
  <si>
    <t>Munkaruha, védőruha, formaruha, egyenruha</t>
  </si>
  <si>
    <t>Egyéb üzemeltetési, fennt anyagbeszerzés</t>
  </si>
  <si>
    <t>K313</t>
  </si>
  <si>
    <t>053131</t>
  </si>
  <si>
    <t>Árubeszerzés összesen</t>
  </si>
  <si>
    <t>Árubeszerzés</t>
  </si>
  <si>
    <t>Göngyölegbeszerzés</t>
  </si>
  <si>
    <t>K31</t>
  </si>
  <si>
    <t>0531</t>
  </si>
  <si>
    <t>Készletbeszerzés összesen</t>
  </si>
  <si>
    <t>K321</t>
  </si>
  <si>
    <t>053211</t>
  </si>
  <si>
    <t>Informatikai szolgáltatások igénybevétele</t>
  </si>
  <si>
    <t>Informatikai tanácsadás, üzembehelyezés</t>
  </si>
  <si>
    <t>Informatikai szolgáltatások</t>
  </si>
  <si>
    <t>Informatikai eszköz, szolg bérlése, lízing</t>
  </si>
  <si>
    <t>Informatikai eszközök karbantartása</t>
  </si>
  <si>
    <t>Adatátviteli célú távközlési díjak</t>
  </si>
  <si>
    <t>Egyéb informatikai szolgáltatás</t>
  </si>
  <si>
    <t>K322</t>
  </si>
  <si>
    <t>053221</t>
  </si>
  <si>
    <t>Egyéb kommunikációs szolg összesen</t>
  </si>
  <si>
    <t>Nem adatátviteli célú távközlési díjak</t>
  </si>
  <si>
    <t>Egyéb kommunikációs szolgáltatások</t>
  </si>
  <si>
    <t>K32</t>
  </si>
  <si>
    <t>0532</t>
  </si>
  <si>
    <t>Kommunikációs szolgáltatások összesen</t>
  </si>
  <si>
    <t>K331</t>
  </si>
  <si>
    <t>053311</t>
  </si>
  <si>
    <t>Közüzemi díjak összesen</t>
  </si>
  <si>
    <t>Villamos energia szolgáltatási díjak</t>
  </si>
  <si>
    <t>Gázenergia szolgáltatási díjak</t>
  </si>
  <si>
    <t>Víz- és csatorna díjak</t>
  </si>
  <si>
    <t>K332</t>
  </si>
  <si>
    <t>053321</t>
  </si>
  <si>
    <t>Vásárolt élelmezés</t>
  </si>
  <si>
    <t>K333</t>
  </si>
  <si>
    <t>053331</t>
  </si>
  <si>
    <t>Bérleti és lízing-díjak összesen</t>
  </si>
  <si>
    <t>PPP konstrukcióhoz kapcsolódó szolg díjak</t>
  </si>
  <si>
    <t>Egyéb bérleti és lízing díjak</t>
  </si>
  <si>
    <t>K334</t>
  </si>
  <si>
    <t>053341</t>
  </si>
  <si>
    <t>Karbantartási, kisjavítási szolgáltatások</t>
  </si>
  <si>
    <t>K335</t>
  </si>
  <si>
    <t>053351</t>
  </si>
  <si>
    <t>Közvetített szolgáltatások összesen</t>
  </si>
  <si>
    <t>Államháztartások belüli közvetített szolg</t>
  </si>
  <si>
    <t>Államháztartások kívüli közvetített szolg</t>
  </si>
  <si>
    <t>K336</t>
  </si>
  <si>
    <t>053361</t>
  </si>
  <si>
    <t>Szakmai tevékenységet segítő szolgáltatások</t>
  </si>
  <si>
    <t>Vásárolt közszolgáltatások</t>
  </si>
  <si>
    <t>Számlázott szellemi tevékenységek</t>
  </si>
  <si>
    <t>Egyéb szakmai szolgáltatások</t>
  </si>
  <si>
    <t>K337</t>
  </si>
  <si>
    <t>053371</t>
  </si>
  <si>
    <t>Egyéb szolgáltatások összesen</t>
  </si>
  <si>
    <t>Biztosítási szolgáltatási díjak</t>
  </si>
  <si>
    <t>Pénzügyi szolgáltatási díjak</t>
  </si>
  <si>
    <t>Szállítási szolgáltatási díjak</t>
  </si>
  <si>
    <t>Egyéb üzemeltetési, fennt szolgáltatások</t>
  </si>
  <si>
    <t>K33</t>
  </si>
  <si>
    <t>0533</t>
  </si>
  <si>
    <t>Szolgáltatási kiadások összesen</t>
  </si>
  <si>
    <t>K341</t>
  </si>
  <si>
    <t>053411</t>
  </si>
  <si>
    <t>Kiküldetések kiadásai összesen</t>
  </si>
  <si>
    <t>Belföldi kiküldetések kiadásai</t>
  </si>
  <si>
    <t>Külföldi kiküldetések kiadásai</t>
  </si>
  <si>
    <t>K342</t>
  </si>
  <si>
    <t>053421</t>
  </si>
  <si>
    <t>Reklám- és propaganda kiadások</t>
  </si>
  <si>
    <t>K34</t>
  </si>
  <si>
    <t>0534</t>
  </si>
  <si>
    <t>Kiküldetés, reklám, propaganda összesen</t>
  </si>
  <si>
    <t>K351</t>
  </si>
  <si>
    <t>053511</t>
  </si>
  <si>
    <t>Működési célú ÁFA összesen</t>
  </si>
  <si>
    <t>Működési célú felszám, levonható ÁFA</t>
  </si>
  <si>
    <t>Működési célú felszám, le nem vonható ÁFA</t>
  </si>
  <si>
    <t>K352</t>
  </si>
  <si>
    <t>053521</t>
  </si>
  <si>
    <t>Fizetendő ÁFA összesen</t>
  </si>
  <si>
    <t>ÁFA befizetés</t>
  </si>
  <si>
    <t>Ért tárgyi eszk, imm javak egyenes ÁFA bef</t>
  </si>
  <si>
    <t>Fordított ÁFA befizetése</t>
  </si>
  <si>
    <t>K353</t>
  </si>
  <si>
    <t>053531</t>
  </si>
  <si>
    <t>Kamatkiadások</t>
  </si>
  <si>
    <t>Államháztartáson belüli egyéb kamat</t>
  </si>
  <si>
    <t>Hitelek kamatai</t>
  </si>
  <si>
    <t>Pénzügyi lízing kiadások</t>
  </si>
  <si>
    <t>Államháztartáson kívüli egyéb kamatok</t>
  </si>
  <si>
    <t>K354</t>
  </si>
  <si>
    <t>053541</t>
  </si>
  <si>
    <t>Egyéb pénzügyi műveletek kiadásai</t>
  </si>
  <si>
    <t>Árfolyamveszteség</t>
  </si>
  <si>
    <t>Egyéb, különféle pénzügyi műveletek kiad</t>
  </si>
  <si>
    <t>K355</t>
  </si>
  <si>
    <t>053551</t>
  </si>
  <si>
    <t>Egyéb dologi kiadások</t>
  </si>
  <si>
    <t>Adók, adójellegű befizetések</t>
  </si>
  <si>
    <t>Díjak, egyéb befizetések</t>
  </si>
  <si>
    <t>Késedelmi kamat, kötbér, egyéb kártérítés</t>
  </si>
  <si>
    <t>Egyéb különféle dologi kiadások</t>
  </si>
  <si>
    <t>K35</t>
  </si>
  <si>
    <t>0535</t>
  </si>
  <si>
    <t>Különféle befizetések, egyéb dologi kiadások</t>
  </si>
  <si>
    <t>K3</t>
  </si>
  <si>
    <t>053</t>
  </si>
  <si>
    <t>FELHALMOZÁSI KIADÁSOK</t>
  </si>
  <si>
    <t>K61</t>
  </si>
  <si>
    <t>056111</t>
  </si>
  <si>
    <t>Immateriális javak beszerzése, létesítése</t>
  </si>
  <si>
    <t>K62</t>
  </si>
  <si>
    <t>056211</t>
  </si>
  <si>
    <t>Ingatlanok beszerzése, létesítése</t>
  </si>
  <si>
    <t>K63</t>
  </si>
  <si>
    <t>056311</t>
  </si>
  <si>
    <t>Informatikai eszközök beszerzése, létesítése</t>
  </si>
  <si>
    <t>K64</t>
  </si>
  <si>
    <t>056411</t>
  </si>
  <si>
    <t>Egyéb tárgyi eszköz beszerzése, létesítése</t>
  </si>
  <si>
    <t>056415</t>
  </si>
  <si>
    <t>Jármű beszerzés</t>
  </si>
  <si>
    <t>K65</t>
  </si>
  <si>
    <t>056511</t>
  </si>
  <si>
    <t>Részesedések beszerzése</t>
  </si>
  <si>
    <t>K66</t>
  </si>
  <si>
    <t>056611</t>
  </si>
  <si>
    <t>Meglévő részesedések növeléséhez kapcs kiad</t>
  </si>
  <si>
    <t>K67</t>
  </si>
  <si>
    <t>05671</t>
  </si>
  <si>
    <t>Beruházási célú előzetesen felszámított ÁFA</t>
  </si>
  <si>
    <t>K6</t>
  </si>
  <si>
    <t>056</t>
  </si>
  <si>
    <t>Beruházások összesen</t>
  </si>
  <si>
    <t>K71</t>
  </si>
  <si>
    <t>057111</t>
  </si>
  <si>
    <t>Ingatlanok felújítása</t>
  </si>
  <si>
    <t>K72</t>
  </si>
  <si>
    <t>057211</t>
  </si>
  <si>
    <t>Informatikai eszköz felújítása</t>
  </si>
  <si>
    <t>K73</t>
  </si>
  <si>
    <t>057311</t>
  </si>
  <si>
    <t>Egyéb tárgyi eszköz felújítása</t>
  </si>
  <si>
    <t>057315</t>
  </si>
  <si>
    <t>Jármű felújítása</t>
  </si>
  <si>
    <t>K74</t>
  </si>
  <si>
    <t>05741</t>
  </si>
  <si>
    <t>Felújítási célú előzetesen felszámított ÁFA</t>
  </si>
  <si>
    <t>K7</t>
  </si>
  <si>
    <t>057</t>
  </si>
  <si>
    <t>Felújítások összesen</t>
  </si>
  <si>
    <t>Felhalmozási kiadások összesen</t>
  </si>
  <si>
    <t>BEVÉTELEK</t>
  </si>
  <si>
    <t>B4</t>
  </si>
  <si>
    <t>Működési Bevételek</t>
  </si>
  <si>
    <t>B401</t>
  </si>
  <si>
    <t>Készletértékesítés ellenértéke</t>
  </si>
  <si>
    <t>B402</t>
  </si>
  <si>
    <t>Szolgáltatások ellenértéke</t>
  </si>
  <si>
    <t>B403</t>
  </si>
  <si>
    <t>Közvetített szolgáltatások ellenértéke</t>
  </si>
  <si>
    <t>B404</t>
  </si>
  <si>
    <t>Tulajdonosi bevételek</t>
  </si>
  <si>
    <t>B406</t>
  </si>
  <si>
    <t>Kiszámlázott általános forgalmi adó</t>
  </si>
  <si>
    <t>B408</t>
  </si>
  <si>
    <t>Kamatbevételek</t>
  </si>
  <si>
    <t>B410</t>
  </si>
  <si>
    <t>Egyéb működési bevételek</t>
  </si>
  <si>
    <t>B5</t>
  </si>
  <si>
    <t>Felhalmozási bevételek</t>
  </si>
  <si>
    <t>WALLA JÓZSEF ÓVODA 2016. (az adatok ezer forintban)</t>
  </si>
  <si>
    <t>2016. évi előirányzat</t>
  </si>
  <si>
    <t>2015. évi előirányzat</t>
  </si>
  <si>
    <t>óvodai nevelés</t>
  </si>
  <si>
    <t>óvodai étkeztetés</t>
  </si>
  <si>
    <t xml:space="preserve">2015. évi előirányzat </t>
  </si>
  <si>
    <t>WALLA JÓZSEF ÓVODA (az adatok ezer forintban)</t>
  </si>
  <si>
    <t>9. Szász Irén (rész)</t>
  </si>
  <si>
    <t>1. Bató  istvánné (teljes)</t>
  </si>
  <si>
    <t>2. Bazsó Borbála (teljes)</t>
  </si>
  <si>
    <t>3. Beck Tiborné (teljes)</t>
  </si>
  <si>
    <t>4. Domokos Valéria (teljes)</t>
  </si>
  <si>
    <t>5. Gál Attiláné (teljes)</t>
  </si>
  <si>
    <t>6. Hummelné fehér Edina (teljes)</t>
  </si>
  <si>
    <t>7. Molnárné Tari Erzsébet (teljes)</t>
  </si>
  <si>
    <t>8. Németh Mária Erika (teljes)</t>
  </si>
  <si>
    <t>10. Szikora Ildikó (teljes)</t>
  </si>
  <si>
    <t>11. Botos Ilona (teljes)</t>
  </si>
  <si>
    <t>12. Tősér Éva (teljes)</t>
  </si>
  <si>
    <t>13. Üres óvodaped. álláshely (teljes)</t>
  </si>
  <si>
    <t>Erzsébet utalvány</t>
  </si>
  <si>
    <t>Szemüveg (eü költségtérítés, 2fő*60e/fő)</t>
  </si>
  <si>
    <t>A törv. szerinti illetmény 0,4%-ban 2016-ra</t>
  </si>
  <si>
    <t>Tandíj (tan. szerződés Bazsó Borbála)</t>
  </si>
  <si>
    <t>Megbízási díjakra keretösszeg</t>
  </si>
  <si>
    <t>Reprezentációs kiadások kerete</t>
  </si>
  <si>
    <t>Szociális hozzájárulási adó (27%)</t>
  </si>
  <si>
    <t>Egyéb külső személyi juttatások</t>
  </si>
  <si>
    <t>Személyi juttatások</t>
  </si>
  <si>
    <t>Munkaadókat terhelő járulékok</t>
  </si>
  <si>
    <t>DOLOGI ÉS EGYÉB MŰKÖDÉSI CÉLÚ KIADÁSOK</t>
  </si>
  <si>
    <t>Becsült összeg 2015.10.26-án</t>
  </si>
  <si>
    <t>WALLA JÓZSEF ÓVODA 2016 (az adatok ezer forintban)</t>
  </si>
  <si>
    <t>MŰKÖDÉSI KIADÁSOK ÖSSZESEN</t>
  </si>
  <si>
    <t>Dologi kiadások</t>
  </si>
  <si>
    <t>FELHALMOZÁSI KIADÁSOK ÖSSZESEN</t>
  </si>
  <si>
    <t>KIADÁSOK MINDÖSSSZESEN</t>
  </si>
  <si>
    <t>SAJÁT BEVÉTELEK ÖSSZESEN</t>
  </si>
  <si>
    <t>B405</t>
  </si>
  <si>
    <t>Ellátási díjak</t>
  </si>
  <si>
    <t>B407</t>
  </si>
  <si>
    <t>Általános forgalmi adó visszatérítés</t>
  </si>
  <si>
    <t>B409</t>
  </si>
  <si>
    <t>Egyéb pénzügyi műveletek bevételei</t>
  </si>
  <si>
    <t>Adatok ezer forintban</t>
  </si>
  <si>
    <t xml:space="preserve">Cím: </t>
  </si>
  <si>
    <t>Alcím:</t>
  </si>
  <si>
    <t>Sor-szám</t>
  </si>
  <si>
    <t>Megnevezés</t>
  </si>
  <si>
    <t>Engedélyezett létszámkeret</t>
  </si>
  <si>
    <t>Közfoglalkoztatottak engedélyezett létszáma</t>
  </si>
  <si>
    <t>I.</t>
  </si>
  <si>
    <t>MŰKÖDÉSI KÖLTSÉGVETÉSI BEVÉTELEK</t>
  </si>
  <si>
    <t>1.</t>
  </si>
  <si>
    <t>Működési célú támogatások államháztartáson belülről</t>
  </si>
  <si>
    <t>1.1. Egyéb működési célú támogatások bevételei államháztartáson belülről</t>
  </si>
  <si>
    <t>Működési bevételek</t>
  </si>
  <si>
    <t>3.</t>
  </si>
  <si>
    <t>Működési célú átvett pénzeszközök</t>
  </si>
  <si>
    <t>3.1. Egyéb működési célú átvett pénzeszközök</t>
  </si>
  <si>
    <t>II.</t>
  </si>
  <si>
    <t>FELHALMOZÁSI KÖLTSÉGVETÉSI BEVÉTELEK</t>
  </si>
  <si>
    <t>Felhalmozási célú támogatások államháztartáson belülről</t>
  </si>
  <si>
    <t>1.1. Egyéb felhalmozási célú támogatások bevételei államháztartáson belülről</t>
  </si>
  <si>
    <t>2.</t>
  </si>
  <si>
    <t>2.1. Immateriális javak értékesítése</t>
  </si>
  <si>
    <t>2.2. Egyéb tárgyi eszközök értékesítése</t>
  </si>
  <si>
    <t>Felhalmozási célú átvett pénzeszközök</t>
  </si>
  <si>
    <t>3.1. Egyéb felhalmozási célú átvett pénzeszközök</t>
  </si>
  <si>
    <t>KÖLTSÉGVETÉSI BEVÉTELEK ÖSSZESEN</t>
  </si>
  <si>
    <t>III.</t>
  </si>
  <si>
    <t>FINANSZÍROZÁSI BEVÉTELEK</t>
  </si>
  <si>
    <t>Belföldi finanszírozás bevételei</t>
  </si>
  <si>
    <t>1.1. Maradvány igénybevétele</t>
  </si>
  <si>
    <t>1.2. Irányító szervi támogatás</t>
  </si>
  <si>
    <t>TÁRGYÉVI BEVÉTELEK ÖSSZESEN</t>
  </si>
  <si>
    <t>MŰKÖDÉSI KÖLTSÉGVETÉSI KIADÁSOK</t>
  </si>
  <si>
    <t>Munkaadókat terhelő járulékok és szociális hozzájárulási adó</t>
  </si>
  <si>
    <t>4.</t>
  </si>
  <si>
    <t>Ellátottak pénzbeli juttatásai</t>
  </si>
  <si>
    <t>5.</t>
  </si>
  <si>
    <t>Egyéb működési célú kiadások</t>
  </si>
  <si>
    <t>FELHALMOZÁSI KÖLTSÉGVETÉSI KIADÁSOK</t>
  </si>
  <si>
    <t>Intézményi beruházások</t>
  </si>
  <si>
    <t>Felújítások</t>
  </si>
  <si>
    <t>Egyéb felhalmozási célú kiadások</t>
  </si>
  <si>
    <t>TÁRGYÉVI KIADÁSOK ÖSSZESEN</t>
  </si>
  <si>
    <t>Kiadási előirányzat</t>
  </si>
  <si>
    <t>GAZDASÁGI SZERVEZETTEL NEM RENDELKEZŐ KÖLTSÉGVETÉSI SZERVEK</t>
  </si>
  <si>
    <t>Walla József Óvoda</t>
  </si>
  <si>
    <t>KÖTELEZŐ FELADATOK</t>
  </si>
  <si>
    <t>Óvodai nevelés</t>
  </si>
  <si>
    <t>Munkaadót terhelő járulékok</t>
  </si>
  <si>
    <t>Beruházások</t>
  </si>
  <si>
    <t>Óvodai étkeztetés</t>
  </si>
  <si>
    <t>ÖNKÉNT VÁLLALT FELADATOK</t>
  </si>
  <si>
    <t>Törökbálinti Nyitnikék Óvoda</t>
  </si>
  <si>
    <t>Törökbálinti Bóbita Óvoda</t>
  </si>
  <si>
    <t>Munkácsy Mihály Művelődési Ház</t>
  </si>
  <si>
    <t>Közművelődési tevékenységek</t>
  </si>
  <si>
    <t>Közművelődési intézmény működtetése</t>
  </si>
  <si>
    <t>Volf György Könyvtár</t>
  </si>
  <si>
    <t>Könyvtári szolgáltatások</t>
  </si>
  <si>
    <t>Múzeumi kiállítási tevékenység</t>
  </si>
  <si>
    <t>Személyi juttatás</t>
  </si>
  <si>
    <t>Dologi kiadás</t>
  </si>
  <si>
    <t>Beruházás (kis értékű)</t>
  </si>
  <si>
    <t>Segítő Kéz Szolgálat</t>
  </si>
  <si>
    <t>Családsegítés</t>
  </si>
  <si>
    <t>Házi segítségnyújtás</t>
  </si>
  <si>
    <t>Szociális étkeztetés</t>
  </si>
  <si>
    <t>Bölcsődei ellátás</t>
  </si>
  <si>
    <t>Bölcsődei étkeztetés</t>
  </si>
  <si>
    <t>Maradvány igénybevétele</t>
  </si>
  <si>
    <t>TÖRÖKBÁLINTI NYITNIKÉK ÓVODA 2016. (az adatok ezer forintban)</t>
  </si>
  <si>
    <t>TÖRÖKBÁLINTI NYITNIKÉK ÓVODA (az adatok ezer forintban)</t>
  </si>
  <si>
    <t>TÖRÖKBÁLINTI NYITNIKÉK ÓVODA 2016 (az adatok ezer forintban)</t>
  </si>
  <si>
    <t>1. Balogné Szabó Margit</t>
  </si>
  <si>
    <t>2. Bodó Viktória</t>
  </si>
  <si>
    <t>3. Csiszár Andrea</t>
  </si>
  <si>
    <t>4. Fenyves Andrea</t>
  </si>
  <si>
    <t>5. Gergye Szilvia</t>
  </si>
  <si>
    <t>6. Horváthné Hamza Edit</t>
  </si>
  <si>
    <t>7. Kálmán Viktória</t>
  </si>
  <si>
    <t>8. Kálmánné Bari Erika</t>
  </si>
  <si>
    <t>9. Keresztes Hajnalka</t>
  </si>
  <si>
    <t>10. Kisné Szél Erzsébet</t>
  </si>
  <si>
    <t>11. Kiss Rozália</t>
  </si>
  <si>
    <t>12. Kogyiláné Székely Erika</t>
  </si>
  <si>
    <t>13. Kovács Erzsébet</t>
  </si>
  <si>
    <t>14. Kovács Gabriella</t>
  </si>
  <si>
    <t>15. Krajnyák Jenőné</t>
  </si>
  <si>
    <t>16. Nagyné Tóth Magdolna</t>
  </si>
  <si>
    <t>17. Pallér Edit</t>
  </si>
  <si>
    <t>18. Petermanné Papp Krisztina</t>
  </si>
  <si>
    <t>19. Rolyák Csabáné</t>
  </si>
  <si>
    <t>20. Scheirich Szilvia</t>
  </si>
  <si>
    <t>21. Sebestyén Krisztina</t>
  </si>
  <si>
    <t>22. Szabóné Fejes Zsuzsanna</t>
  </si>
  <si>
    <t>23. Szappanosné Csáki Regina</t>
  </si>
  <si>
    <t>24. Szentkuti Anita</t>
  </si>
  <si>
    <t>25. Szentkuti Ferencné</t>
  </si>
  <si>
    <t>26. Szunai Beáta</t>
  </si>
  <si>
    <t>27. Uri Éva</t>
  </si>
  <si>
    <t>28. Valkainé Huppauer Zsuzsanna</t>
  </si>
  <si>
    <t>29. Velősiné Hamper Eszter</t>
  </si>
  <si>
    <t>30. Virág Lászlóné</t>
  </si>
  <si>
    <t>31. Üres álláshely</t>
  </si>
  <si>
    <t>Erzsébet utalvány (31 fő * 8e/hó/fő * 12hó)</t>
  </si>
  <si>
    <t>TÖRÖKBÁLINTI BÓBITA ÓVODA 2016. (az adatok ezer forintban)</t>
  </si>
  <si>
    <t>TÖRÖKBÁLINTI BÓBITA ÓVODA (az adatok ezer forintban)</t>
  </si>
  <si>
    <t>TÖRÖKBÁLINTI BÓBITA ÓVODA 2016 (az adatok ezer forintban)</t>
  </si>
  <si>
    <t>Erzsébet utalvány (56 fő * 8e/hó/fő * 12hó)</t>
  </si>
  <si>
    <t>Keretjellegű tétel</t>
  </si>
  <si>
    <t>SEGÍTŐ KÉZ SZOLGÁLAT 2016. (az adatok ezer forintban)</t>
  </si>
  <si>
    <t>családsegítés</t>
  </si>
  <si>
    <t>házi segítségnyújtás</t>
  </si>
  <si>
    <t>szociális étkeztetés</t>
  </si>
  <si>
    <t>bölcsődei ellátás</t>
  </si>
  <si>
    <t>bölcsődei étkeztetés</t>
  </si>
  <si>
    <t>korai fejlesztés</t>
  </si>
  <si>
    <t>KAB-ME-14-B-16852 2016.</t>
  </si>
  <si>
    <t>Keresztes Sándor (gondozók)</t>
  </si>
  <si>
    <t>Nagy Anikó (gondozók)</t>
  </si>
  <si>
    <t>Szemüveg (eü költségtérítés, 60e/fő)</t>
  </si>
  <si>
    <t>Cs2. Csernyánszki Andrea</t>
  </si>
  <si>
    <t>Cs3. Csokonáné Vízkeleti Ildikó</t>
  </si>
  <si>
    <t>Cs1. Ásó Bernadett</t>
  </si>
  <si>
    <t>Cs4.Takács Judit</t>
  </si>
  <si>
    <t>Cs8. Molnár Erika</t>
  </si>
  <si>
    <t>Cs5/1. Fridikné Király Eszter</t>
  </si>
  <si>
    <t>Cs5/1Földi Cristina Doris (Fridikné h.)</t>
  </si>
  <si>
    <t>Cs5/2. Hajduné Kálmán Margit</t>
  </si>
  <si>
    <t>Cs6. Kiss Bernadett</t>
  </si>
  <si>
    <t>Cs9. Putz Angelika</t>
  </si>
  <si>
    <t>Cs7/1. Dr. Lászlóné Sebők F (Réczey h.)</t>
  </si>
  <si>
    <t>Cs7/1. Réczey Kata</t>
  </si>
  <si>
    <t>Cs7/2. Orbán Dávid</t>
  </si>
  <si>
    <t>Cs10. Tordai Tünde Andrea</t>
  </si>
  <si>
    <t>Cs11. Pajor Andrea</t>
  </si>
  <si>
    <t>G1. Keresztes Sándor</t>
  </si>
  <si>
    <t>G2. Nagy Anikó</t>
  </si>
  <si>
    <t>G3. Nagy Lászlóné</t>
  </si>
  <si>
    <t>G4. Radnóti Krisztina</t>
  </si>
  <si>
    <t>G5. Scherer Henrikné</t>
  </si>
  <si>
    <t>G6. Török Sándor</t>
  </si>
  <si>
    <t>B1. Jenei Géza</t>
  </si>
  <si>
    <t>B2. Arnoldné Herczeg Edit</t>
  </si>
  <si>
    <t>B3. Csák Katalin</t>
  </si>
  <si>
    <t>B4. Dankos Mónika</t>
  </si>
  <si>
    <t>B5. Heffner Erika</t>
  </si>
  <si>
    <t>B6. Erdős Erika</t>
  </si>
  <si>
    <t>B7. Forroné Krizsek Márta</t>
  </si>
  <si>
    <t>B8. Takácsné Rácz Tímea</t>
  </si>
  <si>
    <t>B9. Ilia Mária Margit</t>
  </si>
  <si>
    <t>B10. Juhász Andrea</t>
  </si>
  <si>
    <t>B11. Dánné Molnár Jolán</t>
  </si>
  <si>
    <t>B12. Keresztély Anna</t>
  </si>
  <si>
    <t>B13. Koleszárné Varga Györgyi</t>
  </si>
  <si>
    <t>B14. Kozmáné Hégely Éva</t>
  </si>
  <si>
    <t>B15. Megyaszai Antalné</t>
  </si>
  <si>
    <t>B16. Németné Gábris Csilla</t>
  </si>
  <si>
    <t>38. Nyári Anita(elment)</t>
  </si>
  <si>
    <t>B17. Madaras Helga (Szabóné helyén)</t>
  </si>
  <si>
    <t>B17. Szabóné Balázs Krisztina</t>
  </si>
  <si>
    <t>B18. Rutkai Andrásné</t>
  </si>
  <si>
    <t>B19. Rutkai Norbertné</t>
  </si>
  <si>
    <t>B20. Szilágyiné Rádóczi Tímea</t>
  </si>
  <si>
    <t>B21. Tóth Enikő</t>
  </si>
  <si>
    <t>B22. Ujhelyi Tamara</t>
  </si>
  <si>
    <t>B23. Vereb Miklósné</t>
  </si>
  <si>
    <t>B24. Üres álláshely</t>
  </si>
  <si>
    <t>Cím:</t>
  </si>
  <si>
    <t>1. Önkormányzat</t>
  </si>
  <si>
    <t>Bevételek</t>
  </si>
  <si>
    <t>1.1. Önkormányzatok működési támogatásai</t>
  </si>
  <si>
    <t>A helyi önkormányzatok működésének általános támogatása</t>
  </si>
  <si>
    <t xml:space="preserve"> Egyes köznevelési feladatok támogatása</t>
  </si>
  <si>
    <t>Szociális, gyermekjóléti és gyermekétkeztetési feladatok támogatása</t>
  </si>
  <si>
    <t>Kulturális feladatok támogatása</t>
  </si>
  <si>
    <t>Működési célú központosított előirányzatok</t>
  </si>
  <si>
    <t>Helyi önkormányzatok kiegészítő támogatásai</t>
  </si>
  <si>
    <t>1.2. Elvonások és befizetések bevételei</t>
  </si>
  <si>
    <t>1.3. Működési célú kölcsönök visszatérülése államháztartáson belülről</t>
  </si>
  <si>
    <t>1.4. Egyéb működési célú támogatások bevételei államháztartáson belülről</t>
  </si>
  <si>
    <t>Társadalombiztosítás pénzügyi alapjaiból (OEP támogatás)</t>
  </si>
  <si>
    <t>Közhatalmi bevételek</t>
  </si>
  <si>
    <t>2.1. Vagyoni típusú adók</t>
  </si>
  <si>
    <t>Építményadó</t>
  </si>
  <si>
    <t>Telekadó</t>
  </si>
  <si>
    <t>2.2. Termékek és szolgáltatások adói</t>
  </si>
  <si>
    <t>Helyi iparűzési adó</t>
  </si>
  <si>
    <t>Gépjárműadó</t>
  </si>
  <si>
    <t>2.3. Egyéb adók</t>
  </si>
  <si>
    <t>Talajterhelési díj</t>
  </si>
  <si>
    <t>Idegenforgalmi adó</t>
  </si>
  <si>
    <t>Egyéb adóbevételek</t>
  </si>
  <si>
    <t>2.4. Egyéb közhatalmi bevételek</t>
  </si>
  <si>
    <t>Igazgatási szolgáltatási díjak</t>
  </si>
  <si>
    <t>Környezetvédelmi bírság</t>
  </si>
  <si>
    <t>Adóbírság</t>
  </si>
  <si>
    <t>Pótlékok, közhatalmi tevékenység egyéb bevételei</t>
  </si>
  <si>
    <t>3.1. Készletértékesítés ellenértéke</t>
  </si>
  <si>
    <t>3.2. Szolgáltatások ellenértéke</t>
  </si>
  <si>
    <t>Továbbszámlázott szolgáltatások bevétele</t>
  </si>
  <si>
    <t>Egyéb szolgáltatások bevétele</t>
  </si>
  <si>
    <t>3.3. Tulajdonosi bevételek</t>
  </si>
  <si>
    <t>Közterület használat</t>
  </si>
  <si>
    <t>3.4. Ellátási díjak</t>
  </si>
  <si>
    <t>3.5. Kiszámlázott általános forgalmi adó</t>
  </si>
  <si>
    <t>3.6. Általános forgalmi adó visszatérítése</t>
  </si>
  <si>
    <t>3.7. Kamatbevételek</t>
  </si>
  <si>
    <t>3.8. Egyéb működési bevételek</t>
  </si>
  <si>
    <t>4.1. Működési célú kölcsönök visszatérülése államháztartáson kívülről</t>
  </si>
  <si>
    <t>4.2. Egyéb működési célú átvett pénzeszközök</t>
  </si>
  <si>
    <t>1.1. Felhalmozási célú önkormányzati támogatások</t>
  </si>
  <si>
    <t>1.2. Felhalmozási célú kölcsönök visszatérülése államháztartáson belülről</t>
  </si>
  <si>
    <t>1.3. Egyéb felhalmozási célú támogatások bevételei államháztartáson belülről</t>
  </si>
  <si>
    <t xml:space="preserve">2.2. Ingatlanok értékesítése </t>
  </si>
  <si>
    <t>Önkormányzati lakás értékesítés</t>
  </si>
  <si>
    <t>Telekértékesítés</t>
  </si>
  <si>
    <t>Egyéb ingatlan értékesítés</t>
  </si>
  <si>
    <t>2.3. Egyéb tárgyi eszközök értékesítése</t>
  </si>
  <si>
    <t>2.4. Részesedések értékesítése</t>
  </si>
  <si>
    <t>3.1. Felhalmozási célú támogatások, kölcsönök visszatérülése EU-tól</t>
  </si>
  <si>
    <t>3.2. Felhalmozási célú támogatások, kölcsönök visszatérülése kormányoktól, más nemzetközi szervezetektől</t>
  </si>
  <si>
    <t>3.3. Felhalmozási célú kölcsönök visszatérülése államháztartáson kívülről</t>
  </si>
  <si>
    <t>Egyéb kölcsön visszafizetése (csatornabekötésre adott, egyéb)</t>
  </si>
  <si>
    <t>3.4. Egyéb felhalmozási célú átvett pénzeszközök</t>
  </si>
  <si>
    <t>Annahegyi közműberuházás I. ütem</t>
  </si>
  <si>
    <t>Annahegyi közműberuházás II. ütem</t>
  </si>
  <si>
    <t>Felsővölgyi úti szennyvízcsatorna csatlakozás</t>
  </si>
  <si>
    <t>Szőlő utcai szennyvízcsatorna csatlakozás</t>
  </si>
  <si>
    <t>1.1. Hitel-, kölcsönfelvétel államháztartáson kívülről</t>
  </si>
  <si>
    <t>Hosszú lejáratú hitel, kölcsön felvétele</t>
  </si>
  <si>
    <t>Likviditási hitel, kölcsön felvétele</t>
  </si>
  <si>
    <t>Rövid lejáratú hitel, kölcsön felvétele</t>
  </si>
  <si>
    <t>1.2. Belföldi értékpapírok bevételei</t>
  </si>
  <si>
    <t>1.3. Maradvány igénybevétele</t>
  </si>
  <si>
    <t>Működési célú maradvány igénybevétel</t>
  </si>
  <si>
    <t>Felhalmozási célú maradvány igénybevétel</t>
  </si>
  <si>
    <t>1.4. Irányító szervi támogatás</t>
  </si>
  <si>
    <t>1.5. Betétek megszüntetése</t>
  </si>
  <si>
    <t>Külföldi finanszírozás bevételei</t>
  </si>
  <si>
    <t>2.1. Külföldi értékpapírok bevételei</t>
  </si>
  <si>
    <t>2.2. Külföldi hitel, kölcsön felvétele</t>
  </si>
  <si>
    <t>3.2. Felhalmozási célú támogatások, kölcsönök visszatérülése kormányoktól, nemzetközi szervezetektől</t>
  </si>
  <si>
    <t>Cím/ alcím</t>
  </si>
  <si>
    <t>Összesen</t>
  </si>
  <si>
    <t>Zöldterület kezelés</t>
  </si>
  <si>
    <t>Települési hulladék begyűjtése</t>
  </si>
  <si>
    <t>Közvilágítás</t>
  </si>
  <si>
    <t>Közutak, járdák üzemeltetése, fenntartása</t>
  </si>
  <si>
    <t>Temető-fenntartás</t>
  </si>
  <si>
    <t>6.</t>
  </si>
  <si>
    <t>Orvosi rendelők fenntartása</t>
  </si>
  <si>
    <t>7.</t>
  </si>
  <si>
    <t>Sportpálya működtetése</t>
  </si>
  <si>
    <t>8.</t>
  </si>
  <si>
    <t>Kulturális rendezvények</t>
  </si>
  <si>
    <t>9.</t>
  </si>
  <si>
    <t>10.</t>
  </si>
  <si>
    <t>Egyéb működési célú kiadások (elvonások, befizetések)</t>
  </si>
  <si>
    <t>11.</t>
  </si>
  <si>
    <t>12.</t>
  </si>
  <si>
    <t>13.</t>
  </si>
  <si>
    <t>14.</t>
  </si>
  <si>
    <t>15.</t>
  </si>
  <si>
    <t>Iskolai étkeztetés</t>
  </si>
  <si>
    <t>Zimándy Iskola oktatás támogatása</t>
  </si>
  <si>
    <t>Bálint M. Iskola oktatás támogatása</t>
  </si>
  <si>
    <t>Szőnyi E. Zeneiskola oktatás támogatása</t>
  </si>
  <si>
    <t>Fejlesztési feladatok</t>
  </si>
  <si>
    <t>Személyi összesen</t>
  </si>
  <si>
    <t>Járulék összesen</t>
  </si>
  <si>
    <t>Dologi összesen</t>
  </si>
  <si>
    <t>Beruházás összesen</t>
  </si>
  <si>
    <t>felújítás összesen</t>
  </si>
  <si>
    <t>Kiadás mindösszesen</t>
  </si>
  <si>
    <t>VOLF GYÖRGY KÖNYVTÁR ÉS HELYTÖRTÉNETI GYŰJTEMÉNY 2016. (az adatok ezer forintban)</t>
  </si>
  <si>
    <t>VOLF GYÖRGY KÖNYVTÁR ÉS HELYTÖRTÉNETI GYŰJTEMÉNY (az adatok ezer forintban)</t>
  </si>
  <si>
    <t>VOLF GYÖRGY KÖNYVTÁR ÉS HELYTÖRTÉNETI GYŰJTEMÉNY 2016 (az adatok ezer forintban)</t>
  </si>
  <si>
    <t>Állománygyarapítás</t>
  </si>
  <si>
    <t>Kiadások</t>
  </si>
  <si>
    <t>MŰKÖDÉSI KÖLTSÉGVETÉSI KIADÁS</t>
  </si>
  <si>
    <t>MŰKÖDÉSI KÖLTSÉGVETÉSI HIÁNY</t>
  </si>
  <si>
    <t>MŰKÖDÉSI KÖLTSÉGVETÉSI TÖBBLET</t>
  </si>
  <si>
    <t>FELHALMOZÁSI KÖLTSÉGVETÉSI KIADÁS</t>
  </si>
  <si>
    <t>FELHALMOZÁSI KÖLTSÉGVETÉSI HIÁNY</t>
  </si>
  <si>
    <t>FELHALMOZÁSI KÖLTSÉGVETÉSI TÖBBLET</t>
  </si>
  <si>
    <t>KÖLTSÉGVETÉSI KIADÁSOK ÖSSZESEN</t>
  </si>
  <si>
    <t>KÖLTSÉGVETÉSI HIÁNY ÖSSZESEN</t>
  </si>
  <si>
    <t>KÖLTSÉGVETÉSI TÖBBLET ÖSSZESEN</t>
  </si>
  <si>
    <t>FINANSZÍROZÁSI KIADÁSOK</t>
  </si>
  <si>
    <t>MŰKÖDÉSI FINANSZÍROZÁSI BEVÉTELEK</t>
  </si>
  <si>
    <t>MŰKÖDÉSI FINANSZÍROZÁSI KIADÁSOK</t>
  </si>
  <si>
    <t>Belföldi finanszírozás kiadásai</t>
  </si>
  <si>
    <t>Külföldi finanszírozás kiadásai</t>
  </si>
  <si>
    <t>FELHALMOZÁSI FINANSZÍROZÁSI BEVÉTELEK</t>
  </si>
  <si>
    <t>FELHALMOZÁSI FINANSZÍROZÁSI KIADÁSOK</t>
  </si>
  <si>
    <t>Közművelődési tevékenység</t>
  </si>
  <si>
    <t>Intézmény működtetése</t>
  </si>
  <si>
    <t>Nemzeti ünnepek programjai</t>
  </si>
  <si>
    <t>MUNKÁCSY MIHÁLY MŰVELŐDÉSI HÁZ 2016. (az adatok ezer forintban)</t>
  </si>
  <si>
    <t>MUNKÁCSY MIHÁLY MŰVELŐDÉSI HÁZ  (az adatok ezer forintban)</t>
  </si>
  <si>
    <t>MUNKÁCSY MIHÁLY MŰVELŐDÉSI HÁZ 2016 (az adatok ezer forintban)</t>
  </si>
  <si>
    <t>TÖRÖKBÁLINTI POLGÁRMESTERI HIVATAL 2016. (az adatok ezer forintban)</t>
  </si>
  <si>
    <t>Önkormányzati igazgatás</t>
  </si>
  <si>
    <t>Közfoglalkoztatás</t>
  </si>
  <si>
    <t>Védőnők</t>
  </si>
  <si>
    <t>Közterület-felügyelet</t>
  </si>
  <si>
    <t>Mezei őrszolgálat</t>
  </si>
  <si>
    <t>Segélyek</t>
  </si>
  <si>
    <t>Egyéb államigazgatási feladatok</t>
  </si>
  <si>
    <t>Egyéb béren kívüli juttatások (cafeteria)</t>
  </si>
  <si>
    <t>Albérleti hozzájárulás</t>
  </si>
  <si>
    <t>Képviselők, polgármesterek juttatásai</t>
  </si>
  <si>
    <t>Egyéb választott tisztviselők juttatásai</t>
  </si>
  <si>
    <t>B3</t>
  </si>
  <si>
    <t>)</t>
  </si>
  <si>
    <t>K4</t>
  </si>
  <si>
    <t>054</t>
  </si>
  <si>
    <t>K41</t>
  </si>
  <si>
    <t>K42</t>
  </si>
  <si>
    <t>K43</t>
  </si>
  <si>
    <t>K44</t>
  </si>
  <si>
    <t>K45</t>
  </si>
  <si>
    <t>K46</t>
  </si>
  <si>
    <t>K47</t>
  </si>
  <si>
    <t>K48</t>
  </si>
  <si>
    <t>05411</t>
  </si>
  <si>
    <t>05421</t>
  </si>
  <si>
    <t>05431</t>
  </si>
  <si>
    <t>05441</t>
  </si>
  <si>
    <t>05451</t>
  </si>
  <si>
    <t>05461</t>
  </si>
  <si>
    <t>05471</t>
  </si>
  <si>
    <t>05481</t>
  </si>
  <si>
    <t>Társadalombiztosítási ellátások</t>
  </si>
  <si>
    <t>Családi támogatások</t>
  </si>
  <si>
    <t>Pénzbeli kárpótlások, kártérítések</t>
  </si>
  <si>
    <t>Betegséggel kapcsolatos (nem tb) ellátások</t>
  </si>
  <si>
    <t>Foglalkozt., munkanélk. kapcsolatos ellátások</t>
  </si>
  <si>
    <t>Lakhatással kapcsolatos ellátások</t>
  </si>
  <si>
    <t>Intézményi ellátottak pénzbeli juttatásai</t>
  </si>
  <si>
    <t>Egyéb nem intézményi ellátások</t>
  </si>
  <si>
    <t>Ped ösztöndíj, ÁROP 2015</t>
  </si>
  <si>
    <t>2. Polgármesteri Hivatal</t>
  </si>
  <si>
    <t>Ösztöndíjas foglalkoztatás engedélyezett létszáma</t>
  </si>
  <si>
    <t>1.1. Igazgatási szolgáltatási díjak</t>
  </si>
  <si>
    <t>1.2. Egyéb közhatalmi bevételek</t>
  </si>
  <si>
    <t>2.1. Készletértékesítés ellenértéke</t>
  </si>
  <si>
    <t>2.2. Szolgáltatások ellenértéke</t>
  </si>
  <si>
    <t>POLGÁRMESTERI HIVATAL</t>
  </si>
  <si>
    <t xml:space="preserve">Önkormányzati igazgatási feladatok </t>
  </si>
  <si>
    <t>Védőnői szolgálat</t>
  </si>
  <si>
    <t>Pedagógus ösztöndíj</t>
  </si>
  <si>
    <t>ÁROP-3.A.2-2013-2013-0044 Hivatal szervezetfejlesztés</t>
  </si>
  <si>
    <t>ÁLLAMIGAZGATÁSI FELADATOK</t>
  </si>
  <si>
    <t xml:space="preserve">Jegyzői hatáskörbe tartozó segélyek </t>
  </si>
  <si>
    <t xml:space="preserve">Egyéb államigazgatási feladatok </t>
  </si>
  <si>
    <t>2.3. Tulajdonosi bevételek</t>
  </si>
  <si>
    <t>2.4. Ellátási díjak</t>
  </si>
  <si>
    <t>2.5. Kiszámlázott általános forgalmi adó</t>
  </si>
  <si>
    <t>2.6. Általános forgalmi adó visszatérítése</t>
  </si>
  <si>
    <t>2.7. Kamatbevételek</t>
  </si>
  <si>
    <t>2.8. Egyéb működési bevételek</t>
  </si>
  <si>
    <t>Más közhatalmi bevételek</t>
  </si>
  <si>
    <t>Betétek megszüntetése</t>
  </si>
  <si>
    <t>5.1. Elvonások és befizetések</t>
  </si>
  <si>
    <t>5.2. Működési célú kölcsön nyújtása államháztartáson belülre</t>
  </si>
  <si>
    <t>5.3. Egyéb működési célú támogatások államháztartáson belülre</t>
  </si>
  <si>
    <t>5.4.  Egyéb működési célú támogatások államháztartáson kívülre</t>
  </si>
  <si>
    <t>5.5. Tartalékok</t>
  </si>
  <si>
    <t>Működési céltartalék</t>
  </si>
  <si>
    <t>Felhamozási céltartalék</t>
  </si>
  <si>
    <t>3.1. Felhalmozási célú kölcsönök nyújtása államháztartáson belülre</t>
  </si>
  <si>
    <t>3.2.Felhalmozási célú kölcsönök nyújtása államháztartáson kívülre</t>
  </si>
  <si>
    <t>3.3. Lakástámogatás</t>
  </si>
  <si>
    <t>3.4. Felhalmozási célú támogatások államháztartáson belülre</t>
  </si>
  <si>
    <t>3.5. Felhalmozási célú támogatások államháztartáson kívülre</t>
  </si>
  <si>
    <t>1.1. Hitel-, kölcsöntörlesztés államháztartáson kívülre</t>
  </si>
  <si>
    <t>Hosszú lejáratú hitel, kölcsön törlesztése</t>
  </si>
  <si>
    <t>Rövid lejáratú hitel, kölcsön törlesztése</t>
  </si>
  <si>
    <t>1.2. Belföldi értékpapírok kiadásai</t>
  </si>
  <si>
    <t>1.3. Államháztartáson belüli megelőlegezések visszafizetése</t>
  </si>
  <si>
    <t>1.4. Irányító szervi támogatás folyósítása</t>
  </si>
  <si>
    <t>1.5. Pénzeszközök betétként elhelyezése</t>
  </si>
  <si>
    <t>1.6. Pénzügyi lízing kiadásai</t>
  </si>
  <si>
    <t>2.1. Külföldi értékpapírok kiadásai</t>
  </si>
  <si>
    <t>2.2. Külföldi hitel, kölcsön törlesztése</t>
  </si>
  <si>
    <t>1.3. Államháztartáson belüli megelőlegezés visszafizetése</t>
  </si>
  <si>
    <t>1.4. Pénzeszközök betétként elhelyezése</t>
  </si>
  <si>
    <t>1.5. Pénzügyi lízing kiadásai</t>
  </si>
  <si>
    <t>ÖNKOMÁNYZAT</t>
  </si>
  <si>
    <t>Egészségügyi alapellátás</t>
  </si>
  <si>
    <t>Választás, népszavazás</t>
  </si>
  <si>
    <t>Lakás- és helyiséggazdálkodás</t>
  </si>
  <si>
    <t>Helyi környezet- és természetvédelem</t>
  </si>
  <si>
    <t>Egyéb településüzemeltetési feladatok</t>
  </si>
  <si>
    <t>Egyéb működési célú kiadások (tartalékok, egyéb)</t>
  </si>
  <si>
    <t>Segélyek kötelező</t>
  </si>
  <si>
    <t>16.</t>
  </si>
  <si>
    <t>17.</t>
  </si>
  <si>
    <t>Rendőrség támogatása</t>
  </si>
  <si>
    <t>18.</t>
  </si>
  <si>
    <t>Hajléktalanok átmeneti elhelyezése</t>
  </si>
  <si>
    <t>19.</t>
  </si>
  <si>
    <t>20.</t>
  </si>
  <si>
    <t xml:space="preserve">Cigány Nemzetiségi Önkorm. támogatása </t>
  </si>
  <si>
    <t>21.</t>
  </si>
  <si>
    <t>Román Nemzetiségi Önkorm. Támogatása</t>
  </si>
  <si>
    <t>22.</t>
  </si>
  <si>
    <t>Együttműködés a Kaposvári Egyetemmel</t>
  </si>
  <si>
    <t>23.</t>
  </si>
  <si>
    <t>Orvosok, fogorvosok támogatása</t>
  </si>
  <si>
    <t>24.</t>
  </si>
  <si>
    <t>Városőrség támogatása</t>
  </si>
  <si>
    <t>25.</t>
  </si>
  <si>
    <t>Hegyőrség támogatása</t>
  </si>
  <si>
    <t>26.</t>
  </si>
  <si>
    <t>27.</t>
  </si>
  <si>
    <t>OMI támogatása</t>
  </si>
  <si>
    <t>28.</t>
  </si>
  <si>
    <t>Turay Ida Színház támogatása</t>
  </si>
  <si>
    <t>29.</t>
  </si>
  <si>
    <t>Civil szervezetek támogatása</t>
  </si>
  <si>
    <t>30.</t>
  </si>
  <si>
    <t xml:space="preserve">Egyházak támogatása </t>
  </si>
  <si>
    <t>31.</t>
  </si>
  <si>
    <t>Sportszervezetek támogatása</t>
  </si>
  <si>
    <t>32.</t>
  </si>
  <si>
    <t xml:space="preserve">PR-Evolution Dance Company támogatása </t>
  </si>
  <si>
    <t>Gyermekek egyéb napközbeni ellátása</t>
  </si>
  <si>
    <t>34.</t>
  </si>
  <si>
    <t>Segélyek - önként vállalt</t>
  </si>
  <si>
    <t>35.</t>
  </si>
  <si>
    <t xml:space="preserve">Egyéb önként vállalt feladatok </t>
  </si>
  <si>
    <t>36.</t>
  </si>
  <si>
    <t>Egyéb fejlesztési, felújítási feladatok</t>
  </si>
  <si>
    <t>37.</t>
  </si>
  <si>
    <t>Foglalkoztatottak részére csoportos egészségbiztosítás</t>
  </si>
  <si>
    <t>Intézményfinanszírozás</t>
  </si>
  <si>
    <t>Államháztartáson belüli megelőlegezések visszafizetése</t>
  </si>
  <si>
    <t>Hitel törlesztés</t>
  </si>
  <si>
    <t>Pénzeszközök betétként elhelyezése</t>
  </si>
  <si>
    <t>Rovatkód</t>
  </si>
  <si>
    <t>Kötelező összesen 2015</t>
  </si>
  <si>
    <t>Kötelező összesen 2016</t>
  </si>
  <si>
    <t>Önként vállalt össz 2015</t>
  </si>
  <si>
    <t>Önként vállalt össz 2016</t>
  </si>
  <si>
    <t>Finansz 2015</t>
  </si>
  <si>
    <t>Finansz 2016</t>
  </si>
  <si>
    <t>Településrendezés 121001 2015. év</t>
  </si>
  <si>
    <t>Településrendezés 121001 2016. év</t>
  </si>
  <si>
    <t>Közparkok 121002 2015. év</t>
  </si>
  <si>
    <t>Közparkok 121002 2016. év</t>
  </si>
  <si>
    <t>Eü alapellátás 121004 2015. év</t>
  </si>
  <si>
    <t>Eü alapellátás 121004 2016. év</t>
  </si>
  <si>
    <t>Védőnők 121005 2015. év</t>
  </si>
  <si>
    <t>Védőnők 121005 2016. év</t>
  </si>
  <si>
    <t>Fogy sz nappali ell 121006 2015. év</t>
  </si>
  <si>
    <t>Választás 121007 2015. év</t>
  </si>
  <si>
    <t>Választás 121007 2016. év</t>
  </si>
  <si>
    <t>Helyiséggazd 121008 2015. év</t>
  </si>
  <si>
    <t>Helyiséggazd 121008 2016. év</t>
  </si>
  <si>
    <t>Környezet-eü 121009 2015. év</t>
  </si>
  <si>
    <t>Környezet-eü 121009 2016. év</t>
  </si>
  <si>
    <t>H körny és term véd 121010 2015. év</t>
  </si>
  <si>
    <t>H körny és term véd 121010 2016. év</t>
  </si>
  <si>
    <t>Ünnepek 121028 2015. év</t>
  </si>
  <si>
    <t>Ünnepek 121028 2016. év</t>
  </si>
  <si>
    <t>Egyéb telep üz fel 121011 2015. év</t>
  </si>
  <si>
    <t>Egyéb telep üz fel 121011 2016. év</t>
  </si>
  <si>
    <t>Segélyek kötelező 121029 2015. év</t>
  </si>
  <si>
    <t>Segélyek kötelező 121029 2016. év</t>
  </si>
  <si>
    <t>Járóbeteg (nőgyógy) 122001 2015. év</t>
  </si>
  <si>
    <t>Járóbeteg (nőgyógy) 122001 2016. év</t>
  </si>
  <si>
    <t>ZED kártérítés 122002 2015. év</t>
  </si>
  <si>
    <t>ZED kártérítés 122002 2016. év</t>
  </si>
  <si>
    <t>Kerékpár koncepció 122004 2015. év</t>
  </si>
  <si>
    <t>Kerékpár koncepció 122004 2016. év</t>
  </si>
  <si>
    <t>Ifjúsági ÖK 122006 2015. év</t>
  </si>
  <si>
    <t>Ifjúsági ÖK 122006 2016. év</t>
  </si>
  <si>
    <t>Bursa ösztöndíj 122007 2015. év</t>
  </si>
  <si>
    <t>Civil koncepció 122008 2015. év</t>
  </si>
  <si>
    <t>Civil koncepció 122008 2016. év</t>
  </si>
  <si>
    <t>Családok átm otthona 122009 2015. év</t>
  </si>
  <si>
    <t>Családok átm otthona 122009 2016. év</t>
  </si>
  <si>
    <t>Gyermekek átm otthona 122010 2015. év</t>
  </si>
  <si>
    <t>Gyermekek átm otthona 122010 2016. év</t>
  </si>
  <si>
    <t>Duna Szimf 122011 2015. év</t>
  </si>
  <si>
    <t>Duna Szimf 122011 2016. év</t>
  </si>
  <si>
    <t>Korai fejlesztés 122013 2015. év</t>
  </si>
  <si>
    <t>Korai fejlesztés 122013 2016. év</t>
  </si>
  <si>
    <t>Könyvvizsgálat 122014 2015. év</t>
  </si>
  <si>
    <t>Könyvvizsgálat 122014 2016. év</t>
  </si>
  <si>
    <t>Betegszáll 122018 2015. év</t>
  </si>
  <si>
    <t>Betegszáll 122018 2016. év</t>
  </si>
  <si>
    <t>Lovas járőr 122017 2015. év</t>
  </si>
  <si>
    <t>Lovas járőr 122017 2016. év</t>
  </si>
  <si>
    <t>Közterület-felügyelet 122015 2015. év</t>
  </si>
  <si>
    <t>Közterület-felügyelet 122015 2016. év</t>
  </si>
  <si>
    <t>Tervtanács 122019 2015. év</t>
  </si>
  <si>
    <t>Tervtanács 122019 2016. év</t>
  </si>
  <si>
    <t>Médiaszolg 122020 2015. év</t>
  </si>
  <si>
    <t>Médiaszolg 122020 2016. év</t>
  </si>
  <si>
    <t>Jelzőrendszeres,, támog szolg 122021 2015. év</t>
  </si>
  <si>
    <t>Jelzőrendszeres,, támog szolg 122021 2016. év</t>
  </si>
  <si>
    <t>Rendőrség tám 122023 2015. év</t>
  </si>
  <si>
    <t>Rendőrség tám 122023 2016. év</t>
  </si>
  <si>
    <t>TNÖ tám 122025 2015. év</t>
  </si>
  <si>
    <t>TNÖ tám 122025 2016. év</t>
  </si>
  <si>
    <t>CNÖ tám 122026 2015. év</t>
  </si>
  <si>
    <t>CNÖ tám 122026 2016. év</t>
  </si>
  <si>
    <t>Kaposvári E tám 122027 2015. év</t>
  </si>
  <si>
    <t>Kaposvári E tám 122027 2016. év</t>
  </si>
  <si>
    <t>Orvosok tám 122028 2015. év</t>
  </si>
  <si>
    <t>Orvosok tám 122028 2016. év</t>
  </si>
  <si>
    <t>Városőrség tám 122029 2015. év</t>
  </si>
  <si>
    <t>Városőrség tám 122029 2016. év</t>
  </si>
  <si>
    <t>Hegyőrség 2015. év</t>
  </si>
  <si>
    <t>Hegyőrség 2016. év</t>
  </si>
  <si>
    <t>Volánbusz tám 122003 2015. év</t>
  </si>
  <si>
    <t>Volánbusz tám 122003 2016. év</t>
  </si>
  <si>
    <t>BKK tám 122030 2015. év</t>
  </si>
  <si>
    <t>BKK tám 122030 2016. év</t>
  </si>
  <si>
    <t>OMI tám 122031 2015. év</t>
  </si>
  <si>
    <t>OMI tám 122031 2016. év</t>
  </si>
  <si>
    <t>Kult szerv tám 122032 2015. év</t>
  </si>
  <si>
    <t>Kult szerv tám 122032 2016. év</t>
  </si>
  <si>
    <t>Civil tám 122033 2015. év</t>
  </si>
  <si>
    <t>Civil tám 122033 2016. év</t>
  </si>
  <si>
    <t>Egyházak tám 122034 2015. év</t>
  </si>
  <si>
    <t>Egyházak tám 122034 2016. év</t>
  </si>
  <si>
    <t>Sportszer-vezetek támogatása 2015. év</t>
  </si>
  <si>
    <t>Sportszer-vezetek támogatása 2016. év</t>
  </si>
  <si>
    <t>PR Evolution 122037 2015. év</t>
  </si>
  <si>
    <t>PR Evolution 122037 2016. év</t>
  </si>
  <si>
    <t>Shaolin Kung Fu 122038 2015. év</t>
  </si>
  <si>
    <t>Shaolin Kung Fu 122038 2016. év</t>
  </si>
  <si>
    <t>Háztartások tám 122040 2015. év</t>
  </si>
  <si>
    <t>Háztartások tám 122040 2016. év</t>
  </si>
  <si>
    <t>Gyerm e. napközbeni ellátása 122041 2015. év</t>
  </si>
  <si>
    <t>Gyerm e. napközbeni ellátása 122041 2016. év</t>
  </si>
  <si>
    <t>Segélyek önként 122042 2015. év</t>
  </si>
  <si>
    <t>Segélyek önként 122042 2016. év</t>
  </si>
  <si>
    <t>Egyéb önként vállalt 122050 2015. év</t>
  </si>
  <si>
    <t>Egyéb önként vállalt 122050 2016. év</t>
  </si>
  <si>
    <t>Beruházások 2015. év</t>
  </si>
  <si>
    <t>Beruházások 2016. év</t>
  </si>
  <si>
    <t>Felújítások 2015. év</t>
  </si>
  <si>
    <t>Felújítások 2016. év</t>
  </si>
  <si>
    <t>Kedvezményes HPV oltás 2015. év</t>
  </si>
  <si>
    <t>Kábszer Egyeztető F 122012 2015. év</t>
  </si>
  <si>
    <t>Kábszer Egyeztető F 122012 2016. év</t>
  </si>
  <si>
    <t>ÁROP Szervezetfejl. 122044 2015. év</t>
  </si>
  <si>
    <t>ÁROP Szervezetfejl. 122044 2016. év</t>
  </si>
  <si>
    <t>Foglalkoztatottak részére csop eg bizt 2015. év</t>
  </si>
  <si>
    <t>Foglalkoztatottak részére csop eg bizt 2016. év</t>
  </si>
  <si>
    <t>RNÖ támogatása 2015. év</t>
  </si>
  <si>
    <t>RNÖ támogatása 2016. év</t>
  </si>
  <si>
    <t>Törvény szerinti illetmények, munkbérek</t>
  </si>
  <si>
    <t>Foglalkoztatottak egyéb juttatásai</t>
  </si>
  <si>
    <t>Nem saját foglalkoztatottnak fizetett juttatás</t>
  </si>
  <si>
    <t>K1.</t>
  </si>
  <si>
    <t>K2.</t>
  </si>
  <si>
    <t>Szakmai anyagok beszerzése</t>
  </si>
  <si>
    <t>Üzemeltetési anyagok beszerzése</t>
  </si>
  <si>
    <t>Készletbeszerzés</t>
  </si>
  <si>
    <t>Kommunikációs szolgáltatások</t>
  </si>
  <si>
    <t>Közüzemi díjak</t>
  </si>
  <si>
    <t>Bérleti és lízing díjak</t>
  </si>
  <si>
    <t>Közvetített szolgáltatások</t>
  </si>
  <si>
    <t>Egyéb szolgáltatások</t>
  </si>
  <si>
    <t>Szolgáltatási kiadások</t>
  </si>
  <si>
    <t>Kiküldetések kiadásai</t>
  </si>
  <si>
    <t>Reklám- és propagandakiadások</t>
  </si>
  <si>
    <t>Kiküldetések, reklám-, propaganda kiadások</t>
  </si>
  <si>
    <t>Működési célú előzetesen felszámított általános forgalmi adó</t>
  </si>
  <si>
    <t>Fizetendő általános forgalmi adó</t>
  </si>
  <si>
    <t>Dologi kiadások összesen</t>
  </si>
  <si>
    <t>Betegséggel kapcsolatos (nem társadalombiztosítási) ellátások</t>
  </si>
  <si>
    <t>Foglalkoztatással, munkanélküliséggel kapcsolatos ellátások</t>
  </si>
  <si>
    <t>K501</t>
  </si>
  <si>
    <t>Nemzetközi kötelezettségek</t>
  </si>
  <si>
    <t>K502</t>
  </si>
  <si>
    <t>Elvonások és befizetések</t>
  </si>
  <si>
    <t>K503</t>
  </si>
  <si>
    <t>Működési célú garancia- és kezességvállalás áht belülre</t>
  </si>
  <si>
    <t>K504</t>
  </si>
  <si>
    <t>Működési célú visszatérítendő kölcsön nyújtás áht belülre</t>
  </si>
  <si>
    <t>K505</t>
  </si>
  <si>
    <t>Működési célú visszatérítendő kölcsöntörlesztés áht belülre</t>
  </si>
  <si>
    <t>K506</t>
  </si>
  <si>
    <t>Egyéb működési célú támogatások államháztartáson belülre</t>
  </si>
  <si>
    <t>K507</t>
  </si>
  <si>
    <t>Működési célú garancia- és kezességvállalás áht kívülre</t>
  </si>
  <si>
    <t>K508</t>
  </si>
  <si>
    <t>Működési célú visszatérítendő kölcsön nyújtás áht kívülre</t>
  </si>
  <si>
    <t>K509</t>
  </si>
  <si>
    <t>Árkiegészítések, ártámogatások</t>
  </si>
  <si>
    <t>K510</t>
  </si>
  <si>
    <t>Kamattámogatások</t>
  </si>
  <si>
    <t>K511</t>
  </si>
  <si>
    <t>Egyéb működési célú támogatások államháztartáson kívülre</t>
  </si>
  <si>
    <t>K512</t>
  </si>
  <si>
    <t>Tartalékok</t>
  </si>
  <si>
    <t>K5</t>
  </si>
  <si>
    <t>Egyéb tárgyi eszközök beszerzése, létesítése</t>
  </si>
  <si>
    <t>Meglévő részesedések növeléséhez kapcsolódó kiadások</t>
  </si>
  <si>
    <t>Beruházási célú előzetesen felszámított általános forgalmi adó</t>
  </si>
  <si>
    <t>Informatikai eszközök felújítása</t>
  </si>
  <si>
    <t>Egyéb tárgyi eszközök felújítása</t>
  </si>
  <si>
    <t>Felújítási célú előzetesen felszámított általános forgalmi adó</t>
  </si>
  <si>
    <t>K81</t>
  </si>
  <si>
    <t>Felhalmozási célú garancia- és kezességváll áht belül</t>
  </si>
  <si>
    <t>K82</t>
  </si>
  <si>
    <t>Felhalmozási célú kölcsön nyújtás áht belül</t>
  </si>
  <si>
    <t>K83</t>
  </si>
  <si>
    <t>Felhalmozási célú kölcsönök törlesztése áht belül</t>
  </si>
  <si>
    <t>K84</t>
  </si>
  <si>
    <t>Egyéb felhalmozási célú támogatások államháztartáson belülre</t>
  </si>
  <si>
    <t>K85</t>
  </si>
  <si>
    <t>Felhalmozási célú garancia- és kezességváll áht kívül</t>
  </si>
  <si>
    <t>K86</t>
  </si>
  <si>
    <t>Felhalmozási célú kölcsönök nyújtása államháztartáson kívülre</t>
  </si>
  <si>
    <t>K87</t>
  </si>
  <si>
    <t>Lakástámogatás</t>
  </si>
  <si>
    <t>K88</t>
  </si>
  <si>
    <t>Egyéb felhalmozási célú támogatások államháztartáson kívülre</t>
  </si>
  <si>
    <t>K8</t>
  </si>
  <si>
    <t>K9111</t>
  </si>
  <si>
    <t>Hosszú lejáratú hitelek, kölcsönök törlesztése</t>
  </si>
  <si>
    <t>K9112</t>
  </si>
  <si>
    <t>Likviditási célú hitelek, kölcsönök törlesztése p váll.nak</t>
  </si>
  <si>
    <t>K9113</t>
  </si>
  <si>
    <t>Rövid lejáratú hitelek, kölcsönök törlesztése</t>
  </si>
  <si>
    <t>K9121</t>
  </si>
  <si>
    <t>Forgatási célú belföldi értékpapírok vásárlása</t>
  </si>
  <si>
    <t>K9122</t>
  </si>
  <si>
    <t>Forgatási célú belföldi értékpapírok beváltása</t>
  </si>
  <si>
    <t>K9123</t>
  </si>
  <si>
    <t>Befektetési célú belföldi értékpapírok vásárlása</t>
  </si>
  <si>
    <t>K9124</t>
  </si>
  <si>
    <t>Befektetési célú belföldi értékpapírok beváltása</t>
  </si>
  <si>
    <t>K913</t>
  </si>
  <si>
    <t>Államháztartáson belüli megelőlegezések folyósítása</t>
  </si>
  <si>
    <t>K914</t>
  </si>
  <si>
    <t>K915</t>
  </si>
  <si>
    <t>Központi, irányító szervi támogatás folyósítása</t>
  </si>
  <si>
    <t>K916</t>
  </si>
  <si>
    <t>K917</t>
  </si>
  <si>
    <t>Pénzügyi lízing kiadásai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</si>
  <si>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</si>
  <si>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</si>
  <si>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</si>
  <si>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</si>
  <si>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</si>
  <si>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</si>
  <si>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</si>
  <si>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Külföldi hitelek, kölcsönök törlesztése</t>
  </si>
  <si>
    <t>K93</t>
  </si>
  <si>
    <t>Adóssághoz nem kapcsolódó származékos ügyletek kiadásai</t>
  </si>
  <si>
    <t>K9</t>
  </si>
  <si>
    <t>Finanszírozási kiadások</t>
  </si>
  <si>
    <t>KIADÁSOK MINDÖSSZESEN</t>
  </si>
  <si>
    <t>Önkormányzati beruházások</t>
  </si>
  <si>
    <t>Polgármesteri Hivatal</t>
  </si>
  <si>
    <t>Önkormányzati felújítások</t>
  </si>
  <si>
    <t>ÉTV közmű felújítás</t>
  </si>
  <si>
    <t>Intézményi felújítások</t>
  </si>
  <si>
    <t>1. Általános tartalék</t>
  </si>
  <si>
    <t>2. Működési céltartalék</t>
  </si>
  <si>
    <t>2.1. Tartalék 2014 évi maradvány céljára</t>
  </si>
  <si>
    <t>2.1. Környezetvédelmi alap</t>
  </si>
  <si>
    <t>2.2. Polgármesteri keret</t>
  </si>
  <si>
    <t>2.3. Alpolgármesteri keret</t>
  </si>
  <si>
    <t>2.5. Alpolgármesteri keret (beruh.)</t>
  </si>
  <si>
    <t>2.5. Foglalkoztatottak részére egészségbiztosítás</t>
  </si>
  <si>
    <t>2.8. TTC Labdarúgó Szakosztály támogatása</t>
  </si>
  <si>
    <t>3. Felhalmozási céltartalék</t>
  </si>
  <si>
    <t>3.1. ProgressB Zrt. elkülönített számla</t>
  </si>
  <si>
    <t xml:space="preserve">3.1. Lakásalap </t>
  </si>
  <si>
    <t>3.1. Vízügyi építési alap</t>
  </si>
  <si>
    <t>3.2. Víziközmű számla</t>
  </si>
  <si>
    <t>3.2. Pályázati önrészre elkülönített céltartalék</t>
  </si>
  <si>
    <t>3.3. Fejlesztési céltartalék</t>
  </si>
  <si>
    <t>Összesen:</t>
  </si>
  <si>
    <t>Közfoglal-koztatás 2015</t>
  </si>
  <si>
    <t>Közfoglal-köztatás 2016</t>
  </si>
  <si>
    <t>KÖLTSÉGVETÉSI HIÁNY</t>
  </si>
  <si>
    <t>KÖLTSÉGVETÉSI TÖBBLET</t>
  </si>
  <si>
    <t>MŰKÖDÉSI EGYENLEG</t>
  </si>
  <si>
    <t>FELHALMOZÁSI EGYENLEG</t>
  </si>
  <si>
    <t>KÖLTSÉGVETÉSI EGYENLEG</t>
  </si>
  <si>
    <t>BELSŐ FINANSZÍROZÁSI FORRÁS (maradvány, betét)</t>
  </si>
  <si>
    <t>VÁRHATÓ BETÉT</t>
  </si>
  <si>
    <t>ÖSSZESEN</t>
  </si>
  <si>
    <t>Erzsébet utalvány 4,5 státuszra</t>
  </si>
  <si>
    <t>Szemüveg térítés, egyéb térítés</t>
  </si>
  <si>
    <t>FELADATOK ÖSSZESEN</t>
  </si>
  <si>
    <t>I/1</t>
  </si>
  <si>
    <t>I/2</t>
  </si>
  <si>
    <t>I/3</t>
  </si>
  <si>
    <t>I/4</t>
  </si>
  <si>
    <t>I/5</t>
  </si>
  <si>
    <t>I/6</t>
  </si>
  <si>
    <t>I/7</t>
  </si>
  <si>
    <t>I/8</t>
  </si>
  <si>
    <t>I/9</t>
  </si>
  <si>
    <t>I/10</t>
  </si>
  <si>
    <t>I/11</t>
  </si>
  <si>
    <t>I/12</t>
  </si>
  <si>
    <t>I/13</t>
  </si>
  <si>
    <t>Önkormányzati igazgatási feladatok</t>
  </si>
  <si>
    <t>I/14</t>
  </si>
  <si>
    <t>I/15</t>
  </si>
  <si>
    <t>I/16</t>
  </si>
  <si>
    <t>I/17</t>
  </si>
  <si>
    <t>I/18</t>
  </si>
  <si>
    <t>I/19</t>
  </si>
  <si>
    <t>Temető fenntartás</t>
  </si>
  <si>
    <t>I/20</t>
  </si>
  <si>
    <t>I/21</t>
  </si>
  <si>
    <t>I/22</t>
  </si>
  <si>
    <t>I/23</t>
  </si>
  <si>
    <t>I/24</t>
  </si>
  <si>
    <t>I/25</t>
  </si>
  <si>
    <t>I/26</t>
  </si>
  <si>
    <t>I/27</t>
  </si>
  <si>
    <t>Közművelődési intézmények működtetése</t>
  </si>
  <si>
    <t>I/28</t>
  </si>
  <si>
    <t>I/29</t>
  </si>
  <si>
    <t>Múzeumi kiállítási tevékenység (Falumúzeum)</t>
  </si>
  <si>
    <t>I/30</t>
  </si>
  <si>
    <t>I/31</t>
  </si>
  <si>
    <t>I/32</t>
  </si>
  <si>
    <t>I/33</t>
  </si>
  <si>
    <t>I/34</t>
  </si>
  <si>
    <t>II/1</t>
  </si>
  <si>
    <t>II/2</t>
  </si>
  <si>
    <t>II/3</t>
  </si>
  <si>
    <t>II/4</t>
  </si>
  <si>
    <t>II/5</t>
  </si>
  <si>
    <t>Bursa Hungarica felsőokt ösztöndíj</t>
  </si>
  <si>
    <t>II/6</t>
  </si>
  <si>
    <t>Civil koncepció</t>
  </si>
  <si>
    <t>II/7</t>
  </si>
  <si>
    <t>II/8</t>
  </si>
  <si>
    <t>II/9</t>
  </si>
  <si>
    <t>II/10</t>
  </si>
  <si>
    <t>II/11</t>
  </si>
  <si>
    <t>II/12</t>
  </si>
  <si>
    <t>II/13</t>
  </si>
  <si>
    <t>Egyházak támogatása</t>
  </si>
  <si>
    <t>III/1</t>
  </si>
  <si>
    <t>Jegyzői hatáskörbe tartozó segélyek</t>
  </si>
  <si>
    <t>III/2</t>
  </si>
  <si>
    <t>IV.</t>
  </si>
  <si>
    <t>IV/1.</t>
  </si>
  <si>
    <t>Hiteltörlesztés</t>
  </si>
  <si>
    <t>IV/2.</t>
  </si>
  <si>
    <t>IV/3.</t>
  </si>
  <si>
    <t>Pedagógus ösztöndíj 2015.</t>
  </si>
  <si>
    <t>Pedagógus ösztöndíj 2016.</t>
  </si>
  <si>
    <t>Elfogyott</t>
  </si>
  <si>
    <t>VÁRHATÓ MARADVÁNY</t>
  </si>
  <si>
    <t>A MÉG KÖLTHETŐ LÓVÉ</t>
  </si>
  <si>
    <t>Kedvezményes oltás 2016. év</t>
  </si>
  <si>
    <t>Kedvezményes  oltás biztosítása</t>
  </si>
  <si>
    <t>32. Üres álláshely (takarító)</t>
  </si>
  <si>
    <t>Tandíj (tan. Szerz. Gergye Sz. 110e/félév*2)</t>
  </si>
  <si>
    <t>Részletes lista szerint</t>
  </si>
  <si>
    <t>Kovács Anna nyugdíjazás miatti felmentés</t>
  </si>
  <si>
    <t>Szolnoki Péterné (25 év, 2 hónap)</t>
  </si>
  <si>
    <t>Domokos Péterné (25 év, 2 hó)</t>
  </si>
  <si>
    <t>Tanulmányi ösztöndíjak 122007 2016. év</t>
  </si>
  <si>
    <t>A)</t>
  </si>
  <si>
    <t>BEVÉTELEK FORRÁSONKÉNT</t>
  </si>
  <si>
    <t>1.1. Tulajdonosi bevételek</t>
  </si>
  <si>
    <t>ÉTV bérleti díj és alapdíj</t>
  </si>
  <si>
    <t>1.2. Kiszámlázott általános forgalmi adó</t>
  </si>
  <si>
    <t>FELHALMOZÁSI BEVÉTELEK</t>
  </si>
  <si>
    <t xml:space="preserve"> Belföldi finanszírozás bevételei</t>
  </si>
  <si>
    <t>B)</t>
  </si>
  <si>
    <t>KIADÁSOK JOGCÍMENKÉNT ÉS FELADATONKÉNT</t>
  </si>
  <si>
    <t>1.1. Vízügyi Építési Alap céltartaléka</t>
  </si>
  <si>
    <t>V.</t>
  </si>
  <si>
    <t>VI.</t>
  </si>
  <si>
    <t xml:space="preserve">A Stabilitási tv. 3. § (1) bekezdése szerinti adósságot keletkeztető ügyletek és a kezességvállalásokból fennálló kötelezettségek </t>
  </si>
  <si>
    <t>Sorszám</t>
  </si>
  <si>
    <t>01</t>
  </si>
  <si>
    <t>Helyi adók</t>
  </si>
  <si>
    <t>02</t>
  </si>
  <si>
    <t>Osztalékok, koncessziós díjak</t>
  </si>
  <si>
    <t>03</t>
  </si>
  <si>
    <t>Díjak, pótlékok, bírságok</t>
  </si>
  <si>
    <t>04</t>
  </si>
  <si>
    <t>Tárgyi eszközök, immateriális javak, vagyoni értékű jog értékesítése, vagyonhasznosítás</t>
  </si>
  <si>
    <t>05</t>
  </si>
  <si>
    <t>Részvények, részesedések értékesítése</t>
  </si>
  <si>
    <t>06</t>
  </si>
  <si>
    <t>Vállalat értékesítéséből, privatizációból származó bevételek</t>
  </si>
  <si>
    <t>07</t>
  </si>
  <si>
    <t>Kezességvállalással kapcsolatos megtérülés</t>
  </si>
  <si>
    <t>08</t>
  </si>
  <si>
    <t>Saját bevételek összesen (01+…+07)</t>
  </si>
  <si>
    <t>09</t>
  </si>
  <si>
    <t>Saját bevételek 50%-a</t>
  </si>
  <si>
    <t>10</t>
  </si>
  <si>
    <t>Előző év(ek)ben keletkezett, tárgyévet terhelő fizetési kötelezettség (11+…+17)</t>
  </si>
  <si>
    <t>11</t>
  </si>
  <si>
    <t>Felvett, átvállalt hitel és annak tőketartozása</t>
  </si>
  <si>
    <t>12</t>
  </si>
  <si>
    <t>Felvett, átvállalt kölcsön és annak tőketartozása</t>
  </si>
  <si>
    <t>13</t>
  </si>
  <si>
    <t>Hitelviszonyt megtestesítő értékpapír</t>
  </si>
  <si>
    <t>14</t>
  </si>
  <si>
    <t>Adott váltó</t>
  </si>
  <si>
    <t>15</t>
  </si>
  <si>
    <t>Pénzügyi lízing</t>
  </si>
  <si>
    <t>16</t>
  </si>
  <si>
    <t>Halasztott fizetés</t>
  </si>
  <si>
    <t>17</t>
  </si>
  <si>
    <t>Kezességvállalásból eredő fizetési kötelezettség</t>
  </si>
  <si>
    <t>18</t>
  </si>
  <si>
    <t>Tárgyévben keletkezett (keletkező) fizetési kötelezettség összesen (19+…+25)</t>
  </si>
  <si>
    <t>19</t>
  </si>
  <si>
    <t>20</t>
  </si>
  <si>
    <t>21</t>
  </si>
  <si>
    <t>22</t>
  </si>
  <si>
    <t>23</t>
  </si>
  <si>
    <t>24</t>
  </si>
  <si>
    <t>25</t>
  </si>
  <si>
    <t>26</t>
  </si>
  <si>
    <t>Fizetési kötelezettség összesen (10+18)</t>
  </si>
  <si>
    <t>27</t>
  </si>
  <si>
    <t>Fizetési kötelezettséggel csökkentett saját bevétel (09-26)</t>
  </si>
  <si>
    <t>Program jelzőszáma, megnevezése</t>
  </si>
  <si>
    <t>Cím</t>
  </si>
  <si>
    <t>Alcím</t>
  </si>
  <si>
    <t>Önkormányzat</t>
  </si>
  <si>
    <t>Gazdasági szervezettel nem rendelkező költségvetési szervek</t>
  </si>
  <si>
    <t>1</t>
  </si>
  <si>
    <t>2</t>
  </si>
  <si>
    <t>3</t>
  </si>
  <si>
    <t>4</t>
  </si>
  <si>
    <t>Cím/alcím</t>
  </si>
  <si>
    <t>VÍZÜGYI ÉPÍTÉSI ALAP</t>
  </si>
  <si>
    <t>1/1.</t>
  </si>
  <si>
    <t>2.4. Humánpolitikai Bizottság kerete</t>
  </si>
  <si>
    <t>2.5. Városfejlesztési és Környezetvédelmi Bizottság kerete</t>
  </si>
  <si>
    <t>2.6. Pénzügyi, Jogi és Ügyrendi Bizottság kerete</t>
  </si>
  <si>
    <t>2.7. Érdekeltségi alap</t>
  </si>
  <si>
    <t>2.8. Gyermekek táboroztatása</t>
  </si>
  <si>
    <t>2.9. Törökbálinton működő iskolák szakmai programjainak támogatása</t>
  </si>
  <si>
    <t>2.10. Egyetemi kutatásokkal támogatott oktatás</t>
  </si>
  <si>
    <t>Intézmény megnevezése</t>
  </si>
  <si>
    <t>Közfoglal-koztatotti létszám</t>
  </si>
  <si>
    <t>Teljes munkaidős</t>
  </si>
  <si>
    <t>Rész-munkaidős</t>
  </si>
  <si>
    <t>Gazdasági szervezettel rendelkező költségvetési szervek</t>
  </si>
  <si>
    <t>Ösztöndíjas foglalkoztatás</t>
  </si>
  <si>
    <t>33. Pedagógiai asszisztens státusz 2016-tól</t>
  </si>
  <si>
    <t>Ped I. besorolás miatti többletktg (3 főnél)</t>
  </si>
  <si>
    <t>Kovács Gabriella 40 éves 5 hó * 336500 Ft/hó</t>
  </si>
  <si>
    <t>1/2.</t>
  </si>
  <si>
    <t>KÖRNYEZETVÉDELMI ALAP</t>
  </si>
  <si>
    <t>Természetvédelemmel kapcsolatos bírság</t>
  </si>
  <si>
    <t>1.1. Önkéntes befizetések</t>
  </si>
  <si>
    <t>1.1. Kamatbevételek</t>
  </si>
  <si>
    <t>1.2. Egyéb bevételek</t>
  </si>
  <si>
    <t>1.2. Pályázati források</t>
  </si>
  <si>
    <t>1.3. Az Önkormányzatot arányosan megillető megosztott bevétel [1995. évi LIII. Tv. 58. § (6) bek.]</t>
  </si>
  <si>
    <t>Környezetvédelmi Alap céltartaléka</t>
  </si>
  <si>
    <t>Géza  fejedelem  út  melletti  park  és  vízfelület kialakítása (áthúzódó kiadás)</t>
  </si>
  <si>
    <t>Idősek nappali ell 121006 2016. év</t>
  </si>
  <si>
    <t>Majális szervezése, lebonyolítása</t>
  </si>
  <si>
    <t>Majális (önként vállalt)</t>
  </si>
  <si>
    <t>Majális (önként válllalt)</t>
  </si>
  <si>
    <t>Bankszámla költségtérítés</t>
  </si>
  <si>
    <t>"Jutalomkeret" belső forrásként 3%</t>
  </si>
  <si>
    <t>Jutalomkeret (3%)</t>
  </si>
  <si>
    <t>Hajdúné Kálmán Margit (családsegítés)</t>
  </si>
  <si>
    <t>Vereb Miklósné (Bölcsőde)</t>
  </si>
  <si>
    <t>3.1. Helyi értékvédelemmel kapcsolatos feladatok</t>
  </si>
  <si>
    <t>Működési célú támogatások államháztartáson belülre</t>
  </si>
  <si>
    <t>Működési célú támogatások államháztartáson kívülre</t>
  </si>
  <si>
    <t>2017. évi eredeti</t>
  </si>
  <si>
    <t>2017. év</t>
  </si>
  <si>
    <t>2017. január 1-i tényleges nyitólétszám (fő)</t>
  </si>
  <si>
    <t>Szérűskert Bölcsőde</t>
  </si>
  <si>
    <t>2016. évi bevételi előirányzat</t>
  </si>
  <si>
    <t>2016. évi kiadási előirányzat</t>
  </si>
  <si>
    <t>2017. évi előirányzat</t>
  </si>
  <si>
    <t>2017. évi bevételi előirányzat</t>
  </si>
  <si>
    <t>2017. évi kiadási előirányzat</t>
  </si>
  <si>
    <t>2017. évi eredeti előirányzat</t>
  </si>
  <si>
    <t>KÜLSŐ FINANSZÍROZÁSI FORRÁS (hitel)</t>
  </si>
  <si>
    <t>VÁROSHÁZA HITEL</t>
  </si>
  <si>
    <t>I/35</t>
  </si>
  <si>
    <t>I/36</t>
  </si>
  <si>
    <t>Norvég Alap</t>
  </si>
  <si>
    <t>VEKOP pályázati forrás</t>
  </si>
  <si>
    <t>2.12. Egyházak támogatása</t>
  </si>
  <si>
    <t>2.13. Kedvezményes védőoltások</t>
  </si>
  <si>
    <t>MŰKÖDÉSI KÖLTSÉGVETÉSI HIÁNY TARTALÉKOK NÉLKÜL</t>
  </si>
  <si>
    <t>2.14. Iskolák üzemeltetésének megtérülő kiadásai</t>
  </si>
  <si>
    <t>2.15. Sport Kft. működési támogatása</t>
  </si>
  <si>
    <t xml:space="preserve">2017. évi előirányzat </t>
  </si>
  <si>
    <t xml:space="preserve">Kötelező feladatok </t>
  </si>
  <si>
    <t xml:space="preserve">Önként vállalt feladatok </t>
  </si>
  <si>
    <t xml:space="preserve">Államigaz-gatási feladatok </t>
  </si>
  <si>
    <t xml:space="preserve">Közfoglal. Létszám </t>
  </si>
  <si>
    <t xml:space="preserve">Engedélyezett létszám </t>
  </si>
  <si>
    <t xml:space="preserve">Kiadási előirányzat </t>
  </si>
  <si>
    <t xml:space="preserve">2017. évi eredeti </t>
  </si>
  <si>
    <t xml:space="preserve">Ösztöndíjas fogl. Létszám </t>
  </si>
  <si>
    <t xml:space="preserve">Közfogl. létszám </t>
  </si>
  <si>
    <t xml:space="preserve">Közfoglal. létszám </t>
  </si>
  <si>
    <t xml:space="preserve">Norvég Alap Pályázat </t>
  </si>
  <si>
    <t xml:space="preserve">Dologi kiadások </t>
  </si>
  <si>
    <t xml:space="preserve">Ebből: -Német Önkormányzat Törökbálint támogatása </t>
  </si>
  <si>
    <t xml:space="preserve">              - "Csupaszív" Kétnyelvű Óvoda támogatása </t>
  </si>
  <si>
    <t xml:space="preserve">Tartalékok </t>
  </si>
  <si>
    <t xml:space="preserve">Vízügyi Építési Alap céltartaléka </t>
  </si>
  <si>
    <t>33.</t>
  </si>
  <si>
    <r>
      <t>Német Önkormányzat Törökbálint</t>
    </r>
    <r>
      <rPr>
        <b/>
        <strike/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 támogatása </t>
    </r>
  </si>
  <si>
    <t>GFT fejlesztési feladatai</t>
  </si>
  <si>
    <t xml:space="preserve">Egyéb felújítás </t>
  </si>
  <si>
    <t xml:space="preserve">Engedélye-zett létszám </t>
  </si>
  <si>
    <t>38.</t>
  </si>
  <si>
    <t>Energetikai pályázat KEHOP-5.2.9</t>
  </si>
  <si>
    <t>2017. évi mód. előirányzat 1.</t>
  </si>
  <si>
    <t>2017. évi mód. előirányzat 2.</t>
  </si>
  <si>
    <t>2017. évi módosított 1.</t>
  </si>
  <si>
    <t>2017. évi módosított 2.</t>
  </si>
  <si>
    <t>2017. évi mód előirányzat 1.</t>
  </si>
  <si>
    <t>2017. évi mód előirányzat 2.</t>
  </si>
  <si>
    <t>2017. évi mód. bevételi előirányzat 1.</t>
  </si>
  <si>
    <t>2017. évi mód. kiadási előirányzat 1.</t>
  </si>
  <si>
    <t>2017. évi mód. bevételi előirányzat 2.</t>
  </si>
  <si>
    <t>2017. évi mód. kiadási előirányzat 2.</t>
  </si>
  <si>
    <t xml:space="preserve">Eng. létszám </t>
  </si>
  <si>
    <t xml:space="preserve">Közfogl. Létszám </t>
  </si>
  <si>
    <t xml:space="preserve">Ösztöndíjas fogl. létszám </t>
  </si>
  <si>
    <t xml:space="preserve">Engedélyezett létszám eredeti ei. </t>
  </si>
  <si>
    <t>2017. évi várható teljesítés</t>
  </si>
  <si>
    <t>2018. évi tervezett előirányzat</t>
  </si>
  <si>
    <t>egyéb működési célú kiadások</t>
  </si>
  <si>
    <t xml:space="preserve">VOLÁN támogatása </t>
  </si>
  <si>
    <t>dologi kiadások</t>
  </si>
  <si>
    <t>2018. év</t>
  </si>
  <si>
    <t>2018. január 1-i tényleges nyitólétszám (fő)</t>
  </si>
  <si>
    <t>Városrendészet (mezei őrszolgálat)</t>
  </si>
  <si>
    <t>Hosszú lejáratú hitel, kölcsön felvétele 2018-as engedélyeztetéssel</t>
  </si>
  <si>
    <t>2.16. Útépítési alap</t>
  </si>
  <si>
    <t xml:space="preserve">2.17. Pályázati forrásból megvalósuló beruházásokhoz önerő </t>
  </si>
  <si>
    <t>39.</t>
  </si>
  <si>
    <t>Bálint Márton iskola épületének (Óvoda u.) garanciális javítása</t>
  </si>
  <si>
    <t>2.11. Keresetkiegészítés önkormányzati dolgozóknak</t>
  </si>
  <si>
    <t>Sport Kft. Működtetése</t>
  </si>
  <si>
    <t xml:space="preserve">2018. évi bevételi előirányzat </t>
  </si>
  <si>
    <t>2018. évi bevételi előirányzat</t>
  </si>
  <si>
    <t>2018. évi kiadási előirányzat</t>
  </si>
  <si>
    <t xml:space="preserve">2018. évi kiadási előirányzat </t>
  </si>
  <si>
    <t>3. Gazdasági szervezettel nem rendelkező költségvetési szervek</t>
  </si>
  <si>
    <t>3/1.</t>
  </si>
  <si>
    <t>3/7. Segítő Kéz Szolgálat</t>
  </si>
  <si>
    <t>3/8. Szérűskert Bölcsőde</t>
  </si>
  <si>
    <t>3/2.</t>
  </si>
  <si>
    <t>3/3.</t>
  </si>
  <si>
    <t>3/4.</t>
  </si>
  <si>
    <t>3/5.</t>
  </si>
  <si>
    <t>3/6.</t>
  </si>
  <si>
    <t>3/7.</t>
  </si>
  <si>
    <t>3/8.</t>
  </si>
  <si>
    <t>Iskolai étkeztetés (Bálint M. Iskola)</t>
  </si>
  <si>
    <t>Könyvtári állomány gyarapítása feladat kiadásai</t>
  </si>
  <si>
    <t>Könyvtári állomány gyarapítása, nyilvántartása feladat kiadásai</t>
  </si>
  <si>
    <t xml:space="preserve">2018. évi előirányzat </t>
  </si>
  <si>
    <t>2018. évi várható teljesítés</t>
  </si>
  <si>
    <t>Magánszemélyek kommunális adója</t>
  </si>
  <si>
    <t>Egészségügyi Alapellátás támogatása</t>
  </si>
  <si>
    <t>Magas-hegyi Turisztikai és Sportközponttól bevételi többlet</t>
  </si>
  <si>
    <t>Önkormányzati lakások bérleti díja</t>
  </si>
  <si>
    <t>Nem lakás célú helyiségek bérleti díja</t>
  </si>
  <si>
    <t xml:space="preserve">        Munkáltatói kölcsön törlesztő részletei</t>
  </si>
  <si>
    <t xml:space="preserve">        Hegyköz Turizmusáért Egyesület</t>
  </si>
  <si>
    <t xml:space="preserve">        Zsólyomkai Egyesület</t>
  </si>
  <si>
    <t>Működési célú költségvetési támogatások és kiegészítő támogatások</t>
  </si>
  <si>
    <t>Épülethomlokzat felújítás támogatása</t>
  </si>
  <si>
    <t>Első lakáshozjutók támogatása</t>
  </si>
  <si>
    <t>2.3. Közvetített szolgáltatások ellenértéke</t>
  </si>
  <si>
    <t>Sátoraljaújhelyi Egyesített Szociális Intézmény</t>
  </si>
  <si>
    <t>Sátoraljaújhelyi Városellátó Szervezet</t>
  </si>
  <si>
    <t>3. Gazdasági szervezettel rendelkező költségvetési szervek</t>
  </si>
  <si>
    <t>3/1. Sátoraljaújhelyi Városellátó Szervezet</t>
  </si>
  <si>
    <t xml:space="preserve">Államigazgatási feladatok </t>
  </si>
  <si>
    <t>Szennyvíz gyűjtése, tisztítása, elhelyezése</t>
  </si>
  <si>
    <t>Állat-
egészségügyi ellátás</t>
  </si>
  <si>
    <t>Építményüzemeltetés</t>
  </si>
  <si>
    <t>Zöldterület kezelése</t>
  </si>
  <si>
    <t>Víztermelés, kezelés, ellátás</t>
  </si>
  <si>
    <t>Város és községgazdazdálkodás piac</t>
  </si>
  <si>
    <t>Közétkeztetés</t>
  </si>
  <si>
    <t>3/2. Sátoraljaújhelyi Egyesítettt Szociális Intézmény</t>
  </si>
  <si>
    <t>4. Gazdasági szervezettel nem rendelkező költségvetési szervek</t>
  </si>
  <si>
    <t>4/4. Sátoraljaújhelyi Városi Könyvtár</t>
  </si>
  <si>
    <t>Város és községgazdálkodási, máshová nem sorolt szolgáltatások</t>
  </si>
  <si>
    <t>Építési telkek vásárlásának támogatása</t>
  </si>
  <si>
    <t>Elismerő címek, kitüntetések adományozása</t>
  </si>
  <si>
    <t>Civil pályázati keret</t>
  </si>
  <si>
    <t>Életkezdési támogatás</t>
  </si>
  <si>
    <t>Zemplén TV műsorszolgáltatás támogatása</t>
  </si>
  <si>
    <t>Helyi újság szerkesztésének támogatása</t>
  </si>
  <si>
    <t>Első lakáshoz jutók helyi támogatása</t>
  </si>
  <si>
    <t>Tiszta utca, virágos város díjak</t>
  </si>
  <si>
    <t>Helyi vállalkozások támogatása</t>
  </si>
  <si>
    <t>Non-profit szervezetek és egyesületek tám.</t>
  </si>
  <si>
    <t>Építési alap</t>
  </si>
  <si>
    <t>Környezetvédelmi alap</t>
  </si>
  <si>
    <t>Egyéb működési kiadás</t>
  </si>
  <si>
    <t>Egyéb működési célú támogatás államháztartáson b.</t>
  </si>
  <si>
    <t>Beruházás</t>
  </si>
  <si>
    <t>Felújítás</t>
  </si>
  <si>
    <t>Egyéb működési célú kiadás - temető működtetéséhez</t>
  </si>
  <si>
    <t>3.3. Közvetített szolgáltatások ellenértéke</t>
  </si>
  <si>
    <t>4/1. Sátoraljaújhelyi Hétszínvirág Óvoda, Szlovák és Német Nemzetiségi Óvoda, Bölcsőde</t>
  </si>
  <si>
    <t>4/2. Magas-hegyi Turisztikai és Sportközpont</t>
  </si>
  <si>
    <t>4/3. Sátoraljaújhelyi Kossuth Lajos Művelődési Központ</t>
  </si>
  <si>
    <t>Sátoraljaújhelyi Hétszínvirág Óvoda, Szlovák és Német Nemzetiségi Óvoda, Bölcsőde</t>
  </si>
  <si>
    <t>Magas-hegyi Turisztikai és Sportközpont</t>
  </si>
  <si>
    <t>Sátoraljaújhelyi Kossuth Lajos Művelődési Központ</t>
  </si>
  <si>
    <t>Sátoraljaújhelyi Városi Könyvtár</t>
  </si>
  <si>
    <t>Komplex felzárkóztató program megvalósítása Sátoraljaújhely, leromlott városrészein TOP-5.2.1-15-B01-2016-00001</t>
  </si>
  <si>
    <t>"Helyi gazdaságfejlesztés Sátoraljaújhelyen" TOP-1.1.3-15-B01-2016-00011</t>
  </si>
  <si>
    <t>Ipari Park Sátoraljaújhelyen TOP-1.1.1-15-B01-2016-00001</t>
  </si>
  <si>
    <t xml:space="preserve"> Zöldebb és városi funkciókban gazdagabb Sátoraljaújhely TOP-2.1.2-15-B01-2016-00009</t>
  </si>
  <si>
    <t xml:space="preserve"> S.újhely és Mikóháza települések belterületi vízrendezése Települési környezetvéd.infrastr.fejlesztések TOP-2.1.3-15-B01-2016-00005</t>
  </si>
  <si>
    <t>"Szociális alapszolgáltatások infrastruktúrájának bővítése, fejlesztése" TOP-4.2.1-15-B01-2016-00046</t>
  </si>
  <si>
    <t>Óvodák és bölcsődék fejlesztése "A foglalk. és az életminőség jav.családbarát, munkábaállást segítő int., szolg.fejlesztésével" TOP-1.4.1-15-B01-20169-00079</t>
  </si>
  <si>
    <t>Fenntartható közlekedésfejlesztés TOP-3.1.1-15-B01-2016-00025</t>
  </si>
  <si>
    <t>Sátoraljaújhely öko- és kulturális turizmusának fejlesztése TOP-1.2.1-15-B01-2016-00025</t>
  </si>
  <si>
    <t>Helyi foglalkoztatási együttműködés kialakítása Sátoraljaújhely központtal TOP-5.1.2-15-BO1-2016-00008</t>
  </si>
  <si>
    <t>Barnamezős területek rehabilitációja Sátoraljaújhely- Pálháza TOP-2.1.1-15-BO1-2016-00001</t>
  </si>
  <si>
    <t>Önk.épület energ. Korsz. Rudabányácska TOP-3.2.1-15-B01-2016-00061</t>
  </si>
  <si>
    <t>Önk.épület energ. Korsz. Károlyfalva TOP-3.2.1-15-B01-2016-00060</t>
  </si>
  <si>
    <t>HM Tisztelet a hős katonáknak</t>
  </si>
  <si>
    <t>Humán kapacitások fejlesztése térségi szemléletben EFOP-3.9.2-16-2017-00037</t>
  </si>
  <si>
    <t>Humán szolgáltatások fejlesztése térségi szemléletben EFOP-1.5.3-16-2017-00115</t>
  </si>
  <si>
    <t>Esély Otthon EFOP-1.2.11-16-2017-00041</t>
  </si>
  <si>
    <t>Beruházási alapok</t>
  </si>
  <si>
    <t>Lakásvásárlási alap</t>
  </si>
  <si>
    <t>Karbantartási alap</t>
  </si>
  <si>
    <t>Feladatleltár kiadásaira</t>
  </si>
  <si>
    <t xml:space="preserve">1. </t>
  </si>
  <si>
    <t>Hóágyú, rattak beszerzése</t>
  </si>
  <si>
    <t>Mindösszesen</t>
  </si>
  <si>
    <t>Tartalék alap</t>
  </si>
  <si>
    <t>Közfoglal-koztatotti létszám
fő</t>
  </si>
  <si>
    <t>Engedélyezett létszám eredeti ei. 
fő</t>
  </si>
  <si>
    <t>Útfelújítási alap</t>
  </si>
  <si>
    <t>-</t>
  </si>
  <si>
    <t>Magas-hegyi Turisztikai és Sportcentrum</t>
  </si>
  <si>
    <t>Városrészi Testületek támogatása</t>
  </si>
  <si>
    <t>B</t>
  </si>
  <si>
    <t>C</t>
  </si>
  <si>
    <t>2018. évi eredeti</t>
  </si>
  <si>
    <t xml:space="preserve">2018. évi eredeti </t>
  </si>
  <si>
    <t>2018.04.30. teljesítés</t>
  </si>
  <si>
    <t>2018. évi eredeti előirányzat</t>
  </si>
  <si>
    <t xml:space="preserve">       Egyéb felhalmozási célú támogtások ÁH belülről</t>
  </si>
  <si>
    <t xml:space="preserve">          - Egyéb működési célú támogatás</t>
  </si>
  <si>
    <t>0</t>
  </si>
  <si>
    <t>2018. évi teljesítés</t>
  </si>
  <si>
    <t>A</t>
  </si>
  <si>
    <t>D</t>
  </si>
  <si>
    <t>E</t>
  </si>
  <si>
    <t>F</t>
  </si>
  <si>
    <t>G</t>
  </si>
  <si>
    <t>H</t>
  </si>
  <si>
    <t>I</t>
  </si>
  <si>
    <t>J</t>
  </si>
  <si>
    <t xml:space="preserve">K </t>
  </si>
  <si>
    <t>L</t>
  </si>
  <si>
    <t>M</t>
  </si>
  <si>
    <t>N</t>
  </si>
  <si>
    <t xml:space="preserve">2018. évi teljesítés </t>
  </si>
  <si>
    <t xml:space="preserve">B </t>
  </si>
  <si>
    <t>Tervezett bevételek</t>
  </si>
  <si>
    <t>Tervezett kiadások</t>
  </si>
  <si>
    <t xml:space="preserve">2018. évi mód. előirányzat </t>
  </si>
  <si>
    <t xml:space="preserve">2018. évi javasolt mód. előirányzat </t>
  </si>
  <si>
    <t>2018. évi mód. előirányzat</t>
  </si>
  <si>
    <t>2018. évi javasolt mód. előirányzat</t>
  </si>
  <si>
    <t xml:space="preserve">2018. évi  mód. előirányzat </t>
  </si>
  <si>
    <t>2018. évi  mód. előirányzat</t>
  </si>
  <si>
    <t xml:space="preserve">2018. évi javasolt  mód. előirányzat </t>
  </si>
  <si>
    <t>2018. évi módosított előirányzat</t>
  </si>
  <si>
    <t>2018. évi javasolt  módosított előirányzat</t>
  </si>
  <si>
    <t>Egyéb működési célú támogatás államháztartáson k.</t>
  </si>
  <si>
    <t xml:space="preserve">          Panelprogram kiadásai</t>
  </si>
  <si>
    <t xml:space="preserve">           - Panelprogram felhalmozási kiadásai</t>
  </si>
  <si>
    <t xml:space="preserve">           - Panelprogram felújítási kiadásai</t>
  </si>
  <si>
    <t>Leromlott városi területek rehab. III. TOP-4.3.1-15-B01-2016-00013</t>
  </si>
  <si>
    <t>Felújítási alapok</t>
  </si>
  <si>
    <t>2018. évi mód. Előirányzat</t>
  </si>
  <si>
    <t>Központi kezelésű előirányzat: Szociális Erzsébet utalvány</t>
  </si>
  <si>
    <t>Fejezeti kezelésű előirányzat: Iskolatej program támogatás</t>
  </si>
  <si>
    <t>Központi költségvetési szerv: Bursa ösztöndíj támogatás</t>
  </si>
  <si>
    <t>Egyéb fejezeti kezelésű előirányzat: Biztos Kezdet Gyermekház támogatása</t>
  </si>
  <si>
    <t>Elkülönített állami pénzalapok: Közfoglalkoztatás támogatása</t>
  </si>
  <si>
    <t>Zemplén Televíziónak adott tagi kölcsön</t>
  </si>
  <si>
    <t>Közfoglalkoztatás, nyári diákmunka</t>
  </si>
  <si>
    <t xml:space="preserve">2019. évi előirányzat </t>
  </si>
  <si>
    <t>2019. évi eredeti</t>
  </si>
  <si>
    <t>70 éven felüliek  támogatása</t>
  </si>
  <si>
    <t xml:space="preserve">           - Munkáltatói kölcsön</t>
  </si>
  <si>
    <t>70 éven felüliek támogatása</t>
  </si>
  <si>
    <t>2019. év</t>
  </si>
  <si>
    <t>Homlokzat felújítás</t>
  </si>
  <si>
    <t>TAO önrész vizilabda</t>
  </si>
  <si>
    <t>KFKK támogatás</t>
  </si>
  <si>
    <t>2019.évi előirányzat</t>
  </si>
  <si>
    <t>2019. évi előirányzat</t>
  </si>
  <si>
    <t>Turisztikailag frekventált térségek integrált termék- és szolgáltatás fejlesztése” - Zempléni és Abaúji várak fejlesztése - GINOP-7.1.9-17-2018-00028</t>
  </si>
  <si>
    <t>Turisztikailag frekventált térségek integrált termék- és szolgáltatás fejlesztése” - Magas-hegyi Sportcentrum szolgáltatás fejlesztése - GINOP-7.1.9-17-2018-00029</t>
  </si>
  <si>
    <t>A Kazinczy Ferenc Általános Iskola Jókai Mór Tagintézményének
energetikai korszerűsítése Sátoraljaújhelyen - TOP-3.2.1-16-BO1-2018-00086</t>
  </si>
  <si>
    <t>Faluház energetikai korszerűsítése Sátoraljaújhely-Rudabányácska
településrészen - TOP-3.2.1-16-BO1-2018-00087</t>
  </si>
  <si>
    <t>Önkormányzati tulajdonú épületek energetikai korszerűsítése
Sátoraljaújhelyen és Széphalom településrészen - TOP-3.2.1-16-BO1-2018-00088</t>
  </si>
  <si>
    <t>Egészségfejlesztési iroda létrehozása a Sátoraljaújhelyi Járásban - EFOP-1.8.19-17-2017-00039</t>
  </si>
  <si>
    <t>Jókai utca felújítása II. ütem</t>
  </si>
  <si>
    <t>Dókus-Szeder-Kopaszka utcák felújítása</t>
  </si>
  <si>
    <t>GINOP-7.1.6 - Világörökségi helyszínek turisztikai fejlesztése - Ungvári Pincesor és pincék völgye fejlesztése</t>
  </si>
  <si>
    <t xml:space="preserve">2018. évi maradvány </t>
  </si>
  <si>
    <t>182976</t>
  </si>
  <si>
    <t>600</t>
  </si>
  <si>
    <t>1193</t>
  </si>
  <si>
    <t>63</t>
  </si>
  <si>
    <t>2019. évi eredeti előirányzat</t>
  </si>
  <si>
    <t>2020. évi eredeti előirányzat</t>
  </si>
  <si>
    <t>Trianoni emlékszobor támogatása</t>
  </si>
  <si>
    <t>TAO önrész sportszervezetek részére</t>
  </si>
  <si>
    <t>Sátoraljaújhely Város Önkormányzata 2019. évi címrendje</t>
  </si>
  <si>
    <t>2019. évi javasolt módosított előirányzat</t>
  </si>
  <si>
    <t xml:space="preserve">2019. évi javasolt módosított előirányzat </t>
  </si>
  <si>
    <t xml:space="preserve">I </t>
  </si>
  <si>
    <t>Közfoglalkoztatási programok beszerzései</t>
  </si>
  <si>
    <t>Egyesített Szociális Intézmény</t>
  </si>
  <si>
    <t>Pályázatokhoz kapcsolódó felújítások</t>
  </si>
  <si>
    <t>K</t>
  </si>
  <si>
    <t>Javasolt módosított kiadási előirányzat
2019. év</t>
  </si>
  <si>
    <t>2019. évi módosított előirányzat</t>
  </si>
  <si>
    <t>2019. évimódosított előirányzat</t>
  </si>
  <si>
    <t xml:space="preserve">2020. évi javasolt módosított előirányzat </t>
  </si>
  <si>
    <t xml:space="preserve">2019. évi módosított előirányzat </t>
  </si>
  <si>
    <t>2019. I. félévi teljesítés</t>
  </si>
  <si>
    <t>2019. I. félévi
teljesítés</t>
  </si>
  <si>
    <t>Módosított kiadási előirányzat
2019. év</t>
  </si>
  <si>
    <t>Sze</t>
  </si>
  <si>
    <t>2019. évi módosított</t>
  </si>
  <si>
    <t>2019. évi javasolt módosított</t>
  </si>
  <si>
    <t xml:space="preserve">2019. évi javasolt módosított  </t>
  </si>
  <si>
    <t>182977</t>
  </si>
  <si>
    <t>Tagi kölcsön UG Kft.</t>
  </si>
  <si>
    <t>Gépjármű beszerzés, pályázatok beszerzései</t>
  </si>
  <si>
    <t>74359</t>
  </si>
  <si>
    <t>Szem.jutt.</t>
  </si>
  <si>
    <t>Járulék</t>
  </si>
  <si>
    <t>Dologi</t>
  </si>
  <si>
    <t>Önként vállalt egyéb műk. Kiad.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</si>
</sst>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F_t_-;\-* #,##0.00\ _F_t_-;_-* &quot;-&quot;??\ _F_t_-;_-@_-"/>
    <numFmt numFmtId="165" formatCode="#,##0.0"/>
    <numFmt numFmtId="166" formatCode="0.0"/>
    <numFmt numFmtId="167" formatCode="#,##0\ _F_t"/>
    <numFmt numFmtId="168" formatCode="#,###"/>
    <numFmt numFmtId="169" formatCode="#,##0_ ;[Red]\-#,##0\ "/>
    <numFmt numFmtId="170" formatCode="_-* #,##0\ _F_t_-;\-* #,##0\ _F_t_-;_-* &quot;-&quot;??\ _F_t_-;_-@_-"/>
    <numFmt numFmtId="171" formatCode="_-* #,##0.0\ _F_t_-;\-* #,##0.0\ _F_t_-;_-* &quot;-&quot;??\ _F_t_-;_-@_-"/>
    <numFmt numFmtId="172" formatCode="0.00000%"/>
  </numFmts>
  <fonts count="5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8"/>
      <name val="Times New Roman"/>
      <family val="1"/>
      <charset val="1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1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b/>
      <sz val="24"/>
      <color rgb="FFC00000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sz val="8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rgb="FFC00000"/>
        <bgColor indexed="29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22"/>
      </patternFill>
    </fill>
    <fill>
      <patternFill patternType="solid">
        <fgColor theme="1"/>
        <bgColor indexed="64"/>
      </patternFill>
    </fill>
    <fill>
      <patternFill patternType="solid">
        <fgColor rgb="FF009900"/>
        <bgColor indexed="64"/>
      </patternFill>
    </fill>
    <fill>
      <patternFill patternType="gray0625">
        <bgColor rgb="FFFFFF00"/>
      </patternFill>
    </fill>
    <fill>
      <patternFill patternType="gray0625"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gray0625"/>
    </fill>
    <fill>
      <patternFill patternType="gray0625">
        <bgColor theme="6" tint="0.39997558519241921"/>
      </patternFill>
    </fill>
    <fill>
      <patternFill patternType="solid">
        <fgColor indexed="6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/>
      <top/>
      <bottom style="hair">
        <color indexed="23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/>
    <xf numFmtId="9" fontId="8" fillId="0" borderId="0" applyFont="0" applyFill="0" applyBorder="0" applyAlignment="0" applyProtection="0"/>
    <xf numFmtId="9" fontId="7" fillId="0" borderId="0" applyFill="0" applyAlignment="0" applyProtection="0"/>
    <xf numFmtId="0" fontId="6" fillId="0" borderId="0"/>
    <xf numFmtId="164" fontId="1" fillId="0" borderId="0" applyFont="0" applyFill="0" applyBorder="0" applyAlignment="0" applyProtection="0"/>
    <xf numFmtId="164" fontId="44" fillId="0" borderId="0" applyFill="0" applyBorder="0" applyAlignment="0" applyProtection="0"/>
    <xf numFmtId="164" fontId="6" fillId="0" borderId="0" applyFill="0" applyBorder="0" applyAlignment="0" applyProtection="0"/>
  </cellStyleXfs>
  <cellXfs count="1009">
    <xf numFmtId="0" fontId="0" fillId="0" borderId="0" xfId="0"/>
    <xf numFmtId="49" fontId="3" fillId="0" borderId="0" xfId="1" applyNumberFormat="1" applyFont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49" fontId="4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49" fontId="3" fillId="4" borderId="1" xfId="1" applyNumberFormat="1" applyFont="1" applyFill="1" applyBorder="1" applyAlignment="1">
      <alignment horizontal="left" vertical="center"/>
    </xf>
    <xf numFmtId="49" fontId="3" fillId="4" borderId="1" xfId="1" applyNumberFormat="1" applyFont="1" applyFill="1" applyBorder="1" applyAlignment="1">
      <alignment vertical="center"/>
    </xf>
    <xf numFmtId="38" fontId="3" fillId="4" borderId="1" xfId="1" applyNumberFormat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49" fontId="5" fillId="0" borderId="1" xfId="1" applyNumberFormat="1" applyFont="1" applyBorder="1" applyAlignment="1">
      <alignment horizontal="left" vertical="center"/>
    </xf>
    <xf numFmtId="49" fontId="5" fillId="0" borderId="1" xfId="1" applyNumberFormat="1" applyFont="1" applyBorder="1" applyAlignment="1">
      <alignment vertical="center"/>
    </xf>
    <xf numFmtId="38" fontId="5" fillId="0" borderId="1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49" fontId="3" fillId="5" borderId="1" xfId="1" applyNumberFormat="1" applyFont="1" applyFill="1" applyBorder="1" applyAlignment="1">
      <alignment horizontal="left" vertical="center"/>
    </xf>
    <xf numFmtId="49" fontId="3" fillId="5" borderId="1" xfId="1" applyNumberFormat="1" applyFont="1" applyFill="1" applyBorder="1" applyAlignment="1">
      <alignment vertical="center"/>
    </xf>
    <xf numFmtId="38" fontId="3" fillId="5" borderId="1" xfId="1" applyNumberFormat="1" applyFont="1" applyFill="1" applyBorder="1" applyAlignment="1">
      <alignment vertical="center"/>
    </xf>
    <xf numFmtId="3" fontId="3" fillId="5" borderId="1" xfId="1" applyNumberFormat="1" applyFont="1" applyFill="1" applyBorder="1" applyAlignment="1">
      <alignment vertical="center"/>
    </xf>
    <xf numFmtId="49" fontId="3" fillId="6" borderId="1" xfId="1" applyNumberFormat="1" applyFont="1" applyFill="1" applyBorder="1" applyAlignment="1">
      <alignment horizontal="left" vertical="center"/>
    </xf>
    <xf numFmtId="49" fontId="3" fillId="6" borderId="1" xfId="1" applyNumberFormat="1" applyFont="1" applyFill="1" applyBorder="1" applyAlignment="1">
      <alignment vertical="center"/>
    </xf>
    <xf numFmtId="38" fontId="3" fillId="6" borderId="1" xfId="1" applyNumberFormat="1" applyFont="1" applyFill="1" applyBorder="1" applyAlignment="1">
      <alignment vertical="center"/>
    </xf>
    <xf numFmtId="3" fontId="3" fillId="6" borderId="1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0" fontId="2" fillId="0" borderId="0" xfId="1"/>
    <xf numFmtId="3" fontId="3" fillId="7" borderId="1" xfId="1" applyNumberFormat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38" fontId="11" fillId="8" borderId="1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right"/>
    </xf>
    <xf numFmtId="0" fontId="10" fillId="12" borderId="7" xfId="0" applyFont="1" applyFill="1" applyBorder="1" applyAlignment="1">
      <alignment horizontal="center" vertical="center"/>
    </xf>
    <xf numFmtId="0" fontId="10" fillId="12" borderId="7" xfId="0" applyFont="1" applyFill="1" applyBorder="1"/>
    <xf numFmtId="3" fontId="10" fillId="12" borderId="7" xfId="0" applyNumberFormat="1" applyFont="1" applyFill="1" applyBorder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3" fontId="0" fillId="0" borderId="7" xfId="0" applyNumberFormat="1" applyBorder="1"/>
    <xf numFmtId="0" fontId="0" fillId="0" borderId="7" xfId="0" applyBorder="1"/>
    <xf numFmtId="3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9" fillId="13" borderId="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0" fillId="0" borderId="7" xfId="0" applyNumberFormat="1" applyBorder="1" applyAlignment="1">
      <alignment horizontal="right" vertical="center" wrapText="1"/>
    </xf>
    <xf numFmtId="3" fontId="0" fillId="0" borderId="7" xfId="0" applyNumberFormat="1" applyBorder="1" applyAlignment="1">
      <alignment vertical="center"/>
    </xf>
    <xf numFmtId="0" fontId="10" fillId="0" borderId="0" xfId="0" applyFont="1"/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Border="1" applyAlignment="1">
      <alignment vertical="center"/>
    </xf>
    <xf numFmtId="3" fontId="3" fillId="4" borderId="5" xfId="1" applyNumberFormat="1" applyFont="1" applyFill="1" applyBorder="1" applyAlignment="1">
      <alignment vertical="center"/>
    </xf>
    <xf numFmtId="3" fontId="5" fillId="0" borderId="5" xfId="1" applyNumberFormat="1" applyFont="1" applyBorder="1" applyAlignment="1">
      <alignment vertical="center"/>
    </xf>
    <xf numFmtId="38" fontId="3" fillId="5" borderId="5" xfId="1" applyNumberFormat="1" applyFont="1" applyFill="1" applyBorder="1" applyAlignment="1">
      <alignment vertical="center"/>
    </xf>
    <xf numFmtId="38" fontId="3" fillId="6" borderId="5" xfId="1" applyNumberFormat="1" applyFont="1" applyFill="1" applyBorder="1" applyAlignment="1">
      <alignment vertical="center"/>
    </xf>
    <xf numFmtId="38" fontId="5" fillId="0" borderId="5" xfId="1" applyNumberFormat="1" applyFont="1" applyBorder="1" applyAlignment="1">
      <alignment vertical="center"/>
    </xf>
    <xf numFmtId="38" fontId="11" fillId="8" borderId="5" xfId="1" applyNumberFormat="1" applyFont="1" applyFill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3" fillId="5" borderId="5" xfId="1" applyNumberFormat="1" applyFont="1" applyFill="1" applyBorder="1" applyAlignment="1">
      <alignment vertical="center"/>
    </xf>
    <xf numFmtId="3" fontId="3" fillId="6" borderId="5" xfId="1" applyNumberFormat="1" applyFont="1" applyFill="1" applyBorder="1" applyAlignment="1">
      <alignment vertical="center"/>
    </xf>
    <xf numFmtId="3" fontId="3" fillId="7" borderId="5" xfId="1" applyNumberFormat="1" applyFont="1" applyFill="1" applyBorder="1" applyAlignment="1">
      <alignment vertical="center"/>
    </xf>
    <xf numFmtId="3" fontId="3" fillId="2" borderId="8" xfId="1" applyNumberFormat="1" applyFont="1" applyFill="1" applyBorder="1" applyAlignment="1">
      <alignment horizontal="center" vertical="center" wrapText="1"/>
    </xf>
    <xf numFmtId="3" fontId="4" fillId="0" borderId="8" xfId="1" applyNumberFormat="1" applyFont="1" applyBorder="1" applyAlignment="1">
      <alignment vertical="center"/>
    </xf>
    <xf numFmtId="49" fontId="3" fillId="3" borderId="8" xfId="1" applyNumberFormat="1" applyFont="1" applyFill="1" applyBorder="1" applyAlignment="1">
      <alignment horizontal="center" vertical="center"/>
    </xf>
    <xf numFmtId="3" fontId="3" fillId="4" borderId="8" xfId="1" applyNumberFormat="1" applyFont="1" applyFill="1" applyBorder="1" applyAlignment="1">
      <alignment vertical="center"/>
    </xf>
    <xf numFmtId="3" fontId="5" fillId="0" borderId="8" xfId="1" applyNumberFormat="1" applyFont="1" applyBorder="1" applyAlignment="1">
      <alignment vertical="center"/>
    </xf>
    <xf numFmtId="38" fontId="3" fillId="5" borderId="8" xfId="1" applyNumberFormat="1" applyFont="1" applyFill="1" applyBorder="1" applyAlignment="1">
      <alignment vertical="center"/>
    </xf>
    <xf numFmtId="38" fontId="3" fillId="6" borderId="8" xfId="1" applyNumberFormat="1" applyFont="1" applyFill="1" applyBorder="1" applyAlignment="1">
      <alignment vertical="center"/>
    </xf>
    <xf numFmtId="38" fontId="5" fillId="0" borderId="8" xfId="1" applyNumberFormat="1" applyFont="1" applyBorder="1" applyAlignment="1">
      <alignment vertical="center"/>
    </xf>
    <xf numFmtId="38" fontId="11" fillId="8" borderId="8" xfId="1" applyNumberFormat="1" applyFont="1" applyFill="1" applyBorder="1" applyAlignment="1">
      <alignment vertical="center"/>
    </xf>
    <xf numFmtId="3" fontId="3" fillId="5" borderId="8" xfId="1" applyNumberFormat="1" applyFont="1" applyFill="1" applyBorder="1" applyAlignment="1">
      <alignment vertical="center"/>
    </xf>
    <xf numFmtId="3" fontId="3" fillId="6" borderId="8" xfId="1" applyNumberFormat="1" applyFont="1" applyFill="1" applyBorder="1" applyAlignment="1">
      <alignment vertical="center"/>
    </xf>
    <xf numFmtId="3" fontId="3" fillId="7" borderId="8" xfId="1" applyNumberFormat="1" applyFont="1" applyFill="1" applyBorder="1" applyAlignment="1">
      <alignment vertical="center"/>
    </xf>
    <xf numFmtId="0" fontId="2" fillId="0" borderId="9" xfId="1" applyBorder="1"/>
    <xf numFmtId="0" fontId="2" fillId="0" borderId="0" xfId="1" applyBorder="1"/>
    <xf numFmtId="3" fontId="4" fillId="0" borderId="9" xfId="1" applyNumberFormat="1" applyFont="1" applyBorder="1" applyAlignment="1">
      <alignment vertical="center"/>
    </xf>
    <xf numFmtId="3" fontId="3" fillId="2" borderId="11" xfId="1" applyNumberFormat="1" applyFont="1" applyFill="1" applyBorder="1" applyAlignment="1">
      <alignment horizontal="center" vertical="center" wrapText="1"/>
    </xf>
    <xf numFmtId="3" fontId="4" fillId="0" borderId="11" xfId="1" applyNumberFormat="1" applyFont="1" applyBorder="1" applyAlignment="1">
      <alignment vertical="center"/>
    </xf>
    <xf numFmtId="49" fontId="3" fillId="3" borderId="11" xfId="1" applyNumberFormat="1" applyFont="1" applyFill="1" applyBorder="1" applyAlignment="1">
      <alignment horizontal="center" vertical="center"/>
    </xf>
    <xf numFmtId="3" fontId="3" fillId="4" borderId="11" xfId="1" applyNumberFormat="1" applyFont="1" applyFill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3" fontId="3" fillId="6" borderId="11" xfId="1" applyNumberFormat="1" applyFont="1" applyFill="1" applyBorder="1" applyAlignment="1">
      <alignment vertical="center"/>
    </xf>
    <xf numFmtId="3" fontId="3" fillId="2" borderId="12" xfId="1" applyNumberFormat="1" applyFont="1" applyFill="1" applyBorder="1" applyAlignment="1">
      <alignment horizontal="center" vertical="center" wrapText="1"/>
    </xf>
    <xf numFmtId="3" fontId="3" fillId="14" borderId="12" xfId="1" applyNumberFormat="1" applyFont="1" applyFill="1" applyBorder="1" applyAlignment="1">
      <alignment horizontal="center" vertical="center" wrapText="1"/>
    </xf>
    <xf numFmtId="3" fontId="3" fillId="14" borderId="4" xfId="1" applyNumberFormat="1" applyFont="1" applyFill="1" applyBorder="1" applyAlignment="1">
      <alignment horizontal="center" vertical="center" wrapText="1"/>
    </xf>
    <xf numFmtId="38" fontId="11" fillId="8" borderId="3" xfId="1" applyNumberFormat="1" applyFont="1" applyFill="1" applyBorder="1" applyAlignment="1">
      <alignment vertical="center"/>
    </xf>
    <xf numFmtId="38" fontId="11" fillId="8" borderId="19" xfId="1" applyNumberFormat="1" applyFont="1" applyFill="1" applyBorder="1" applyAlignment="1">
      <alignment vertical="center"/>
    </xf>
    <xf numFmtId="38" fontId="11" fillId="8" borderId="22" xfId="1" applyNumberFormat="1" applyFont="1" applyFill="1" applyBorder="1" applyAlignment="1">
      <alignment vertical="center"/>
    </xf>
    <xf numFmtId="0" fontId="2" fillId="0" borderId="15" xfId="1" applyBorder="1"/>
    <xf numFmtId="3" fontId="5" fillId="0" borderId="0" xfId="1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center" wrapText="1"/>
    </xf>
    <xf numFmtId="3" fontId="10" fillId="0" borderId="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7" xfId="0" applyNumberFormat="1" applyBorder="1" applyAlignment="1">
      <alignment horizontal="left" vertical="center" wrapText="1" indent="3"/>
    </xf>
    <xf numFmtId="0" fontId="0" fillId="0" borderId="0" xfId="0" applyAlignment="1">
      <alignment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0" fillId="0" borderId="24" xfId="0" applyNumberFormat="1" applyBorder="1"/>
    <xf numFmtId="3" fontId="0" fillId="0" borderId="24" xfId="0" applyNumberFormat="1" applyBorder="1" applyAlignment="1">
      <alignment vertical="center"/>
    </xf>
    <xf numFmtId="3" fontId="0" fillId="0" borderId="24" xfId="0" applyNumberFormat="1" applyFont="1" applyBorder="1"/>
    <xf numFmtId="49" fontId="3" fillId="3" borderId="0" xfId="1" applyNumberFormat="1" applyFont="1" applyFill="1" applyBorder="1" applyAlignment="1">
      <alignment horizontal="center" vertical="center"/>
    </xf>
    <xf numFmtId="16" fontId="0" fillId="0" borderId="7" xfId="0" applyNumberFormat="1" applyBorder="1" applyAlignment="1">
      <alignment horizontal="lef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49" fontId="0" fillId="0" borderId="7" xfId="0" applyNumberFormat="1" applyBorder="1" applyAlignment="1">
      <alignment horizontal="left" vertical="center" wrapText="1"/>
    </xf>
    <xf numFmtId="0" fontId="10" fillId="0" borderId="7" xfId="0" applyFont="1" applyBorder="1" applyAlignment="1">
      <alignment vertical="center"/>
    </xf>
    <xf numFmtId="3" fontId="10" fillId="0" borderId="7" xfId="0" applyNumberFormat="1" applyFon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0" fillId="0" borderId="0" xfId="0" applyNumberFormat="1" applyBorder="1"/>
    <xf numFmtId="3" fontId="0" fillId="0" borderId="0" xfId="0" applyNumberForma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3" fontId="0" fillId="0" borderId="23" xfId="0" applyNumberFormat="1" applyBorder="1" applyAlignment="1">
      <alignment horizontal="right" vertical="center" wrapText="1"/>
    </xf>
    <xf numFmtId="16" fontId="0" fillId="0" borderId="23" xfId="0" applyNumberFormat="1" applyBorder="1" applyAlignment="1">
      <alignment horizontal="left" vertical="center" wrapText="1"/>
    </xf>
    <xf numFmtId="3" fontId="0" fillId="0" borderId="23" xfId="0" applyNumberFormat="1" applyBorder="1" applyAlignment="1">
      <alignment vertical="center"/>
    </xf>
    <xf numFmtId="0" fontId="10" fillId="11" borderId="8" xfId="0" applyFont="1" applyFill="1" applyBorder="1" applyAlignment="1">
      <alignment horizontal="center" vertical="center"/>
    </xf>
    <xf numFmtId="0" fontId="10" fillId="11" borderId="8" xfId="0" applyFont="1" applyFill="1" applyBorder="1"/>
    <xf numFmtId="3" fontId="10" fillId="11" borderId="8" xfId="0" applyNumberFormat="1" applyFont="1" applyFill="1" applyBorder="1"/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/>
    <xf numFmtId="3" fontId="0" fillId="0" borderId="8" xfId="0" applyNumberFormat="1" applyFont="1" applyFill="1" applyBorder="1"/>
    <xf numFmtId="0" fontId="0" fillId="0" borderId="8" xfId="0" applyFill="1" applyBorder="1"/>
    <xf numFmtId="0" fontId="10" fillId="15" borderId="8" xfId="0" applyFont="1" applyFill="1" applyBorder="1"/>
    <xf numFmtId="3" fontId="10" fillId="15" borderId="8" xfId="0" applyNumberFormat="1" applyFont="1" applyFill="1" applyBorder="1"/>
    <xf numFmtId="0" fontId="9" fillId="16" borderId="8" xfId="0" applyFont="1" applyFill="1" applyBorder="1"/>
    <xf numFmtId="3" fontId="9" fillId="16" borderId="8" xfId="0" applyNumberFormat="1" applyFont="1" applyFill="1" applyBorder="1"/>
    <xf numFmtId="0" fontId="0" fillId="0" borderId="8" xfId="0" applyFill="1" applyBorder="1" applyAlignment="1">
      <alignment horizontal="center" vertical="center"/>
    </xf>
    <xf numFmtId="3" fontId="3" fillId="17" borderId="12" xfId="1" applyNumberFormat="1" applyFont="1" applyFill="1" applyBorder="1" applyAlignment="1">
      <alignment horizontal="center" vertical="center" wrapText="1"/>
    </xf>
    <xf numFmtId="3" fontId="3" fillId="17" borderId="4" xfId="1" applyNumberFormat="1" applyFont="1" applyFill="1" applyBorder="1" applyAlignment="1">
      <alignment horizontal="center" vertical="center" wrapText="1"/>
    </xf>
    <xf numFmtId="49" fontId="3" fillId="6" borderId="5" xfId="1" applyNumberFormat="1" applyFont="1" applyFill="1" applyBorder="1" applyAlignment="1">
      <alignment horizontal="left" vertical="center"/>
    </xf>
    <xf numFmtId="49" fontId="3" fillId="6" borderId="2" xfId="1" applyNumberFormat="1" applyFont="1" applyFill="1" applyBorder="1" applyAlignment="1">
      <alignment horizontal="left" vertical="center"/>
    </xf>
    <xf numFmtId="49" fontId="3" fillId="6" borderId="6" xfId="1" applyNumberFormat="1" applyFont="1" applyFill="1" applyBorder="1" applyAlignment="1">
      <alignment vertical="center"/>
    </xf>
    <xf numFmtId="3" fontId="4" fillId="0" borderId="18" xfId="1" applyNumberFormat="1" applyFont="1" applyBorder="1" applyAlignment="1">
      <alignment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0" fontId="0" fillId="0" borderId="0" xfId="0" applyFont="1"/>
    <xf numFmtId="0" fontId="15" fillId="18" borderId="25" xfId="0" applyFont="1" applyFill="1" applyBorder="1"/>
    <xf numFmtId="3" fontId="15" fillId="18" borderId="25" xfId="0" applyNumberFormat="1" applyFont="1" applyFill="1" applyBorder="1"/>
    <xf numFmtId="0" fontId="15" fillId="19" borderId="25" xfId="0" applyFont="1" applyFill="1" applyBorder="1"/>
    <xf numFmtId="3" fontId="15" fillId="19" borderId="25" xfId="0" applyNumberFormat="1" applyFont="1" applyFill="1" applyBorder="1"/>
    <xf numFmtId="0" fontId="15" fillId="18" borderId="0" xfId="0" applyFont="1" applyFill="1"/>
    <xf numFmtId="3" fontId="15" fillId="18" borderId="0" xfId="0" applyNumberFormat="1" applyFont="1" applyFill="1"/>
    <xf numFmtId="0" fontId="15" fillId="19" borderId="0" xfId="0" applyFont="1" applyFill="1"/>
    <xf numFmtId="3" fontId="15" fillId="19" borderId="0" xfId="0" applyNumberFormat="1" applyFont="1" applyFill="1"/>
    <xf numFmtId="0" fontId="10" fillId="0" borderId="0" xfId="0" applyFont="1" applyAlignment="1">
      <alignment vertical="center"/>
    </xf>
    <xf numFmtId="0" fontId="16" fillId="11" borderId="26" xfId="6" applyFont="1" applyFill="1" applyBorder="1" applyAlignment="1">
      <alignment horizontal="center" vertical="center" wrapText="1"/>
    </xf>
    <xf numFmtId="3" fontId="16" fillId="20" borderId="26" xfId="6" applyNumberFormat="1" applyFont="1" applyFill="1" applyBorder="1" applyAlignment="1">
      <alignment horizontal="center" vertical="center" wrapText="1"/>
    </xf>
    <xf numFmtId="3" fontId="16" fillId="11" borderId="26" xfId="6" applyNumberFormat="1" applyFont="1" applyFill="1" applyBorder="1" applyAlignment="1">
      <alignment horizontal="center" vertical="center" wrapText="1"/>
    </xf>
    <xf numFmtId="3" fontId="16" fillId="20" borderId="27" xfId="6" applyNumberFormat="1" applyFont="1" applyFill="1" applyBorder="1" applyAlignment="1">
      <alignment horizontal="center" vertical="center" wrapText="1"/>
    </xf>
    <xf numFmtId="3" fontId="16" fillId="11" borderId="27" xfId="6" applyNumberFormat="1" applyFont="1" applyFill="1" applyBorder="1" applyAlignment="1">
      <alignment horizontal="center" vertical="center" wrapText="1"/>
    </xf>
    <xf numFmtId="0" fontId="16" fillId="20" borderId="27" xfId="6" applyFont="1" applyFill="1" applyBorder="1" applyAlignment="1">
      <alignment horizontal="center" vertical="center" wrapText="1"/>
    </xf>
    <xf numFmtId="0" fontId="16" fillId="11" borderId="27" xfId="6" applyFont="1" applyFill="1" applyBorder="1" applyAlignment="1">
      <alignment horizontal="center" vertical="center" wrapText="1"/>
    </xf>
    <xf numFmtId="0" fontId="16" fillId="21" borderId="27" xfId="6" applyFont="1" applyFill="1" applyBorder="1" applyAlignment="1">
      <alignment horizontal="center" vertical="center" wrapText="1"/>
    </xf>
    <xf numFmtId="0" fontId="16" fillId="22" borderId="27" xfId="6" applyFont="1" applyFill="1" applyBorder="1" applyAlignment="1">
      <alignment horizontal="center" vertical="center" wrapText="1"/>
    </xf>
    <xf numFmtId="0" fontId="16" fillId="21" borderId="0" xfId="6" applyFont="1" applyFill="1" applyBorder="1" applyAlignment="1">
      <alignment horizontal="center" vertical="center" wrapText="1"/>
    </xf>
    <xf numFmtId="0" fontId="16" fillId="22" borderId="0" xfId="6" applyFont="1" applyFill="1" applyBorder="1" applyAlignment="1">
      <alignment horizontal="center" vertical="center" wrapText="1"/>
    </xf>
    <xf numFmtId="0" fontId="6" fillId="0" borderId="0" xfId="6" applyFont="1"/>
    <xf numFmtId="0" fontId="6" fillId="0" borderId="26" xfId="6" applyFont="1" applyBorder="1"/>
    <xf numFmtId="3" fontId="6" fillId="23" borderId="26" xfId="6" applyNumberFormat="1" applyFont="1" applyFill="1" applyBorder="1"/>
    <xf numFmtId="3" fontId="6" fillId="0" borderId="26" xfId="6" applyNumberFormat="1" applyFont="1" applyBorder="1"/>
    <xf numFmtId="0" fontId="16" fillId="11" borderId="26" xfId="6" applyFont="1" applyFill="1" applyBorder="1"/>
    <xf numFmtId="3" fontId="16" fillId="20" borderId="26" xfId="6" applyNumberFormat="1" applyFont="1" applyFill="1" applyBorder="1"/>
    <xf numFmtId="3" fontId="16" fillId="11" borderId="26" xfId="6" applyNumberFormat="1" applyFont="1" applyFill="1" applyBorder="1"/>
    <xf numFmtId="0" fontId="16" fillId="0" borderId="0" xfId="6" applyFont="1"/>
    <xf numFmtId="0" fontId="16" fillId="0" borderId="26" xfId="6" applyFont="1" applyBorder="1"/>
    <xf numFmtId="3" fontId="16" fillId="23" borderId="26" xfId="6" applyNumberFormat="1" applyFont="1" applyFill="1" applyBorder="1"/>
    <xf numFmtId="3" fontId="16" fillId="0" borderId="26" xfId="6" applyNumberFormat="1" applyFont="1" applyBorder="1"/>
    <xf numFmtId="0" fontId="6" fillId="0" borderId="26" xfId="6" applyBorder="1"/>
    <xf numFmtId="3" fontId="16" fillId="24" borderId="26" xfId="6" applyNumberFormat="1" applyFont="1" applyFill="1" applyBorder="1"/>
    <xf numFmtId="3" fontId="16" fillId="10" borderId="26" xfId="6" applyNumberFormat="1" applyFont="1" applyFill="1" applyBorder="1"/>
    <xf numFmtId="3" fontId="6" fillId="23" borderId="0" xfId="6" applyNumberFormat="1" applyFont="1" applyFill="1"/>
    <xf numFmtId="3" fontId="6" fillId="0" borderId="0" xfId="6" applyNumberFormat="1" applyFont="1"/>
    <xf numFmtId="0" fontId="6" fillId="23" borderId="0" xfId="6" applyFont="1" applyFill="1"/>
    <xf numFmtId="0" fontId="17" fillId="0" borderId="0" xfId="5" applyFont="1" applyAlignment="1">
      <alignment vertical="center"/>
    </xf>
    <xf numFmtId="0" fontId="7" fillId="0" borderId="0" xfId="7" applyFont="1" applyAlignment="1">
      <alignment horizontal="left" vertical="center"/>
    </xf>
    <xf numFmtId="0" fontId="13" fillId="25" borderId="0" xfId="7" applyFont="1" applyFill="1" applyAlignment="1">
      <alignment horizontal="right" vertical="center"/>
    </xf>
    <xf numFmtId="0" fontId="9" fillId="13" borderId="0" xfId="0" applyFont="1" applyFill="1" applyBorder="1" applyAlignment="1">
      <alignment horizontal="center" vertical="center" wrapText="1"/>
    </xf>
    <xf numFmtId="0" fontId="20" fillId="0" borderId="0" xfId="7" applyFont="1" applyBorder="1" applyAlignment="1">
      <alignment horizontal="left" vertical="center"/>
    </xf>
    <xf numFmtId="0" fontId="20" fillId="0" borderId="0" xfId="7" applyFont="1" applyAlignment="1">
      <alignment horizontal="left" vertical="center"/>
    </xf>
    <xf numFmtId="0" fontId="16" fillId="11" borderId="26" xfId="7" applyFont="1" applyFill="1" applyBorder="1" applyAlignment="1">
      <alignment horizontal="left" vertical="center" wrapText="1"/>
    </xf>
    <xf numFmtId="3" fontId="16" fillId="11" borderId="26" xfId="7" applyNumberFormat="1" applyFont="1" applyFill="1" applyBorder="1" applyAlignment="1">
      <alignment horizontal="right" vertical="center"/>
    </xf>
    <xf numFmtId="0" fontId="21" fillId="0" borderId="0" xfId="7" applyFont="1" applyBorder="1" applyAlignment="1">
      <alignment horizontal="left" vertical="center"/>
    </xf>
    <xf numFmtId="0" fontId="21" fillId="0" borderId="0" xfId="7" applyFont="1" applyAlignment="1">
      <alignment horizontal="left" vertical="center"/>
    </xf>
    <xf numFmtId="0" fontId="22" fillId="0" borderId="0" xfId="7" applyFont="1" applyAlignment="1">
      <alignment horizontal="left" vertical="center"/>
    </xf>
    <xf numFmtId="0" fontId="6" fillId="0" borderId="26" xfId="7" applyFont="1" applyBorder="1" applyAlignment="1">
      <alignment horizontal="left" vertical="center" wrapText="1"/>
    </xf>
    <xf numFmtId="3" fontId="6" fillId="25" borderId="26" xfId="7" applyNumberFormat="1" applyFont="1" applyFill="1" applyBorder="1" applyAlignment="1">
      <alignment horizontal="right" vertical="center"/>
    </xf>
    <xf numFmtId="3" fontId="19" fillId="0" borderId="0" xfId="7" applyNumberFormat="1" applyFont="1" applyBorder="1" applyAlignment="1">
      <alignment horizontal="left" vertical="center"/>
    </xf>
    <xf numFmtId="0" fontId="19" fillId="0" borderId="0" xfId="7" applyFont="1" applyBorder="1" applyAlignment="1">
      <alignment horizontal="left" vertical="center"/>
    </xf>
    <xf numFmtId="0" fontId="7" fillId="0" borderId="0" xfId="7" applyFont="1" applyBorder="1" applyAlignment="1">
      <alignment horizontal="left" vertical="center"/>
    </xf>
    <xf numFmtId="16" fontId="6" fillId="0" borderId="26" xfId="7" applyNumberFormat="1" applyFont="1" applyBorder="1" applyAlignment="1">
      <alignment horizontal="left" vertical="center" wrapText="1"/>
    </xf>
    <xf numFmtId="49" fontId="6" fillId="0" borderId="26" xfId="7" applyNumberFormat="1" applyFont="1" applyBorder="1" applyAlignment="1">
      <alignment horizontal="left" vertical="center" wrapText="1"/>
    </xf>
    <xf numFmtId="0" fontId="18" fillId="0" borderId="0" xfId="7" applyFont="1" applyBorder="1" applyAlignment="1">
      <alignment horizontal="left" vertical="center"/>
    </xf>
    <xf numFmtId="0" fontId="22" fillId="0" borderId="0" xfId="7" applyFont="1" applyBorder="1" applyAlignment="1">
      <alignment horizontal="left" vertical="center"/>
    </xf>
    <xf numFmtId="0" fontId="23" fillId="26" borderId="26" xfId="0" applyFont="1" applyFill="1" applyBorder="1"/>
    <xf numFmtId="3" fontId="23" fillId="26" borderId="26" xfId="0" applyNumberFormat="1" applyFont="1" applyFill="1" applyBorder="1"/>
    <xf numFmtId="0" fontId="18" fillId="27" borderId="0" xfId="7" applyFont="1" applyFill="1" applyBorder="1" applyAlignment="1">
      <alignment horizontal="left" vertical="center"/>
    </xf>
    <xf numFmtId="0" fontId="22" fillId="27" borderId="0" xfId="7" applyFont="1" applyFill="1" applyBorder="1" applyAlignment="1">
      <alignment horizontal="left" vertical="center"/>
    </xf>
    <xf numFmtId="0" fontId="22" fillId="27" borderId="0" xfId="7" applyFont="1" applyFill="1" applyAlignment="1">
      <alignment horizontal="left" vertical="center"/>
    </xf>
    <xf numFmtId="0" fontId="7" fillId="27" borderId="0" xfId="7" applyFont="1" applyFill="1" applyAlignment="1">
      <alignment horizontal="left" vertical="center"/>
    </xf>
    <xf numFmtId="0" fontId="19" fillId="0" borderId="0" xfId="7" applyFont="1" applyBorder="1" applyAlignment="1">
      <alignment horizontal="left" vertical="center" wrapText="1"/>
    </xf>
    <xf numFmtId="168" fontId="6" fillId="0" borderId="0" xfId="7" applyNumberFormat="1" applyFont="1" applyFill="1" applyBorder="1" applyAlignment="1">
      <alignment horizontal="left" vertical="center"/>
    </xf>
    <xf numFmtId="168" fontId="6" fillId="0" borderId="28" xfId="7" applyNumberFormat="1" applyFont="1" applyFill="1" applyBorder="1" applyAlignment="1">
      <alignment horizontal="left" vertical="center"/>
    </xf>
    <xf numFmtId="0" fontId="24" fillId="15" borderId="0" xfId="0" applyFont="1" applyFill="1"/>
    <xf numFmtId="0" fontId="14" fillId="15" borderId="0" xfId="0" applyFont="1" applyFill="1"/>
    <xf numFmtId="0" fontId="14" fillId="28" borderId="0" xfId="0" applyFont="1" applyFill="1"/>
    <xf numFmtId="3" fontId="14" fillId="15" borderId="0" xfId="0" applyNumberFormat="1" applyFont="1" applyFill="1"/>
    <xf numFmtId="3" fontId="14" fillId="28" borderId="0" xfId="0" applyNumberFormat="1" applyFont="1" applyFill="1"/>
    <xf numFmtId="3" fontId="24" fillId="15" borderId="0" xfId="0" applyNumberFormat="1" applyFont="1" applyFill="1"/>
    <xf numFmtId="165" fontId="0" fillId="0" borderId="0" xfId="0" applyNumberFormat="1"/>
    <xf numFmtId="0" fontId="26" fillId="29" borderId="25" xfId="0" applyFont="1" applyFill="1" applyBorder="1" applyAlignment="1">
      <alignment horizontal="center" vertical="center"/>
    </xf>
    <xf numFmtId="3" fontId="26" fillId="29" borderId="25" xfId="0" applyNumberFormat="1" applyFont="1" applyFill="1" applyBorder="1" applyAlignment="1">
      <alignment horizontal="center" vertical="center"/>
    </xf>
    <xf numFmtId="169" fontId="27" fillId="0" borderId="0" xfId="0" applyNumberFormat="1" applyFont="1"/>
    <xf numFmtId="0" fontId="10" fillId="10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13" borderId="24" xfId="0" applyFont="1" applyFill="1" applyBorder="1"/>
    <xf numFmtId="3" fontId="9" fillId="13" borderId="24" xfId="0" applyNumberFormat="1" applyFont="1" applyFill="1" applyBorder="1"/>
    <xf numFmtId="0" fontId="12" fillId="0" borderId="24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vertical="center"/>
    </xf>
    <xf numFmtId="3" fontId="12" fillId="0" borderId="24" xfId="0" applyNumberFormat="1" applyFont="1" applyFill="1" applyBorder="1" applyAlignment="1">
      <alignment vertical="center"/>
    </xf>
    <xf numFmtId="0" fontId="10" fillId="11" borderId="24" xfId="0" applyFont="1" applyFill="1" applyBorder="1" applyAlignment="1">
      <alignment horizontal="center"/>
    </xf>
    <xf numFmtId="0" fontId="10" fillId="11" borderId="24" xfId="0" applyFont="1" applyFill="1" applyBorder="1"/>
    <xf numFmtId="3" fontId="10" fillId="11" borderId="24" xfId="0" applyNumberFormat="1" applyFont="1" applyFill="1" applyBorder="1"/>
    <xf numFmtId="0" fontId="10" fillId="12" borderId="24" xfId="0" applyFont="1" applyFill="1" applyBorder="1" applyAlignment="1">
      <alignment horizontal="center"/>
    </xf>
    <xf numFmtId="0" fontId="10" fillId="12" borderId="24" xfId="0" applyFont="1" applyFill="1" applyBorder="1"/>
    <xf numFmtId="3" fontId="10" fillId="12" borderId="24" xfId="0" applyNumberFormat="1" applyFont="1" applyFill="1" applyBorder="1"/>
    <xf numFmtId="0" fontId="0" fillId="0" borderId="24" xfId="0" applyFont="1" applyBorder="1" applyAlignment="1">
      <alignment horizontal="center"/>
    </xf>
    <xf numFmtId="0" fontId="0" fillId="0" borderId="24" xfId="0" applyFont="1" applyBorder="1"/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left"/>
    </xf>
    <xf numFmtId="0" fontId="10" fillId="10" borderId="24" xfId="0" applyFont="1" applyFill="1" applyBorder="1" applyAlignment="1">
      <alignment horizontal="center"/>
    </xf>
    <xf numFmtId="0" fontId="10" fillId="10" borderId="24" xfId="0" applyFont="1" applyFill="1" applyBorder="1"/>
    <xf numFmtId="3" fontId="10" fillId="10" borderId="24" xfId="0" applyNumberFormat="1" applyFont="1" applyFill="1" applyBorder="1"/>
    <xf numFmtId="0" fontId="0" fillId="0" borderId="24" xfId="0" applyBorder="1"/>
    <xf numFmtId="0" fontId="0" fillId="0" borderId="0" xfId="0" applyAlignment="1">
      <alignment horizontal="center"/>
    </xf>
    <xf numFmtId="49" fontId="0" fillId="0" borderId="26" xfId="0" applyNumberFormat="1" applyBorder="1" applyAlignment="1">
      <alignment horizontal="center"/>
    </xf>
    <xf numFmtId="0" fontId="0" fillId="0" borderId="26" xfId="0" applyBorder="1" applyAlignment="1">
      <alignment wrapText="1"/>
    </xf>
    <xf numFmtId="3" fontId="0" fillId="0" borderId="26" xfId="0" applyNumberFormat="1" applyBorder="1"/>
    <xf numFmtId="0" fontId="29" fillId="12" borderId="26" xfId="0" applyFont="1" applyFill="1" applyBorder="1" applyAlignment="1">
      <alignment horizontal="center" vertical="center"/>
    </xf>
    <xf numFmtId="0" fontId="29" fillId="12" borderId="26" xfId="0" applyFont="1" applyFill="1" applyBorder="1" applyAlignment="1">
      <alignment vertical="center" wrapText="1"/>
    </xf>
    <xf numFmtId="3" fontId="29" fillId="12" borderId="26" xfId="0" applyNumberFormat="1" applyFont="1" applyFill="1" applyBorder="1" applyAlignment="1">
      <alignment vertical="center"/>
    </xf>
    <xf numFmtId="0" fontId="29" fillId="11" borderId="26" xfId="0" applyFont="1" applyFill="1" applyBorder="1" applyAlignment="1">
      <alignment horizontal="center" vertical="center"/>
    </xf>
    <xf numFmtId="0" fontId="29" fillId="11" borderId="26" xfId="0" applyFont="1" applyFill="1" applyBorder="1" applyAlignment="1">
      <alignment vertical="center" wrapText="1"/>
    </xf>
    <xf numFmtId="3" fontId="29" fillId="11" borderId="26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70" fontId="0" fillId="0" borderId="0" xfId="11" applyNumberFormat="1" applyFont="1"/>
    <xf numFmtId="0" fontId="18" fillId="0" borderId="0" xfId="7" applyFont="1"/>
    <xf numFmtId="0" fontId="22" fillId="0" borderId="0" xfId="7" applyFont="1"/>
    <xf numFmtId="49" fontId="19" fillId="0" borderId="0" xfId="7" applyNumberFormat="1" applyFont="1" applyAlignment="1">
      <alignment horizontal="center"/>
    </xf>
    <xf numFmtId="0" fontId="19" fillId="0" borderId="0" xfId="7" applyFont="1"/>
    <xf numFmtId="0" fontId="7" fillId="0" borderId="0" xfId="7"/>
    <xf numFmtId="0" fontId="19" fillId="0" borderId="0" xfId="7" applyFont="1" applyAlignment="1">
      <alignment horizontal="center"/>
    </xf>
    <xf numFmtId="49" fontId="9" fillId="13" borderId="24" xfId="0" applyNumberFormat="1" applyFont="1" applyFill="1" applyBorder="1" applyAlignment="1">
      <alignment horizontal="center"/>
    </xf>
    <xf numFmtId="3" fontId="10" fillId="10" borderId="24" xfId="0" applyNumberFormat="1" applyFont="1" applyFill="1" applyBorder="1" applyAlignment="1">
      <alignment horizontal="center" vertical="center" wrapText="1"/>
    </xf>
    <xf numFmtId="0" fontId="6" fillId="0" borderId="0" xfId="7" applyFont="1" applyAlignment="1">
      <alignment vertical="center"/>
    </xf>
    <xf numFmtId="0" fontId="6" fillId="0" borderId="0" xfId="7" applyFont="1"/>
    <xf numFmtId="0" fontId="6" fillId="0" borderId="0" xfId="7" applyFont="1" applyAlignment="1">
      <alignment horizontal="center" vertical="center"/>
    </xf>
    <xf numFmtId="0" fontId="32" fillId="0" borderId="28" xfId="7" applyFont="1" applyBorder="1" applyAlignment="1">
      <alignment horizontal="center" vertical="center"/>
    </xf>
    <xf numFmtId="0" fontId="16" fillId="0" borderId="28" xfId="7" applyFont="1" applyBorder="1" applyAlignment="1">
      <alignment horizontal="left" vertical="center"/>
    </xf>
    <xf numFmtId="0" fontId="16" fillId="0" borderId="0" xfId="7" applyFont="1" applyAlignment="1">
      <alignment horizontal="center" vertical="center"/>
    </xf>
    <xf numFmtId="0" fontId="6" fillId="0" borderId="28" xfId="7" applyFont="1" applyBorder="1" applyAlignment="1">
      <alignment horizontal="left" vertical="center" wrapText="1"/>
    </xf>
    <xf numFmtId="165" fontId="6" fillId="30" borderId="28" xfId="7" applyNumberFormat="1" applyFont="1" applyFill="1" applyBorder="1" applyAlignment="1">
      <alignment horizontal="center" vertical="center"/>
    </xf>
    <xf numFmtId="0" fontId="6" fillId="0" borderId="28" xfId="7" applyFont="1" applyBorder="1" applyAlignment="1">
      <alignment horizontal="left" vertical="center"/>
    </xf>
    <xf numFmtId="0" fontId="6" fillId="30" borderId="28" xfId="7" applyFont="1" applyFill="1" applyBorder="1" applyAlignment="1">
      <alignment horizontal="center" vertical="center" wrapText="1"/>
    </xf>
    <xf numFmtId="166" fontId="6" fillId="30" borderId="28" xfId="7" applyNumberFormat="1" applyFont="1" applyFill="1" applyBorder="1" applyAlignment="1">
      <alignment horizontal="center" vertical="center" wrapText="1"/>
    </xf>
    <xf numFmtId="166" fontId="6" fillId="30" borderId="28" xfId="7" applyNumberFormat="1" applyFont="1" applyFill="1" applyBorder="1" applyAlignment="1">
      <alignment horizontal="center" vertical="center"/>
    </xf>
    <xf numFmtId="0" fontId="6" fillId="30" borderId="28" xfId="7" applyFont="1" applyFill="1" applyBorder="1" applyAlignment="1">
      <alignment horizontal="center"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6" fontId="0" fillId="0" borderId="24" xfId="0" applyNumberFormat="1" applyBorder="1" applyAlignment="1">
      <alignment horizontal="left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3" fontId="0" fillId="0" borderId="24" xfId="0" applyNumberFormat="1" applyFont="1" applyBorder="1" applyAlignment="1">
      <alignment vertical="center" wrapText="1"/>
    </xf>
    <xf numFmtId="49" fontId="9" fillId="13" borderId="26" xfId="0" applyNumberFormat="1" applyFont="1" applyFill="1" applyBorder="1" applyAlignment="1">
      <alignment horizontal="center" vertical="center"/>
    </xf>
    <xf numFmtId="3" fontId="9" fillId="13" borderId="26" xfId="0" applyNumberFormat="1" applyFont="1" applyFill="1" applyBorder="1" applyAlignment="1">
      <alignment horizontal="right" vertical="center"/>
    </xf>
    <xf numFmtId="49" fontId="10" fillId="11" borderId="26" xfId="0" applyNumberFormat="1" applyFont="1" applyFill="1" applyBorder="1" applyAlignment="1">
      <alignment horizontal="center" vertical="center"/>
    </xf>
    <xf numFmtId="0" fontId="10" fillId="11" borderId="26" xfId="0" applyFont="1" applyFill="1" applyBorder="1" applyAlignment="1">
      <alignment vertical="center"/>
    </xf>
    <xf numFmtId="3" fontId="10" fillId="11" borderId="26" xfId="0" applyNumberFormat="1" applyFont="1" applyFill="1" applyBorder="1" applyAlignment="1">
      <alignment vertical="center"/>
    </xf>
    <xf numFmtId="49" fontId="10" fillId="0" borderId="26" xfId="0" applyNumberFormat="1" applyFont="1" applyBorder="1" applyAlignment="1">
      <alignment horizontal="center" vertical="center"/>
    </xf>
    <xf numFmtId="49" fontId="10" fillId="0" borderId="26" xfId="0" applyNumberFormat="1" applyFont="1" applyBorder="1"/>
    <xf numFmtId="3" fontId="10" fillId="0" borderId="26" xfId="0" applyNumberFormat="1" applyFont="1" applyBorder="1"/>
    <xf numFmtId="49" fontId="0" fillId="0" borderId="26" xfId="0" applyNumberFormat="1" applyBorder="1" applyAlignment="1">
      <alignment horizontal="center" vertical="center"/>
    </xf>
    <xf numFmtId="49" fontId="0" fillId="0" borderId="26" xfId="0" applyNumberFormat="1" applyBorder="1"/>
    <xf numFmtId="49" fontId="0" fillId="0" borderId="26" xfId="0" applyNumberFormat="1" applyBorder="1" applyAlignment="1">
      <alignment vertical="center" wrapText="1"/>
    </xf>
    <xf numFmtId="3" fontId="0" fillId="0" borderId="26" xfId="0" applyNumberFormat="1" applyBorder="1" applyAlignment="1">
      <alignment vertical="center"/>
    </xf>
    <xf numFmtId="3" fontId="13" fillId="0" borderId="26" xfId="0" applyNumberFormat="1" applyFont="1" applyBorder="1" applyAlignment="1">
      <alignment vertical="center"/>
    </xf>
    <xf numFmtId="3" fontId="0" fillId="0" borderId="26" xfId="0" applyNumberFormat="1" applyFont="1" applyBorder="1"/>
    <xf numFmtId="0" fontId="9" fillId="9" borderId="26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/>
    </xf>
    <xf numFmtId="165" fontId="10" fillId="0" borderId="26" xfId="0" applyNumberFormat="1" applyFont="1" applyFill="1" applyBorder="1" applyAlignment="1">
      <alignment horizontal="right" vertical="center" wrapText="1"/>
    </xf>
    <xf numFmtId="0" fontId="10" fillId="11" borderId="26" xfId="0" applyFont="1" applyFill="1" applyBorder="1" applyAlignment="1">
      <alignment horizontal="center" vertical="center"/>
    </xf>
    <xf numFmtId="0" fontId="10" fillId="11" borderId="26" xfId="0" applyFont="1" applyFill="1" applyBorder="1"/>
    <xf numFmtId="3" fontId="10" fillId="11" borderId="26" xfId="0" applyNumberFormat="1" applyFont="1" applyFill="1" applyBorder="1"/>
    <xf numFmtId="0" fontId="10" fillId="12" borderId="26" xfId="0" applyFont="1" applyFill="1" applyBorder="1" applyAlignment="1">
      <alignment horizontal="center" vertical="center"/>
    </xf>
    <xf numFmtId="0" fontId="10" fillId="12" borderId="26" xfId="0" applyFont="1" applyFill="1" applyBorder="1"/>
    <xf numFmtId="3" fontId="10" fillId="12" borderId="26" xfId="0" applyNumberFormat="1" applyFont="1" applyFill="1" applyBorder="1"/>
    <xf numFmtId="0" fontId="0" fillId="0" borderId="26" xfId="0" applyBorder="1" applyAlignment="1">
      <alignment horizontal="left" vertical="center" wrapText="1"/>
    </xf>
    <xf numFmtId="3" fontId="0" fillId="0" borderId="26" xfId="0" applyNumberFormat="1" applyBorder="1" applyAlignment="1">
      <alignment horizontal="right" vertical="center" wrapText="1"/>
    </xf>
    <xf numFmtId="0" fontId="0" fillId="0" borderId="26" xfId="0" applyBorder="1"/>
    <xf numFmtId="0" fontId="10" fillId="10" borderId="26" xfId="0" applyFont="1" applyFill="1" applyBorder="1" applyAlignment="1">
      <alignment horizontal="left" vertical="center"/>
    </xf>
    <xf numFmtId="3" fontId="10" fillId="10" borderId="26" xfId="0" applyNumberFormat="1" applyFont="1" applyFill="1" applyBorder="1" applyAlignment="1">
      <alignment horizontal="right" vertical="center" wrapText="1"/>
    </xf>
    <xf numFmtId="0" fontId="9" fillId="13" borderId="26" xfId="0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horizontal="left" vertical="center"/>
    </xf>
    <xf numFmtId="0" fontId="9" fillId="13" borderId="26" xfId="0" applyFont="1" applyFill="1" applyBorder="1" applyAlignment="1">
      <alignment vertical="center" wrapText="1"/>
    </xf>
    <xf numFmtId="49" fontId="12" fillId="11" borderId="26" xfId="0" applyNumberFormat="1" applyFont="1" applyFill="1" applyBorder="1" applyAlignment="1">
      <alignment horizontal="center" vertical="center"/>
    </xf>
    <xf numFmtId="0" fontId="12" fillId="11" borderId="26" xfId="0" applyFont="1" applyFill="1" applyBorder="1" applyAlignment="1">
      <alignment vertical="center" wrapText="1"/>
    </xf>
    <xf numFmtId="3" fontId="12" fillId="11" borderId="26" xfId="0" applyNumberFormat="1" applyFont="1" applyFill="1" applyBorder="1" applyAlignment="1">
      <alignment horizontal="right" vertical="center"/>
    </xf>
    <xf numFmtId="49" fontId="10" fillId="0" borderId="26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vertical="center"/>
    </xf>
    <xf numFmtId="3" fontId="10" fillId="0" borderId="26" xfId="0" applyNumberFormat="1" applyFont="1" applyFill="1" applyBorder="1" applyAlignment="1">
      <alignment vertical="center"/>
    </xf>
    <xf numFmtId="49" fontId="0" fillId="0" borderId="26" xfId="0" applyNumberFormat="1" applyFont="1" applyBorder="1"/>
    <xf numFmtId="3" fontId="0" fillId="0" borderId="26" xfId="0" applyNumberFormat="1" applyFont="1" applyFill="1" applyBorder="1" applyAlignment="1">
      <alignment vertical="center"/>
    </xf>
    <xf numFmtId="3" fontId="0" fillId="0" borderId="26" xfId="0" applyNumberFormat="1" applyFont="1" applyBorder="1" applyAlignment="1">
      <alignment vertical="center"/>
    </xf>
    <xf numFmtId="165" fontId="10" fillId="11" borderId="26" xfId="0" applyNumberFormat="1" applyFont="1" applyFill="1" applyBorder="1" applyAlignment="1">
      <alignment vertical="center"/>
    </xf>
    <xf numFmtId="165" fontId="0" fillId="0" borderId="26" xfId="0" applyNumberFormat="1" applyFont="1" applyBorder="1"/>
    <xf numFmtId="165" fontId="0" fillId="0" borderId="26" xfId="0" applyNumberFormat="1" applyFont="1" applyBorder="1" applyAlignment="1">
      <alignment vertical="center"/>
    </xf>
    <xf numFmtId="165" fontId="0" fillId="0" borderId="26" xfId="0" applyNumberFormat="1" applyBorder="1"/>
    <xf numFmtId="0" fontId="10" fillId="0" borderId="26" xfId="0" applyFont="1" applyBorder="1" applyAlignment="1">
      <alignment horizontal="left" vertical="center" wrapText="1"/>
    </xf>
    <xf numFmtId="0" fontId="10" fillId="0" borderId="26" xfId="0" applyFont="1" applyBorder="1" applyAlignment="1">
      <alignment vertical="center" wrapText="1"/>
    </xf>
    <xf numFmtId="3" fontId="10" fillId="0" borderId="26" xfId="0" applyNumberFormat="1" applyFont="1" applyBorder="1" applyAlignment="1">
      <alignment horizontal="right" vertical="center" wrapText="1"/>
    </xf>
    <xf numFmtId="16" fontId="0" fillId="0" borderId="26" xfId="0" applyNumberFormat="1" applyBorder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3" fontId="0" fillId="0" borderId="26" xfId="0" applyNumberFormat="1" applyBorder="1" applyAlignment="1">
      <alignment vertical="center" wrapText="1"/>
    </xf>
    <xf numFmtId="3" fontId="10" fillId="10" borderId="26" xfId="0" applyNumberFormat="1" applyFont="1" applyFill="1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6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3" fontId="33" fillId="0" borderId="0" xfId="0" applyNumberFormat="1" applyFont="1" applyBorder="1" applyAlignment="1">
      <alignment vertical="center"/>
    </xf>
    <xf numFmtId="0" fontId="15" fillId="18" borderId="25" xfId="0" applyFont="1" applyFill="1" applyBorder="1" applyAlignment="1">
      <alignment vertical="center" wrapText="1"/>
    </xf>
    <xf numFmtId="3" fontId="15" fillId="18" borderId="25" xfId="0" applyNumberFormat="1" applyFont="1" applyFill="1" applyBorder="1" applyAlignment="1">
      <alignment horizontal="right" vertical="center"/>
    </xf>
    <xf numFmtId="3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171" fontId="0" fillId="0" borderId="0" xfId="11" applyNumberFormat="1" applyFont="1"/>
    <xf numFmtId="171" fontId="9" fillId="13" borderId="26" xfId="11" applyNumberFormat="1" applyFont="1" applyFill="1" applyBorder="1" applyAlignment="1">
      <alignment horizontal="right" vertical="center"/>
    </xf>
    <xf numFmtId="171" fontId="12" fillId="11" borderId="26" xfId="11" applyNumberFormat="1" applyFont="1" applyFill="1" applyBorder="1" applyAlignment="1">
      <alignment horizontal="right" vertical="center"/>
    </xf>
    <xf numFmtId="171" fontId="10" fillId="0" borderId="26" xfId="11" applyNumberFormat="1" applyFont="1" applyFill="1" applyBorder="1" applyAlignment="1">
      <alignment vertical="center"/>
    </xf>
    <xf numFmtId="171" fontId="10" fillId="0" borderId="26" xfId="11" applyNumberFormat="1" applyFont="1" applyBorder="1"/>
    <xf numFmtId="171" fontId="0" fillId="0" borderId="26" xfId="11" applyNumberFormat="1" applyFont="1" applyBorder="1"/>
    <xf numFmtId="171" fontId="0" fillId="0" borderId="26" xfId="11" applyNumberFormat="1" applyFont="1" applyBorder="1" applyAlignment="1">
      <alignment vertical="center"/>
    </xf>
    <xf numFmtId="171" fontId="0" fillId="0" borderId="26" xfId="11" applyNumberFormat="1" applyFont="1" applyFill="1" applyBorder="1" applyAlignment="1">
      <alignment vertical="center"/>
    </xf>
    <xf numFmtId="170" fontId="17" fillId="0" borderId="0" xfId="11" applyNumberFormat="1" applyFont="1" applyAlignment="1">
      <alignment vertical="center"/>
    </xf>
    <xf numFmtId="171" fontId="10" fillId="11" borderId="26" xfId="11" applyNumberFormat="1" applyFont="1" applyFill="1" applyBorder="1" applyAlignment="1">
      <alignment vertical="center"/>
    </xf>
    <xf numFmtId="171" fontId="13" fillId="0" borderId="26" xfId="11" applyNumberFormat="1" applyFont="1" applyBorder="1" applyAlignment="1">
      <alignment vertical="center"/>
    </xf>
    <xf numFmtId="0" fontId="0" fillId="28" borderId="26" xfId="0" applyFill="1" applyBorder="1" applyAlignment="1">
      <alignment wrapText="1"/>
    </xf>
    <xf numFmtId="3" fontId="13" fillId="28" borderId="26" xfId="0" applyNumberFormat="1" applyFont="1" applyFill="1" applyBorder="1"/>
    <xf numFmtId="49" fontId="0" fillId="0" borderId="30" xfId="0" applyNumberFormat="1" applyBorder="1"/>
    <xf numFmtId="171" fontId="0" fillId="0" borderId="30" xfId="11" applyNumberFormat="1" applyFont="1" applyBorder="1"/>
    <xf numFmtId="49" fontId="13" fillId="0" borderId="26" xfId="0" applyNumberFormat="1" applyFont="1" applyBorder="1"/>
    <xf numFmtId="0" fontId="6" fillId="0" borderId="28" xfId="7" applyFont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/>
    <xf numFmtId="3" fontId="13" fillId="0" borderId="0" xfId="0" applyNumberFormat="1" applyFont="1"/>
    <xf numFmtId="3" fontId="13" fillId="0" borderId="0" xfId="0" applyNumberFormat="1" applyFont="1" applyAlignment="1">
      <alignment horizontal="right"/>
    </xf>
    <xf numFmtId="171" fontId="13" fillId="0" borderId="0" xfId="11" applyNumberFormat="1" applyFont="1"/>
    <xf numFmtId="0" fontId="13" fillId="0" borderId="0" xfId="0" applyFont="1"/>
    <xf numFmtId="0" fontId="12" fillId="11" borderId="26" xfId="0" applyFont="1" applyFill="1" applyBorder="1" applyAlignment="1">
      <alignment vertical="center"/>
    </xf>
    <xf numFmtId="3" fontId="12" fillId="11" borderId="26" xfId="0" applyNumberFormat="1" applyFont="1" applyFill="1" applyBorder="1" applyAlignment="1">
      <alignment vertical="center"/>
    </xf>
    <xf numFmtId="171" fontId="12" fillId="11" borderId="26" xfId="11" applyNumberFormat="1" applyFont="1" applyFill="1" applyBorder="1" applyAlignment="1">
      <alignment vertical="center"/>
    </xf>
    <xf numFmtId="49" fontId="12" fillId="0" borderId="26" xfId="0" applyNumberFormat="1" applyFont="1" applyBorder="1" applyAlignment="1">
      <alignment horizontal="center" vertical="center"/>
    </xf>
    <xf numFmtId="49" fontId="12" fillId="0" borderId="26" xfId="0" applyNumberFormat="1" applyFont="1" applyBorder="1"/>
    <xf numFmtId="3" fontId="12" fillId="0" borderId="26" xfId="0" applyNumberFormat="1" applyFont="1" applyBorder="1"/>
    <xf numFmtId="171" fontId="12" fillId="0" borderId="26" xfId="11" applyNumberFormat="1" applyFont="1" applyBorder="1"/>
    <xf numFmtId="49" fontId="13" fillId="0" borderId="26" xfId="0" applyNumberFormat="1" applyFont="1" applyBorder="1" applyAlignment="1">
      <alignment horizontal="center" vertical="center"/>
    </xf>
    <xf numFmtId="3" fontId="13" fillId="0" borderId="26" xfId="0" applyNumberFormat="1" applyFont="1" applyBorder="1"/>
    <xf numFmtId="171" fontId="13" fillId="0" borderId="26" xfId="11" applyNumberFormat="1" applyFont="1" applyBorder="1"/>
    <xf numFmtId="49" fontId="13" fillId="0" borderId="26" xfId="0" applyNumberFormat="1" applyFont="1" applyBorder="1" applyAlignment="1">
      <alignment vertical="center" wrapText="1"/>
    </xf>
    <xf numFmtId="3" fontId="12" fillId="0" borderId="26" xfId="0" applyNumberFormat="1" applyFont="1" applyBorder="1" applyAlignment="1">
      <alignment vertical="center"/>
    </xf>
    <xf numFmtId="171" fontId="12" fillId="0" borderId="26" xfId="11" applyNumberFormat="1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2" fillId="0" borderId="26" xfId="0" applyNumberFormat="1" applyFont="1" applyBorder="1" applyAlignment="1">
      <alignment wrapText="1"/>
    </xf>
    <xf numFmtId="0" fontId="13" fillId="0" borderId="0" xfId="0" applyFont="1" applyAlignment="1">
      <alignment horizontal="center"/>
    </xf>
    <xf numFmtId="0" fontId="12" fillId="10" borderId="24" xfId="0" applyFont="1" applyFill="1" applyBorder="1" applyAlignment="1">
      <alignment horizontal="center" vertical="center" wrapText="1"/>
    </xf>
    <xf numFmtId="3" fontId="12" fillId="10" borderId="2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2" fillId="13" borderId="24" xfId="0" applyNumberFormat="1" applyFont="1" applyFill="1" applyBorder="1" applyAlignment="1">
      <alignment horizontal="center"/>
    </xf>
    <xf numFmtId="0" fontId="12" fillId="13" borderId="24" xfId="0" applyFont="1" applyFill="1" applyBorder="1"/>
    <xf numFmtId="3" fontId="12" fillId="13" borderId="24" xfId="0" applyNumberFormat="1" applyFont="1" applyFill="1" applyBorder="1"/>
    <xf numFmtId="0" fontId="12" fillId="11" borderId="24" xfId="0" applyFont="1" applyFill="1" applyBorder="1" applyAlignment="1">
      <alignment horizontal="center"/>
    </xf>
    <xf numFmtId="0" fontId="12" fillId="11" borderId="24" xfId="0" applyFont="1" applyFill="1" applyBorder="1"/>
    <xf numFmtId="3" fontId="12" fillId="11" borderId="24" xfId="0" applyNumberFormat="1" applyFont="1" applyFill="1" applyBorder="1"/>
    <xf numFmtId="0" fontId="12" fillId="12" borderId="24" xfId="0" applyFont="1" applyFill="1" applyBorder="1" applyAlignment="1">
      <alignment horizontal="center"/>
    </xf>
    <xf numFmtId="0" fontId="12" fillId="12" borderId="24" xfId="0" applyFont="1" applyFill="1" applyBorder="1"/>
    <xf numFmtId="3" fontId="12" fillId="12" borderId="24" xfId="0" applyNumberFormat="1" applyFont="1" applyFill="1" applyBorder="1" applyAlignment="1"/>
    <xf numFmtId="3" fontId="12" fillId="12" borderId="24" xfId="0" applyNumberFormat="1" applyFont="1" applyFill="1" applyBorder="1"/>
    <xf numFmtId="0" fontId="13" fillId="0" borderId="24" xfId="0" applyFont="1" applyBorder="1" applyAlignment="1">
      <alignment horizontal="center"/>
    </xf>
    <xf numFmtId="0" fontId="13" fillId="0" borderId="24" xfId="0" applyFont="1" applyBorder="1"/>
    <xf numFmtId="3" fontId="13" fillId="0" borderId="24" xfId="0" applyNumberFormat="1" applyFont="1" applyBorder="1"/>
    <xf numFmtId="0" fontId="13" fillId="0" borderId="24" xfId="0" applyFont="1" applyBorder="1" applyAlignment="1">
      <alignment horizontal="left" indent="3"/>
    </xf>
    <xf numFmtId="0" fontId="13" fillId="0" borderId="24" xfId="0" applyFont="1" applyBorder="1" applyAlignment="1">
      <alignment horizontal="left"/>
    </xf>
    <xf numFmtId="0" fontId="12" fillId="10" borderId="24" xfId="0" applyFont="1" applyFill="1" applyBorder="1" applyAlignment="1">
      <alignment horizontal="center"/>
    </xf>
    <xf numFmtId="0" fontId="12" fillId="10" borderId="24" xfId="0" applyFont="1" applyFill="1" applyBorder="1"/>
    <xf numFmtId="3" fontId="12" fillId="10" borderId="24" xfId="0" applyNumberFormat="1" applyFont="1" applyFill="1" applyBorder="1"/>
    <xf numFmtId="165" fontId="12" fillId="0" borderId="26" xfId="0" applyNumberFormat="1" applyFont="1" applyFill="1" applyBorder="1" applyAlignment="1">
      <alignment horizontal="right" vertical="center" wrapText="1"/>
    </xf>
    <xf numFmtId="49" fontId="13" fillId="0" borderId="35" xfId="0" applyNumberFormat="1" applyFont="1" applyBorder="1" applyAlignment="1">
      <alignment horizontal="center" vertical="center"/>
    </xf>
    <xf numFmtId="49" fontId="13" fillId="0" borderId="35" xfId="0" applyNumberFormat="1" applyFont="1" applyBorder="1"/>
    <xf numFmtId="3" fontId="13" fillId="0" borderId="35" xfId="0" applyNumberFormat="1" applyFont="1" applyBorder="1"/>
    <xf numFmtId="171" fontId="13" fillId="0" borderId="35" xfId="11" applyNumberFormat="1" applyFont="1" applyBorder="1"/>
    <xf numFmtId="3" fontId="12" fillId="0" borderId="7" xfId="0" applyNumberFormat="1" applyFont="1" applyBorder="1"/>
    <xf numFmtId="171" fontId="12" fillId="0" borderId="7" xfId="11" applyNumberFormat="1" applyFont="1" applyBorder="1"/>
    <xf numFmtId="0" fontId="7" fillId="0" borderId="0" xfId="5" applyFont="1" applyAlignment="1">
      <alignment vertical="center"/>
    </xf>
    <xf numFmtId="0" fontId="7" fillId="0" borderId="0" xfId="5" applyFont="1"/>
    <xf numFmtId="0" fontId="7" fillId="0" borderId="0" xfId="5" applyFont="1" applyAlignment="1">
      <alignment horizontal="center"/>
    </xf>
    <xf numFmtId="49" fontId="7" fillId="0" borderId="0" xfId="5" applyNumberFormat="1" applyFont="1" applyAlignment="1">
      <alignment horizontal="center"/>
    </xf>
    <xf numFmtId="3" fontId="13" fillId="0" borderId="26" xfId="0" applyNumberFormat="1" applyFont="1" applyBorder="1" applyAlignment="1">
      <alignment horizontal="right" vertical="center" wrapText="1"/>
    </xf>
    <xf numFmtId="3" fontId="12" fillId="0" borderId="26" xfId="0" applyNumberFormat="1" applyFont="1" applyBorder="1" applyAlignment="1">
      <alignment horizontal="right" vertical="center" wrapText="1"/>
    </xf>
    <xf numFmtId="3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49" fontId="19" fillId="0" borderId="8" xfId="7" applyNumberFormat="1" applyFont="1" applyBorder="1" applyAlignment="1">
      <alignment horizontal="center"/>
    </xf>
    <xf numFmtId="0" fontId="19" fillId="0" borderId="8" xfId="7" applyFont="1" applyBorder="1" applyAlignment="1">
      <alignment horizontal="left" indent="1"/>
    </xf>
    <xf numFmtId="0" fontId="19" fillId="0" borderId="8" xfId="7" applyFont="1" applyBorder="1" applyAlignment="1">
      <alignment horizontal="center"/>
    </xf>
    <xf numFmtId="3" fontId="12" fillId="11" borderId="26" xfId="0" applyNumberFormat="1" applyFont="1" applyFill="1" applyBorder="1" applyAlignment="1">
      <alignment vertical="center" wrapText="1"/>
    </xf>
    <xf numFmtId="171" fontId="12" fillId="11" borderId="26" xfId="11" applyNumberFormat="1" applyFont="1" applyFill="1" applyBorder="1" applyAlignment="1">
      <alignment vertical="center" wrapText="1"/>
    </xf>
    <xf numFmtId="3" fontId="12" fillId="0" borderId="26" xfId="0" applyNumberFormat="1" applyFont="1" applyBorder="1" applyAlignment="1">
      <alignment wrapText="1"/>
    </xf>
    <xf numFmtId="171" fontId="12" fillId="0" borderId="26" xfId="11" applyNumberFormat="1" applyFont="1" applyBorder="1" applyAlignment="1">
      <alignment wrapText="1"/>
    </xf>
    <xf numFmtId="3" fontId="13" fillId="0" borderId="26" xfId="0" applyNumberFormat="1" applyFont="1" applyBorder="1" applyAlignment="1">
      <alignment wrapText="1"/>
    </xf>
    <xf numFmtId="171" fontId="13" fillId="0" borderId="26" xfId="11" applyNumberFormat="1" applyFont="1" applyBorder="1" applyAlignment="1">
      <alignment wrapText="1"/>
    </xf>
    <xf numFmtId="3" fontId="13" fillId="0" borderId="26" xfId="0" applyNumberFormat="1" applyFont="1" applyBorder="1" applyAlignment="1">
      <alignment vertical="center" wrapText="1"/>
    </xf>
    <xf numFmtId="171" fontId="13" fillId="0" borderId="26" xfId="11" applyNumberFormat="1" applyFont="1" applyBorder="1" applyAlignment="1">
      <alignment vertical="center" wrapText="1"/>
    </xf>
    <xf numFmtId="3" fontId="12" fillId="0" borderId="26" xfId="0" applyNumberFormat="1" applyFont="1" applyBorder="1" applyAlignment="1">
      <alignment vertical="center" wrapText="1"/>
    </xf>
    <xf numFmtId="171" fontId="12" fillId="0" borderId="26" xfId="11" applyNumberFormat="1" applyFont="1" applyBorder="1" applyAlignment="1">
      <alignment vertical="center" wrapText="1"/>
    </xf>
    <xf numFmtId="0" fontId="13" fillId="0" borderId="0" xfId="0" applyFont="1" applyAlignment="1">
      <alignment wrapText="1"/>
    </xf>
    <xf numFmtId="3" fontId="13" fillId="0" borderId="0" xfId="0" applyNumberFormat="1" applyFont="1" applyAlignment="1">
      <alignment wrapText="1"/>
    </xf>
    <xf numFmtId="3" fontId="10" fillId="10" borderId="26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49" fontId="10" fillId="0" borderId="26" xfId="0" applyNumberFormat="1" applyFont="1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49" fontId="10" fillId="11" borderId="26" xfId="0" applyNumberFormat="1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vertical="center" wrapText="1"/>
    </xf>
    <xf numFmtId="3" fontId="10" fillId="11" borderId="26" xfId="0" applyNumberFormat="1" applyFont="1" applyFill="1" applyBorder="1" applyAlignment="1">
      <alignment vertical="center" wrapText="1"/>
    </xf>
    <xf numFmtId="171" fontId="10" fillId="11" borderId="26" xfId="11" applyNumberFormat="1" applyFont="1" applyFill="1" applyBorder="1" applyAlignment="1">
      <alignment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3" fontId="10" fillId="0" borderId="26" xfId="0" applyNumberFormat="1" applyFont="1" applyBorder="1" applyAlignment="1">
      <alignment wrapText="1"/>
    </xf>
    <xf numFmtId="171" fontId="10" fillId="0" borderId="26" xfId="11" applyNumberFormat="1" applyFont="1" applyBorder="1" applyAlignment="1">
      <alignment wrapText="1"/>
    </xf>
    <xf numFmtId="49" fontId="0" fillId="0" borderId="26" xfId="0" applyNumberFormat="1" applyBorder="1" applyAlignment="1">
      <alignment horizontal="center" vertical="center" wrapText="1"/>
    </xf>
    <xf numFmtId="49" fontId="0" fillId="0" borderId="26" xfId="0" applyNumberFormat="1" applyBorder="1" applyAlignment="1">
      <alignment wrapText="1"/>
    </xf>
    <xf numFmtId="3" fontId="0" fillId="0" borderId="26" xfId="0" applyNumberFormat="1" applyBorder="1" applyAlignment="1">
      <alignment wrapText="1"/>
    </xf>
    <xf numFmtId="171" fontId="0" fillId="0" borderId="26" xfId="11" applyNumberFormat="1" applyFont="1" applyBorder="1" applyAlignment="1">
      <alignment wrapText="1"/>
    </xf>
    <xf numFmtId="0" fontId="10" fillId="0" borderId="0" xfId="0" applyFont="1" applyAlignment="1">
      <alignment wrapText="1"/>
    </xf>
    <xf numFmtId="49" fontId="0" fillId="0" borderId="26" xfId="0" applyNumberFormat="1" applyFont="1" applyBorder="1" applyAlignment="1">
      <alignment horizontal="center" vertical="center" wrapText="1"/>
    </xf>
    <xf numFmtId="3" fontId="0" fillId="0" borderId="26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49" fontId="0" fillId="0" borderId="26" xfId="0" applyNumberFormat="1" applyFont="1" applyBorder="1" applyAlignment="1">
      <alignment wrapText="1"/>
    </xf>
    <xf numFmtId="171" fontId="0" fillId="0" borderId="0" xfId="11" applyNumberFormat="1" applyFont="1" applyAlignment="1">
      <alignment wrapText="1"/>
    </xf>
    <xf numFmtId="49" fontId="10" fillId="0" borderId="0" xfId="0" applyNumberFormat="1" applyFont="1" applyAlignment="1">
      <alignment wrapText="1"/>
    </xf>
    <xf numFmtId="3" fontId="10" fillId="0" borderId="0" xfId="0" applyNumberFormat="1" applyFont="1" applyAlignment="1">
      <alignment wrapText="1"/>
    </xf>
    <xf numFmtId="0" fontId="10" fillId="0" borderId="26" xfId="0" applyFont="1" applyFill="1" applyBorder="1" applyAlignment="1">
      <alignment horizontal="left" vertical="center" wrapText="1"/>
    </xf>
    <xf numFmtId="0" fontId="10" fillId="11" borderId="26" xfId="0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wrapText="1"/>
    </xf>
    <xf numFmtId="3" fontId="10" fillId="11" borderId="26" xfId="0" applyNumberFormat="1" applyFont="1" applyFill="1" applyBorder="1" applyAlignment="1">
      <alignment wrapText="1"/>
    </xf>
    <xf numFmtId="3" fontId="10" fillId="0" borderId="26" xfId="0" applyNumberFormat="1" applyFont="1" applyBorder="1" applyAlignment="1">
      <alignment vertical="center" wrapText="1"/>
    </xf>
    <xf numFmtId="3" fontId="10" fillId="28" borderId="26" xfId="0" applyNumberFormat="1" applyFont="1" applyFill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3" fontId="12" fillId="11" borderId="26" xfId="0" applyNumberFormat="1" applyFont="1" applyFill="1" applyBorder="1" applyAlignment="1">
      <alignment wrapText="1"/>
    </xf>
    <xf numFmtId="3" fontId="13" fillId="0" borderId="26" xfId="0" applyNumberFormat="1" applyFont="1" applyFill="1" applyBorder="1" applyAlignment="1">
      <alignment wrapText="1"/>
    </xf>
    <xf numFmtId="171" fontId="13" fillId="0" borderId="26" xfId="11" applyNumberFormat="1" applyFont="1" applyFill="1" applyBorder="1" applyAlignment="1">
      <alignment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wrapText="1"/>
    </xf>
    <xf numFmtId="0" fontId="37" fillId="11" borderId="26" xfId="0" applyFont="1" applyFill="1" applyBorder="1" applyAlignment="1">
      <alignment horizontal="center" vertical="center" wrapText="1"/>
    </xf>
    <xf numFmtId="0" fontId="37" fillId="11" borderId="26" xfId="0" applyFont="1" applyFill="1" applyBorder="1" applyAlignment="1">
      <alignment vertical="center" wrapText="1"/>
    </xf>
    <xf numFmtId="3" fontId="37" fillId="11" borderId="26" xfId="0" applyNumberFormat="1" applyFont="1" applyFill="1" applyBorder="1" applyAlignment="1">
      <alignment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left" vertical="center" wrapText="1"/>
    </xf>
    <xf numFmtId="3" fontId="36" fillId="0" borderId="26" xfId="0" applyNumberFormat="1" applyFont="1" applyBorder="1" applyAlignment="1">
      <alignment vertical="center" wrapText="1"/>
    </xf>
    <xf numFmtId="3" fontId="39" fillId="0" borderId="26" xfId="0" applyNumberFormat="1" applyFont="1" applyBorder="1" applyAlignment="1">
      <alignment vertical="center" wrapText="1"/>
    </xf>
    <xf numFmtId="3" fontId="36" fillId="0" borderId="26" xfId="0" applyNumberFormat="1" applyFont="1" applyBorder="1" applyAlignment="1">
      <alignment horizontal="right" vertical="center" wrapText="1"/>
    </xf>
    <xf numFmtId="3" fontId="39" fillId="0" borderId="26" xfId="0" applyNumberFormat="1" applyFont="1" applyBorder="1" applyAlignment="1">
      <alignment horizontal="right" vertical="center" wrapText="1"/>
    </xf>
    <xf numFmtId="3" fontId="38" fillId="11" borderId="26" xfId="0" applyNumberFormat="1" applyFont="1" applyFill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3" fontId="36" fillId="0" borderId="0" xfId="0" applyNumberFormat="1" applyFont="1" applyAlignment="1">
      <alignment wrapText="1"/>
    </xf>
    <xf numFmtId="0" fontId="40" fillId="0" borderId="0" xfId="0" applyFont="1" applyAlignment="1">
      <alignment horizontal="center" vertical="center"/>
    </xf>
    <xf numFmtId="0" fontId="40" fillId="0" borderId="0" xfId="0" applyFont="1"/>
    <xf numFmtId="0" fontId="41" fillId="11" borderId="26" xfId="0" applyFont="1" applyFill="1" applyBorder="1" applyAlignment="1">
      <alignment horizontal="center" vertical="center"/>
    </xf>
    <xf numFmtId="0" fontId="41" fillId="11" borderId="26" xfId="0" applyFont="1" applyFill="1" applyBorder="1"/>
    <xf numFmtId="3" fontId="41" fillId="11" borderId="26" xfId="0" applyNumberFormat="1" applyFont="1" applyFill="1" applyBorder="1"/>
    <xf numFmtId="0" fontId="41" fillId="12" borderId="26" xfId="0" applyFont="1" applyFill="1" applyBorder="1" applyAlignment="1">
      <alignment horizontal="center" vertical="center"/>
    </xf>
    <xf numFmtId="0" fontId="41" fillId="12" borderId="26" xfId="0" applyFont="1" applyFill="1" applyBorder="1"/>
    <xf numFmtId="3" fontId="41" fillId="12" borderId="26" xfId="0" applyNumberFormat="1" applyFont="1" applyFill="1" applyBorder="1"/>
    <xf numFmtId="0" fontId="40" fillId="0" borderId="26" xfId="0" applyFont="1" applyBorder="1" applyAlignment="1">
      <alignment horizontal="center" vertical="center"/>
    </xf>
    <xf numFmtId="0" fontId="41" fillId="0" borderId="26" xfId="0" applyFont="1" applyBorder="1" applyAlignment="1">
      <alignment horizontal="left" vertical="center" wrapText="1"/>
    </xf>
    <xf numFmtId="3" fontId="41" fillId="0" borderId="26" xfId="0" applyNumberFormat="1" applyFont="1" applyBorder="1" applyAlignment="1">
      <alignment vertical="center"/>
    </xf>
    <xf numFmtId="0" fontId="40" fillId="0" borderId="0" xfId="0" applyFont="1" applyAlignment="1">
      <alignment vertical="center"/>
    </xf>
    <xf numFmtId="16" fontId="40" fillId="0" borderId="26" xfId="0" applyNumberFormat="1" applyFont="1" applyBorder="1" applyAlignment="1">
      <alignment horizontal="left" vertical="center" wrapText="1" indent="3"/>
    </xf>
    <xf numFmtId="3" fontId="40" fillId="0" borderId="26" xfId="0" applyNumberFormat="1" applyFont="1" applyBorder="1" applyAlignment="1">
      <alignment vertical="center"/>
    </xf>
    <xf numFmtId="3" fontId="40" fillId="0" borderId="26" xfId="0" applyNumberFormat="1" applyFont="1" applyBorder="1"/>
    <xf numFmtId="3" fontId="41" fillId="0" borderId="26" xfId="0" applyNumberFormat="1" applyFont="1" applyBorder="1"/>
    <xf numFmtId="0" fontId="41" fillId="0" borderId="26" xfId="0" applyFont="1" applyBorder="1" applyAlignment="1">
      <alignment horizontal="center" vertical="center"/>
    </xf>
    <xf numFmtId="3" fontId="42" fillId="12" borderId="26" xfId="0" applyNumberFormat="1" applyFont="1" applyFill="1" applyBorder="1"/>
    <xf numFmtId="0" fontId="41" fillId="0" borderId="26" xfId="0" applyFont="1" applyBorder="1"/>
    <xf numFmtId="3" fontId="42" fillId="0" borderId="26" xfId="0" applyNumberFormat="1" applyFont="1" applyBorder="1"/>
    <xf numFmtId="0" fontId="41" fillId="0" borderId="26" xfId="0" applyFont="1" applyBorder="1" applyAlignment="1">
      <alignment vertical="center" wrapText="1"/>
    </xf>
    <xf numFmtId="3" fontId="43" fillId="0" borderId="26" xfId="0" applyNumberFormat="1" applyFont="1" applyBorder="1"/>
    <xf numFmtId="3" fontId="40" fillId="0" borderId="0" xfId="0" applyNumberFormat="1" applyFont="1"/>
    <xf numFmtId="3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172" fontId="0" fillId="0" borderId="0" xfId="0" applyNumberFormat="1"/>
    <xf numFmtId="170" fontId="0" fillId="0" borderId="0" xfId="0" applyNumberFormat="1"/>
    <xf numFmtId="16" fontId="0" fillId="0" borderId="26" xfId="0" applyNumberFormat="1" applyFont="1" applyBorder="1" applyAlignment="1">
      <alignment horizontal="left" vertical="center" wrapText="1" indent="3"/>
    </xf>
    <xf numFmtId="0" fontId="6" fillId="0" borderId="28" xfId="7" applyFont="1" applyFill="1" applyBorder="1" applyAlignment="1">
      <alignment horizontal="center" vertical="center" wrapText="1"/>
    </xf>
    <xf numFmtId="0" fontId="45" fillId="0" borderId="0" xfId="0" applyFont="1"/>
    <xf numFmtId="0" fontId="46" fillId="0" borderId="0" xfId="0" applyFont="1"/>
    <xf numFmtId="49" fontId="46" fillId="0" borderId="26" xfId="0" applyNumberFormat="1" applyFont="1" applyBorder="1" applyAlignment="1">
      <alignment horizontal="center" vertical="center"/>
    </xf>
    <xf numFmtId="0" fontId="33" fillId="0" borderId="0" xfId="0" applyFont="1"/>
    <xf numFmtId="0" fontId="35" fillId="0" borderId="0" xfId="0" applyFont="1"/>
    <xf numFmtId="3" fontId="12" fillId="0" borderId="26" xfId="0" applyNumberFormat="1" applyFont="1" applyFill="1" applyBorder="1" applyAlignment="1">
      <alignment wrapText="1"/>
    </xf>
    <xf numFmtId="3" fontId="13" fillId="0" borderId="26" xfId="0" applyNumberFormat="1" applyFont="1" applyFill="1" applyBorder="1" applyAlignment="1">
      <alignment vertical="center" wrapText="1"/>
    </xf>
    <xf numFmtId="49" fontId="12" fillId="0" borderId="26" xfId="0" applyNumberFormat="1" applyFont="1" applyFill="1" applyBorder="1" applyAlignment="1">
      <alignment horizontal="center" vertical="center"/>
    </xf>
    <xf numFmtId="49" fontId="12" fillId="0" borderId="26" xfId="0" applyNumberFormat="1" applyFont="1" applyFill="1" applyBorder="1"/>
    <xf numFmtId="3" fontId="12" fillId="0" borderId="26" xfId="0" applyNumberFormat="1" applyFont="1" applyFill="1" applyBorder="1"/>
    <xf numFmtId="171" fontId="12" fillId="0" borderId="26" xfId="11" applyNumberFormat="1" applyFont="1" applyFill="1" applyBorder="1"/>
    <xf numFmtId="171" fontId="12" fillId="0" borderId="26" xfId="11" applyNumberFormat="1" applyFont="1" applyFill="1" applyBorder="1" applyAlignment="1">
      <alignment wrapText="1"/>
    </xf>
    <xf numFmtId="0" fontId="13" fillId="0" borderId="0" xfId="0" applyFont="1" applyFill="1"/>
    <xf numFmtId="49" fontId="13" fillId="0" borderId="26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/>
    <xf numFmtId="3" fontId="13" fillId="0" borderId="26" xfId="0" applyNumberFormat="1" applyFont="1" applyFill="1" applyBorder="1"/>
    <xf numFmtId="171" fontId="13" fillId="0" borderId="26" xfId="11" applyNumberFormat="1" applyFont="1" applyFill="1" applyBorder="1"/>
    <xf numFmtId="49" fontId="13" fillId="0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vertical="center"/>
    </xf>
    <xf numFmtId="171" fontId="13" fillId="0" borderId="26" xfId="11" applyNumberFormat="1" applyFont="1" applyFill="1" applyBorder="1" applyAlignment="1">
      <alignment vertical="center"/>
    </xf>
    <xf numFmtId="171" fontId="13" fillId="0" borderId="26" xfId="11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/>
    </xf>
    <xf numFmtId="171" fontId="12" fillId="0" borderId="26" xfId="11" applyNumberFormat="1" applyFont="1" applyFill="1" applyBorder="1" applyAlignment="1">
      <alignment vertical="center"/>
    </xf>
    <xf numFmtId="3" fontId="12" fillId="0" borderId="26" xfId="0" applyNumberFormat="1" applyFont="1" applyFill="1" applyBorder="1" applyAlignment="1">
      <alignment vertical="center" wrapText="1"/>
    </xf>
    <xf numFmtId="171" fontId="12" fillId="0" borderId="26" xfId="11" applyNumberFormat="1" applyFont="1" applyFill="1" applyBorder="1" applyAlignment="1">
      <alignment vertical="center" wrapText="1"/>
    </xf>
    <xf numFmtId="0" fontId="12" fillId="0" borderId="0" xfId="0" applyFont="1" applyFill="1"/>
    <xf numFmtId="49" fontId="10" fillId="0" borderId="26" xfId="0" applyNumberFormat="1" applyFont="1" applyFill="1" applyBorder="1"/>
    <xf numFmtId="0" fontId="40" fillId="0" borderId="26" xfId="0" applyFont="1" applyFill="1" applyBorder="1" applyAlignment="1">
      <alignment horizontal="center" vertical="center"/>
    </xf>
    <xf numFmtId="16" fontId="40" fillId="0" borderId="26" xfId="0" applyNumberFormat="1" applyFont="1" applyFill="1" applyBorder="1" applyAlignment="1">
      <alignment horizontal="left" vertical="center" wrapText="1" indent="3"/>
    </xf>
    <xf numFmtId="3" fontId="40" fillId="0" borderId="26" xfId="0" applyNumberFormat="1" applyFont="1" applyFill="1" applyBorder="1"/>
    <xf numFmtId="3" fontId="0" fillId="0" borderId="26" xfId="0" applyNumberFormat="1" applyFill="1" applyBorder="1"/>
    <xf numFmtId="3" fontId="0" fillId="0" borderId="26" xfId="0" applyNumberFormat="1" applyFill="1" applyBorder="1" applyAlignment="1">
      <alignment vertical="center"/>
    </xf>
    <xf numFmtId="3" fontId="47" fillId="0" borderId="26" xfId="0" applyNumberFormat="1" applyFont="1" applyFill="1" applyBorder="1" applyAlignment="1">
      <alignment wrapText="1"/>
    </xf>
    <xf numFmtId="0" fontId="6" fillId="0" borderId="28" xfId="7" applyFont="1" applyBorder="1" applyAlignment="1">
      <alignment horizontal="center" vertical="center"/>
    </xf>
    <xf numFmtId="16" fontId="0" fillId="0" borderId="26" xfId="0" applyNumberFormat="1" applyBorder="1" applyAlignment="1">
      <alignment horizontal="left" vertical="center" wrapText="1" indent="3"/>
    </xf>
    <xf numFmtId="0" fontId="41" fillId="0" borderId="26" xfId="0" applyFont="1" applyBorder="1" applyAlignment="1">
      <alignment wrapText="1"/>
    </xf>
    <xf numFmtId="0" fontId="19" fillId="0" borderId="26" xfId="7" applyFont="1" applyBorder="1" applyAlignment="1">
      <alignment horizontal="center"/>
    </xf>
    <xf numFmtId="49" fontId="19" fillId="0" borderId="26" xfId="7" applyNumberFormat="1" applyFont="1" applyBorder="1" applyAlignment="1">
      <alignment horizontal="center"/>
    </xf>
    <xf numFmtId="0" fontId="19" fillId="0" borderId="26" xfId="7" applyFont="1" applyBorder="1" applyAlignment="1">
      <alignment horizontal="left" indent="1"/>
    </xf>
    <xf numFmtId="0" fontId="7" fillId="0" borderId="0" xfId="5" applyFont="1" applyFill="1"/>
    <xf numFmtId="0" fontId="12" fillId="0" borderId="0" xfId="0" applyFont="1" applyFill="1" applyAlignment="1">
      <alignment wrapText="1"/>
    </xf>
    <xf numFmtId="49" fontId="12" fillId="0" borderId="36" xfId="0" applyNumberFormat="1" applyFont="1" applyFill="1" applyBorder="1" applyAlignment="1">
      <alignment horizontal="center" vertical="center"/>
    </xf>
    <xf numFmtId="3" fontId="12" fillId="0" borderId="38" xfId="0" applyNumberFormat="1" applyFont="1" applyFill="1" applyBorder="1"/>
    <xf numFmtId="49" fontId="13" fillId="0" borderId="34" xfId="0" applyNumberFormat="1" applyFont="1" applyFill="1" applyBorder="1"/>
    <xf numFmtId="0" fontId="12" fillId="0" borderId="26" xfId="0" applyFont="1" applyFill="1" applyBorder="1"/>
    <xf numFmtId="0" fontId="13" fillId="0" borderId="34" xfId="0" applyFont="1" applyFill="1" applyBorder="1" applyAlignment="1">
      <alignment wrapText="1"/>
    </xf>
    <xf numFmtId="0" fontId="13" fillId="0" borderId="26" xfId="0" applyFont="1" applyFill="1" applyBorder="1" applyAlignment="1">
      <alignment wrapText="1"/>
    </xf>
    <xf numFmtId="49" fontId="48" fillId="0" borderId="26" xfId="0" applyNumberFormat="1" applyFont="1" applyFill="1" applyBorder="1"/>
    <xf numFmtId="171" fontId="48" fillId="0" borderId="26" xfId="11" applyNumberFormat="1" applyFont="1" applyFill="1" applyBorder="1"/>
    <xf numFmtId="3" fontId="48" fillId="0" borderId="26" xfId="0" applyNumberFormat="1" applyFont="1" applyFill="1" applyBorder="1" applyAlignment="1">
      <alignment wrapText="1"/>
    </xf>
    <xf numFmtId="49" fontId="48" fillId="0" borderId="26" xfId="0" applyNumberFormat="1" applyFont="1" applyFill="1" applyBorder="1" applyAlignment="1">
      <alignment vertical="center" wrapText="1"/>
    </xf>
    <xf numFmtId="3" fontId="48" fillId="0" borderId="26" xfId="0" applyNumberFormat="1" applyFont="1" applyFill="1" applyBorder="1" applyAlignment="1">
      <alignment vertical="center"/>
    </xf>
    <xf numFmtId="171" fontId="48" fillId="0" borderId="26" xfId="11" applyNumberFormat="1" applyFont="1" applyFill="1" applyBorder="1" applyAlignment="1">
      <alignment vertical="center"/>
    </xf>
    <xf numFmtId="3" fontId="48" fillId="0" borderId="26" xfId="0" applyNumberFormat="1" applyFont="1" applyFill="1" applyBorder="1" applyAlignment="1">
      <alignment vertical="center" wrapText="1"/>
    </xf>
    <xf numFmtId="171" fontId="48" fillId="0" borderId="26" xfId="11" applyNumberFormat="1" applyFont="1" applyFill="1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31" fillId="0" borderId="31" xfId="7" applyFont="1" applyBorder="1" applyAlignment="1">
      <alignment vertical="center"/>
    </xf>
    <xf numFmtId="0" fontId="16" fillId="11" borderId="28" xfId="7" applyFont="1" applyFill="1" applyBorder="1" applyAlignment="1">
      <alignment horizontal="left" vertical="center"/>
    </xf>
    <xf numFmtId="165" fontId="16" fillId="11" borderId="28" xfId="7" applyNumberFormat="1" applyFont="1" applyFill="1" applyBorder="1" applyAlignment="1">
      <alignment horizontal="center" vertical="center" wrapText="1"/>
    </xf>
    <xf numFmtId="3" fontId="16" fillId="11" borderId="28" xfId="7" applyNumberFormat="1" applyFont="1" applyFill="1" applyBorder="1" applyAlignment="1">
      <alignment horizontal="center" vertical="center" wrapText="1"/>
    </xf>
    <xf numFmtId="165" fontId="16" fillId="0" borderId="28" xfId="7" applyNumberFormat="1" applyFont="1" applyFill="1" applyBorder="1" applyAlignment="1">
      <alignment horizontal="center" vertical="center" wrapText="1"/>
    </xf>
    <xf numFmtId="0" fontId="16" fillId="0" borderId="0" xfId="7" applyFont="1" applyFill="1" applyAlignment="1">
      <alignment horizontal="center" vertical="center"/>
    </xf>
    <xf numFmtId="166" fontId="16" fillId="0" borderId="28" xfId="7" applyNumberFormat="1" applyFont="1" applyFill="1" applyBorder="1" applyAlignment="1">
      <alignment horizontal="center" vertical="center" wrapText="1"/>
    </xf>
    <xf numFmtId="0" fontId="6" fillId="11" borderId="28" xfId="7" applyFont="1" applyFill="1" applyBorder="1" applyAlignment="1">
      <alignment horizontal="center" vertical="center"/>
    </xf>
    <xf numFmtId="0" fontId="32" fillId="11" borderId="28" xfId="7" applyFont="1" applyFill="1" applyBorder="1" applyAlignment="1">
      <alignment horizontal="center" vertical="center"/>
    </xf>
    <xf numFmtId="0" fontId="6" fillId="11" borderId="28" xfId="7" applyFont="1" applyFill="1" applyBorder="1" applyAlignment="1">
      <alignment horizontal="center" vertical="center" wrapText="1"/>
    </xf>
    <xf numFmtId="0" fontId="49" fillId="11" borderId="28" xfId="7" applyFont="1" applyFill="1" applyBorder="1" applyAlignment="1">
      <alignment horizontal="center" vertical="center"/>
    </xf>
    <xf numFmtId="0" fontId="16" fillId="11" borderId="28" xfId="7" applyFont="1" applyFill="1" applyBorder="1" applyAlignment="1">
      <alignment horizontal="center" vertical="center" wrapText="1"/>
    </xf>
    <xf numFmtId="0" fontId="51" fillId="0" borderId="0" xfId="5" applyFont="1"/>
    <xf numFmtId="49" fontId="51" fillId="0" borderId="0" xfId="5" applyNumberFormat="1" applyFont="1" applyAlignment="1">
      <alignment horizontal="center"/>
    </xf>
    <xf numFmtId="0" fontId="51" fillId="0" borderId="0" xfId="5" applyFont="1" applyAlignment="1">
      <alignment horizontal="center"/>
    </xf>
    <xf numFmtId="0" fontId="10" fillId="0" borderId="26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50" fillId="0" borderId="26" xfId="0" applyFont="1" applyFill="1" applyBorder="1" applyAlignment="1">
      <alignment wrapText="1"/>
    </xf>
    <xf numFmtId="0" fontId="51" fillId="0" borderId="26" xfId="5" applyFont="1" applyBorder="1"/>
    <xf numFmtId="0" fontId="50" fillId="0" borderId="26" xfId="0" applyFont="1" applyBorder="1" applyAlignment="1">
      <alignment wrapText="1"/>
    </xf>
    <xf numFmtId="0" fontId="51" fillId="0" borderId="26" xfId="0" applyFont="1" applyBorder="1" applyAlignment="1">
      <alignment wrapText="1"/>
    </xf>
    <xf numFmtId="3" fontId="10" fillId="32" borderId="26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left" vertical="center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horizontal="left" vertical="center"/>
    </xf>
    <xf numFmtId="3" fontId="10" fillId="11" borderId="26" xfId="0" applyNumberFormat="1" applyFont="1" applyFill="1" applyBorder="1" applyAlignment="1">
      <alignment horizontal="center" vertical="center" wrapText="1"/>
    </xf>
    <xf numFmtId="0" fontId="0" fillId="11" borderId="26" xfId="0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/>
    </xf>
    <xf numFmtId="0" fontId="51" fillId="0" borderId="26" xfId="5" applyFont="1" applyBorder="1" applyAlignment="1">
      <alignment horizontal="center" vertical="center"/>
    </xf>
    <xf numFmtId="3" fontId="51" fillId="0" borderId="26" xfId="5" applyNumberFormat="1" applyFont="1" applyBorder="1"/>
    <xf numFmtId="0" fontId="13" fillId="0" borderId="26" xfId="5" applyFont="1" applyBorder="1"/>
    <xf numFmtId="49" fontId="13" fillId="0" borderId="26" xfId="5" applyNumberFormat="1" applyFont="1" applyBorder="1" applyAlignment="1">
      <alignment horizontal="center"/>
    </xf>
    <xf numFmtId="0" fontId="13" fillId="0" borderId="26" xfId="5" applyFont="1" applyBorder="1" applyAlignment="1">
      <alignment horizontal="center"/>
    </xf>
    <xf numFmtId="0" fontId="13" fillId="0" borderId="26" xfId="5" applyFont="1" applyBorder="1" applyAlignment="1">
      <alignment vertical="center"/>
    </xf>
    <xf numFmtId="0" fontId="13" fillId="0" borderId="26" xfId="5" applyFont="1" applyBorder="1" applyAlignment="1">
      <alignment horizontal="center" vertical="center"/>
    </xf>
    <xf numFmtId="0" fontId="52" fillId="11" borderId="26" xfId="5" applyFont="1" applyFill="1" applyBorder="1"/>
    <xf numFmtId="49" fontId="52" fillId="11" borderId="26" xfId="5" applyNumberFormat="1" applyFont="1" applyFill="1" applyBorder="1" applyAlignment="1">
      <alignment horizontal="center"/>
    </xf>
    <xf numFmtId="0" fontId="52" fillId="11" borderId="26" xfId="5" applyFont="1" applyFill="1" applyBorder="1" applyAlignment="1">
      <alignment horizontal="center"/>
    </xf>
    <xf numFmtId="0" fontId="12" fillId="11" borderId="26" xfId="5" applyFont="1" applyFill="1" applyBorder="1" applyAlignment="1">
      <alignment horizontal="center" vertical="center"/>
    </xf>
    <xf numFmtId="0" fontId="12" fillId="0" borderId="26" xfId="5" applyFont="1" applyBorder="1"/>
    <xf numFmtId="3" fontId="52" fillId="11" borderId="26" xfId="5" applyNumberFormat="1" applyFont="1" applyFill="1" applyBorder="1"/>
    <xf numFmtId="3" fontId="13" fillId="0" borderId="26" xfId="5" applyNumberFormat="1" applyFont="1" applyBorder="1"/>
    <xf numFmtId="3" fontId="10" fillId="11" borderId="26" xfId="0" applyNumberFormat="1" applyFont="1" applyFill="1" applyBorder="1" applyAlignment="1">
      <alignment horizontal="right" vertical="center" wrapText="1"/>
    </xf>
    <xf numFmtId="0" fontId="52" fillId="11" borderId="26" xfId="5" applyFont="1" applyFill="1" applyBorder="1" applyAlignment="1">
      <alignment horizontal="center" vertical="center"/>
    </xf>
    <xf numFmtId="0" fontId="52" fillId="11" borderId="26" xfId="0" applyFont="1" applyFill="1" applyBorder="1" applyAlignment="1">
      <alignment wrapText="1"/>
    </xf>
    <xf numFmtId="0" fontId="10" fillId="31" borderId="8" xfId="0" applyFont="1" applyFill="1" applyBorder="1" applyAlignment="1">
      <alignment horizontal="center" vertical="center"/>
    </xf>
    <xf numFmtId="0" fontId="10" fillId="31" borderId="8" xfId="0" applyFont="1" applyFill="1" applyBorder="1" applyAlignment="1">
      <alignment horizontal="left" vertical="center"/>
    </xf>
    <xf numFmtId="3" fontId="10" fillId="31" borderId="8" xfId="0" applyNumberFormat="1" applyFont="1" applyFill="1" applyBorder="1" applyAlignment="1">
      <alignment horizontal="right" vertical="center"/>
    </xf>
    <xf numFmtId="3" fontId="12" fillId="33" borderId="26" xfId="0" applyNumberFormat="1" applyFont="1" applyFill="1" applyBorder="1" applyAlignment="1">
      <alignment horizontal="center" vertical="center" wrapText="1"/>
    </xf>
    <xf numFmtId="0" fontId="10" fillId="34" borderId="26" xfId="0" applyFont="1" applyFill="1" applyBorder="1" applyAlignment="1">
      <alignment horizontal="center" vertical="center" wrapText="1"/>
    </xf>
    <xf numFmtId="0" fontId="10" fillId="34" borderId="26" xfId="0" applyFont="1" applyFill="1" applyBorder="1" applyAlignment="1">
      <alignment wrapText="1"/>
    </xf>
    <xf numFmtId="3" fontId="10" fillId="34" borderId="26" xfId="0" applyNumberFormat="1" applyFont="1" applyFill="1" applyBorder="1" applyAlignment="1">
      <alignment wrapText="1"/>
    </xf>
    <xf numFmtId="3" fontId="12" fillId="34" borderId="26" xfId="0" applyNumberFormat="1" applyFont="1" applyFill="1" applyBorder="1" applyAlignment="1">
      <alignment wrapText="1"/>
    </xf>
    <xf numFmtId="0" fontId="10" fillId="33" borderId="26" xfId="0" applyFont="1" applyFill="1" applyBorder="1" applyAlignment="1">
      <alignment horizontal="left" vertical="center" wrapText="1"/>
    </xf>
    <xf numFmtId="3" fontId="10" fillId="33" borderId="26" xfId="0" applyNumberFormat="1" applyFont="1" applyFill="1" applyBorder="1" applyAlignment="1">
      <alignment horizontal="right" vertical="center" wrapText="1"/>
    </xf>
    <xf numFmtId="3" fontId="12" fillId="33" borderId="26" xfId="0" applyNumberFormat="1" applyFont="1" applyFill="1" applyBorder="1" applyAlignment="1">
      <alignment horizontal="right" vertical="center" wrapText="1"/>
    </xf>
    <xf numFmtId="0" fontId="10" fillId="34" borderId="26" xfId="0" applyFont="1" applyFill="1" applyBorder="1" applyAlignment="1">
      <alignment horizontal="left" vertical="center" wrapText="1"/>
    </xf>
    <xf numFmtId="3" fontId="10" fillId="34" borderId="26" xfId="0" applyNumberFormat="1" applyFont="1" applyFill="1" applyBorder="1" applyAlignment="1">
      <alignment horizontal="right" vertical="center" wrapText="1"/>
    </xf>
    <xf numFmtId="3" fontId="37" fillId="33" borderId="26" xfId="0" applyNumberFormat="1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vertical="center" wrapText="1"/>
    </xf>
    <xf numFmtId="3" fontId="37" fillId="0" borderId="26" xfId="0" applyNumberFormat="1" applyFont="1" applyFill="1" applyBorder="1" applyAlignment="1">
      <alignment vertical="center" wrapText="1"/>
    </xf>
    <xf numFmtId="3" fontId="38" fillId="0" borderId="26" xfId="0" applyNumberFormat="1" applyFont="1" applyFill="1" applyBorder="1" applyAlignment="1">
      <alignment vertical="center" wrapText="1"/>
    </xf>
    <xf numFmtId="0" fontId="37" fillId="34" borderId="26" xfId="0" applyFont="1" applyFill="1" applyBorder="1" applyAlignment="1">
      <alignment horizontal="center" vertical="center" wrapText="1"/>
    </xf>
    <xf numFmtId="0" fontId="37" fillId="34" borderId="26" xfId="0" applyFont="1" applyFill="1" applyBorder="1" applyAlignment="1">
      <alignment horizontal="left" vertical="center" wrapText="1"/>
    </xf>
    <xf numFmtId="3" fontId="37" fillId="34" borderId="26" xfId="0" applyNumberFormat="1" applyFont="1" applyFill="1" applyBorder="1" applyAlignment="1">
      <alignment horizontal="right" vertical="center" wrapText="1"/>
    </xf>
    <xf numFmtId="0" fontId="37" fillId="34" borderId="26" xfId="0" applyFont="1" applyFill="1" applyBorder="1" applyAlignment="1">
      <alignment vertical="center" wrapText="1"/>
    </xf>
    <xf numFmtId="165" fontId="10" fillId="33" borderId="26" xfId="0" applyNumberFormat="1" applyFont="1" applyFill="1" applyBorder="1" applyAlignment="1">
      <alignment horizontal="center" vertical="center" wrapText="1"/>
    </xf>
    <xf numFmtId="49" fontId="10" fillId="34" borderId="26" xfId="0" applyNumberFormat="1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vertical="center"/>
    </xf>
    <xf numFmtId="3" fontId="10" fillId="34" borderId="26" xfId="0" applyNumberFormat="1" applyFont="1" applyFill="1" applyBorder="1" applyAlignment="1">
      <alignment horizontal="right" vertical="center"/>
    </xf>
    <xf numFmtId="165" fontId="10" fillId="34" borderId="26" xfId="0" applyNumberFormat="1" applyFont="1" applyFill="1" applyBorder="1" applyAlignment="1">
      <alignment horizontal="right" vertical="center"/>
    </xf>
    <xf numFmtId="165" fontId="10" fillId="34" borderId="34" xfId="0" applyNumberFormat="1" applyFont="1" applyFill="1" applyBorder="1" applyAlignment="1">
      <alignment horizontal="right" vertical="center"/>
    </xf>
    <xf numFmtId="3" fontId="10" fillId="34" borderId="34" xfId="0" applyNumberFormat="1" applyFont="1" applyFill="1" applyBorder="1" applyAlignment="1">
      <alignment horizontal="right" vertical="center"/>
    </xf>
    <xf numFmtId="3" fontId="41" fillId="33" borderId="26" xfId="0" applyNumberFormat="1" applyFont="1" applyFill="1" applyBorder="1" applyAlignment="1">
      <alignment horizontal="center" vertical="center" wrapText="1"/>
    </xf>
    <xf numFmtId="0" fontId="41" fillId="34" borderId="26" xfId="0" applyFont="1" applyFill="1" applyBorder="1" applyAlignment="1">
      <alignment horizontal="center" vertical="center"/>
    </xf>
    <xf numFmtId="0" fontId="41" fillId="34" borderId="26" xfId="0" applyFont="1" applyFill="1" applyBorder="1"/>
    <xf numFmtId="3" fontId="41" fillId="34" borderId="26" xfId="0" applyNumberFormat="1" applyFont="1" applyFill="1" applyBorder="1"/>
    <xf numFmtId="0" fontId="10" fillId="32" borderId="26" xfId="0" applyFont="1" applyFill="1" applyBorder="1" applyAlignment="1">
      <alignment vertical="center" wrapText="1"/>
    </xf>
    <xf numFmtId="0" fontId="10" fillId="15" borderId="26" xfId="0" applyFont="1" applyFill="1" applyBorder="1" applyAlignment="1">
      <alignment vertical="center" wrapText="1"/>
    </xf>
    <xf numFmtId="0" fontId="40" fillId="34" borderId="26" xfId="0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horizontal="left" vertical="center"/>
    </xf>
    <xf numFmtId="0" fontId="41" fillId="33" borderId="26" xfId="0" applyFont="1" applyFill="1" applyBorder="1" applyAlignment="1">
      <alignment horizontal="center" vertical="center"/>
    </xf>
    <xf numFmtId="0" fontId="41" fillId="33" borderId="26" xfId="0" applyFont="1" applyFill="1" applyBorder="1" applyAlignment="1">
      <alignment horizontal="left" vertical="center"/>
    </xf>
    <xf numFmtId="3" fontId="41" fillId="33" borderId="26" xfId="0" applyNumberFormat="1" applyFont="1" applyFill="1" applyBorder="1" applyAlignment="1">
      <alignment horizontal="right" vertical="center" wrapText="1"/>
    </xf>
    <xf numFmtId="0" fontId="10" fillId="0" borderId="26" xfId="0" applyFont="1" applyFill="1" applyBorder="1" applyAlignment="1">
      <alignment vertical="center" wrapText="1"/>
    </xf>
    <xf numFmtId="3" fontId="10" fillId="0" borderId="26" xfId="0" applyNumberFormat="1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10" fillId="34" borderId="26" xfId="0" applyFont="1" applyFill="1" applyBorder="1" applyAlignment="1">
      <alignment vertical="center" wrapText="1"/>
    </xf>
    <xf numFmtId="3" fontId="10" fillId="34" borderId="26" xfId="0" applyNumberFormat="1" applyFont="1" applyFill="1" applyBorder="1" applyAlignment="1">
      <alignment vertical="center" wrapText="1"/>
    </xf>
    <xf numFmtId="3" fontId="12" fillId="34" borderId="26" xfId="0" applyNumberFormat="1" applyFont="1" applyFill="1" applyBorder="1" applyAlignment="1">
      <alignment vertical="center" wrapText="1"/>
    </xf>
    <xf numFmtId="49" fontId="12" fillId="34" borderId="26" xfId="0" applyNumberFormat="1" applyFont="1" applyFill="1" applyBorder="1" applyAlignment="1">
      <alignment horizontal="center" vertical="center"/>
    </xf>
    <xf numFmtId="0" fontId="12" fillId="34" borderId="26" xfId="0" applyFont="1" applyFill="1" applyBorder="1" applyAlignment="1">
      <alignment vertical="center"/>
    </xf>
    <xf numFmtId="3" fontId="12" fillId="34" borderId="26" xfId="0" applyNumberFormat="1" applyFont="1" applyFill="1" applyBorder="1" applyAlignment="1">
      <alignment horizontal="right" vertical="center"/>
    </xf>
    <xf numFmtId="171" fontId="12" fillId="34" borderId="26" xfId="11" applyNumberFormat="1" applyFont="1" applyFill="1" applyBorder="1" applyAlignment="1">
      <alignment horizontal="right" vertical="center"/>
    </xf>
    <xf numFmtId="3" fontId="12" fillId="34" borderId="26" xfId="0" applyNumberFormat="1" applyFont="1" applyFill="1" applyBorder="1" applyAlignment="1">
      <alignment horizontal="right" vertical="center" wrapText="1"/>
    </xf>
    <xf numFmtId="171" fontId="12" fillId="34" borderId="26" xfId="11" applyNumberFormat="1" applyFont="1" applyFill="1" applyBorder="1" applyAlignment="1">
      <alignment horizontal="right" vertical="center" wrapText="1"/>
    </xf>
    <xf numFmtId="0" fontId="10" fillId="28" borderId="26" xfId="0" applyFont="1" applyFill="1" applyBorder="1" applyAlignment="1">
      <alignment horizontal="center" vertical="center" wrapText="1"/>
    </xf>
    <xf numFmtId="0" fontId="10" fillId="28" borderId="26" xfId="0" applyFont="1" applyFill="1" applyBorder="1" applyAlignment="1">
      <alignment wrapText="1"/>
    </xf>
    <xf numFmtId="3" fontId="10" fillId="28" borderId="26" xfId="0" applyNumberFormat="1" applyFont="1" applyFill="1" applyBorder="1" applyAlignment="1">
      <alignment wrapText="1"/>
    </xf>
    <xf numFmtId="3" fontId="10" fillId="33" borderId="35" xfId="0" applyNumberFormat="1" applyFont="1" applyFill="1" applyBorder="1" applyAlignment="1">
      <alignment horizontal="center" vertical="center" wrapText="1"/>
    </xf>
    <xf numFmtId="171" fontId="10" fillId="33" borderId="26" xfId="11" applyNumberFormat="1" applyFont="1" applyFill="1" applyBorder="1" applyAlignment="1">
      <alignment horizontal="center" vertical="center" wrapText="1"/>
    </xf>
    <xf numFmtId="49" fontId="10" fillId="34" borderId="26" xfId="0" applyNumberFormat="1" applyFont="1" applyFill="1" applyBorder="1" applyAlignment="1">
      <alignment horizontal="center" vertical="center" wrapText="1"/>
    </xf>
    <xf numFmtId="171" fontId="10" fillId="34" borderId="26" xfId="11" applyNumberFormat="1" applyFont="1" applyFill="1" applyBorder="1" applyAlignment="1">
      <alignment horizontal="right" vertical="center" wrapText="1"/>
    </xf>
    <xf numFmtId="49" fontId="10" fillId="32" borderId="26" xfId="0" applyNumberFormat="1" applyFont="1" applyFill="1" applyBorder="1" applyAlignment="1">
      <alignment horizontal="center" vertical="center" wrapText="1"/>
    </xf>
    <xf numFmtId="0" fontId="10" fillId="0" borderId="26" xfId="0" applyFont="1" applyFill="1" applyBorder="1"/>
    <xf numFmtId="3" fontId="10" fillId="0" borderId="26" xfId="0" applyNumberFormat="1" applyFont="1" applyFill="1" applyBorder="1"/>
    <xf numFmtId="171" fontId="10" fillId="34" borderId="26" xfId="11" applyNumberFormat="1" applyFont="1" applyFill="1" applyBorder="1" applyAlignment="1">
      <alignment horizontal="right" vertical="center"/>
    </xf>
    <xf numFmtId="0" fontId="10" fillId="28" borderId="26" xfId="0" applyFont="1" applyFill="1" applyBorder="1" applyAlignment="1">
      <alignment horizontal="center" vertical="center"/>
    </xf>
    <xf numFmtId="0" fontId="10" fillId="28" borderId="26" xfId="0" applyFont="1" applyFill="1" applyBorder="1"/>
    <xf numFmtId="3" fontId="10" fillId="28" borderId="26" xfId="0" applyNumberFormat="1" applyFont="1" applyFill="1" applyBorder="1"/>
    <xf numFmtId="0" fontId="10" fillId="34" borderId="26" xfId="0" applyFont="1" applyFill="1" applyBorder="1"/>
    <xf numFmtId="3" fontId="10" fillId="34" borderId="26" xfId="0" applyNumberFormat="1" applyFont="1" applyFill="1" applyBorder="1"/>
    <xf numFmtId="49" fontId="10" fillId="15" borderId="26" xfId="0" applyNumberFormat="1" applyFont="1" applyFill="1" applyBorder="1" applyAlignment="1">
      <alignment horizontal="center" vertical="center" wrapText="1"/>
    </xf>
    <xf numFmtId="0" fontId="10" fillId="33" borderId="28" xfId="7" applyFont="1" applyFill="1" applyBorder="1" applyAlignment="1">
      <alignment horizontal="center" vertical="center" wrapText="1"/>
    </xf>
    <xf numFmtId="166" fontId="16" fillId="11" borderId="28" xfId="7" applyNumberFormat="1" applyFont="1" applyFill="1" applyBorder="1" applyAlignment="1">
      <alignment horizontal="center" vertical="center" wrapText="1"/>
    </xf>
    <xf numFmtId="0" fontId="16" fillId="34" borderId="28" xfId="7" applyFont="1" applyFill="1" applyBorder="1"/>
    <xf numFmtId="0" fontId="16" fillId="34" borderId="28" xfId="7" applyFont="1" applyFill="1" applyBorder="1" applyAlignment="1">
      <alignment horizontal="center" vertical="center"/>
    </xf>
    <xf numFmtId="165" fontId="16" fillId="34" borderId="28" xfId="7" applyNumberFormat="1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left" vertical="center"/>
    </xf>
    <xf numFmtId="3" fontId="0" fillId="0" borderId="26" xfId="0" applyNumberFormat="1" applyFont="1" applyFill="1" applyBorder="1" applyAlignment="1">
      <alignment horizontal="center" vertical="center" wrapText="1"/>
    </xf>
    <xf numFmtId="3" fontId="0" fillId="0" borderId="26" xfId="0" applyNumberFormat="1" applyFont="1" applyFill="1" applyBorder="1" applyAlignment="1">
      <alignment horizontal="right" vertical="center" wrapText="1"/>
    </xf>
    <xf numFmtId="0" fontId="29" fillId="34" borderId="26" xfId="0" applyFont="1" applyFill="1" applyBorder="1" applyAlignment="1">
      <alignment horizontal="center" vertical="center"/>
    </xf>
    <xf numFmtId="0" fontId="29" fillId="34" borderId="26" xfId="0" applyFont="1" applyFill="1" applyBorder="1" applyAlignment="1">
      <alignment vertical="center"/>
    </xf>
    <xf numFmtId="3" fontId="29" fillId="34" borderId="26" xfId="0" applyNumberFormat="1" applyFont="1" applyFill="1" applyBorder="1" applyAlignment="1">
      <alignment vertical="center"/>
    </xf>
    <xf numFmtId="0" fontId="7" fillId="34" borderId="26" xfId="5" applyFont="1" applyFill="1" applyBorder="1" applyAlignment="1">
      <alignment vertical="center"/>
    </xf>
    <xf numFmtId="0" fontId="52" fillId="34" borderId="26" xfId="5" applyFont="1" applyFill="1" applyBorder="1"/>
    <xf numFmtId="3" fontId="52" fillId="34" borderId="26" xfId="5" applyNumberFormat="1" applyFont="1" applyFill="1" applyBorder="1"/>
    <xf numFmtId="170" fontId="0" fillId="0" borderId="26" xfId="11" applyNumberFormat="1" applyFont="1" applyBorder="1" applyAlignment="1">
      <alignment vertical="center"/>
    </xf>
    <xf numFmtId="0" fontId="50" fillId="0" borderId="26" xfId="0" applyFont="1" applyFill="1" applyBorder="1" applyAlignment="1">
      <alignment vertical="center" wrapText="1"/>
    </xf>
    <xf numFmtId="0" fontId="50" fillId="0" borderId="26" xfId="0" applyFont="1" applyBorder="1" applyAlignment="1">
      <alignment vertical="center" wrapText="1"/>
    </xf>
    <xf numFmtId="0" fontId="51" fillId="0" borderId="26" xfId="0" applyFont="1" applyBorder="1" applyAlignment="1">
      <alignment vertical="center" wrapText="1"/>
    </xf>
    <xf numFmtId="170" fontId="1" fillId="0" borderId="26" xfId="11" applyNumberFormat="1" applyFont="1" applyFill="1" applyBorder="1"/>
    <xf numFmtId="170" fontId="0" fillId="0" borderId="26" xfId="11" applyNumberFormat="1" applyFont="1" applyBorder="1"/>
    <xf numFmtId="0" fontId="10" fillId="0" borderId="26" xfId="0" applyFont="1" applyBorder="1" applyAlignment="1">
      <alignment horizontal="center"/>
    </xf>
    <xf numFmtId="0" fontId="19" fillId="0" borderId="8" xfId="7" applyFont="1" applyBorder="1" applyAlignment="1">
      <alignment horizontal="left" wrapText="1" indent="1"/>
    </xf>
    <xf numFmtId="0" fontId="18" fillId="0" borderId="8" xfId="7" applyFont="1" applyBorder="1" applyAlignment="1">
      <alignment horizontal="center"/>
    </xf>
    <xf numFmtId="49" fontId="18" fillId="0" borderId="8" xfId="7" applyNumberFormat="1" applyFont="1" applyBorder="1" applyAlignment="1">
      <alignment horizontal="center"/>
    </xf>
    <xf numFmtId="0" fontId="18" fillId="0" borderId="8" xfId="7" applyFont="1" applyBorder="1" applyAlignment="1">
      <alignment horizontal="left" indent="1"/>
    </xf>
    <xf numFmtId="0" fontId="18" fillId="0" borderId="26" xfId="7" applyFont="1" applyBorder="1" applyAlignment="1">
      <alignment horizontal="center"/>
    </xf>
    <xf numFmtId="49" fontId="18" fillId="0" borderId="26" xfId="7" applyNumberFormat="1" applyFont="1" applyBorder="1" applyAlignment="1">
      <alignment horizontal="center"/>
    </xf>
    <xf numFmtId="0" fontId="18" fillId="0" borderId="26" xfId="7" applyFont="1" applyBorder="1" applyAlignment="1">
      <alignment horizontal="left" indent="1"/>
    </xf>
    <xf numFmtId="0" fontId="30" fillId="35" borderId="8" xfId="7" applyFont="1" applyFill="1" applyBorder="1" applyAlignment="1">
      <alignment horizontal="center" vertical="center"/>
    </xf>
    <xf numFmtId="49" fontId="30" fillId="35" borderId="8" xfId="7" applyNumberFormat="1" applyFont="1" applyFill="1" applyBorder="1" applyAlignment="1">
      <alignment horizontal="center" vertical="center"/>
    </xf>
    <xf numFmtId="0" fontId="53" fillId="0" borderId="0" xfId="0" applyFont="1"/>
    <xf numFmtId="170" fontId="53" fillId="0" borderId="0" xfId="11" applyNumberFormat="1" applyFont="1"/>
    <xf numFmtId="0" fontId="29" fillId="33" borderId="34" xfId="0" applyFont="1" applyFill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top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26" xfId="0" applyFont="1" applyBorder="1" applyAlignment="1">
      <alignment wrapText="1"/>
    </xf>
    <xf numFmtId="3" fontId="0" fillId="0" borderId="26" xfId="0" applyNumberFormat="1" applyFont="1" applyFill="1" applyBorder="1" applyAlignment="1">
      <alignment wrapText="1"/>
    </xf>
    <xf numFmtId="3" fontId="40" fillId="0" borderId="26" xfId="0" applyNumberFormat="1" applyFont="1" applyBorder="1" applyAlignment="1">
      <alignment horizontal="right"/>
    </xf>
    <xf numFmtId="3" fontId="12" fillId="32" borderId="26" xfId="0" applyNumberFormat="1" applyFont="1" applyFill="1" applyBorder="1" applyAlignment="1">
      <alignment horizontal="center" vertical="center" wrapText="1"/>
    </xf>
    <xf numFmtId="3" fontId="12" fillId="11" borderId="26" xfId="0" applyNumberFormat="1" applyFont="1" applyFill="1" applyBorder="1"/>
    <xf numFmtId="3" fontId="12" fillId="34" borderId="26" xfId="0" applyNumberFormat="1" applyFont="1" applyFill="1" applyBorder="1"/>
    <xf numFmtId="3" fontId="13" fillId="0" borderId="26" xfId="0" applyNumberFormat="1" applyFont="1" applyBorder="1" applyAlignment="1">
      <alignment horizontal="right"/>
    </xf>
    <xf numFmtId="3" fontId="12" fillId="12" borderId="26" xfId="0" applyNumberFormat="1" applyFont="1" applyFill="1" applyBorder="1"/>
    <xf numFmtId="3" fontId="42" fillId="0" borderId="26" xfId="0" applyNumberFormat="1" applyFont="1" applyFill="1" applyBorder="1"/>
    <xf numFmtId="49" fontId="13" fillId="0" borderId="36" xfId="0" applyNumberFormat="1" applyFont="1" applyFill="1" applyBorder="1" applyAlignment="1">
      <alignment horizontal="center" vertical="center"/>
    </xf>
    <xf numFmtId="3" fontId="13" fillId="0" borderId="38" xfId="0" applyNumberFormat="1" applyFont="1" applyFill="1" applyBorder="1"/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/>
    </xf>
    <xf numFmtId="49" fontId="51" fillId="0" borderId="26" xfId="5" applyNumberFormat="1" applyFont="1" applyBorder="1" applyAlignment="1">
      <alignment horizontal="right"/>
    </xf>
    <xf numFmtId="49" fontId="13" fillId="0" borderId="26" xfId="5" applyNumberFormat="1" applyFont="1" applyBorder="1" applyAlignment="1">
      <alignment horizontal="right"/>
    </xf>
    <xf numFmtId="49" fontId="0" fillId="0" borderId="26" xfId="0" applyNumberFormat="1" applyFont="1" applyFill="1" applyBorder="1" applyAlignment="1">
      <alignment horizontal="right" vertical="center" wrapText="1"/>
    </xf>
    <xf numFmtId="0" fontId="10" fillId="33" borderId="34" xfId="0" applyFont="1" applyFill="1" applyBorder="1" applyAlignment="1">
      <alignment horizontal="center" vertical="center" wrapText="1"/>
    </xf>
    <xf numFmtId="0" fontId="10" fillId="33" borderId="34" xfId="0" applyFont="1" applyFill="1" applyBorder="1" applyAlignment="1">
      <alignment horizontal="center" vertical="center"/>
    </xf>
    <xf numFmtId="3" fontId="10" fillId="33" borderId="34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3" fontId="13" fillId="0" borderId="26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0" fontId="0" fillId="0" borderId="36" xfId="0" applyBorder="1" applyAlignment="1">
      <alignment horizontal="center" wrapText="1"/>
    </xf>
    <xf numFmtId="3" fontId="13" fillId="0" borderId="0" xfId="0" applyNumberFormat="1" applyFont="1" applyBorder="1" applyAlignment="1">
      <alignment horizontal="center"/>
    </xf>
    <xf numFmtId="3" fontId="10" fillId="32" borderId="34" xfId="0" applyNumberFormat="1" applyFont="1" applyFill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wrapText="1"/>
    </xf>
    <xf numFmtId="171" fontId="0" fillId="0" borderId="26" xfId="11" applyNumberFormat="1" applyFont="1" applyBorder="1" applyAlignment="1">
      <alignment horizontal="center" wrapText="1"/>
    </xf>
    <xf numFmtId="171" fontId="0" fillId="0" borderId="26" xfId="11" applyNumberFormat="1" applyFont="1" applyBorder="1" applyAlignment="1">
      <alignment horizontal="center"/>
    </xf>
    <xf numFmtId="0" fontId="54" fillId="0" borderId="39" xfId="7" applyFont="1" applyBorder="1" applyAlignment="1">
      <alignment horizontal="center" vertical="center"/>
    </xf>
    <xf numFmtId="0" fontId="55" fillId="0" borderId="39" xfId="7" applyFont="1" applyBorder="1" applyAlignment="1">
      <alignment horizontal="center" vertical="center"/>
    </xf>
    <xf numFmtId="0" fontId="55" fillId="0" borderId="26" xfId="5" applyFont="1" applyFill="1" applyBorder="1" applyAlignment="1">
      <alignment horizontal="center"/>
    </xf>
    <xf numFmtId="0" fontId="55" fillId="0" borderId="26" xfId="5" applyFont="1" applyFill="1" applyBorder="1" applyAlignment="1">
      <alignment horizontal="center" vertical="center"/>
    </xf>
    <xf numFmtId="0" fontId="55" fillId="0" borderId="26" xfId="5" applyFont="1" applyFill="1" applyBorder="1" applyAlignment="1">
      <alignment horizontal="center" wrapText="1"/>
    </xf>
    <xf numFmtId="167" fontId="55" fillId="0" borderId="26" xfId="5" applyNumberFormat="1" applyFont="1" applyFill="1" applyBorder="1" applyAlignment="1">
      <alignment horizontal="center"/>
    </xf>
    <xf numFmtId="49" fontId="55" fillId="0" borderId="26" xfId="5" applyNumberFormat="1" applyFont="1" applyFill="1" applyBorder="1" applyAlignment="1">
      <alignment horizontal="center"/>
    </xf>
    <xf numFmtId="0" fontId="53" fillId="0" borderId="26" xfId="5" applyFont="1" applyBorder="1" applyAlignment="1">
      <alignment horizontal="center" vertical="center"/>
    </xf>
    <xf numFmtId="170" fontId="0" fillId="0" borderId="26" xfId="11" applyNumberFormat="1" applyFont="1" applyBorder="1" applyAlignment="1">
      <alignment horizontal="center"/>
    </xf>
    <xf numFmtId="0" fontId="13" fillId="0" borderId="26" xfId="7" applyFont="1" applyBorder="1" applyAlignment="1">
      <alignment horizontal="center"/>
    </xf>
    <xf numFmtId="171" fontId="12" fillId="0" borderId="41" xfId="11" applyNumberFormat="1" applyFont="1" applyBorder="1"/>
    <xf numFmtId="3" fontId="0" fillId="0" borderId="30" xfId="0" applyNumberFormat="1" applyBorder="1"/>
    <xf numFmtId="49" fontId="12" fillId="0" borderId="40" xfId="0" applyNumberFormat="1" applyFont="1" applyBorder="1" applyAlignment="1">
      <alignment horizontal="center" vertical="center"/>
    </xf>
    <xf numFmtId="49" fontId="12" fillId="0" borderId="42" xfId="0" applyNumberFormat="1" applyFont="1" applyBorder="1"/>
    <xf numFmtId="3" fontId="12" fillId="0" borderId="42" xfId="0" applyNumberFormat="1" applyFont="1" applyBorder="1"/>
    <xf numFmtId="171" fontId="12" fillId="0" borderId="42" xfId="11" applyNumberFormat="1" applyFont="1" applyBorder="1"/>
    <xf numFmtId="49" fontId="0" fillId="0" borderId="40" xfId="0" applyNumberFormat="1" applyFont="1" applyBorder="1" applyAlignment="1">
      <alignment horizontal="center" vertical="center"/>
    </xf>
    <xf numFmtId="49" fontId="0" fillId="0" borderId="42" xfId="0" applyNumberFormat="1" applyBorder="1"/>
    <xf numFmtId="3" fontId="0" fillId="0" borderId="42" xfId="0" applyNumberFormat="1" applyFont="1" applyBorder="1"/>
    <xf numFmtId="171" fontId="0" fillId="0" borderId="42" xfId="11" applyNumberFormat="1" applyFont="1" applyBorder="1"/>
    <xf numFmtId="0" fontId="0" fillId="0" borderId="42" xfId="0" applyBorder="1"/>
    <xf numFmtId="49" fontId="10" fillId="0" borderId="40" xfId="0" applyNumberFormat="1" applyFont="1" applyBorder="1" applyAlignment="1">
      <alignment horizontal="center" vertical="center"/>
    </xf>
    <xf numFmtId="3" fontId="0" fillId="0" borderId="42" xfId="0" applyNumberFormat="1" applyBorder="1"/>
    <xf numFmtId="49" fontId="0" fillId="0" borderId="40" xfId="0" applyNumberFormat="1" applyBorder="1" applyAlignment="1">
      <alignment horizontal="center" vertical="center"/>
    </xf>
    <xf numFmtId="49" fontId="10" fillId="0" borderId="42" xfId="0" applyNumberFormat="1" applyFont="1" applyBorder="1"/>
    <xf numFmtId="3" fontId="10" fillId="0" borderId="42" xfId="0" applyNumberFormat="1" applyFont="1" applyBorder="1"/>
    <xf numFmtId="171" fontId="10" fillId="0" borderId="42" xfId="11" applyNumberFormat="1" applyFont="1" applyBorder="1"/>
    <xf numFmtId="3" fontId="51" fillId="28" borderId="26" xfId="5" applyNumberFormat="1" applyFont="1" applyFill="1" applyBorder="1" applyAlignment="1">
      <alignment horizontal="right"/>
    </xf>
    <xf numFmtId="49" fontId="51" fillId="28" borderId="26" xfId="5" applyNumberFormat="1" applyFont="1" applyFill="1" applyBorder="1" applyAlignment="1">
      <alignment horizontal="right"/>
    </xf>
    <xf numFmtId="0" fontId="51" fillId="28" borderId="26" xfId="0" applyFont="1" applyFill="1" applyBorder="1" applyAlignment="1">
      <alignment wrapText="1"/>
    </xf>
    <xf numFmtId="0" fontId="12" fillId="0" borderId="26" xfId="5" applyFont="1" applyBorder="1" applyAlignment="1">
      <alignment horizontal="center" vertical="center"/>
    </xf>
    <xf numFmtId="3" fontId="10" fillId="0" borderId="26" xfId="0" applyNumberFormat="1" applyFont="1" applyFill="1" applyBorder="1" applyAlignment="1">
      <alignment horizontal="center" vertical="center" wrapText="1"/>
    </xf>
    <xf numFmtId="3" fontId="10" fillId="0" borderId="26" xfId="0" applyNumberFormat="1" applyFont="1" applyFill="1" applyBorder="1" applyAlignment="1">
      <alignment horizontal="right" vertical="center" wrapText="1"/>
    </xf>
    <xf numFmtId="0" fontId="17" fillId="0" borderId="0" xfId="5" applyFont="1" applyFill="1" applyAlignment="1">
      <alignment vertical="center"/>
    </xf>
    <xf numFmtId="49" fontId="48" fillId="0" borderId="34" xfId="0" applyNumberFormat="1" applyFont="1" applyFill="1" applyBorder="1"/>
    <xf numFmtId="3" fontId="48" fillId="0" borderId="38" xfId="0" applyNumberFormat="1" applyFont="1" applyFill="1" applyBorder="1"/>
    <xf numFmtId="0" fontId="12" fillId="0" borderId="26" xfId="0" applyFont="1" applyBorder="1"/>
    <xf numFmtId="0" fontId="13" fillId="0" borderId="26" xfId="0" applyFont="1" applyBorder="1"/>
    <xf numFmtId="0" fontId="12" fillId="0" borderId="34" xfId="0" applyFont="1" applyBorder="1"/>
    <xf numFmtId="0" fontId="10" fillId="0" borderId="26" xfId="0" applyFont="1" applyBorder="1"/>
    <xf numFmtId="3" fontId="0" fillId="0" borderId="26" xfId="0" applyNumberFormat="1" applyFont="1" applyFill="1" applyBorder="1"/>
    <xf numFmtId="0" fontId="0" fillId="0" borderId="26" xfId="0" applyFill="1" applyBorder="1"/>
    <xf numFmtId="3" fontId="10" fillId="15" borderId="26" xfId="0" applyNumberFormat="1" applyFont="1" applyFill="1" applyBorder="1"/>
    <xf numFmtId="3" fontId="10" fillId="31" borderId="26" xfId="0" applyNumberFormat="1" applyFont="1" applyFill="1" applyBorder="1" applyAlignment="1">
      <alignment horizontal="right" vertical="center"/>
    </xf>
    <xf numFmtId="3" fontId="9" fillId="16" borderId="26" xfId="0" applyNumberFormat="1" applyFont="1" applyFill="1" applyBorder="1"/>
    <xf numFmtId="49" fontId="0" fillId="0" borderId="26" xfId="0" applyNumberFormat="1" applyBorder="1" applyAlignment="1">
      <alignment horizontal="left" vertical="center" wrapText="1" indent="3"/>
    </xf>
    <xf numFmtId="3" fontId="41" fillId="0" borderId="26" xfId="0" applyNumberFormat="1" applyFont="1" applyBorder="1" applyAlignment="1"/>
    <xf numFmtId="3" fontId="13" fillId="0" borderId="26" xfId="0" applyNumberFormat="1" applyFont="1" applyFill="1" applyBorder="1" applyAlignment="1">
      <alignment horizontal="center"/>
    </xf>
    <xf numFmtId="3" fontId="10" fillId="0" borderId="26" xfId="0" applyNumberFormat="1" applyFont="1" applyBorder="1" applyAlignment="1"/>
    <xf numFmtId="0" fontId="0" fillId="32" borderId="0" xfId="0" applyFill="1" applyAlignment="1">
      <alignment wrapText="1"/>
    </xf>
    <xf numFmtId="165" fontId="10" fillId="36" borderId="26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/>
    <xf numFmtId="3" fontId="10" fillId="33" borderId="26" xfId="0" applyNumberFormat="1" applyFont="1" applyFill="1" applyBorder="1" applyAlignment="1">
      <alignment horizontal="center" vertical="center" wrapText="1"/>
    </xf>
    <xf numFmtId="3" fontId="12" fillId="28" borderId="26" xfId="0" applyNumberFormat="1" applyFont="1" applyFill="1" applyBorder="1" applyAlignment="1">
      <alignment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33" borderId="0" xfId="0" applyFont="1" applyFill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33" borderId="0" xfId="5" applyFont="1" applyFill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41" fillId="0" borderId="26" xfId="0" applyNumberFormat="1" applyFont="1" applyFill="1" applyBorder="1"/>
    <xf numFmtId="3" fontId="43" fillId="0" borderId="26" xfId="0" applyNumberFormat="1" applyFont="1" applyFill="1" applyBorder="1"/>
    <xf numFmtId="3" fontId="17" fillId="0" borderId="0" xfId="5" applyNumberFormat="1" applyFont="1" applyAlignment="1">
      <alignment vertical="center"/>
    </xf>
    <xf numFmtId="0" fontId="0" fillId="28" borderId="0" xfId="0" applyFill="1" applyAlignment="1">
      <alignment horizontal="center" vertical="center"/>
    </xf>
    <xf numFmtId="0" fontId="10" fillId="33" borderId="26" xfId="0" applyFont="1" applyFill="1" applyBorder="1" applyAlignment="1">
      <alignment horizontal="center" vertical="center" wrapText="1"/>
    </xf>
    <xf numFmtId="3" fontId="46" fillId="0" borderId="26" xfId="0" applyNumberFormat="1" applyFont="1" applyBorder="1"/>
    <xf numFmtId="3" fontId="33" fillId="0" borderId="26" xfId="0" applyNumberFormat="1" applyFont="1" applyBorder="1"/>
    <xf numFmtId="3" fontId="35" fillId="0" borderId="26" xfId="0" applyNumberFormat="1" applyFont="1" applyBorder="1"/>
    <xf numFmtId="3" fontId="45" fillId="0" borderId="26" xfId="0" applyNumberFormat="1" applyFont="1" applyBorder="1"/>
    <xf numFmtId="49" fontId="13" fillId="0" borderId="26" xfId="0" applyNumberFormat="1" applyFont="1" applyFill="1" applyBorder="1" applyAlignment="1">
      <alignment horizontal="left" indent="4"/>
    </xf>
    <xf numFmtId="0" fontId="0" fillId="0" borderId="26" xfId="0" applyFill="1" applyBorder="1" applyAlignment="1">
      <alignment horizontal="left" vertical="center"/>
    </xf>
    <xf numFmtId="2" fontId="12" fillId="33" borderId="26" xfId="0" applyNumberFormat="1" applyFont="1" applyFill="1" applyBorder="1" applyAlignment="1">
      <alignment horizontal="center" vertical="center" wrapText="1"/>
    </xf>
    <xf numFmtId="0" fontId="51" fillId="0" borderId="26" xfId="0" applyFont="1" applyFill="1" applyBorder="1" applyAlignment="1">
      <alignment vertical="center" wrapText="1"/>
    </xf>
    <xf numFmtId="0" fontId="0" fillId="0" borderId="26" xfId="0" applyFill="1" applyBorder="1" applyAlignment="1">
      <alignment wrapText="1"/>
    </xf>
    <xf numFmtId="170" fontId="0" fillId="0" borderId="26" xfId="11" applyNumberFormat="1" applyFont="1" applyFill="1" applyBorder="1"/>
    <xf numFmtId="170" fontId="10" fillId="0" borderId="26" xfId="11" applyNumberFormat="1" applyFont="1" applyBorder="1"/>
    <xf numFmtId="3" fontId="52" fillId="11" borderId="26" xfId="5" applyNumberFormat="1" applyFont="1" applyFill="1" applyBorder="1" applyAlignment="1">
      <alignment horizontal="right"/>
    </xf>
    <xf numFmtId="3" fontId="51" fillId="0" borderId="26" xfId="5" applyNumberFormat="1" applyFont="1" applyBorder="1" applyAlignment="1">
      <alignment horizontal="right"/>
    </xf>
    <xf numFmtId="0" fontId="13" fillId="0" borderId="26" xfId="5" applyFont="1" applyBorder="1" applyAlignment="1">
      <alignment horizontal="right"/>
    </xf>
    <xf numFmtId="3" fontId="13" fillId="0" borderId="26" xfId="5" applyNumberFormat="1" applyFont="1" applyBorder="1" applyAlignment="1">
      <alignment horizontal="right"/>
    </xf>
    <xf numFmtId="3" fontId="52" fillId="34" borderId="26" xfId="5" applyNumberFormat="1" applyFont="1" applyFill="1" applyBorder="1" applyAlignment="1">
      <alignment horizontal="right"/>
    </xf>
    <xf numFmtId="0" fontId="51" fillId="0" borderId="0" xfId="5" applyFont="1" applyAlignment="1">
      <alignment horizontal="right"/>
    </xf>
    <xf numFmtId="0" fontId="7" fillId="0" borderId="0" xfId="5" applyFont="1" applyAlignment="1">
      <alignment horizontal="right"/>
    </xf>
    <xf numFmtId="3" fontId="0" fillId="0" borderId="26" xfId="11" applyNumberFormat="1" applyFont="1" applyBorder="1" applyAlignment="1">
      <alignment horizontal="right"/>
    </xf>
    <xf numFmtId="3" fontId="0" fillId="0" borderId="26" xfId="11" applyNumberFormat="1" applyFont="1" applyFill="1" applyBorder="1" applyAlignment="1">
      <alignment horizontal="right"/>
    </xf>
    <xf numFmtId="3" fontId="0" fillId="0" borderId="26" xfId="11" applyNumberFormat="1" applyFont="1" applyBorder="1"/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/>
    <xf numFmtId="3" fontId="10" fillId="0" borderId="7" xfId="0" applyNumberFormat="1" applyFont="1" applyFill="1" applyBorder="1"/>
    <xf numFmtId="0" fontId="6" fillId="30" borderId="28" xfId="7" applyNumberFormat="1" applyFont="1" applyFill="1" applyBorder="1" applyAlignment="1">
      <alignment horizontal="center" vertical="center"/>
    </xf>
    <xf numFmtId="0" fontId="6" fillId="30" borderId="28" xfId="7" applyNumberFormat="1" applyFont="1" applyFill="1" applyBorder="1" applyAlignment="1">
      <alignment horizontal="center" vertical="center" wrapText="1"/>
    </xf>
    <xf numFmtId="0" fontId="6" fillId="0" borderId="28" xfId="7" applyNumberFormat="1" applyFont="1" applyBorder="1" applyAlignment="1">
      <alignment horizontal="center" vertical="center"/>
    </xf>
    <xf numFmtId="0" fontId="16" fillId="11" borderId="28" xfId="7" applyNumberFormat="1" applyFont="1" applyFill="1" applyBorder="1" applyAlignment="1">
      <alignment horizontal="center" vertical="center" wrapText="1"/>
    </xf>
    <xf numFmtId="0" fontId="10" fillId="32" borderId="34" xfId="0" applyFont="1" applyFill="1" applyBorder="1" applyAlignment="1">
      <alignment vertical="center" wrapText="1"/>
    </xf>
    <xf numFmtId="49" fontId="13" fillId="0" borderId="26" xfId="0" applyNumberFormat="1" applyFont="1" applyBorder="1" applyAlignment="1">
      <alignment horizontal="center"/>
    </xf>
    <xf numFmtId="171" fontId="13" fillId="0" borderId="26" xfId="11" applyNumberFormat="1" applyFont="1" applyBorder="1" applyAlignment="1">
      <alignment horizontal="center"/>
    </xf>
    <xf numFmtId="3" fontId="13" fillId="0" borderId="26" xfId="0" applyNumberFormat="1" applyFont="1" applyBorder="1" applyAlignment="1">
      <alignment horizontal="center" wrapText="1"/>
    </xf>
    <xf numFmtId="171" fontId="13" fillId="0" borderId="26" xfId="11" applyNumberFormat="1" applyFont="1" applyBorder="1" applyAlignment="1">
      <alignment horizontal="center" wrapText="1"/>
    </xf>
    <xf numFmtId="0" fontId="13" fillId="0" borderId="26" xfId="0" applyFont="1" applyBorder="1" applyAlignment="1">
      <alignment horizontal="center"/>
    </xf>
    <xf numFmtId="0" fontId="13" fillId="0" borderId="26" xfId="0" applyFont="1" applyBorder="1" applyAlignment="1">
      <alignment horizontal="right"/>
    </xf>
    <xf numFmtId="0" fontId="10" fillId="33" borderId="0" xfId="0" applyFont="1" applyFill="1" applyBorder="1" applyAlignment="1">
      <alignment horizontal="center" vertical="center" wrapText="1"/>
    </xf>
    <xf numFmtId="0" fontId="17" fillId="0" borderId="26" xfId="5" applyFont="1" applyBorder="1" applyAlignment="1">
      <alignment horizontal="center" vertical="center"/>
    </xf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2" fillId="33" borderId="26" xfId="0" applyNumberFormat="1" applyFont="1" applyFill="1" applyBorder="1" applyAlignment="1">
      <alignment horizontal="center" vertical="center" wrapText="1"/>
    </xf>
    <xf numFmtId="3" fontId="10" fillId="33" borderId="45" xfId="0" applyNumberFormat="1" applyFont="1" applyFill="1" applyBorder="1" applyAlignment="1">
      <alignment horizontal="center" vertical="center" wrapText="1"/>
    </xf>
    <xf numFmtId="0" fontId="10" fillId="33" borderId="4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vertical="center"/>
    </xf>
    <xf numFmtId="3" fontId="10" fillId="15" borderId="26" xfId="0" applyNumberFormat="1" applyFont="1" applyFill="1" applyBorder="1" applyAlignment="1">
      <alignment vertical="center"/>
    </xf>
    <xf numFmtId="0" fontId="10" fillId="15" borderId="26" xfId="0" applyFont="1" applyFill="1" applyBorder="1" applyAlignment="1">
      <alignment vertical="center"/>
    </xf>
    <xf numFmtId="0" fontId="10" fillId="31" borderId="26" xfId="0" applyFont="1" applyFill="1" applyBorder="1" applyAlignment="1">
      <alignment horizontal="left" vertical="center"/>
    </xf>
    <xf numFmtId="3" fontId="10" fillId="31" borderId="26" xfId="0" applyNumberFormat="1" applyFont="1" applyFill="1" applyBorder="1" applyAlignment="1">
      <alignment horizontal="right" vertical="center" wrapText="1"/>
    </xf>
    <xf numFmtId="3" fontId="9" fillId="16" borderId="26" xfId="0" applyNumberFormat="1" applyFont="1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3" fontId="0" fillId="0" borderId="26" xfId="0" applyNumberFormat="1" applyFont="1" applyFill="1" applyBorder="1" applyAlignment="1">
      <alignment horizontal="right" vertical="center"/>
    </xf>
    <xf numFmtId="3" fontId="10" fillId="33" borderId="26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center" vertical="center"/>
    </xf>
    <xf numFmtId="3" fontId="10" fillId="0" borderId="9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49" fontId="10" fillId="32" borderId="36" xfId="0" applyNumberFormat="1" applyFont="1" applyFill="1" applyBorder="1" applyAlignment="1">
      <alignment horizontal="center" vertical="center" wrapText="1"/>
    </xf>
    <xf numFmtId="0" fontId="0" fillId="32" borderId="26" xfId="0" applyFill="1" applyBorder="1"/>
    <xf numFmtId="49" fontId="0" fillId="0" borderId="35" xfId="0" applyNumberFormat="1" applyBorder="1"/>
    <xf numFmtId="3" fontId="0" fillId="0" borderId="35" xfId="0" applyNumberFormat="1" applyBorder="1"/>
    <xf numFmtId="165" fontId="0" fillId="0" borderId="35" xfId="0" applyNumberFormat="1" applyBorder="1"/>
    <xf numFmtId="0" fontId="0" fillId="0" borderId="35" xfId="0" applyBorder="1"/>
    <xf numFmtId="3" fontId="40" fillId="0" borderId="26" xfId="0" applyNumberFormat="1" applyFont="1" applyBorder="1" applyAlignment="1">
      <alignment horizontal="right" vertical="center"/>
    </xf>
    <xf numFmtId="3" fontId="41" fillId="28" borderId="26" xfId="0" applyNumberFormat="1" applyFont="1" applyFill="1" applyBorder="1"/>
    <xf numFmtId="3" fontId="0" fillId="28" borderId="26" xfId="0" applyNumberFormat="1" applyFont="1" applyFill="1" applyBorder="1"/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2" fillId="33" borderId="26" xfId="0" applyNumberFormat="1" applyFont="1" applyFill="1" applyBorder="1" applyAlignment="1">
      <alignment horizontal="center" vertical="center" wrapText="1"/>
    </xf>
    <xf numFmtId="3" fontId="12" fillId="33" borderId="34" xfId="0" applyNumberFormat="1" applyFont="1" applyFill="1" applyBorder="1" applyAlignment="1">
      <alignment vertical="center" wrapText="1"/>
    </xf>
    <xf numFmtId="3" fontId="12" fillId="33" borderId="26" xfId="0" applyNumberFormat="1" applyFont="1" applyFill="1" applyBorder="1" applyAlignment="1">
      <alignment vertical="center" wrapText="1"/>
    </xf>
    <xf numFmtId="3" fontId="0" fillId="34" borderId="26" xfId="0" applyNumberFormat="1" applyFill="1" applyBorder="1"/>
    <xf numFmtId="3" fontId="40" fillId="0" borderId="26" xfId="0" applyNumberFormat="1" applyFont="1" applyBorder="1" applyAlignment="1"/>
    <xf numFmtId="3" fontId="0" fillId="28" borderId="26" xfId="0" applyNumberFormat="1" applyFont="1" applyFill="1" applyBorder="1" applyAlignment="1"/>
    <xf numFmtId="3" fontId="0" fillId="0" borderId="26" xfId="0" applyNumberFormat="1" applyFont="1" applyBorder="1" applyAlignment="1"/>
    <xf numFmtId="3" fontId="40" fillId="28" borderId="26" xfId="0" applyNumberFormat="1" applyFont="1" applyFill="1" applyBorder="1"/>
    <xf numFmtId="3" fontId="0" fillId="28" borderId="26" xfId="0" applyNumberFormat="1" applyFill="1" applyBorder="1" applyAlignment="1">
      <alignment wrapText="1"/>
    </xf>
    <xf numFmtId="3" fontId="7" fillId="0" borderId="0" xfId="5" applyNumberFormat="1" applyFont="1"/>
    <xf numFmtId="49" fontId="13" fillId="0" borderId="26" xfId="0" applyNumberFormat="1" applyFont="1" applyFill="1" applyBorder="1" applyAlignment="1">
      <alignment horizontal="left"/>
    </xf>
    <xf numFmtId="0" fontId="0" fillId="0" borderId="26" xfId="0" applyFont="1" applyFill="1" applyBorder="1" applyAlignment="1">
      <alignment horizontal="center" wrapText="1"/>
    </xf>
    <xf numFmtId="0" fontId="25" fillId="0" borderId="29" xfId="0" applyFont="1" applyBorder="1" applyAlignment="1">
      <alignment horizontal="center"/>
    </xf>
    <xf numFmtId="0" fontId="10" fillId="33" borderId="26" xfId="0" applyFont="1" applyFill="1" applyBorder="1" applyAlignment="1">
      <alignment horizontal="center" vertical="center" wrapText="1"/>
    </xf>
    <xf numFmtId="3" fontId="10" fillId="33" borderId="36" xfId="0" applyNumberFormat="1" applyFont="1" applyFill="1" applyBorder="1" applyAlignment="1">
      <alignment horizontal="center" vertical="center" wrapText="1"/>
    </xf>
    <xf numFmtId="3" fontId="10" fillId="33" borderId="37" xfId="0" applyNumberFormat="1" applyFont="1" applyFill="1" applyBorder="1" applyAlignment="1">
      <alignment horizontal="center" vertical="center" wrapText="1"/>
    </xf>
    <xf numFmtId="3" fontId="10" fillId="33" borderId="38" xfId="0" applyNumberFormat="1" applyFont="1" applyFill="1" applyBorder="1" applyAlignment="1">
      <alignment horizontal="center" vertical="center" wrapText="1"/>
    </xf>
    <xf numFmtId="0" fontId="0" fillId="33" borderId="37" xfId="0" applyFill="1" applyBorder="1" applyAlignment="1">
      <alignment horizontal="center" vertical="center" wrapText="1"/>
    </xf>
    <xf numFmtId="0" fontId="0" fillId="33" borderId="38" xfId="0" applyFill="1" applyBorder="1" applyAlignment="1">
      <alignment horizontal="center" vertical="center" wrapText="1"/>
    </xf>
    <xf numFmtId="0" fontId="37" fillId="33" borderId="26" xfId="0" applyFont="1" applyFill="1" applyBorder="1" applyAlignment="1">
      <alignment horizontal="center" vertical="center" wrapText="1"/>
    </xf>
    <xf numFmtId="0" fontId="36" fillId="33" borderId="37" xfId="0" applyFont="1" applyFill="1" applyBorder="1" applyAlignment="1">
      <alignment horizontal="center" vertical="center" wrapText="1"/>
    </xf>
    <xf numFmtId="0" fontId="36" fillId="33" borderId="38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0" fillId="33" borderId="26" xfId="0" applyFill="1" applyBorder="1" applyAlignment="1">
      <alignment horizontal="center" vertical="center" wrapText="1"/>
    </xf>
    <xf numFmtId="49" fontId="10" fillId="33" borderId="35" xfId="0" applyNumberFormat="1" applyFont="1" applyFill="1" applyBorder="1" applyAlignment="1">
      <alignment horizontal="center" vertical="center" wrapText="1"/>
    </xf>
    <xf numFmtId="49" fontId="10" fillId="33" borderId="34" xfId="0" applyNumberFormat="1" applyFont="1" applyFill="1" applyBorder="1" applyAlignment="1">
      <alignment horizontal="center" vertical="center" wrapText="1"/>
    </xf>
    <xf numFmtId="49" fontId="10" fillId="33" borderId="26" xfId="0" applyNumberFormat="1" applyFont="1" applyFill="1" applyBorder="1" applyAlignment="1">
      <alignment horizontal="center" vertical="center"/>
    </xf>
    <xf numFmtId="0" fontId="0" fillId="33" borderId="26" xfId="0" applyFill="1" applyBorder="1" applyAlignment="1">
      <alignment horizontal="center" vertical="center"/>
    </xf>
    <xf numFmtId="3" fontId="10" fillId="33" borderId="44" xfId="0" applyNumberFormat="1" applyFont="1" applyFill="1" applyBorder="1" applyAlignment="1">
      <alignment horizontal="center" vertical="center" wrapText="1"/>
    </xf>
    <xf numFmtId="3" fontId="10" fillId="33" borderId="0" xfId="0" applyNumberFormat="1" applyFont="1" applyFill="1" applyBorder="1" applyAlignment="1">
      <alignment horizontal="center" vertical="center" wrapText="1"/>
    </xf>
    <xf numFmtId="165" fontId="10" fillId="33" borderId="35" xfId="0" applyNumberFormat="1" applyFont="1" applyFill="1" applyBorder="1" applyAlignment="1">
      <alignment horizontal="center" vertical="center" wrapText="1"/>
    </xf>
    <xf numFmtId="165" fontId="10" fillId="33" borderId="34" xfId="0" applyNumberFormat="1" applyFont="1" applyFill="1" applyBorder="1" applyAlignment="1">
      <alignment horizontal="center" vertical="center" wrapText="1"/>
    </xf>
    <xf numFmtId="0" fontId="41" fillId="33" borderId="26" xfId="0" applyFont="1" applyFill="1" applyBorder="1" applyAlignment="1">
      <alignment horizontal="center" vertical="center" wrapText="1"/>
    </xf>
    <xf numFmtId="0" fontId="41" fillId="33" borderId="26" xfId="0" applyFont="1" applyFill="1" applyBorder="1" applyAlignment="1">
      <alignment horizontal="center" vertical="center"/>
    </xf>
    <xf numFmtId="0" fontId="40" fillId="33" borderId="37" xfId="0" applyFont="1" applyFill="1" applyBorder="1" applyAlignment="1">
      <alignment horizontal="center" vertical="center" wrapText="1"/>
    </xf>
    <xf numFmtId="0" fontId="40" fillId="33" borderId="38" xfId="0" applyFont="1" applyFill="1" applyBorder="1" applyAlignment="1">
      <alignment horizontal="center" vertical="center" wrapText="1"/>
    </xf>
    <xf numFmtId="3" fontId="12" fillId="33" borderId="43" xfId="0" applyNumberFormat="1" applyFont="1" applyFill="1" applyBorder="1" applyAlignment="1">
      <alignment horizontal="center" vertical="center" wrapText="1"/>
    </xf>
    <xf numFmtId="3" fontId="12" fillId="33" borderId="9" xfId="0" applyNumberFormat="1" applyFont="1" applyFill="1" applyBorder="1" applyAlignment="1">
      <alignment horizontal="center" vertical="center" wrapText="1"/>
    </xf>
    <xf numFmtId="3" fontId="12" fillId="33" borderId="48" xfId="0" applyNumberFormat="1" applyFont="1" applyFill="1" applyBorder="1" applyAlignment="1">
      <alignment horizontal="center" vertical="center" wrapText="1"/>
    </xf>
    <xf numFmtId="3" fontId="12" fillId="33" borderId="46" xfId="0" applyNumberFormat="1" applyFont="1" applyFill="1" applyBorder="1" applyAlignment="1">
      <alignment horizontal="center" vertical="center" wrapText="1"/>
    </xf>
    <xf numFmtId="3" fontId="12" fillId="33" borderId="47" xfId="0" applyNumberFormat="1" applyFont="1" applyFill="1" applyBorder="1" applyAlignment="1">
      <alignment horizontal="center" vertical="center" wrapText="1"/>
    </xf>
    <xf numFmtId="3" fontId="12" fillId="33" borderId="49" xfId="0" applyNumberFormat="1" applyFont="1" applyFill="1" applyBorder="1" applyAlignment="1">
      <alignment horizontal="center" vertical="center" wrapText="1"/>
    </xf>
    <xf numFmtId="166" fontId="12" fillId="33" borderId="26" xfId="0" applyNumberFormat="1" applyFont="1" applyFill="1" applyBorder="1" applyAlignment="1">
      <alignment horizontal="center" vertical="center" wrapText="1"/>
    </xf>
    <xf numFmtId="0" fontId="13" fillId="33" borderId="26" xfId="0" applyFont="1" applyFill="1" applyBorder="1" applyAlignment="1">
      <alignment horizontal="center" vertical="center" wrapText="1"/>
    </xf>
    <xf numFmtId="49" fontId="12" fillId="33" borderId="34" xfId="0" applyNumberFormat="1" applyFont="1" applyFill="1" applyBorder="1" applyAlignment="1">
      <alignment horizontal="center" vertical="center" wrapText="1"/>
    </xf>
    <xf numFmtId="49" fontId="12" fillId="33" borderId="26" xfId="0" applyNumberFormat="1" applyFont="1" applyFill="1" applyBorder="1" applyAlignment="1">
      <alignment horizontal="center" vertical="center" wrapText="1"/>
    </xf>
    <xf numFmtId="49" fontId="12" fillId="33" borderId="34" xfId="0" applyNumberFormat="1" applyFont="1" applyFill="1" applyBorder="1" applyAlignment="1">
      <alignment horizontal="center" vertical="center"/>
    </xf>
    <xf numFmtId="49" fontId="12" fillId="33" borderId="26" xfId="0" applyNumberFormat="1" applyFont="1" applyFill="1" applyBorder="1" applyAlignment="1">
      <alignment horizontal="center" vertical="center"/>
    </xf>
    <xf numFmtId="0" fontId="13" fillId="33" borderId="26" xfId="0" applyFont="1" applyFill="1" applyBorder="1" applyAlignment="1">
      <alignment horizontal="center" vertical="center"/>
    </xf>
    <xf numFmtId="2" fontId="12" fillId="33" borderId="34" xfId="0" applyNumberFormat="1" applyFont="1" applyFill="1" applyBorder="1" applyAlignment="1">
      <alignment horizontal="center" vertical="center" wrapText="1"/>
    </xf>
    <xf numFmtId="2" fontId="12" fillId="33" borderId="26" xfId="0" applyNumberFormat="1" applyFont="1" applyFill="1" applyBorder="1" applyAlignment="1">
      <alignment horizontal="center" vertical="center" wrapText="1"/>
    </xf>
    <xf numFmtId="171" fontId="12" fillId="33" borderId="34" xfId="11" applyNumberFormat="1" applyFont="1" applyFill="1" applyBorder="1" applyAlignment="1">
      <alignment horizontal="center" vertical="center" wrapText="1"/>
    </xf>
    <xf numFmtId="171" fontId="12" fillId="33" borderId="26" xfId="11" applyNumberFormat="1" applyFont="1" applyFill="1" applyBorder="1" applyAlignment="1">
      <alignment horizontal="center" vertical="center" wrapText="1"/>
    </xf>
    <xf numFmtId="0" fontId="10" fillId="33" borderId="46" xfId="0" applyFont="1" applyFill="1" applyBorder="1" applyAlignment="1">
      <alignment horizontal="center" vertical="center" wrapText="1"/>
    </xf>
    <xf numFmtId="0" fontId="10" fillId="33" borderId="47" xfId="0" applyFont="1" applyFill="1" applyBorder="1" applyAlignment="1">
      <alignment horizontal="center" vertical="center" wrapText="1"/>
    </xf>
    <xf numFmtId="49" fontId="10" fillId="33" borderId="26" xfId="0" applyNumberFormat="1" applyFont="1" applyFill="1" applyBorder="1" applyAlignment="1">
      <alignment horizontal="center" vertical="center" wrapText="1"/>
    </xf>
    <xf numFmtId="3" fontId="10" fillId="33" borderId="43" xfId="0" applyNumberFormat="1" applyFont="1" applyFill="1" applyBorder="1" applyAlignment="1">
      <alignment horizontal="center" vertical="center" wrapText="1"/>
    </xf>
    <xf numFmtId="3" fontId="10" fillId="33" borderId="50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/>
    </xf>
    <xf numFmtId="3" fontId="10" fillId="33" borderId="46" xfId="0" applyNumberFormat="1" applyFont="1" applyFill="1" applyBorder="1" applyAlignment="1">
      <alignment horizontal="center" vertical="center" wrapText="1"/>
    </xf>
    <xf numFmtId="3" fontId="10" fillId="33" borderId="47" xfId="0" applyNumberFormat="1" applyFont="1" applyFill="1" applyBorder="1" applyAlignment="1">
      <alignment horizontal="center" vertical="center" wrapText="1"/>
    </xf>
    <xf numFmtId="171" fontId="10" fillId="33" borderId="26" xfId="11" applyNumberFormat="1" applyFont="1" applyFill="1" applyBorder="1" applyAlignment="1">
      <alignment horizontal="center" vertical="center" wrapText="1"/>
    </xf>
    <xf numFmtId="166" fontId="10" fillId="33" borderId="26" xfId="0" applyNumberFormat="1" applyFont="1" applyFill="1" applyBorder="1" applyAlignment="1">
      <alignment horizontal="center" vertical="center" wrapText="1"/>
    </xf>
    <xf numFmtId="3" fontId="10" fillId="10" borderId="36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49" fontId="3" fillId="3" borderId="2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11" fillId="8" borderId="5" xfId="1" applyNumberFormat="1" applyFont="1" applyFill="1" applyBorder="1" applyAlignment="1">
      <alignment horizontal="center" vertical="center"/>
    </xf>
    <xf numFmtId="49" fontId="11" fillId="8" borderId="2" xfId="1" applyNumberFormat="1" applyFont="1" applyFill="1" applyBorder="1" applyAlignment="1">
      <alignment horizontal="center" vertical="center"/>
    </xf>
    <xf numFmtId="49" fontId="11" fillId="8" borderId="6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49" fontId="3" fillId="7" borderId="5" xfId="1" applyNumberFormat="1" applyFont="1" applyFill="1" applyBorder="1" applyAlignment="1">
      <alignment horizontal="center" vertical="center"/>
    </xf>
    <xf numFmtId="49" fontId="3" fillId="7" borderId="2" xfId="1" applyNumberFormat="1" applyFont="1" applyFill="1" applyBorder="1" applyAlignment="1">
      <alignment horizontal="center" vertical="center"/>
    </xf>
    <xf numFmtId="49" fontId="3" fillId="7" borderId="6" xfId="1" applyNumberFormat="1" applyFont="1" applyFill="1" applyBorder="1" applyAlignment="1">
      <alignment horizontal="center" vertical="center"/>
    </xf>
    <xf numFmtId="3" fontId="10" fillId="10" borderId="35" xfId="0" applyNumberFormat="1" applyFont="1" applyFill="1" applyBorder="1" applyAlignment="1">
      <alignment horizontal="center" vertical="center" wrapText="1"/>
    </xf>
    <xf numFmtId="3" fontId="10" fillId="10" borderId="34" xfId="0" applyNumberFormat="1" applyFont="1" applyFill="1" applyBorder="1" applyAlignment="1">
      <alignment horizontal="center" vertical="center" wrapText="1"/>
    </xf>
    <xf numFmtId="166" fontId="10" fillId="10" borderId="36" xfId="0" applyNumberFormat="1" applyFont="1" applyFill="1" applyBorder="1" applyAlignment="1">
      <alignment horizontal="center" vertical="center" wrapText="1"/>
    </xf>
    <xf numFmtId="171" fontId="10" fillId="10" borderId="35" xfId="11" applyNumberFormat="1" applyFont="1" applyFill="1" applyBorder="1" applyAlignment="1">
      <alignment horizontal="center" vertical="center" wrapText="1"/>
    </xf>
    <xf numFmtId="171" fontId="10" fillId="10" borderId="34" xfId="11" applyNumberFormat="1" applyFont="1" applyFill="1" applyBorder="1" applyAlignment="1">
      <alignment horizontal="center" vertical="center" wrapText="1"/>
    </xf>
    <xf numFmtId="49" fontId="10" fillId="10" borderId="26" xfId="0" applyNumberFormat="1" applyFont="1" applyFill="1" applyBorder="1" applyAlignment="1">
      <alignment horizontal="center" vertical="center"/>
    </xf>
    <xf numFmtId="49" fontId="10" fillId="10" borderId="26" xfId="0" applyNumberFormat="1" applyFont="1" applyFill="1" applyBorder="1" applyAlignment="1">
      <alignment horizontal="center" vertical="center" wrapText="1"/>
    </xf>
    <xf numFmtId="171" fontId="10" fillId="10" borderId="35" xfId="11" applyNumberFormat="1" applyFont="1" applyFill="1" applyBorder="1" applyAlignment="1">
      <alignment horizontal="center" wrapText="1"/>
    </xf>
    <xf numFmtId="171" fontId="10" fillId="10" borderId="34" xfId="11" applyNumberFormat="1" applyFont="1" applyFill="1" applyBorder="1" applyAlignment="1">
      <alignment horizontal="center" wrapText="1"/>
    </xf>
    <xf numFmtId="49" fontId="3" fillId="2" borderId="5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0" fontId="10" fillId="33" borderId="28" xfId="7" applyFont="1" applyFill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 wrapText="1"/>
    </xf>
    <xf numFmtId="0" fontId="10" fillId="33" borderId="28" xfId="7" applyFont="1" applyFill="1" applyBorder="1" applyAlignment="1">
      <alignment horizontal="center" vertical="center"/>
    </xf>
    <xf numFmtId="0" fontId="56" fillId="0" borderId="0" xfId="0" applyFont="1" applyBorder="1" applyAlignment="1">
      <alignment horizontal="center" vertical="top" wrapText="1"/>
    </xf>
    <xf numFmtId="170" fontId="10" fillId="33" borderId="26" xfId="11" applyNumberFormat="1" applyFont="1" applyFill="1" applyBorder="1" applyAlignment="1">
      <alignment horizontal="center" vertical="center"/>
    </xf>
    <xf numFmtId="0" fontId="10" fillId="33" borderId="26" xfId="0" applyFont="1" applyFill="1" applyBorder="1" applyAlignment="1">
      <alignment horizontal="center" wrapText="1"/>
    </xf>
    <xf numFmtId="0" fontId="22" fillId="0" borderId="0" xfId="7" applyFont="1" applyAlignment="1">
      <alignment horizontal="center"/>
    </xf>
    <xf numFmtId="0" fontId="16" fillId="10" borderId="26" xfId="6" applyFont="1" applyFill="1" applyBorder="1" applyAlignment="1">
      <alignment horizontal="left"/>
    </xf>
    <xf numFmtId="3" fontId="3" fillId="14" borderId="5" xfId="1" applyNumberFormat="1" applyFont="1" applyFill="1" applyBorder="1" applyAlignment="1">
      <alignment horizontal="center" vertical="center" wrapText="1"/>
    </xf>
    <xf numFmtId="3" fontId="3" fillId="14" borderId="6" xfId="1" applyNumberFormat="1" applyFont="1" applyFill="1" applyBorder="1" applyAlignment="1">
      <alignment horizontal="center" vertical="center" wrapText="1"/>
    </xf>
    <xf numFmtId="49" fontId="3" fillId="2" borderId="32" xfId="1" applyNumberFormat="1" applyFont="1" applyFill="1" applyBorder="1" applyAlignment="1">
      <alignment horizontal="center" vertical="center"/>
    </xf>
    <xf numFmtId="49" fontId="3" fillId="2" borderId="33" xfId="1" applyNumberFormat="1" applyFont="1" applyFill="1" applyBorder="1" applyAlignment="1">
      <alignment horizontal="center" vertical="center"/>
    </xf>
    <xf numFmtId="3" fontId="3" fillId="2" borderId="16" xfId="1" applyNumberFormat="1" applyFont="1" applyFill="1" applyBorder="1" applyAlignment="1">
      <alignment horizontal="center" vertical="center" wrapText="1"/>
    </xf>
    <xf numFmtId="3" fontId="3" fillId="2" borderId="10" xfId="1" applyNumberFormat="1" applyFont="1" applyFill="1" applyBorder="1" applyAlignment="1">
      <alignment horizontal="center" vertical="center" wrapText="1"/>
    </xf>
    <xf numFmtId="3" fontId="3" fillId="2" borderId="13" xfId="1" applyNumberFormat="1" applyFont="1" applyFill="1" applyBorder="1" applyAlignment="1">
      <alignment horizontal="center" vertical="center" wrapText="1"/>
    </xf>
    <xf numFmtId="3" fontId="3" fillId="2" borderId="14" xfId="1" applyNumberFormat="1" applyFont="1" applyFill="1" applyBorder="1" applyAlignment="1">
      <alignment horizontal="center" vertical="center" wrapText="1"/>
    </xf>
    <xf numFmtId="3" fontId="3" fillId="2" borderId="12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/>
    </xf>
    <xf numFmtId="49" fontId="3" fillId="2" borderId="4" xfId="1" applyNumberFormat="1" applyFont="1" applyFill="1" applyBorder="1" applyAlignment="1">
      <alignment horizontal="center" vertical="center" wrapText="1"/>
    </xf>
    <xf numFmtId="3" fontId="3" fillId="2" borderId="15" xfId="1" applyNumberFormat="1" applyFont="1" applyFill="1" applyBorder="1" applyAlignment="1">
      <alignment horizontal="center" vertical="center" wrapText="1"/>
    </xf>
    <xf numFmtId="3" fontId="3" fillId="14" borderId="16" xfId="1" applyNumberFormat="1" applyFont="1" applyFill="1" applyBorder="1" applyAlignment="1">
      <alignment horizontal="center" vertical="center" wrapText="1"/>
    </xf>
    <xf numFmtId="3" fontId="3" fillId="14" borderId="17" xfId="1" applyNumberFormat="1" applyFont="1" applyFill="1" applyBorder="1" applyAlignment="1">
      <alignment horizontal="center" vertical="center" wrapText="1"/>
    </xf>
    <xf numFmtId="3" fontId="3" fillId="2" borderId="17" xfId="1" applyNumberFormat="1" applyFont="1" applyFill="1" applyBorder="1" applyAlignment="1">
      <alignment horizontal="center" vertical="center" wrapText="1"/>
    </xf>
    <xf numFmtId="3" fontId="3" fillId="2" borderId="18" xfId="1" applyNumberFormat="1" applyFont="1" applyFill="1" applyBorder="1" applyAlignment="1">
      <alignment horizontal="center" vertical="center" wrapText="1"/>
    </xf>
    <xf numFmtId="49" fontId="11" fillId="8" borderId="19" xfId="1" applyNumberFormat="1" applyFont="1" applyFill="1" applyBorder="1" applyAlignment="1">
      <alignment horizontal="center" vertical="center"/>
    </xf>
    <xf numFmtId="49" fontId="11" fillId="8" borderId="20" xfId="1" applyNumberFormat="1" applyFont="1" applyFill="1" applyBorder="1" applyAlignment="1">
      <alignment horizontal="center" vertical="center"/>
    </xf>
    <xf numFmtId="49" fontId="11" fillId="8" borderId="21" xfId="1" applyNumberFormat="1" applyFont="1" applyFill="1" applyBorder="1" applyAlignment="1">
      <alignment horizontal="center" vertical="center"/>
    </xf>
    <xf numFmtId="3" fontId="3" fillId="17" borderId="16" xfId="1" applyNumberFormat="1" applyFont="1" applyFill="1" applyBorder="1" applyAlignment="1">
      <alignment horizontal="center" vertical="center" wrapText="1"/>
    </xf>
    <xf numFmtId="3" fontId="3" fillId="17" borderId="17" xfId="1" applyNumberFormat="1" applyFont="1" applyFill="1" applyBorder="1" applyAlignment="1">
      <alignment horizontal="center" vertical="center" wrapText="1"/>
    </xf>
    <xf numFmtId="3" fontId="3" fillId="14" borderId="1" xfId="1" applyNumberFormat="1" applyFont="1" applyFill="1" applyBorder="1" applyAlignment="1">
      <alignment horizontal="center" vertical="center" wrapText="1"/>
    </xf>
    <xf numFmtId="3" fontId="3" fillId="14" borderId="10" xfId="1" applyNumberFormat="1" applyFont="1" applyFill="1" applyBorder="1" applyAlignment="1">
      <alignment horizontal="center" vertical="center" wrapText="1"/>
    </xf>
  </cellXfs>
  <cellStyles count="14">
    <cellStyle name="Ezres" xfId="11" builtinId="3"/>
    <cellStyle name="Ezres 2" xfId="2" xr:uid="{00000000-0005-0000-0000-000001000000}"/>
    <cellStyle name="Ezres 2 2" xfId="3" xr:uid="{00000000-0005-0000-0000-000002000000}"/>
    <cellStyle name="Ezres 3" xfId="4" xr:uid="{00000000-0005-0000-0000-000003000000}"/>
    <cellStyle name="Ezres 4" xfId="12" xr:uid="{00000000-0005-0000-0000-000004000000}"/>
    <cellStyle name="Ezres 5" xfId="13" xr:uid="{00000000-0005-0000-0000-000005000000}"/>
    <cellStyle name="Normál" xfId="0" builtinId="0"/>
    <cellStyle name="Normál 2" xfId="5" xr:uid="{00000000-0005-0000-0000-000007000000}"/>
    <cellStyle name="Normál 2 2" xfId="6" xr:uid="{00000000-0005-0000-0000-000008000000}"/>
    <cellStyle name="Normál 3" xfId="7" xr:uid="{00000000-0005-0000-0000-000009000000}"/>
    <cellStyle name="Normál 4" xfId="1" xr:uid="{00000000-0005-0000-0000-00000A000000}"/>
    <cellStyle name="Százalék 2" xfId="8" xr:uid="{00000000-0005-0000-0000-00000B000000}"/>
    <cellStyle name="Százalék 3" xfId="9" xr:uid="{00000000-0005-0000-0000-00000C000000}"/>
    <cellStyle name="TableStyleLight1" xfId="10" xr:uid="{00000000-0005-0000-0000-00000D000000}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2016%20&#233;vi%20k&#246;lts&#233;gvet&#233;s/R&#233;gi%20t&#225;bla/Ktgv_2015_elso_olvasat_2015_10_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El&#337;terjeszt&#233;sek/&#214;nkorm&#225;nyzat%20el&#337;terjeszt&#233;sei/2015%20&#233;v/Els&#337;%20f&#233;l&#233;v/20150226/Koltsegvetes%202015/V&#233;gleges%20anyagok/Ktgv_2015_2015_02_25_ja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2016%20&#233;vi%20k&#246;lts&#233;gvet&#233;s/Ktgv_2015_elso_olvasat_2015_10_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>
        <row r="9">
          <cell r="E9">
            <v>0</v>
          </cell>
        </row>
      </sheetData>
      <sheetData sheetId="3">
        <row r="34">
          <cell r="D34">
            <v>4784170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33">
          <cell r="C3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73">
          <cell r="H73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  <cell r="J1">
            <v>0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Óvodai étkeztetés 562912</v>
          </cell>
          <cell r="E1" t="str">
            <v>Óvodai nevelés 851011</v>
          </cell>
          <cell r="F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>
        <row r="4">
          <cell r="C4">
            <v>495867</v>
          </cell>
        </row>
      </sheetData>
      <sheetData sheetId="3">
        <row r="4">
          <cell r="C4">
            <v>1241954</v>
          </cell>
        </row>
      </sheetData>
      <sheetData sheetId="4"/>
      <sheetData sheetId="5">
        <row r="6">
          <cell r="C6">
            <v>433472</v>
          </cell>
        </row>
      </sheetData>
      <sheetData sheetId="6">
        <row r="6">
          <cell r="C6">
            <v>0</v>
          </cell>
        </row>
        <row r="36">
          <cell r="D36">
            <v>2312651</v>
          </cell>
        </row>
      </sheetData>
      <sheetData sheetId="7">
        <row r="5">
          <cell r="D5">
            <v>7</v>
          </cell>
        </row>
      </sheetData>
      <sheetData sheetId="8">
        <row r="24">
          <cell r="D24">
            <v>304858</v>
          </cell>
        </row>
      </sheetData>
      <sheetData sheetId="9">
        <row r="11">
          <cell r="C11">
            <v>1000</v>
          </cell>
        </row>
      </sheetData>
      <sheetData sheetId="10"/>
      <sheetData sheetId="11">
        <row r="6">
          <cell r="D6">
            <v>183893</v>
          </cell>
        </row>
      </sheetData>
      <sheetData sheetId="12">
        <row r="5">
          <cell r="E5">
            <v>0</v>
          </cell>
        </row>
      </sheetData>
      <sheetData sheetId="13">
        <row r="11">
          <cell r="C11">
            <v>0</v>
          </cell>
        </row>
      </sheetData>
      <sheetData sheetId="14">
        <row r="11">
          <cell r="C11">
            <v>0</v>
          </cell>
        </row>
      </sheetData>
      <sheetData sheetId="15">
        <row r="11">
          <cell r="C11">
            <v>0</v>
          </cell>
        </row>
      </sheetData>
      <sheetData sheetId="16">
        <row r="11">
          <cell r="C11">
            <v>0</v>
          </cell>
        </row>
      </sheetData>
      <sheetData sheetId="17">
        <row r="11">
          <cell r="C11">
            <v>0</v>
          </cell>
        </row>
      </sheetData>
      <sheetData sheetId="18">
        <row r="11">
          <cell r="C11">
            <v>0</v>
          </cell>
        </row>
      </sheetData>
      <sheetData sheetId="19">
        <row r="19">
          <cell r="D19">
            <v>31</v>
          </cell>
        </row>
      </sheetData>
      <sheetData sheetId="20"/>
      <sheetData sheetId="21">
        <row r="6">
          <cell r="J6">
            <v>4630</v>
          </cell>
          <cell r="K6">
            <v>1250</v>
          </cell>
        </row>
        <row r="7">
          <cell r="J7">
            <v>39854</v>
          </cell>
          <cell r="K7">
            <v>10760</v>
          </cell>
        </row>
        <row r="8">
          <cell r="J8">
            <v>787</v>
          </cell>
          <cell r="K8">
            <v>213</v>
          </cell>
        </row>
        <row r="9">
          <cell r="J9">
            <v>27874</v>
          </cell>
          <cell r="K9">
            <v>7526</v>
          </cell>
        </row>
        <row r="10">
          <cell r="J10">
            <v>25984</v>
          </cell>
          <cell r="K10">
            <v>7016</v>
          </cell>
        </row>
        <row r="11">
          <cell r="J11">
            <v>56032</v>
          </cell>
          <cell r="K11">
            <v>15129</v>
          </cell>
        </row>
        <row r="12">
          <cell r="J12">
            <v>3307</v>
          </cell>
          <cell r="K12">
            <v>893</v>
          </cell>
        </row>
        <row r="13">
          <cell r="J13">
            <v>5079</v>
          </cell>
          <cell r="K13">
            <v>1371</v>
          </cell>
        </row>
        <row r="14">
          <cell r="J14">
            <v>138</v>
          </cell>
          <cell r="K14">
            <v>37</v>
          </cell>
        </row>
        <row r="15">
          <cell r="J15">
            <v>13216</v>
          </cell>
          <cell r="K15">
            <v>3568</v>
          </cell>
        </row>
        <row r="16">
          <cell r="J16">
            <v>26</v>
          </cell>
          <cell r="K16">
            <v>7</v>
          </cell>
        </row>
        <row r="17">
          <cell r="J17">
            <v>46831</v>
          </cell>
          <cell r="K17">
            <v>12644</v>
          </cell>
        </row>
        <row r="18">
          <cell r="J18">
            <v>350</v>
          </cell>
          <cell r="K18">
            <v>95</v>
          </cell>
        </row>
        <row r="19">
          <cell r="J19">
            <v>11811</v>
          </cell>
          <cell r="K19">
            <v>3189</v>
          </cell>
        </row>
        <row r="22">
          <cell r="J22">
            <v>20079</v>
          </cell>
          <cell r="K22">
            <v>5421</v>
          </cell>
        </row>
        <row r="23">
          <cell r="J23">
            <v>300</v>
          </cell>
          <cell r="K23">
            <v>81</v>
          </cell>
        </row>
        <row r="24">
          <cell r="J24">
            <v>31024</v>
          </cell>
          <cell r="K24">
            <v>8376</v>
          </cell>
        </row>
        <row r="25">
          <cell r="J25">
            <v>11811</v>
          </cell>
          <cell r="K25">
            <v>3189</v>
          </cell>
        </row>
        <row r="26">
          <cell r="J26">
            <v>3544</v>
          </cell>
          <cell r="K26">
            <v>957</v>
          </cell>
        </row>
        <row r="27">
          <cell r="J27">
            <v>3937</v>
          </cell>
          <cell r="K27">
            <v>1063</v>
          </cell>
        </row>
        <row r="28">
          <cell r="J28">
            <v>3937</v>
          </cell>
          <cell r="K28">
            <v>1063</v>
          </cell>
        </row>
      </sheetData>
      <sheetData sheetId="22">
        <row r="6">
          <cell r="J6">
            <v>46494</v>
          </cell>
          <cell r="K6">
            <v>12553</v>
          </cell>
        </row>
        <row r="7">
          <cell r="J7">
            <v>16882</v>
          </cell>
          <cell r="K7">
            <v>4558</v>
          </cell>
        </row>
        <row r="8">
          <cell r="J8">
            <v>25984</v>
          </cell>
          <cell r="K8">
            <v>7016</v>
          </cell>
        </row>
        <row r="12">
          <cell r="J12">
            <v>1295</v>
          </cell>
          <cell r="K12">
            <v>350</v>
          </cell>
        </row>
        <row r="13">
          <cell r="J13">
            <v>7874</v>
          </cell>
          <cell r="K13">
            <v>2126</v>
          </cell>
        </row>
        <row r="14">
          <cell r="J14">
            <v>8661</v>
          </cell>
          <cell r="K14">
            <v>2339</v>
          </cell>
        </row>
        <row r="15">
          <cell r="J15">
            <v>1969</v>
          </cell>
          <cell r="K15">
            <v>531</v>
          </cell>
        </row>
        <row r="16">
          <cell r="J16">
            <v>1181</v>
          </cell>
          <cell r="K16">
            <v>319</v>
          </cell>
        </row>
        <row r="17">
          <cell r="J17">
            <v>2835</v>
          </cell>
          <cell r="K17">
            <v>765</v>
          </cell>
        </row>
      </sheetData>
      <sheetData sheetId="23"/>
      <sheetData sheetId="24"/>
      <sheetData sheetId="25"/>
      <sheetData sheetId="26"/>
      <sheetData sheetId="27">
        <row r="54">
          <cell r="R54">
            <v>0</v>
          </cell>
        </row>
      </sheetData>
      <sheetData sheetId="28">
        <row r="58">
          <cell r="H58">
            <v>0</v>
          </cell>
        </row>
      </sheetData>
      <sheetData sheetId="29">
        <row r="18">
          <cell r="S18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B154" t="str">
            <v>Felhalmozási kiadások összesen</v>
          </cell>
        </row>
        <row r="155"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B161" t="str">
            <v>1.1. Készletértékesítés bevétele</v>
          </cell>
        </row>
        <row r="162">
          <cell r="B162" t="str">
            <v>1.2. Szolgáltatások ellenértéke</v>
          </cell>
        </row>
        <row r="163">
          <cell r="B163" t="str">
            <v>1.3. Tulajdonosi bevételek</v>
          </cell>
        </row>
        <row r="164">
          <cell r="B164" t="str">
            <v>Egyéb bérleti díj</v>
          </cell>
        </row>
        <row r="165">
          <cell r="B165" t="str">
            <v>1.4. Ellátási díjak</v>
          </cell>
        </row>
        <row r="166">
          <cell r="B166" t="str">
            <v>1.5. Kiszámlázott általános forgalmi adó</v>
          </cell>
        </row>
        <row r="167">
          <cell r="B167" t="str">
            <v>1.6. Általános forgalmi adó visszatérítése</v>
          </cell>
        </row>
        <row r="168">
          <cell r="B168" t="str">
            <v>1.7. Kamatbevételek</v>
          </cell>
        </row>
        <row r="169"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B171" t="str">
            <v>3.1. Egyéb működési célú átvett pénzeszközök</v>
          </cell>
        </row>
      </sheetData>
      <sheetData sheetId="37">
        <row r="162">
          <cell r="F162">
            <v>0</v>
          </cell>
        </row>
      </sheetData>
      <sheetData sheetId="38">
        <row r="54">
          <cell r="G54">
            <v>38751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1.bin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0.bin"/><Relationship Id="rId2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88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6.bin"/><Relationship Id="rId2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94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2.bin"/><Relationship Id="rId2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100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5.bin"/><Relationship Id="rId2" Type="http://schemas.openxmlformats.org/officeDocument/2006/relationships/printerSettings" Target="../printerSettings/printerSettings104.bin"/><Relationship Id="rId1" Type="http://schemas.openxmlformats.org/officeDocument/2006/relationships/printerSettings" Target="../printerSettings/printerSettings103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1.bin"/><Relationship Id="rId2" Type="http://schemas.openxmlformats.org/officeDocument/2006/relationships/printerSettings" Target="../printerSettings/printerSettings110.bin"/><Relationship Id="rId1" Type="http://schemas.openxmlformats.org/officeDocument/2006/relationships/printerSettings" Target="../printerSettings/printerSettings10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showGridLines="0" topLeftCell="A13" zoomScale="75" zoomScaleNormal="75" workbookViewId="0">
      <selection activeCell="B21" sqref="B21"/>
    </sheetView>
  </sheetViews>
  <sheetFormatPr defaultRowHeight="15" x14ac:dyDescent="0.25"/>
  <cols>
    <col min="1" max="1" width="80.5703125" customWidth="1"/>
    <col min="2" max="2" width="31.140625" customWidth="1"/>
  </cols>
  <sheetData>
    <row r="1" spans="1:2" ht="53.25" customHeight="1" x14ac:dyDescent="0.5">
      <c r="A1" s="896" t="s">
        <v>991</v>
      </c>
      <c r="B1" s="896"/>
    </row>
    <row r="2" spans="1:2" ht="31.5" x14ac:dyDescent="0.5">
      <c r="A2" s="139" t="s">
        <v>583</v>
      </c>
      <c r="B2" s="140">
        <f>'0.Mérleg'!E9</f>
        <v>213667</v>
      </c>
    </row>
    <row r="3" spans="1:2" ht="63" x14ac:dyDescent="0.25">
      <c r="A3" s="332" t="s">
        <v>1205</v>
      </c>
      <c r="B3" s="333">
        <f>B2-'2D Céltartalék'!F34</f>
        <v>213667</v>
      </c>
    </row>
    <row r="4" spans="1:2" ht="31.5" x14ac:dyDescent="0.5">
      <c r="A4" s="141" t="s">
        <v>584</v>
      </c>
      <c r="B4" s="142">
        <f>'0.Mérleg'!M9</f>
        <v>0</v>
      </c>
    </row>
    <row r="5" spans="1:2" ht="63" customHeight="1" x14ac:dyDescent="0.5">
      <c r="A5" s="896" t="s">
        <v>992</v>
      </c>
      <c r="B5" s="896"/>
    </row>
    <row r="6" spans="1:2" ht="31.5" x14ac:dyDescent="0.5">
      <c r="A6" s="143" t="s">
        <v>586</v>
      </c>
      <c r="B6" s="144">
        <f>'0.Mérleg'!E14</f>
        <v>4434649</v>
      </c>
    </row>
    <row r="7" spans="1:2" ht="31.5" x14ac:dyDescent="0.5">
      <c r="A7" s="145" t="s">
        <v>587</v>
      </c>
      <c r="B7" s="146">
        <f>'0.Mérleg'!M14</f>
        <v>0</v>
      </c>
    </row>
    <row r="8" spans="1:2" ht="60.75" customHeight="1" x14ac:dyDescent="0.5">
      <c r="A8" s="896" t="s">
        <v>993</v>
      </c>
      <c r="B8" s="896"/>
    </row>
    <row r="9" spans="1:2" ht="31.5" x14ac:dyDescent="0.5">
      <c r="A9" s="143" t="s">
        <v>989</v>
      </c>
      <c r="B9" s="144">
        <f>'0.Mérleg'!E16</f>
        <v>4648316</v>
      </c>
    </row>
    <row r="10" spans="1:2" ht="31.5" x14ac:dyDescent="0.5">
      <c r="A10" s="145" t="s">
        <v>990</v>
      </c>
      <c r="B10" s="146">
        <f>'0.Mérleg'!M16</f>
        <v>0</v>
      </c>
    </row>
    <row r="11" spans="1:2" ht="53.25" customHeight="1" x14ac:dyDescent="0.5">
      <c r="A11" s="896" t="s">
        <v>994</v>
      </c>
      <c r="B11" s="896"/>
    </row>
    <row r="12" spans="1:2" ht="39.75" customHeight="1" x14ac:dyDescent="0.5">
      <c r="A12" s="206" t="s">
        <v>1065</v>
      </c>
      <c r="B12" s="208">
        <f>'0.Mérleg'!E19</f>
        <v>4711110</v>
      </c>
    </row>
    <row r="13" spans="1:2" ht="42" customHeight="1" x14ac:dyDescent="0.5">
      <c r="A13" s="207" t="s">
        <v>995</v>
      </c>
      <c r="B13" s="209">
        <f>'0.Mérleg'!E20</f>
        <v>0</v>
      </c>
    </row>
    <row r="14" spans="1:2" ht="41.25" customHeight="1" x14ac:dyDescent="0.5">
      <c r="A14" s="205" t="s">
        <v>996</v>
      </c>
      <c r="B14" s="210">
        <f>B12+B13</f>
        <v>4711110</v>
      </c>
    </row>
    <row r="16" spans="1:2" ht="53.25" customHeight="1" x14ac:dyDescent="0.5">
      <c r="A16" s="896" t="s">
        <v>1197</v>
      </c>
      <c r="B16" s="896"/>
    </row>
    <row r="17" spans="1:2" ht="39.75" customHeight="1" x14ac:dyDescent="0.5">
      <c r="A17" s="205" t="s">
        <v>1198</v>
      </c>
      <c r="B17" s="210">
        <f>'0.Mérleg'!E22</f>
        <v>0</v>
      </c>
    </row>
    <row r="20" spans="1:2" s="93" customFormat="1" ht="69" customHeight="1" x14ac:dyDescent="0.25">
      <c r="A20" s="212" t="s">
        <v>1066</v>
      </c>
      <c r="B20" s="213" t="str">
        <f>IF('0.Mérleg'!E24-'0.Mérleg'!M24&gt;0,'0.Mérleg'!E24-'0.Mérleg'!M24,B37)</f>
        <v>Elfogyott</v>
      </c>
    </row>
    <row r="21" spans="1:2" ht="49.5" customHeight="1" x14ac:dyDescent="0.55000000000000004">
      <c r="B21" s="214">
        <f>'0.Mérleg'!E24-'0.Mérleg'!M24</f>
        <v>0</v>
      </c>
    </row>
    <row r="37" spans="2:2" x14ac:dyDescent="0.25">
      <c r="B37" t="s">
        <v>1064</v>
      </c>
    </row>
  </sheetData>
  <customSheetViews>
    <customSheetView guid="{7F1DC213-A29D-4C8C-BAC3-F1BD898020FD}" scale="75" showGridLines="0" state="hidden" topLeftCell="A13">
      <selection activeCell="B21" sqref="B21"/>
      <pageMargins left="0.7" right="0.7" top="0.75" bottom="0.75" header="0.3" footer="0.3"/>
      <pageSetup paperSize="8" orientation="portrait" horizontalDpi="300" verticalDpi="300" r:id="rId1"/>
    </customSheetView>
    <customSheetView guid="{4DCB1349-1166-4B69-AE14-D6B08F9FCE74}" scale="75" showGridLines="0" state="hidden" topLeftCell="A13">
      <selection activeCell="B21" sqref="B21"/>
      <pageMargins left="0.7" right="0.7" top="0.75" bottom="0.75" header="0.3" footer="0.3"/>
      <pageSetup paperSize="8" orientation="portrait" horizontalDpi="300" verticalDpi="300" r:id="rId2"/>
    </customSheetView>
  </customSheetViews>
  <mergeCells count="5">
    <mergeCell ref="A1:B1"/>
    <mergeCell ref="A5:B5"/>
    <mergeCell ref="A8:B8"/>
    <mergeCell ref="A11:B11"/>
    <mergeCell ref="A16:B16"/>
  </mergeCells>
  <pageMargins left="0.7" right="0.7" top="0.75" bottom="0.75" header="0.3" footer="0.3"/>
  <pageSetup paperSize="8" orientation="portrait" horizontalDpi="300" verticalDpi="30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33"/>
  <sheetViews>
    <sheetView view="pageBreakPreview" zoomScaleSheetLayoutView="100" workbookViewId="0">
      <selection activeCell="K30" sqref="K30"/>
    </sheetView>
  </sheetViews>
  <sheetFormatPr defaultRowHeight="15" x14ac:dyDescent="0.25"/>
  <cols>
    <col min="1" max="1" width="5.7109375" style="377" customWidth="1"/>
    <col min="2" max="2" width="61.7109375" style="359" customWidth="1"/>
    <col min="3" max="3" width="12.28515625" style="356" hidden="1" customWidth="1"/>
    <col min="4" max="6" width="11.42578125" style="356" hidden="1" customWidth="1"/>
    <col min="7" max="10" width="13.5703125" style="359" hidden="1" customWidth="1"/>
    <col min="11" max="11" width="15.140625" style="359" customWidth="1"/>
    <col min="12" max="12" width="15.85546875" style="359" customWidth="1"/>
    <col min="13" max="16384" width="9.140625" style="359"/>
  </cols>
  <sheetData>
    <row r="1" spans="1:12" x14ac:dyDescent="0.25">
      <c r="D1" s="357"/>
      <c r="E1" s="357"/>
      <c r="F1" s="357"/>
      <c r="G1" s="357"/>
      <c r="J1" s="357"/>
      <c r="L1" s="357" t="s">
        <v>302</v>
      </c>
    </row>
    <row r="2" spans="1:12" s="380" customFormat="1" ht="45" x14ac:dyDescent="0.25">
      <c r="A2" s="378" t="s">
        <v>1146</v>
      </c>
      <c r="B2" s="378" t="s">
        <v>306</v>
      </c>
      <c r="C2" s="379" t="s">
        <v>1191</v>
      </c>
      <c r="D2" s="379" t="s">
        <v>1192</v>
      </c>
      <c r="E2" s="379" t="s">
        <v>1194</v>
      </c>
      <c r="F2" s="379" t="s">
        <v>1195</v>
      </c>
      <c r="G2" s="379" t="s">
        <v>1238</v>
      </c>
      <c r="H2" s="379" t="s">
        <v>1239</v>
      </c>
      <c r="I2" s="379" t="s">
        <v>1240</v>
      </c>
      <c r="J2" s="379" t="s">
        <v>1241</v>
      </c>
      <c r="K2" s="379" t="s">
        <v>1262</v>
      </c>
      <c r="L2" s="379" t="s">
        <v>1263</v>
      </c>
    </row>
    <row r="3" spans="1:12" x14ac:dyDescent="0.25">
      <c r="A3" s="381" t="s">
        <v>1148</v>
      </c>
      <c r="B3" s="382" t="s">
        <v>1147</v>
      </c>
      <c r="C3" s="383">
        <f>C11+C12</f>
        <v>0</v>
      </c>
      <c r="D3" s="383">
        <f>D32+D33</f>
        <v>0</v>
      </c>
      <c r="E3" s="383">
        <f>E11+E12</f>
        <v>67657</v>
      </c>
      <c r="F3" s="383">
        <f>F32+F33</f>
        <v>67657</v>
      </c>
      <c r="G3" s="383">
        <f>G11+G12</f>
        <v>67657</v>
      </c>
      <c r="H3" s="383">
        <f>H32+H33</f>
        <v>67657</v>
      </c>
      <c r="I3" s="383">
        <f>I11+I12</f>
        <v>67657</v>
      </c>
      <c r="J3" s="383">
        <f>J32+J33</f>
        <v>67657</v>
      </c>
      <c r="K3" s="383">
        <f>K11+K12</f>
        <v>0</v>
      </c>
      <c r="L3" s="383">
        <f>L32+L33</f>
        <v>0</v>
      </c>
    </row>
    <row r="4" spans="1:12" ht="39.75" customHeight="1" x14ac:dyDescent="0.25">
      <c r="A4" s="219" t="s">
        <v>1076</v>
      </c>
      <c r="B4" s="220" t="s">
        <v>1077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</row>
    <row r="5" spans="1:12" x14ac:dyDescent="0.25">
      <c r="A5" s="384" t="s">
        <v>309</v>
      </c>
      <c r="B5" s="385" t="s">
        <v>310</v>
      </c>
      <c r="C5" s="386">
        <f>C6</f>
        <v>0</v>
      </c>
      <c r="D5" s="386"/>
      <c r="E5" s="386">
        <f>E6</f>
        <v>59543</v>
      </c>
      <c r="F5" s="386"/>
      <c r="G5" s="386">
        <f>G6</f>
        <v>59543</v>
      </c>
      <c r="H5" s="386"/>
      <c r="I5" s="386">
        <f>I6</f>
        <v>59543</v>
      </c>
      <c r="J5" s="386"/>
      <c r="K5" s="386">
        <f>K6</f>
        <v>0</v>
      </c>
      <c r="L5" s="386"/>
    </row>
    <row r="6" spans="1:12" x14ac:dyDescent="0.25">
      <c r="A6" s="387" t="s">
        <v>311</v>
      </c>
      <c r="B6" s="388" t="s">
        <v>314</v>
      </c>
      <c r="C6" s="389">
        <f>C7+C9</f>
        <v>0</v>
      </c>
      <c r="D6" s="390"/>
      <c r="E6" s="389">
        <f>E7+E9</f>
        <v>59543</v>
      </c>
      <c r="F6" s="390"/>
      <c r="G6" s="389">
        <f>G7+G9</f>
        <v>59543</v>
      </c>
      <c r="H6" s="390"/>
      <c r="I6" s="389">
        <f>I7+I9</f>
        <v>59543</v>
      </c>
      <c r="J6" s="390"/>
      <c r="K6" s="389">
        <f>K7+K9</f>
        <v>0</v>
      </c>
      <c r="L6" s="390"/>
    </row>
    <row r="7" spans="1:12" x14ac:dyDescent="0.25">
      <c r="A7" s="391"/>
      <c r="B7" s="392" t="s">
        <v>1078</v>
      </c>
      <c r="C7" s="393"/>
      <c r="D7" s="393"/>
      <c r="E7" s="393">
        <f>SUM(E8)</f>
        <v>46884</v>
      </c>
      <c r="F7" s="393"/>
      <c r="G7" s="393">
        <f>SUM(G8)</f>
        <v>46884</v>
      </c>
      <c r="H7" s="393"/>
      <c r="I7" s="393">
        <f>SUM(I8)</f>
        <v>46884</v>
      </c>
      <c r="J7" s="393"/>
      <c r="K7" s="393">
        <f>SUM(K8)</f>
        <v>0</v>
      </c>
      <c r="L7" s="393"/>
    </row>
    <row r="8" spans="1:12" x14ac:dyDescent="0.25">
      <c r="A8" s="391"/>
      <c r="B8" s="394" t="s">
        <v>1079</v>
      </c>
      <c r="C8" s="393"/>
      <c r="D8" s="393"/>
      <c r="E8" s="393">
        <v>46884</v>
      </c>
      <c r="F8" s="393"/>
      <c r="G8" s="393">
        <v>46884</v>
      </c>
      <c r="H8" s="393"/>
      <c r="I8" s="393">
        <v>46884</v>
      </c>
      <c r="J8" s="393"/>
      <c r="K8" s="393">
        <v>0</v>
      </c>
      <c r="L8" s="393"/>
    </row>
    <row r="9" spans="1:12" x14ac:dyDescent="0.25">
      <c r="A9" s="391"/>
      <c r="B9" s="395" t="s">
        <v>1080</v>
      </c>
      <c r="C9" s="393"/>
      <c r="D9" s="393"/>
      <c r="E9" s="393">
        <v>12659</v>
      </c>
      <c r="F9" s="393"/>
      <c r="G9" s="393">
        <v>12659</v>
      </c>
      <c r="H9" s="393"/>
      <c r="I9" s="393">
        <v>12659</v>
      </c>
      <c r="J9" s="393"/>
      <c r="K9" s="393">
        <f>+K8*0.27</f>
        <v>0</v>
      </c>
      <c r="L9" s="393"/>
    </row>
    <row r="10" spans="1:12" x14ac:dyDescent="0.25">
      <c r="A10" s="384" t="s">
        <v>318</v>
      </c>
      <c r="B10" s="385" t="s">
        <v>1081</v>
      </c>
      <c r="C10" s="386">
        <v>0</v>
      </c>
      <c r="D10" s="386"/>
      <c r="E10" s="386">
        <v>0</v>
      </c>
      <c r="F10" s="386"/>
      <c r="G10" s="386">
        <v>0</v>
      </c>
      <c r="H10" s="386"/>
      <c r="I10" s="386">
        <v>0</v>
      </c>
      <c r="J10" s="386"/>
      <c r="K10" s="386">
        <v>0</v>
      </c>
      <c r="L10" s="386"/>
    </row>
    <row r="11" spans="1:12" x14ac:dyDescent="0.25">
      <c r="A11" s="396"/>
      <c r="B11" s="397" t="s">
        <v>327</v>
      </c>
      <c r="C11" s="398">
        <f>C5+C10</f>
        <v>0</v>
      </c>
      <c r="D11" s="398"/>
      <c r="E11" s="398">
        <f>E5+E10</f>
        <v>59543</v>
      </c>
      <c r="F11" s="398"/>
      <c r="G11" s="398">
        <f>G5+G10</f>
        <v>59543</v>
      </c>
      <c r="H11" s="398"/>
      <c r="I11" s="398">
        <f>I5+I10</f>
        <v>59543</v>
      </c>
      <c r="J11" s="398"/>
      <c r="K11" s="398">
        <f>K5+K10</f>
        <v>0</v>
      </c>
      <c r="L11" s="398"/>
    </row>
    <row r="12" spans="1:12" x14ac:dyDescent="0.25">
      <c r="A12" s="384" t="s">
        <v>328</v>
      </c>
      <c r="B12" s="385" t="s">
        <v>329</v>
      </c>
      <c r="C12" s="386">
        <f>C13</f>
        <v>0</v>
      </c>
      <c r="D12" s="386"/>
      <c r="E12" s="386">
        <f>E13</f>
        <v>8114</v>
      </c>
      <c r="F12" s="386"/>
      <c r="G12" s="386">
        <f>G13</f>
        <v>8114</v>
      </c>
      <c r="H12" s="386"/>
      <c r="I12" s="386">
        <f>I13</f>
        <v>8114</v>
      </c>
      <c r="J12" s="386"/>
      <c r="K12" s="386">
        <f>K13</f>
        <v>0</v>
      </c>
      <c r="L12" s="386"/>
    </row>
    <row r="13" spans="1:12" x14ac:dyDescent="0.25">
      <c r="A13" s="387" t="s">
        <v>311</v>
      </c>
      <c r="B13" s="388" t="s">
        <v>1082</v>
      </c>
      <c r="C13" s="390">
        <f>C14</f>
        <v>0</v>
      </c>
      <c r="D13" s="390"/>
      <c r="E13" s="390">
        <f>E14</f>
        <v>8114</v>
      </c>
      <c r="F13" s="390"/>
      <c r="G13" s="390">
        <f>G14</f>
        <v>8114</v>
      </c>
      <c r="H13" s="390"/>
      <c r="I13" s="390">
        <f>I14</f>
        <v>8114</v>
      </c>
      <c r="J13" s="390"/>
      <c r="K13" s="390">
        <f>K14</f>
        <v>0</v>
      </c>
      <c r="L13" s="390"/>
    </row>
    <row r="14" spans="1:12" x14ac:dyDescent="0.25">
      <c r="A14" s="391"/>
      <c r="B14" s="392" t="s">
        <v>331</v>
      </c>
      <c r="C14" s="393"/>
      <c r="D14" s="393"/>
      <c r="E14" s="393">
        <v>8114</v>
      </c>
      <c r="F14" s="393"/>
      <c r="G14" s="393">
        <v>8114</v>
      </c>
      <c r="H14" s="393"/>
      <c r="I14" s="393">
        <v>8114</v>
      </c>
      <c r="J14" s="393"/>
      <c r="K14" s="393">
        <v>0</v>
      </c>
      <c r="L14" s="393"/>
    </row>
    <row r="15" spans="1:12" ht="42" customHeight="1" x14ac:dyDescent="0.25">
      <c r="A15" s="219" t="s">
        <v>1083</v>
      </c>
      <c r="B15" s="220" t="s">
        <v>1084</v>
      </c>
      <c r="C15" s="221"/>
      <c r="D15" s="221"/>
      <c r="E15" s="221"/>
      <c r="F15" s="221"/>
      <c r="G15" s="221"/>
      <c r="H15" s="221"/>
      <c r="I15" s="221"/>
      <c r="J15" s="221"/>
      <c r="K15" s="221"/>
      <c r="L15" s="221"/>
    </row>
    <row r="16" spans="1:12" x14ac:dyDescent="0.25">
      <c r="A16" s="384" t="s">
        <v>1057</v>
      </c>
      <c r="B16" s="385" t="s">
        <v>334</v>
      </c>
      <c r="C16" s="386"/>
      <c r="D16" s="386">
        <f>D17</f>
        <v>0</v>
      </c>
      <c r="E16" s="386"/>
      <c r="F16" s="386">
        <f>F17</f>
        <v>0</v>
      </c>
      <c r="G16" s="386"/>
      <c r="H16" s="386">
        <f>H17</f>
        <v>0</v>
      </c>
      <c r="I16" s="386"/>
      <c r="J16" s="386">
        <f>J17</f>
        <v>0</v>
      </c>
      <c r="K16" s="386"/>
      <c r="L16" s="386">
        <f>L17</f>
        <v>0</v>
      </c>
    </row>
    <row r="17" spans="1:12" hidden="1" x14ac:dyDescent="0.25">
      <c r="A17" s="387" t="s">
        <v>311</v>
      </c>
      <c r="B17" s="388" t="s">
        <v>905</v>
      </c>
      <c r="C17" s="390"/>
      <c r="D17" s="390">
        <f>D18</f>
        <v>0</v>
      </c>
      <c r="E17" s="390"/>
      <c r="F17" s="390">
        <f>F18</f>
        <v>0</v>
      </c>
      <c r="G17" s="390"/>
      <c r="H17" s="390">
        <f>H18</f>
        <v>0</v>
      </c>
      <c r="I17" s="390"/>
      <c r="J17" s="390">
        <f>J18</f>
        <v>0</v>
      </c>
      <c r="K17" s="390"/>
      <c r="L17" s="390">
        <f>L18</f>
        <v>0</v>
      </c>
    </row>
    <row r="18" spans="1:12" hidden="1" x14ac:dyDescent="0.25">
      <c r="A18" s="391"/>
      <c r="B18" s="392" t="s">
        <v>1085</v>
      </c>
      <c r="C18" s="393"/>
      <c r="D18" s="393">
        <v>0</v>
      </c>
      <c r="E18" s="393"/>
      <c r="F18" s="393">
        <v>0</v>
      </c>
      <c r="G18" s="393"/>
      <c r="H18" s="393">
        <v>0</v>
      </c>
      <c r="I18" s="393"/>
      <c r="J18" s="393">
        <v>0</v>
      </c>
      <c r="K18" s="393"/>
      <c r="L18" s="393">
        <v>0</v>
      </c>
    </row>
    <row r="19" spans="1:12" x14ac:dyDescent="0.25">
      <c r="A19" s="384" t="s">
        <v>1086</v>
      </c>
      <c r="B19" s="385" t="s">
        <v>340</v>
      </c>
      <c r="C19" s="386"/>
      <c r="D19" s="386">
        <f>D20+D27</f>
        <v>0</v>
      </c>
      <c r="E19" s="386"/>
      <c r="F19" s="386">
        <f>F20+F27+F30</f>
        <v>67657</v>
      </c>
      <c r="G19" s="386"/>
      <c r="H19" s="386">
        <f>H20+H27+H30</f>
        <v>67657</v>
      </c>
      <c r="I19" s="386"/>
      <c r="J19" s="386">
        <f>J20+J27+J30</f>
        <v>67657</v>
      </c>
      <c r="K19" s="386"/>
      <c r="L19" s="386">
        <f>L20+L27+L30</f>
        <v>0</v>
      </c>
    </row>
    <row r="20" spans="1:12" x14ac:dyDescent="0.25">
      <c r="A20" s="387" t="s">
        <v>311</v>
      </c>
      <c r="B20" s="388" t="s">
        <v>351</v>
      </c>
      <c r="C20" s="390"/>
      <c r="D20" s="390">
        <f>D21+D22+D23+D24+D25+D26</f>
        <v>0</v>
      </c>
      <c r="E20" s="390"/>
      <c r="F20" s="390">
        <f>F21+F22+F23+F24+F25+F26</f>
        <v>16800</v>
      </c>
      <c r="G20" s="390"/>
      <c r="H20" s="390">
        <f>H21+H22+H23+H24+H25+H26</f>
        <v>16800</v>
      </c>
      <c r="I20" s="390"/>
      <c r="J20" s="390">
        <f>J21+J22+J23+J24+J25+J26</f>
        <v>16800</v>
      </c>
      <c r="K20" s="390"/>
      <c r="L20" s="390">
        <f>L21+L22+L23+L24+L25+L26</f>
        <v>0</v>
      </c>
    </row>
    <row r="21" spans="1:12" x14ac:dyDescent="0.25">
      <c r="A21" s="391"/>
      <c r="B21" s="392" t="s">
        <v>1227</v>
      </c>
      <c r="C21" s="393"/>
      <c r="D21" s="393">
        <v>0</v>
      </c>
      <c r="E21" s="393"/>
      <c r="F21" s="393">
        <v>16800</v>
      </c>
      <c r="G21" s="393"/>
      <c r="H21" s="393">
        <v>16800</v>
      </c>
      <c r="I21" s="393"/>
      <c r="J21" s="393">
        <v>16800</v>
      </c>
      <c r="K21" s="393"/>
      <c r="L21" s="393">
        <v>0</v>
      </c>
    </row>
    <row r="22" spans="1:12" hidden="1" x14ac:dyDescent="0.25">
      <c r="A22" s="391"/>
      <c r="B22" s="392"/>
      <c r="C22" s="393"/>
      <c r="D22" s="393">
        <v>0</v>
      </c>
      <c r="E22" s="393"/>
      <c r="F22" s="393">
        <v>0</v>
      </c>
      <c r="G22" s="393"/>
      <c r="H22" s="393">
        <v>0</v>
      </c>
      <c r="I22" s="393"/>
      <c r="J22" s="393">
        <v>0</v>
      </c>
      <c r="K22" s="393"/>
      <c r="L22" s="393">
        <v>0</v>
      </c>
    </row>
    <row r="23" spans="1:12" hidden="1" x14ac:dyDescent="0.25">
      <c r="A23" s="391"/>
      <c r="B23" s="392"/>
      <c r="C23" s="393"/>
      <c r="D23" s="393"/>
      <c r="E23" s="393"/>
      <c r="F23" s="393"/>
      <c r="G23" s="393"/>
      <c r="H23" s="393"/>
      <c r="I23" s="393"/>
      <c r="J23" s="393"/>
      <c r="K23" s="393"/>
      <c r="L23" s="393"/>
    </row>
    <row r="24" spans="1:12" hidden="1" x14ac:dyDescent="0.25">
      <c r="A24" s="391"/>
      <c r="B24" s="392"/>
      <c r="C24" s="393"/>
      <c r="D24" s="393"/>
      <c r="E24" s="393"/>
      <c r="F24" s="393"/>
      <c r="G24" s="393"/>
      <c r="H24" s="393"/>
      <c r="I24" s="393"/>
      <c r="J24" s="393"/>
      <c r="K24" s="393"/>
      <c r="L24" s="393"/>
    </row>
    <row r="25" spans="1:12" hidden="1" x14ac:dyDescent="0.25">
      <c r="A25" s="391"/>
      <c r="B25" s="392"/>
      <c r="C25" s="393"/>
      <c r="D25" s="393"/>
      <c r="E25" s="393"/>
      <c r="F25" s="393"/>
      <c r="G25" s="393"/>
      <c r="H25" s="393"/>
      <c r="I25" s="393"/>
      <c r="J25" s="393"/>
      <c r="K25" s="393"/>
      <c r="L25" s="393"/>
    </row>
    <row r="26" spans="1:12" hidden="1" x14ac:dyDescent="0.25">
      <c r="A26" s="391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</row>
    <row r="27" spans="1:12" x14ac:dyDescent="0.25">
      <c r="A27" s="387" t="s">
        <v>322</v>
      </c>
      <c r="B27" s="388" t="s">
        <v>342</v>
      </c>
      <c r="C27" s="390"/>
      <c r="D27" s="390">
        <f>SUM(D28:D29)</f>
        <v>0</v>
      </c>
      <c r="E27" s="390"/>
      <c r="F27" s="390">
        <f>SUM(F28:F29)</f>
        <v>46338</v>
      </c>
      <c r="G27" s="390"/>
      <c r="H27" s="390">
        <f>SUM(H28:H29)</f>
        <v>46338</v>
      </c>
      <c r="I27" s="390"/>
      <c r="J27" s="390">
        <f>SUM(J28:J29)</f>
        <v>46338</v>
      </c>
      <c r="K27" s="390"/>
      <c r="L27" s="390">
        <f>SUM(L28:L29)</f>
        <v>0</v>
      </c>
    </row>
    <row r="28" spans="1:12" x14ac:dyDescent="0.25">
      <c r="A28" s="391"/>
      <c r="B28" s="392" t="s">
        <v>1228</v>
      </c>
      <c r="C28" s="393"/>
      <c r="D28" s="393"/>
      <c r="E28" s="393"/>
      <c r="F28" s="393">
        <v>4688</v>
      </c>
      <c r="G28" s="393"/>
      <c r="H28" s="393">
        <v>4688</v>
      </c>
      <c r="I28" s="393"/>
      <c r="J28" s="393">
        <v>4688</v>
      </c>
      <c r="K28" s="393"/>
      <c r="L28" s="393">
        <v>0</v>
      </c>
    </row>
    <row r="29" spans="1:12" x14ac:dyDescent="0.25">
      <c r="A29" s="391"/>
      <c r="B29" s="392" t="s">
        <v>968</v>
      </c>
      <c r="C29" s="393"/>
      <c r="D29" s="393"/>
      <c r="E29" s="393"/>
      <c r="F29" s="393">
        <v>41650</v>
      </c>
      <c r="G29" s="393"/>
      <c r="H29" s="393">
        <v>41650</v>
      </c>
      <c r="I29" s="393"/>
      <c r="J29" s="393">
        <v>41650</v>
      </c>
      <c r="K29" s="393"/>
      <c r="L29" s="393">
        <v>0</v>
      </c>
    </row>
    <row r="30" spans="1:12" x14ac:dyDescent="0.25">
      <c r="A30" s="387" t="s">
        <v>315</v>
      </c>
      <c r="B30" s="388" t="s">
        <v>1223</v>
      </c>
      <c r="C30" s="390"/>
      <c r="D30" s="390">
        <f>SUM(D31:D32)</f>
        <v>0</v>
      </c>
      <c r="E30" s="390"/>
      <c r="F30" s="390">
        <f>F31</f>
        <v>4519</v>
      </c>
      <c r="G30" s="390"/>
      <c r="H30" s="390">
        <f>H31</f>
        <v>4519</v>
      </c>
      <c r="I30" s="390"/>
      <c r="J30" s="390">
        <f>J31</f>
        <v>4519</v>
      </c>
      <c r="K30" s="390"/>
      <c r="L30" s="390">
        <f>L31</f>
        <v>0</v>
      </c>
    </row>
    <row r="31" spans="1:12" x14ac:dyDescent="0.25">
      <c r="A31" s="391"/>
      <c r="B31" s="392" t="s">
        <v>1224</v>
      </c>
      <c r="C31" s="393"/>
      <c r="D31" s="393"/>
      <c r="E31" s="393"/>
      <c r="F31" s="393">
        <v>4519</v>
      </c>
      <c r="G31" s="393"/>
      <c r="H31" s="393">
        <v>4519</v>
      </c>
      <c r="I31" s="393"/>
      <c r="J31" s="393">
        <v>4519</v>
      </c>
      <c r="K31" s="393"/>
      <c r="L31" s="393">
        <v>0</v>
      </c>
    </row>
    <row r="32" spans="1:12" x14ac:dyDescent="0.25">
      <c r="A32" s="396"/>
      <c r="B32" s="397" t="s">
        <v>588</v>
      </c>
      <c r="C32" s="398"/>
      <c r="D32" s="398">
        <f>D16+D19</f>
        <v>0</v>
      </c>
      <c r="E32" s="398"/>
      <c r="F32" s="398">
        <f>F16+F19</f>
        <v>67657</v>
      </c>
      <c r="G32" s="398"/>
      <c r="H32" s="398">
        <f>H16+H19</f>
        <v>67657</v>
      </c>
      <c r="I32" s="398"/>
      <c r="J32" s="398">
        <f>J16+J19</f>
        <v>67657</v>
      </c>
      <c r="K32" s="398"/>
      <c r="L32" s="398">
        <f>L16+L19</f>
        <v>0</v>
      </c>
    </row>
    <row r="33" spans="1:12" x14ac:dyDescent="0.25">
      <c r="A33" s="384" t="s">
        <v>1087</v>
      </c>
      <c r="B33" s="385" t="s">
        <v>591</v>
      </c>
      <c r="C33" s="386"/>
      <c r="D33" s="386">
        <v>0</v>
      </c>
      <c r="E33" s="386"/>
      <c r="F33" s="386">
        <v>0</v>
      </c>
      <c r="G33" s="386"/>
      <c r="H33" s="386">
        <v>0</v>
      </c>
      <c r="I33" s="386"/>
      <c r="J33" s="386">
        <v>0</v>
      </c>
      <c r="K33" s="386"/>
      <c r="L33" s="386">
        <v>0</v>
      </c>
    </row>
  </sheetData>
  <customSheetViews>
    <customSheetView guid="{7F1DC213-A29D-4C8C-BAC3-F1BD898020FD}" showPageBreaks="1" fitToPage="1" printArea="1" hiddenRows="1" hiddenColumns="1" state="hidden" view="pageBreakPreview">
      <selection activeCell="K30" sqref="K30"/>
      <pageMargins left="0.7" right="0.7" top="1.2250000000000001" bottom="0.75" header="0.71750000000000003" footer="0.3"/>
      <pageSetup paperSize="9" scale="88" orientation="portrait" r:id="rId1"/>
      <headerFooter>
        <oddHeader>&amp;L2/E. melléklet a ...../2017. (.......) önkormányzati rendelethez&amp;C&amp;"-,Félkövér"&amp;14A Vízügyi Építési Alap 2017. évi költségvetése</oddHeader>
      </headerFooter>
    </customSheetView>
    <customSheetView guid="{4DCB1349-1166-4B69-AE14-D6B08F9FCE74}" showPageBreaks="1" fitToPage="1" printArea="1" hiddenRows="1" hiddenColumns="1" state="hidden" view="pageBreakPreview">
      <selection activeCell="K30" sqref="K30"/>
      <pageMargins left="0.7" right="0.7" top="1.2250000000000001" bottom="0.75" header="0.71750000000000003" footer="0.3"/>
      <pageSetup paperSize="9" scale="88" orientation="portrait" r:id="rId2"/>
      <headerFooter>
        <oddHeader>&amp;L2/E. melléklet a ...../2017. (.......) önkormányzati rendelethez&amp;C&amp;"-,Félkövér"&amp;14A Vízügyi Építési Alap 2017. évi költségvetése</oddHeader>
      </headerFooter>
    </customSheetView>
  </customSheetViews>
  <pageMargins left="0.7" right="0.7" top="1.2250000000000001" bottom="0.75" header="0.71750000000000003" footer="0.3"/>
  <pageSetup paperSize="9" scale="88" orientation="portrait" r:id="rId3"/>
  <headerFooter>
    <oddHeader>&amp;L2/E. melléklet a ...../2017. (.......) önkormányzati rendelethez&amp;C&amp;"-,Félkövér"&amp;14A Vízügyi Építési Alap 2017. évi költségvetése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35"/>
  <sheetViews>
    <sheetView view="pageBreakPreview" zoomScale="75" zoomScaleSheetLayoutView="75" workbookViewId="0">
      <selection activeCell="B26" sqref="B26"/>
    </sheetView>
  </sheetViews>
  <sheetFormatPr defaultRowHeight="15" x14ac:dyDescent="0.25"/>
  <cols>
    <col min="1" max="1" width="5.7109375" style="236" customWidth="1"/>
    <col min="2" max="2" width="61.7109375" customWidth="1"/>
    <col min="3" max="3" width="12.42578125" style="40" hidden="1" customWidth="1"/>
    <col min="4" max="4" width="11.42578125" style="40" hidden="1" customWidth="1"/>
    <col min="5" max="6" width="13.42578125" style="40" hidden="1" customWidth="1"/>
    <col min="7" max="9" width="13.28515625" hidden="1" customWidth="1"/>
    <col min="10" max="10" width="12.7109375" hidden="1" customWidth="1"/>
    <col min="11" max="11" width="15.28515625" customWidth="1"/>
    <col min="12" max="12" width="15.7109375" customWidth="1"/>
  </cols>
  <sheetData>
    <row r="1" spans="1:12" x14ac:dyDescent="0.25">
      <c r="D1" s="32"/>
      <c r="E1" s="32"/>
      <c r="F1" s="32"/>
      <c r="G1" s="32"/>
      <c r="J1" s="32"/>
      <c r="L1" s="32" t="s">
        <v>302</v>
      </c>
    </row>
    <row r="2" spans="1:12" s="216" customFormat="1" ht="60" x14ac:dyDescent="0.25">
      <c r="A2" s="215" t="s">
        <v>1146</v>
      </c>
      <c r="B2" s="215" t="s">
        <v>306</v>
      </c>
      <c r="C2" s="255" t="s">
        <v>1191</v>
      </c>
      <c r="D2" s="255" t="s">
        <v>1192</v>
      </c>
      <c r="E2" s="255" t="s">
        <v>1194</v>
      </c>
      <c r="F2" s="255" t="s">
        <v>1195</v>
      </c>
      <c r="G2" s="255" t="s">
        <v>1238</v>
      </c>
      <c r="H2" s="255" t="s">
        <v>1239</v>
      </c>
      <c r="I2" s="255" t="s">
        <v>1240</v>
      </c>
      <c r="J2" s="255" t="s">
        <v>1241</v>
      </c>
      <c r="K2" s="255" t="s">
        <v>1261</v>
      </c>
      <c r="L2" s="255" t="s">
        <v>1264</v>
      </c>
    </row>
    <row r="3" spans="1:12" x14ac:dyDescent="0.25">
      <c r="A3" s="254" t="s">
        <v>1165</v>
      </c>
      <c r="B3" s="217" t="s">
        <v>1166</v>
      </c>
      <c r="C3" s="218">
        <f>C18+C19</f>
        <v>0</v>
      </c>
      <c r="D3" s="218">
        <f>D34+D35</f>
        <v>0</v>
      </c>
      <c r="E3" s="218">
        <f>E18+E19</f>
        <v>29725</v>
      </c>
      <c r="F3" s="218">
        <f>F34+F35</f>
        <v>29725</v>
      </c>
      <c r="G3" s="218">
        <f>G18+G19</f>
        <v>29725</v>
      </c>
      <c r="H3" s="218">
        <f>H34+H35</f>
        <v>29725</v>
      </c>
      <c r="I3" s="218">
        <f>I18+I19</f>
        <v>29725</v>
      </c>
      <c r="J3" s="218">
        <f>J34+J35</f>
        <v>29725</v>
      </c>
      <c r="K3" s="218">
        <f>K18+K19</f>
        <v>0</v>
      </c>
      <c r="L3" s="218">
        <f>L34+L35</f>
        <v>0</v>
      </c>
    </row>
    <row r="4" spans="1:12" ht="39.75" customHeight="1" x14ac:dyDescent="0.25">
      <c r="A4" s="219" t="s">
        <v>1076</v>
      </c>
      <c r="B4" s="220" t="s">
        <v>1077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</row>
    <row r="5" spans="1:12" x14ac:dyDescent="0.25">
      <c r="A5" s="222" t="s">
        <v>309</v>
      </c>
      <c r="B5" s="223" t="s">
        <v>310</v>
      </c>
      <c r="C5" s="224">
        <f>C6+C10+C13</f>
        <v>0</v>
      </c>
      <c r="D5" s="224"/>
      <c r="E5" s="224">
        <f>E6+E10+E13</f>
        <v>1000</v>
      </c>
      <c r="F5" s="224"/>
      <c r="G5" s="224">
        <f>G6+G10+G13</f>
        <v>1000</v>
      </c>
      <c r="H5" s="224"/>
      <c r="I5" s="224">
        <f>I6+I10+I13</f>
        <v>1000</v>
      </c>
      <c r="J5" s="224"/>
      <c r="K5" s="224">
        <f>K6+K10+K13</f>
        <v>0</v>
      </c>
      <c r="L5" s="224"/>
    </row>
    <row r="6" spans="1:12" x14ac:dyDescent="0.25">
      <c r="A6" s="225" t="s">
        <v>311</v>
      </c>
      <c r="B6" s="226" t="s">
        <v>484</v>
      </c>
      <c r="C6" s="227">
        <f>SUM(C7:C9)</f>
        <v>0</v>
      </c>
      <c r="D6" s="227"/>
      <c r="E6" s="227">
        <f>SUM(E7:E9)</f>
        <v>1000</v>
      </c>
      <c r="F6" s="227"/>
      <c r="G6" s="227">
        <f>SUM(G7:G9)</f>
        <v>1000</v>
      </c>
      <c r="H6" s="227"/>
      <c r="I6" s="227">
        <f>SUM(I7:I9)</f>
        <v>1000</v>
      </c>
      <c r="J6" s="227"/>
      <c r="K6" s="227">
        <f>SUM(K7:K9)</f>
        <v>0</v>
      </c>
      <c r="L6" s="227"/>
    </row>
    <row r="7" spans="1:12" x14ac:dyDescent="0.25">
      <c r="A7" s="228"/>
      <c r="B7" s="235" t="s">
        <v>497</v>
      </c>
      <c r="C7" s="100">
        <v>0</v>
      </c>
      <c r="D7" s="100"/>
      <c r="E7" s="100">
        <v>0</v>
      </c>
      <c r="F7" s="100"/>
      <c r="G7" s="100">
        <v>0</v>
      </c>
      <c r="H7" s="100"/>
      <c r="I7" s="100">
        <v>0</v>
      </c>
      <c r="J7" s="100"/>
      <c r="K7" s="100">
        <v>0</v>
      </c>
      <c r="L7" s="100"/>
    </row>
    <row r="8" spans="1:12" x14ac:dyDescent="0.25">
      <c r="A8" s="228"/>
      <c r="B8" s="235" t="s">
        <v>1167</v>
      </c>
      <c r="C8" s="100">
        <v>0</v>
      </c>
      <c r="D8" s="100"/>
      <c r="E8" s="100">
        <v>0</v>
      </c>
      <c r="F8" s="100"/>
      <c r="G8" s="100">
        <v>0</v>
      </c>
      <c r="H8" s="100"/>
      <c r="I8" s="100">
        <v>0</v>
      </c>
      <c r="J8" s="100"/>
      <c r="K8" s="100">
        <v>0</v>
      </c>
      <c r="L8" s="100"/>
    </row>
    <row r="9" spans="1:12" x14ac:dyDescent="0.25">
      <c r="A9" s="228"/>
      <c r="B9" s="235" t="s">
        <v>492</v>
      </c>
      <c r="C9" s="100"/>
      <c r="D9" s="100"/>
      <c r="E9" s="100">
        <v>1000</v>
      </c>
      <c r="F9" s="100"/>
      <c r="G9" s="100">
        <v>1000</v>
      </c>
      <c r="H9" s="100"/>
      <c r="I9" s="100">
        <v>1000</v>
      </c>
      <c r="J9" s="100"/>
      <c r="K9" s="100">
        <v>0</v>
      </c>
      <c r="L9" s="100"/>
    </row>
    <row r="10" spans="1:12" x14ac:dyDescent="0.25">
      <c r="A10" s="225" t="s">
        <v>322</v>
      </c>
      <c r="B10" s="226" t="s">
        <v>314</v>
      </c>
      <c r="C10" s="227">
        <f>C11</f>
        <v>0</v>
      </c>
      <c r="D10" s="227"/>
      <c r="E10" s="227">
        <f>E11</f>
        <v>0</v>
      </c>
      <c r="F10" s="227"/>
      <c r="G10" s="227">
        <f>G11</f>
        <v>0</v>
      </c>
      <c r="H10" s="227"/>
      <c r="I10" s="227">
        <f>I11</f>
        <v>0</v>
      </c>
      <c r="J10" s="227"/>
      <c r="K10" s="227">
        <f>K11</f>
        <v>0</v>
      </c>
      <c r="L10" s="227"/>
    </row>
    <row r="11" spans="1:12" x14ac:dyDescent="0.25">
      <c r="A11" s="230"/>
      <c r="B11" s="231" t="s">
        <v>1169</v>
      </c>
      <c r="C11" s="98">
        <v>0</v>
      </c>
      <c r="D11" s="98"/>
      <c r="E11" s="98">
        <v>0</v>
      </c>
      <c r="F11" s="98"/>
      <c r="G11" s="98">
        <v>0</v>
      </c>
      <c r="H11" s="98"/>
      <c r="I11" s="98">
        <v>0</v>
      </c>
      <c r="J11" s="98"/>
      <c r="K11" s="98">
        <v>0</v>
      </c>
      <c r="L11" s="98"/>
    </row>
    <row r="12" spans="1:12" x14ac:dyDescent="0.25">
      <c r="A12" s="230"/>
      <c r="B12" s="231" t="s">
        <v>1170</v>
      </c>
      <c r="C12" s="98">
        <v>0</v>
      </c>
      <c r="D12" s="98"/>
      <c r="E12" s="98">
        <v>0</v>
      </c>
      <c r="F12" s="98"/>
      <c r="G12" s="98">
        <v>0</v>
      </c>
      <c r="H12" s="98"/>
      <c r="I12" s="98">
        <v>0</v>
      </c>
      <c r="J12" s="98"/>
      <c r="K12" s="98">
        <v>0</v>
      </c>
      <c r="L12" s="98"/>
    </row>
    <row r="13" spans="1:12" x14ac:dyDescent="0.25">
      <c r="A13" s="225" t="s">
        <v>315</v>
      </c>
      <c r="B13" s="226" t="s">
        <v>316</v>
      </c>
      <c r="C13" s="227">
        <f>SUM(C14:C16)</f>
        <v>0</v>
      </c>
      <c r="D13" s="227"/>
      <c r="E13" s="227">
        <f>SUM(E14:E16)</f>
        <v>0</v>
      </c>
      <c r="F13" s="227"/>
      <c r="G13" s="227">
        <f>SUM(G14:G16)</f>
        <v>0</v>
      </c>
      <c r="H13" s="227"/>
      <c r="I13" s="227">
        <f>SUM(I14:I16)</f>
        <v>0</v>
      </c>
      <c r="J13" s="227"/>
      <c r="K13" s="227">
        <f>SUM(K14:K16)</f>
        <v>0</v>
      </c>
      <c r="L13" s="227"/>
    </row>
    <row r="14" spans="1:12" x14ac:dyDescent="0.25">
      <c r="A14" s="230"/>
      <c r="B14" s="231" t="s">
        <v>1168</v>
      </c>
      <c r="C14" s="98">
        <v>0</v>
      </c>
      <c r="D14" s="98"/>
      <c r="E14" s="98">
        <v>0</v>
      </c>
      <c r="F14" s="98"/>
      <c r="G14" s="98">
        <v>0</v>
      </c>
      <c r="H14" s="98"/>
      <c r="I14" s="98">
        <v>0</v>
      </c>
      <c r="J14" s="98"/>
      <c r="K14" s="98">
        <v>0</v>
      </c>
      <c r="L14" s="98"/>
    </row>
    <row r="15" spans="1:12" x14ac:dyDescent="0.25">
      <c r="A15" s="230"/>
      <c r="B15" s="231" t="s">
        <v>1171</v>
      </c>
      <c r="C15" s="98">
        <v>0</v>
      </c>
      <c r="D15" s="98"/>
      <c r="E15" s="98">
        <v>0</v>
      </c>
      <c r="F15" s="98"/>
      <c r="G15" s="98">
        <v>0</v>
      </c>
      <c r="H15" s="98"/>
      <c r="I15" s="98">
        <v>0</v>
      </c>
      <c r="J15" s="98"/>
      <c r="K15" s="98">
        <v>0</v>
      </c>
      <c r="L15" s="98"/>
    </row>
    <row r="16" spans="1:12" s="93" customFormat="1" ht="31.5" customHeight="1" x14ac:dyDescent="0.25">
      <c r="A16" s="270"/>
      <c r="B16" s="271" t="s">
        <v>1172</v>
      </c>
      <c r="C16" s="99">
        <v>0</v>
      </c>
      <c r="D16" s="99"/>
      <c r="E16" s="99">
        <v>0</v>
      </c>
      <c r="F16" s="99"/>
      <c r="G16" s="99">
        <v>0</v>
      </c>
      <c r="H16" s="99"/>
      <c r="I16" s="99">
        <v>0</v>
      </c>
      <c r="J16" s="99"/>
      <c r="K16" s="99">
        <v>0</v>
      </c>
      <c r="L16" s="99"/>
    </row>
    <row r="17" spans="1:12" x14ac:dyDescent="0.25">
      <c r="A17" s="222" t="s">
        <v>318</v>
      </c>
      <c r="B17" s="223" t="s">
        <v>1081</v>
      </c>
      <c r="C17" s="224">
        <v>0</v>
      </c>
      <c r="D17" s="224"/>
      <c r="E17" s="224">
        <v>0</v>
      </c>
      <c r="F17" s="224"/>
      <c r="G17" s="224">
        <v>0</v>
      </c>
      <c r="H17" s="224"/>
      <c r="I17" s="224">
        <v>0</v>
      </c>
      <c r="J17" s="224"/>
      <c r="K17" s="224">
        <v>0</v>
      </c>
      <c r="L17" s="224"/>
    </row>
    <row r="18" spans="1:12" x14ac:dyDescent="0.25">
      <c r="A18" s="232"/>
      <c r="B18" s="233" t="s">
        <v>327</v>
      </c>
      <c r="C18" s="234">
        <f>C5+C17</f>
        <v>0</v>
      </c>
      <c r="D18" s="234"/>
      <c r="E18" s="234">
        <f>E5+E17</f>
        <v>1000</v>
      </c>
      <c r="F18" s="234"/>
      <c r="G18" s="234">
        <f>G5+G17</f>
        <v>1000</v>
      </c>
      <c r="H18" s="234"/>
      <c r="I18" s="234">
        <f>I5+I17</f>
        <v>1000</v>
      </c>
      <c r="J18" s="234"/>
      <c r="K18" s="234">
        <f>K5+K17</f>
        <v>0</v>
      </c>
      <c r="L18" s="234"/>
    </row>
    <row r="19" spans="1:12" x14ac:dyDescent="0.25">
      <c r="A19" s="222" t="s">
        <v>328</v>
      </c>
      <c r="B19" s="223" t="s">
        <v>329</v>
      </c>
      <c r="C19" s="224">
        <f>C20</f>
        <v>0</v>
      </c>
      <c r="D19" s="224"/>
      <c r="E19" s="224">
        <f>E20</f>
        <v>28725</v>
      </c>
      <c r="F19" s="224"/>
      <c r="G19" s="224">
        <f>G20</f>
        <v>28725</v>
      </c>
      <c r="H19" s="224"/>
      <c r="I19" s="224">
        <f>I20</f>
        <v>28725</v>
      </c>
      <c r="J19" s="224"/>
      <c r="K19" s="224">
        <f>K20</f>
        <v>0</v>
      </c>
      <c r="L19" s="224"/>
    </row>
    <row r="20" spans="1:12" x14ac:dyDescent="0.25">
      <c r="A20" s="225" t="s">
        <v>311</v>
      </c>
      <c r="B20" s="226" t="s">
        <v>1082</v>
      </c>
      <c r="C20" s="227">
        <f>C21</f>
        <v>0</v>
      </c>
      <c r="D20" s="227"/>
      <c r="E20" s="227">
        <f>E21</f>
        <v>28725</v>
      </c>
      <c r="F20" s="227"/>
      <c r="G20" s="227">
        <f>G21</f>
        <v>28725</v>
      </c>
      <c r="H20" s="227"/>
      <c r="I20" s="227">
        <f>I21</f>
        <v>28725</v>
      </c>
      <c r="J20" s="227"/>
      <c r="K20" s="227">
        <f>K21</f>
        <v>0</v>
      </c>
      <c r="L20" s="227"/>
    </row>
    <row r="21" spans="1:12" x14ac:dyDescent="0.25">
      <c r="A21" s="228"/>
      <c r="B21" s="229" t="s">
        <v>331</v>
      </c>
      <c r="C21" s="100"/>
      <c r="D21" s="100"/>
      <c r="E21" s="100">
        <v>28725</v>
      </c>
      <c r="F21" s="100"/>
      <c r="G21" s="100">
        <v>28725</v>
      </c>
      <c r="H21" s="100"/>
      <c r="I21" s="100">
        <v>28725</v>
      </c>
      <c r="J21" s="100"/>
      <c r="K21" s="100">
        <v>0</v>
      </c>
      <c r="L21" s="100"/>
    </row>
    <row r="22" spans="1:12" ht="42" customHeight="1" x14ac:dyDescent="0.25">
      <c r="A22" s="219" t="s">
        <v>1083</v>
      </c>
      <c r="B22" s="220" t="s">
        <v>1084</v>
      </c>
      <c r="C22" s="221"/>
      <c r="D22" s="221"/>
      <c r="E22" s="221"/>
      <c r="F22" s="221"/>
      <c r="G22" s="221"/>
      <c r="H22" s="221"/>
      <c r="I22" s="221"/>
      <c r="J22" s="221"/>
      <c r="K22" s="221"/>
      <c r="L22" s="221"/>
    </row>
    <row r="23" spans="1:12" x14ac:dyDescent="0.25">
      <c r="A23" s="222" t="s">
        <v>1057</v>
      </c>
      <c r="B23" s="223" t="s">
        <v>334</v>
      </c>
      <c r="C23" s="224"/>
      <c r="D23" s="224">
        <f>D26+D28</f>
        <v>0</v>
      </c>
      <c r="E23" s="224"/>
      <c r="F23" s="224">
        <f>F26+F28</f>
        <v>29725</v>
      </c>
      <c r="G23" s="224"/>
      <c r="H23" s="224">
        <f>H26+H28</f>
        <v>29725</v>
      </c>
      <c r="I23" s="224"/>
      <c r="J23" s="224">
        <f>J26+J28</f>
        <v>29725</v>
      </c>
      <c r="K23" s="224"/>
      <c r="L23" s="224">
        <f>L26+L28</f>
        <v>0</v>
      </c>
    </row>
    <row r="24" spans="1:12" x14ac:dyDescent="0.25">
      <c r="A24" s="225" t="s">
        <v>311</v>
      </c>
      <c r="B24" s="226" t="s">
        <v>905</v>
      </c>
      <c r="C24" s="227"/>
      <c r="D24" s="227">
        <f>D25</f>
        <v>0</v>
      </c>
      <c r="E24" s="227"/>
      <c r="F24" s="227">
        <f>F25</f>
        <v>0</v>
      </c>
      <c r="G24" s="227"/>
      <c r="H24" s="227">
        <f>H25</f>
        <v>0</v>
      </c>
      <c r="I24" s="227"/>
      <c r="J24" s="227">
        <f>J25</f>
        <v>0</v>
      </c>
      <c r="K24" s="227"/>
      <c r="L24" s="227">
        <f>L25</f>
        <v>0</v>
      </c>
    </row>
    <row r="25" spans="1:12" x14ac:dyDescent="0.25">
      <c r="A25" s="228"/>
      <c r="B25" s="235" t="s">
        <v>1085</v>
      </c>
      <c r="C25" s="100"/>
      <c r="D25" s="100">
        <v>0</v>
      </c>
      <c r="E25" s="100"/>
      <c r="F25" s="100">
        <v>0</v>
      </c>
      <c r="G25" s="100"/>
      <c r="H25" s="100">
        <v>0</v>
      </c>
      <c r="I25" s="100"/>
      <c r="J25" s="100">
        <v>0</v>
      </c>
      <c r="K25" s="100"/>
      <c r="L25" s="100">
        <v>0</v>
      </c>
    </row>
    <row r="26" spans="1:12" x14ac:dyDescent="0.25">
      <c r="A26" s="225" t="s">
        <v>311</v>
      </c>
      <c r="B26" s="226" t="s">
        <v>292</v>
      </c>
      <c r="C26" s="227"/>
      <c r="D26" s="227">
        <f>SUM(D27:D27)</f>
        <v>0</v>
      </c>
      <c r="E26" s="227"/>
      <c r="F26" s="227">
        <f>SUM(F27:F27)</f>
        <v>0</v>
      </c>
      <c r="G26" s="227"/>
      <c r="H26" s="227">
        <f>SUM(H27:H27)</f>
        <v>27500</v>
      </c>
      <c r="I26" s="227"/>
      <c r="J26" s="227">
        <f>SUM(J27:J27)</f>
        <v>27500</v>
      </c>
      <c r="K26" s="227"/>
      <c r="L26" s="227">
        <f>SUM(L27:L27)</f>
        <v>0</v>
      </c>
    </row>
    <row r="27" spans="1:12" hidden="1" x14ac:dyDescent="0.25">
      <c r="A27" s="228"/>
      <c r="B27" s="235"/>
      <c r="C27" s="100"/>
      <c r="D27" s="100"/>
      <c r="E27" s="100"/>
      <c r="F27" s="100"/>
      <c r="G27" s="100"/>
      <c r="H27" s="100">
        <v>27500</v>
      </c>
      <c r="I27" s="100"/>
      <c r="J27" s="100">
        <v>27500</v>
      </c>
      <c r="K27" s="100"/>
      <c r="L27" s="100"/>
    </row>
    <row r="28" spans="1:12" x14ac:dyDescent="0.25">
      <c r="A28" s="225" t="s">
        <v>322</v>
      </c>
      <c r="B28" s="226" t="s">
        <v>339</v>
      </c>
      <c r="C28" s="227"/>
      <c r="D28" s="227">
        <f>D29</f>
        <v>0</v>
      </c>
      <c r="E28" s="227"/>
      <c r="F28" s="227">
        <f>F29</f>
        <v>29725</v>
      </c>
      <c r="G28" s="227"/>
      <c r="H28" s="227">
        <f>H29</f>
        <v>2225</v>
      </c>
      <c r="I28" s="227"/>
      <c r="J28" s="227">
        <f>J29</f>
        <v>2225</v>
      </c>
      <c r="K28" s="227"/>
      <c r="L28" s="227">
        <f>L29</f>
        <v>0</v>
      </c>
    </row>
    <row r="29" spans="1:12" x14ac:dyDescent="0.25">
      <c r="A29" s="228"/>
      <c r="B29" s="235" t="s">
        <v>1173</v>
      </c>
      <c r="C29" s="100"/>
      <c r="D29" s="100"/>
      <c r="E29" s="100"/>
      <c r="F29" s="100">
        <v>29725</v>
      </c>
      <c r="G29" s="100"/>
      <c r="H29" s="100">
        <f>29725-27500</f>
        <v>2225</v>
      </c>
      <c r="I29" s="100"/>
      <c r="J29" s="100">
        <f>29725-27500</f>
        <v>2225</v>
      </c>
      <c r="K29" s="100"/>
      <c r="L29" s="100">
        <v>0</v>
      </c>
    </row>
    <row r="30" spans="1:12" x14ac:dyDescent="0.25">
      <c r="A30" s="222" t="s">
        <v>1086</v>
      </c>
      <c r="B30" s="223" t="s">
        <v>340</v>
      </c>
      <c r="C30" s="224"/>
      <c r="D30" s="224">
        <f>D31+D33</f>
        <v>0</v>
      </c>
      <c r="E30" s="224"/>
      <c r="F30" s="224">
        <f>F31+F33</f>
        <v>0</v>
      </c>
      <c r="G30" s="224"/>
      <c r="H30" s="224">
        <f>H31+H33</f>
        <v>0</v>
      </c>
      <c r="I30" s="224"/>
      <c r="J30" s="224">
        <f>J31+J33</f>
        <v>0</v>
      </c>
      <c r="K30" s="224"/>
      <c r="L30" s="224">
        <f>L31+L33</f>
        <v>0</v>
      </c>
    </row>
    <row r="31" spans="1:12" x14ac:dyDescent="0.25">
      <c r="A31" s="225" t="s">
        <v>311</v>
      </c>
      <c r="B31" s="226" t="s">
        <v>351</v>
      </c>
      <c r="C31" s="227"/>
      <c r="D31" s="227">
        <f>D32</f>
        <v>0</v>
      </c>
      <c r="E31" s="227"/>
      <c r="F31" s="227">
        <f>F32</f>
        <v>0</v>
      </c>
      <c r="G31" s="227"/>
      <c r="H31" s="227">
        <f>H32</f>
        <v>0</v>
      </c>
      <c r="I31" s="227"/>
      <c r="J31" s="227">
        <f>J32</f>
        <v>0</v>
      </c>
      <c r="K31" s="227"/>
      <c r="L31" s="227">
        <f>L32</f>
        <v>0</v>
      </c>
    </row>
    <row r="32" spans="1:12" ht="30" hidden="1" x14ac:dyDescent="0.25">
      <c r="A32" s="272"/>
      <c r="B32" s="273" t="s">
        <v>1174</v>
      </c>
      <c r="C32" s="274"/>
      <c r="D32" s="274"/>
      <c r="E32" s="274"/>
      <c r="F32" s="274"/>
      <c r="G32" s="274"/>
      <c r="H32" s="274"/>
      <c r="I32" s="274"/>
      <c r="J32" s="274"/>
      <c r="K32" s="274"/>
      <c r="L32" s="274"/>
    </row>
    <row r="33" spans="1:12" x14ac:dyDescent="0.25">
      <c r="A33" s="225" t="s">
        <v>322</v>
      </c>
      <c r="B33" s="226" t="s">
        <v>342</v>
      </c>
      <c r="C33" s="227"/>
      <c r="D33" s="227">
        <v>0</v>
      </c>
      <c r="E33" s="227"/>
      <c r="F33" s="227">
        <v>0</v>
      </c>
      <c r="G33" s="227"/>
      <c r="H33" s="227">
        <v>0</v>
      </c>
      <c r="I33" s="227"/>
      <c r="J33" s="227">
        <v>0</v>
      </c>
      <c r="K33" s="227"/>
      <c r="L33" s="227">
        <v>0</v>
      </c>
    </row>
    <row r="34" spans="1:12" x14ac:dyDescent="0.25">
      <c r="A34" s="232"/>
      <c r="B34" s="233" t="s">
        <v>588</v>
      </c>
      <c r="C34" s="234"/>
      <c r="D34" s="234">
        <f>D23+D30</f>
        <v>0</v>
      </c>
      <c r="E34" s="234"/>
      <c r="F34" s="234">
        <f>F23+F30</f>
        <v>29725</v>
      </c>
      <c r="G34" s="234"/>
      <c r="H34" s="234">
        <f>H23+H30</f>
        <v>29725</v>
      </c>
      <c r="I34" s="234"/>
      <c r="J34" s="234">
        <f>J23+J30</f>
        <v>29725</v>
      </c>
      <c r="K34" s="234"/>
      <c r="L34" s="234">
        <f>L23+L30</f>
        <v>0</v>
      </c>
    </row>
    <row r="35" spans="1:12" x14ac:dyDescent="0.25">
      <c r="A35" s="222" t="s">
        <v>1087</v>
      </c>
      <c r="B35" s="223" t="s">
        <v>591</v>
      </c>
      <c r="C35" s="224"/>
      <c r="D35" s="224">
        <v>0</v>
      </c>
      <c r="E35" s="224"/>
      <c r="F35" s="224">
        <v>0</v>
      </c>
      <c r="G35" s="224"/>
      <c r="H35" s="224">
        <v>0</v>
      </c>
      <c r="I35" s="224"/>
      <c r="J35" s="224">
        <v>0</v>
      </c>
      <c r="K35" s="224"/>
      <c r="L35" s="224">
        <v>0</v>
      </c>
    </row>
  </sheetData>
  <customSheetViews>
    <customSheetView guid="{7F1DC213-A29D-4C8C-BAC3-F1BD898020FD}" scale="75" showPageBreaks="1" fitToPage="1" printArea="1" hiddenRows="1" hiddenColumns="1" state="hidden" view="pageBreakPreview">
      <selection activeCell="B26" sqref="B26"/>
      <pageMargins left="0.70866141732283472" right="0.70866141732283472" top="1.1811023622047245" bottom="0.74803149606299213" header="0.70866141732283472" footer="0.31496062992125984"/>
      <pageSetup paperSize="9" scale="88" orientation="portrait" r:id="rId1"/>
      <headerFooter>
        <oddHeader>&amp;L2/F. melléklet a ...../2018. (.......) önkormányzati rendelethez&amp;C&amp;"-,Félkövér"&amp;14A Környezetvédelmi Alap 2018. évi költségvetése</oddHeader>
      </headerFooter>
    </customSheetView>
    <customSheetView guid="{4DCB1349-1166-4B69-AE14-D6B08F9FCE74}" scale="75" showPageBreaks="1" fitToPage="1" printArea="1" hiddenRows="1" hiddenColumns="1" state="hidden" view="pageBreakPreview">
      <selection activeCell="B26" sqref="B26"/>
      <pageMargins left="0.70866141732283472" right="0.70866141732283472" top="1.1811023622047245" bottom="0.74803149606299213" header="0.70866141732283472" footer="0.31496062992125984"/>
      <pageSetup paperSize="9" scale="88" orientation="portrait" r:id="rId2"/>
      <headerFooter>
        <oddHeader>&amp;L2/F. melléklet a ...../2018. (.......) önkormányzati rendelethez&amp;C&amp;"-,Félkövér"&amp;14A Környezetvédelmi Alap 2018. évi költségvetése</oddHeader>
      </headerFooter>
    </customSheetView>
  </customSheetViews>
  <pageMargins left="0.70866141732283472" right="0.70866141732283472" top="1.1811023622047245" bottom="0.74803149606299213" header="0.70866141732283472" footer="0.31496062992125984"/>
  <pageSetup paperSize="9" scale="88" orientation="portrait" r:id="rId3"/>
  <headerFooter>
    <oddHeader>&amp;L2/F. melléklet a ...../2018. (.......) önkormányzati rendelethez&amp;C&amp;"-,Félkövér"&amp;14A Környezetvédelmi Alap 2018. évi költségvetése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AN49"/>
  <sheetViews>
    <sheetView view="pageLayout" topLeftCell="B1" zoomScaleNormal="82" zoomScaleSheetLayoutView="75" workbookViewId="0">
      <selection activeCell="AG37" sqref="AG37"/>
    </sheetView>
  </sheetViews>
  <sheetFormatPr defaultRowHeight="15" x14ac:dyDescent="0.25"/>
  <cols>
    <col min="1" max="1" width="5.7109375" style="216" hidden="1" customWidth="1"/>
    <col min="2" max="2" width="52.140625" style="246" customWidth="1"/>
    <col min="3" max="3" width="12.5703125" style="435" hidden="1" customWidth="1"/>
    <col min="4" max="4" width="14.140625" style="246" hidden="1" customWidth="1"/>
    <col min="5" max="5" width="11.7109375" style="246" hidden="1" customWidth="1"/>
    <col min="6" max="6" width="11.140625" style="246" hidden="1" customWidth="1"/>
    <col min="7" max="8" width="10.85546875" style="246" hidden="1" customWidth="1"/>
    <col min="9" max="9" width="10" style="246" hidden="1" customWidth="1"/>
    <col min="10" max="10" width="10.140625" style="246" hidden="1" customWidth="1"/>
    <col min="11" max="11" width="11.7109375" style="246" hidden="1" customWidth="1"/>
    <col min="12" max="13" width="9.140625" style="246" hidden="1" customWidth="1"/>
    <col min="14" max="14" width="9" style="246" hidden="1" customWidth="1"/>
    <col min="15" max="15" width="10.7109375" style="246" hidden="1" customWidth="1"/>
    <col min="16" max="17" width="9.140625" style="246" hidden="1" customWidth="1"/>
    <col min="18" max="18" width="10.140625" style="246" hidden="1" customWidth="1"/>
    <col min="19" max="19" width="9.140625" style="246" hidden="1" customWidth="1"/>
    <col min="20" max="20" width="13.85546875" style="246" hidden="1" customWidth="1"/>
    <col min="21" max="21" width="14.7109375" style="246" hidden="1" customWidth="1"/>
    <col min="22" max="22" width="15.28515625" style="246" hidden="1" customWidth="1"/>
    <col min="23" max="23" width="14.85546875" style="246" hidden="1" customWidth="1"/>
    <col min="24" max="24" width="0" style="246" hidden="1" customWidth="1"/>
    <col min="25" max="25" width="12.28515625" style="246" customWidth="1"/>
    <col min="26" max="26" width="12.5703125" style="246" customWidth="1"/>
    <col min="27" max="27" width="12.42578125" style="246" customWidth="1"/>
    <col min="28" max="28" width="13.42578125" style="246" customWidth="1"/>
    <col min="29" max="29" width="11.140625" style="246" customWidth="1"/>
    <col min="30" max="30" width="12.7109375" style="246" customWidth="1"/>
    <col min="31" max="31" width="10.85546875" style="246" customWidth="1"/>
    <col min="32" max="32" width="11.42578125" style="246" customWidth="1"/>
    <col min="33" max="34" width="9.140625" style="246"/>
    <col min="35" max="35" width="11.5703125" style="246" customWidth="1"/>
    <col min="36" max="36" width="9.140625" style="246"/>
    <col min="37" max="38" width="0" style="246" hidden="1" customWidth="1"/>
    <col min="39" max="39" width="10.7109375" style="246" hidden="1" customWidth="1"/>
    <col min="40" max="40" width="0" style="246" hidden="1" customWidth="1"/>
    <col min="41" max="16384" width="9.140625" style="246"/>
  </cols>
  <sheetData>
    <row r="1" spans="1:40" x14ac:dyDescent="0.25">
      <c r="B1" s="566" t="s">
        <v>1375</v>
      </c>
      <c r="C1" s="566" t="s">
        <v>1365</v>
      </c>
      <c r="D1" s="566" t="s">
        <v>1365</v>
      </c>
      <c r="E1" s="566" t="s">
        <v>1366</v>
      </c>
      <c r="F1" s="566" t="s">
        <v>1376</v>
      </c>
      <c r="G1" s="566" t="s">
        <v>1377</v>
      </c>
      <c r="H1" s="566" t="s">
        <v>1378</v>
      </c>
      <c r="I1" s="742" t="s">
        <v>1379</v>
      </c>
      <c r="J1" s="744" t="s">
        <v>1380</v>
      </c>
      <c r="K1" s="744" t="s">
        <v>1381</v>
      </c>
      <c r="L1" s="744" t="s">
        <v>1382</v>
      </c>
      <c r="M1" s="742" t="s">
        <v>1383</v>
      </c>
      <c r="N1" s="742" t="s">
        <v>1384</v>
      </c>
      <c r="O1" s="742" t="s">
        <v>1385</v>
      </c>
      <c r="P1" s="745"/>
      <c r="Q1" s="742"/>
      <c r="R1" s="742"/>
      <c r="S1" s="742"/>
      <c r="T1" s="745" t="s">
        <v>1382</v>
      </c>
      <c r="U1" s="742" t="s">
        <v>1383</v>
      </c>
      <c r="V1" s="748" t="s">
        <v>1384</v>
      </c>
      <c r="W1" s="742" t="s">
        <v>1385</v>
      </c>
      <c r="X1" s="749"/>
      <c r="Y1" s="744" t="s">
        <v>1365</v>
      </c>
      <c r="Z1" s="742" t="s">
        <v>1366</v>
      </c>
      <c r="AA1" s="742" t="s">
        <v>1376</v>
      </c>
      <c r="AB1" s="742" t="s">
        <v>1377</v>
      </c>
      <c r="AC1" s="742" t="s">
        <v>1378</v>
      </c>
      <c r="AD1" s="742" t="s">
        <v>1379</v>
      </c>
      <c r="AE1" s="742" t="s">
        <v>1380</v>
      </c>
      <c r="AF1" s="742" t="s">
        <v>1381</v>
      </c>
      <c r="AG1" s="742" t="s">
        <v>1382</v>
      </c>
      <c r="AH1" s="742" t="s">
        <v>1450</v>
      </c>
      <c r="AI1" s="742" t="s">
        <v>1384</v>
      </c>
      <c r="AJ1" s="742" t="s">
        <v>1385</v>
      </c>
      <c r="AK1" s="742"/>
      <c r="AL1" s="742"/>
      <c r="AM1" s="742"/>
      <c r="AN1" s="742"/>
    </row>
    <row r="2" spans="1:40" x14ac:dyDescent="0.25">
      <c r="A2" s="646" t="s">
        <v>470</v>
      </c>
      <c r="B2" s="646" t="s">
        <v>645</v>
      </c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750"/>
      <c r="Y2" s="588"/>
      <c r="Z2" s="588"/>
      <c r="AA2" s="588"/>
      <c r="AB2" s="588"/>
      <c r="AC2" s="588"/>
      <c r="AD2" s="588"/>
      <c r="AE2" s="588"/>
      <c r="AF2" s="588"/>
      <c r="AG2" s="588"/>
      <c r="AH2" s="588"/>
      <c r="AI2" s="588"/>
      <c r="AJ2" s="588"/>
      <c r="AK2" s="588"/>
      <c r="AL2" s="588"/>
      <c r="AM2" s="588"/>
      <c r="AN2" s="588"/>
    </row>
    <row r="3" spans="1:40" ht="52.5" customHeight="1" x14ac:dyDescent="0.25">
      <c r="A3" s="897" t="s">
        <v>305</v>
      </c>
      <c r="B3" s="897" t="s">
        <v>306</v>
      </c>
      <c r="C3" s="591" t="s">
        <v>259</v>
      </c>
      <c r="D3" s="898" t="s">
        <v>1279</v>
      </c>
      <c r="E3" s="918"/>
      <c r="F3" s="918"/>
      <c r="G3" s="919"/>
      <c r="H3" s="898" t="s">
        <v>1395</v>
      </c>
      <c r="I3" s="918"/>
      <c r="J3" s="918"/>
      <c r="K3" s="919"/>
      <c r="L3" s="898" t="s">
        <v>1392</v>
      </c>
      <c r="M3" s="918"/>
      <c r="N3" s="918"/>
      <c r="O3" s="919"/>
      <c r="P3" s="898" t="s">
        <v>1246</v>
      </c>
      <c r="Q3" s="901"/>
      <c r="R3" s="901"/>
      <c r="S3" s="902"/>
      <c r="T3" s="898" t="s">
        <v>1387</v>
      </c>
      <c r="U3" s="901"/>
      <c r="V3" s="901"/>
      <c r="W3" s="902"/>
      <c r="Y3" s="898" t="s">
        <v>1414</v>
      </c>
      <c r="Z3" s="918"/>
      <c r="AA3" s="918"/>
      <c r="AB3" s="919"/>
      <c r="AC3" s="937" t="s">
        <v>1452</v>
      </c>
      <c r="AD3" s="938"/>
      <c r="AE3" s="938"/>
      <c r="AF3" s="938"/>
      <c r="AG3" s="937" t="s">
        <v>1444</v>
      </c>
      <c r="AH3" s="938"/>
      <c r="AI3" s="938"/>
      <c r="AJ3" s="938"/>
      <c r="AK3" s="937" t="s">
        <v>1456</v>
      </c>
      <c r="AL3" s="938"/>
      <c r="AM3" s="938"/>
      <c r="AN3" s="938"/>
    </row>
    <row r="4" spans="1:40" ht="56.25" customHeight="1" x14ac:dyDescent="0.25">
      <c r="A4" s="897"/>
      <c r="B4" s="897"/>
      <c r="C4" s="591" t="s">
        <v>546</v>
      </c>
      <c r="D4" s="591" t="s">
        <v>1209</v>
      </c>
      <c r="E4" s="591" t="s">
        <v>1210</v>
      </c>
      <c r="F4" s="591" t="s">
        <v>1211</v>
      </c>
      <c r="G4" s="591" t="s">
        <v>546</v>
      </c>
      <c r="H4" s="591" t="s">
        <v>1209</v>
      </c>
      <c r="I4" s="591" t="s">
        <v>1210</v>
      </c>
      <c r="J4" s="591" t="s">
        <v>1211</v>
      </c>
      <c r="K4" s="591" t="s">
        <v>546</v>
      </c>
      <c r="L4" s="591" t="s">
        <v>1209</v>
      </c>
      <c r="M4" s="591" t="s">
        <v>1210</v>
      </c>
      <c r="N4" s="591" t="s">
        <v>1211</v>
      </c>
      <c r="O4" s="591" t="s">
        <v>546</v>
      </c>
      <c r="P4" s="591" t="s">
        <v>1209</v>
      </c>
      <c r="Q4" s="591" t="s">
        <v>1210</v>
      </c>
      <c r="R4" s="591" t="s">
        <v>1211</v>
      </c>
      <c r="S4" s="591" t="s">
        <v>546</v>
      </c>
      <c r="T4" s="591" t="s">
        <v>1209</v>
      </c>
      <c r="U4" s="591" t="s">
        <v>1210</v>
      </c>
      <c r="V4" s="591" t="s">
        <v>1297</v>
      </c>
      <c r="W4" s="591" t="s">
        <v>546</v>
      </c>
      <c r="Y4" s="811" t="s">
        <v>1209</v>
      </c>
      <c r="Z4" s="811" t="s">
        <v>1210</v>
      </c>
      <c r="AA4" s="811" t="s">
        <v>1211</v>
      </c>
      <c r="AB4" s="811" t="s">
        <v>546</v>
      </c>
      <c r="AC4" s="857" t="s">
        <v>1209</v>
      </c>
      <c r="AD4" s="857" t="s">
        <v>1210</v>
      </c>
      <c r="AE4" s="857" t="s">
        <v>1211</v>
      </c>
      <c r="AF4" s="857" t="s">
        <v>546</v>
      </c>
      <c r="AG4" s="883" t="s">
        <v>1209</v>
      </c>
      <c r="AH4" s="883" t="s">
        <v>1210</v>
      </c>
      <c r="AI4" s="883" t="s">
        <v>1211</v>
      </c>
      <c r="AJ4" s="883" t="s">
        <v>546</v>
      </c>
      <c r="AK4" s="883" t="s">
        <v>1209</v>
      </c>
      <c r="AL4" s="883" t="s">
        <v>1210</v>
      </c>
      <c r="AM4" s="883" t="s">
        <v>1211</v>
      </c>
      <c r="AN4" s="883" t="s">
        <v>546</v>
      </c>
    </row>
    <row r="5" spans="1:40" ht="15" hidden="1" customHeight="1" x14ac:dyDescent="0.25">
      <c r="A5" s="290"/>
      <c r="B5" s="455" t="s">
        <v>307</v>
      </c>
      <c r="C5" s="292"/>
      <c r="D5" s="292">
        <v>29</v>
      </c>
      <c r="E5" s="292">
        <v>6</v>
      </c>
      <c r="F5" s="292">
        <v>24</v>
      </c>
      <c r="G5" s="292">
        <f>SUM(D5:F5)</f>
        <v>59</v>
      </c>
      <c r="H5" s="292">
        <v>29</v>
      </c>
      <c r="I5" s="292">
        <v>6</v>
      </c>
      <c r="J5" s="292">
        <v>24</v>
      </c>
      <c r="K5" s="292">
        <f>SUM(H5:J5)</f>
        <v>59</v>
      </c>
      <c r="L5" s="292"/>
      <c r="M5" s="292"/>
      <c r="N5" s="292"/>
      <c r="O5" s="292"/>
      <c r="P5" s="292"/>
      <c r="Q5" s="292"/>
      <c r="R5" s="292"/>
      <c r="S5" s="292"/>
      <c r="T5" s="292">
        <v>29</v>
      </c>
      <c r="U5" s="292">
        <v>6</v>
      </c>
      <c r="V5" s="292">
        <v>24</v>
      </c>
      <c r="W5" s="292">
        <f>SUM(T5:V5)</f>
        <v>59</v>
      </c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</row>
    <row r="6" spans="1:40" ht="15" hidden="1" customHeight="1" x14ac:dyDescent="0.25">
      <c r="A6" s="290"/>
      <c r="B6" s="455" t="s">
        <v>308</v>
      </c>
      <c r="C6" s="292"/>
      <c r="D6" s="292">
        <v>0</v>
      </c>
      <c r="E6" s="292">
        <v>0</v>
      </c>
      <c r="F6" s="292">
        <v>0</v>
      </c>
      <c r="G6" s="292">
        <f>SUM(D6:F6)</f>
        <v>0</v>
      </c>
      <c r="H6" s="292">
        <v>0</v>
      </c>
      <c r="I6" s="292">
        <v>0</v>
      </c>
      <c r="J6" s="292">
        <v>0</v>
      </c>
      <c r="K6" s="292">
        <f>SUM(H6:J6)</f>
        <v>0</v>
      </c>
      <c r="L6" s="292"/>
      <c r="M6" s="292"/>
      <c r="N6" s="292"/>
      <c r="O6" s="292"/>
      <c r="P6" s="292"/>
      <c r="Q6" s="292"/>
      <c r="R6" s="292"/>
      <c r="S6" s="292"/>
      <c r="T6" s="292">
        <v>0</v>
      </c>
      <c r="U6" s="292">
        <v>0</v>
      </c>
      <c r="V6" s="292">
        <v>0</v>
      </c>
      <c r="W6" s="292">
        <f t="shared" ref="W6:W49" si="0">SUM(T6:V6)</f>
        <v>0</v>
      </c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92"/>
      <c r="AL6" s="292"/>
      <c r="AM6" s="292"/>
      <c r="AN6" s="292"/>
    </row>
    <row r="7" spans="1:40" ht="15" hidden="1" customHeight="1" x14ac:dyDescent="0.25">
      <c r="A7" s="290"/>
      <c r="B7" s="455" t="s">
        <v>646</v>
      </c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>
        <v>0</v>
      </c>
      <c r="U7" s="292">
        <v>0</v>
      </c>
      <c r="V7" s="292">
        <v>0</v>
      </c>
      <c r="W7" s="292">
        <f t="shared" si="0"/>
        <v>0</v>
      </c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  <c r="AK7" s="292"/>
      <c r="AL7" s="292"/>
      <c r="AM7" s="292"/>
      <c r="AN7" s="292"/>
    </row>
    <row r="8" spans="1:40" x14ac:dyDescent="0.25">
      <c r="A8" s="456" t="s">
        <v>309</v>
      </c>
      <c r="B8" s="457" t="s">
        <v>310</v>
      </c>
      <c r="C8" s="458">
        <f t="shared" ref="C8" si="1">C9+C11+C14</f>
        <v>0</v>
      </c>
      <c r="D8" s="458">
        <f t="shared" ref="D8:E8" si="2">D9+D11+D14</f>
        <v>6950</v>
      </c>
      <c r="E8" s="458">
        <f t="shared" si="2"/>
        <v>0</v>
      </c>
      <c r="F8" s="458">
        <f>F9+F11+F14</f>
        <v>0</v>
      </c>
      <c r="G8" s="458">
        <f t="shared" ref="G8:G49" si="3">SUM(D8:F8)</f>
        <v>6950</v>
      </c>
      <c r="H8" s="458">
        <f t="shared" ref="H8:I8" si="4">H9+H11+H14</f>
        <v>12725</v>
      </c>
      <c r="I8" s="458">
        <f t="shared" si="4"/>
        <v>0</v>
      </c>
      <c r="J8" s="458">
        <f>J9+J11+J14</f>
        <v>0</v>
      </c>
      <c r="K8" s="458">
        <f t="shared" ref="K8:K49" si="5">SUM(H8:J8)</f>
        <v>12725</v>
      </c>
      <c r="L8" s="458">
        <f t="shared" ref="L8:M8" si="6">L9+L11+L14</f>
        <v>13189</v>
      </c>
      <c r="M8" s="458">
        <f t="shared" si="6"/>
        <v>0</v>
      </c>
      <c r="N8" s="458">
        <f>N9+N11+N14</f>
        <v>0</v>
      </c>
      <c r="O8" s="458">
        <f t="shared" ref="O8:O49" si="7">SUM(L8:N8)</f>
        <v>13189</v>
      </c>
      <c r="P8" s="458">
        <f t="shared" ref="P8:Q8" si="8">P9+P11+P14</f>
        <v>0</v>
      </c>
      <c r="Q8" s="458">
        <f t="shared" si="8"/>
        <v>0</v>
      </c>
      <c r="R8" s="458">
        <f>R9+R11+R14</f>
        <v>0</v>
      </c>
      <c r="S8" s="458">
        <f t="shared" ref="S8:S49" si="9">SUM(P8:R8)</f>
        <v>0</v>
      </c>
      <c r="T8" s="458">
        <f t="shared" ref="T8:U8" si="10">T9+T11+T14</f>
        <v>5775</v>
      </c>
      <c r="U8" s="458">
        <f t="shared" si="10"/>
        <v>0</v>
      </c>
      <c r="V8" s="458">
        <f>V9+V11+V14</f>
        <v>0</v>
      </c>
      <c r="W8" s="458">
        <f t="shared" si="0"/>
        <v>5775</v>
      </c>
      <c r="Y8" s="458">
        <f t="shared" ref="Y8:Z8" si="11">Y9+Y11+Y14</f>
        <v>10000</v>
      </c>
      <c r="Z8" s="458">
        <f t="shared" si="11"/>
        <v>0</v>
      </c>
      <c r="AA8" s="458">
        <f>AA9+AA11+AA14</f>
        <v>0</v>
      </c>
      <c r="AB8" s="458">
        <f t="shared" ref="AB8:AB11" si="12">SUM(Y8:AA8)</f>
        <v>10000</v>
      </c>
      <c r="AC8" s="458">
        <f t="shared" ref="AC8" si="13">AC9+AC11+AC14</f>
        <v>18462</v>
      </c>
      <c r="AD8" s="458">
        <v>0</v>
      </c>
      <c r="AE8" s="458">
        <v>0</v>
      </c>
      <c r="AF8" s="458">
        <f>SUM(AC8:AE8)</f>
        <v>18462</v>
      </c>
      <c r="AG8" s="458">
        <f t="shared" ref="AG8" si="14">AG9+AG11+AG14</f>
        <v>23235</v>
      </c>
      <c r="AH8" s="458">
        <v>0</v>
      </c>
      <c r="AI8" s="458">
        <v>0</v>
      </c>
      <c r="AJ8" s="458">
        <f>SUM(AG8:AI8)</f>
        <v>23235</v>
      </c>
      <c r="AK8" s="458">
        <f t="shared" ref="AK8" si="15">AK9+AK11+AK14</f>
        <v>10082</v>
      </c>
      <c r="AL8" s="458">
        <v>0</v>
      </c>
      <c r="AM8" s="458">
        <v>0</v>
      </c>
      <c r="AN8" s="458">
        <f>SUM(AK8:AM8)</f>
        <v>10082</v>
      </c>
    </row>
    <row r="9" spans="1:40" x14ac:dyDescent="0.25">
      <c r="A9" s="617" t="s">
        <v>311</v>
      </c>
      <c r="B9" s="618" t="s">
        <v>312</v>
      </c>
      <c r="C9" s="619">
        <f>C10</f>
        <v>0</v>
      </c>
      <c r="D9" s="619">
        <f t="shared" ref="D9:V9" si="16">D10</f>
        <v>0</v>
      </c>
      <c r="E9" s="619">
        <f t="shared" si="16"/>
        <v>0</v>
      </c>
      <c r="F9" s="619">
        <f t="shared" si="16"/>
        <v>0</v>
      </c>
      <c r="G9" s="619">
        <f t="shared" si="3"/>
        <v>0</v>
      </c>
      <c r="H9" s="619">
        <f t="shared" si="16"/>
        <v>0</v>
      </c>
      <c r="I9" s="619">
        <f t="shared" si="16"/>
        <v>0</v>
      </c>
      <c r="J9" s="619">
        <f t="shared" si="16"/>
        <v>0</v>
      </c>
      <c r="K9" s="619">
        <f t="shared" si="5"/>
        <v>0</v>
      </c>
      <c r="L9" s="619">
        <f t="shared" si="16"/>
        <v>0</v>
      </c>
      <c r="M9" s="619">
        <f t="shared" si="16"/>
        <v>0</v>
      </c>
      <c r="N9" s="619">
        <f t="shared" si="16"/>
        <v>0</v>
      </c>
      <c r="O9" s="619">
        <f t="shared" si="7"/>
        <v>0</v>
      </c>
      <c r="P9" s="619">
        <f t="shared" si="16"/>
        <v>0</v>
      </c>
      <c r="Q9" s="619">
        <f t="shared" si="16"/>
        <v>0</v>
      </c>
      <c r="R9" s="619">
        <f t="shared" si="16"/>
        <v>0</v>
      </c>
      <c r="S9" s="619">
        <f t="shared" si="9"/>
        <v>0</v>
      </c>
      <c r="T9" s="619">
        <f t="shared" si="16"/>
        <v>0</v>
      </c>
      <c r="U9" s="619">
        <f t="shared" si="16"/>
        <v>0</v>
      </c>
      <c r="V9" s="619">
        <f t="shared" si="16"/>
        <v>0</v>
      </c>
      <c r="W9" s="619">
        <f t="shared" si="0"/>
        <v>0</v>
      </c>
      <c r="Y9" s="619">
        <f t="shared" ref="Y9:AA9" si="17">Y10</f>
        <v>0</v>
      </c>
      <c r="Z9" s="619">
        <f t="shared" si="17"/>
        <v>0</v>
      </c>
      <c r="AA9" s="619">
        <f t="shared" si="17"/>
        <v>0</v>
      </c>
      <c r="AB9" s="619">
        <f t="shared" si="12"/>
        <v>0</v>
      </c>
      <c r="AC9" s="619">
        <f>AC10</f>
        <v>7518</v>
      </c>
      <c r="AD9" s="619">
        <v>0</v>
      </c>
      <c r="AE9" s="619">
        <v>0</v>
      </c>
      <c r="AF9" s="619">
        <f>SUM(AC9:AE9)</f>
        <v>7518</v>
      </c>
      <c r="AG9" s="619">
        <f>AG10</f>
        <v>10981</v>
      </c>
      <c r="AH9" s="619">
        <v>0</v>
      </c>
      <c r="AI9" s="619">
        <v>0</v>
      </c>
      <c r="AJ9" s="619">
        <f>SUM(AG9:AI9)</f>
        <v>10981</v>
      </c>
      <c r="AK9" s="619">
        <v>7518</v>
      </c>
      <c r="AL9" s="619"/>
      <c r="AM9" s="619"/>
      <c r="AN9" s="619">
        <f>SUM(AK9:AM9)</f>
        <v>7518</v>
      </c>
    </row>
    <row r="10" spans="1:40" ht="30" x14ac:dyDescent="0.25">
      <c r="A10" s="430"/>
      <c r="B10" s="299" t="s">
        <v>313</v>
      </c>
      <c r="C10" s="445">
        <v>0</v>
      </c>
      <c r="D10" s="445">
        <v>0</v>
      </c>
      <c r="E10" s="445">
        <v>0</v>
      </c>
      <c r="F10" s="445">
        <v>0</v>
      </c>
      <c r="G10" s="445">
        <f t="shared" si="3"/>
        <v>0</v>
      </c>
      <c r="H10" s="445">
        <v>0</v>
      </c>
      <c r="I10" s="445">
        <v>0</v>
      </c>
      <c r="J10" s="445">
        <v>0</v>
      </c>
      <c r="K10" s="445">
        <f t="shared" si="5"/>
        <v>0</v>
      </c>
      <c r="L10" s="445">
        <v>0</v>
      </c>
      <c r="M10" s="445">
        <v>0</v>
      </c>
      <c r="N10" s="445">
        <v>0</v>
      </c>
      <c r="O10" s="445">
        <f t="shared" si="7"/>
        <v>0</v>
      </c>
      <c r="P10" s="445">
        <v>0</v>
      </c>
      <c r="Q10" s="445">
        <v>0</v>
      </c>
      <c r="R10" s="445">
        <v>0</v>
      </c>
      <c r="S10" s="445">
        <f t="shared" si="9"/>
        <v>0</v>
      </c>
      <c r="T10" s="445">
        <v>0</v>
      </c>
      <c r="U10" s="445">
        <v>0</v>
      </c>
      <c r="V10" s="445">
        <v>0</v>
      </c>
      <c r="W10" s="445">
        <f t="shared" si="0"/>
        <v>0</v>
      </c>
      <c r="Y10" s="445">
        <v>0</v>
      </c>
      <c r="Z10" s="445">
        <v>0</v>
      </c>
      <c r="AA10" s="445">
        <v>0</v>
      </c>
      <c r="AB10" s="445">
        <f t="shared" si="12"/>
        <v>0</v>
      </c>
      <c r="AC10" s="445">
        <v>7518</v>
      </c>
      <c r="AD10" s="445">
        <v>0</v>
      </c>
      <c r="AE10" s="445">
        <v>0</v>
      </c>
      <c r="AF10" s="445">
        <f>SUM(AC10:AE10)</f>
        <v>7518</v>
      </c>
      <c r="AG10" s="445">
        <v>10981</v>
      </c>
      <c r="AH10" s="445">
        <v>0</v>
      </c>
      <c r="AI10" s="445">
        <v>0</v>
      </c>
      <c r="AJ10" s="445">
        <f>SUM(AG10:AI10)</f>
        <v>10981</v>
      </c>
      <c r="AK10" s="445">
        <v>7518</v>
      </c>
      <c r="AL10" s="445"/>
      <c r="AM10" s="445"/>
      <c r="AN10" s="445">
        <f>SUM(AK10:AM10)</f>
        <v>7518</v>
      </c>
    </row>
    <row r="11" spans="1:40" x14ac:dyDescent="0.25">
      <c r="A11" s="617" t="s">
        <v>311</v>
      </c>
      <c r="B11" s="618" t="s">
        <v>484</v>
      </c>
      <c r="C11" s="619">
        <f>SUM(C12:C13)</f>
        <v>0</v>
      </c>
      <c r="D11" s="619">
        <f t="shared" ref="D11:F11" si="18">SUM(D12:D13)</f>
        <v>0</v>
      </c>
      <c r="E11" s="619">
        <f t="shared" si="18"/>
        <v>0</v>
      </c>
      <c r="F11" s="619">
        <f t="shared" si="18"/>
        <v>0</v>
      </c>
      <c r="G11" s="619">
        <f t="shared" si="3"/>
        <v>0</v>
      </c>
      <c r="H11" s="619">
        <f t="shared" ref="H11:J11" si="19">SUM(H12:H13)</f>
        <v>0</v>
      </c>
      <c r="I11" s="619">
        <f t="shared" si="19"/>
        <v>0</v>
      </c>
      <c r="J11" s="619">
        <f t="shared" si="19"/>
        <v>0</v>
      </c>
      <c r="K11" s="619">
        <f t="shared" si="5"/>
        <v>0</v>
      </c>
      <c r="L11" s="619">
        <f t="shared" ref="L11:N11" si="20">SUM(L12:L13)</f>
        <v>0</v>
      </c>
      <c r="M11" s="619">
        <f t="shared" si="20"/>
        <v>0</v>
      </c>
      <c r="N11" s="619">
        <f t="shared" si="20"/>
        <v>0</v>
      </c>
      <c r="O11" s="619">
        <f t="shared" si="7"/>
        <v>0</v>
      </c>
      <c r="P11" s="619">
        <f t="shared" ref="P11:R11" si="21">SUM(P12:P13)</f>
        <v>0</v>
      </c>
      <c r="Q11" s="619">
        <f t="shared" si="21"/>
        <v>0</v>
      </c>
      <c r="R11" s="619">
        <f t="shared" si="21"/>
        <v>0</v>
      </c>
      <c r="S11" s="619">
        <f t="shared" si="9"/>
        <v>0</v>
      </c>
      <c r="T11" s="619">
        <f t="shared" ref="T11:V11" si="22">SUM(T12:T13)</f>
        <v>0</v>
      </c>
      <c r="U11" s="619">
        <f t="shared" si="22"/>
        <v>0</v>
      </c>
      <c r="V11" s="619">
        <f t="shared" si="22"/>
        <v>0</v>
      </c>
      <c r="W11" s="619">
        <f t="shared" si="0"/>
        <v>0</v>
      </c>
      <c r="Y11" s="619">
        <f t="shared" ref="Y11:AA11" si="23">SUM(Y12:Y13)</f>
        <v>0</v>
      </c>
      <c r="Z11" s="619">
        <f t="shared" si="23"/>
        <v>0</v>
      </c>
      <c r="AA11" s="619">
        <f t="shared" si="23"/>
        <v>0</v>
      </c>
      <c r="AB11" s="619">
        <f t="shared" si="12"/>
        <v>0</v>
      </c>
      <c r="AC11" s="619">
        <v>0</v>
      </c>
      <c r="AD11" s="619">
        <v>0</v>
      </c>
      <c r="AE11" s="619">
        <v>0</v>
      </c>
      <c r="AF11" s="619">
        <v>0</v>
      </c>
      <c r="AG11" s="619">
        <v>0</v>
      </c>
      <c r="AH11" s="619">
        <v>0</v>
      </c>
      <c r="AI11" s="619">
        <v>0</v>
      </c>
      <c r="AJ11" s="619">
        <v>0</v>
      </c>
      <c r="AK11" s="619">
        <v>0</v>
      </c>
      <c r="AL11" s="619">
        <v>0</v>
      </c>
      <c r="AM11" s="619">
        <v>0</v>
      </c>
      <c r="AN11" s="619">
        <v>0</v>
      </c>
    </row>
    <row r="12" spans="1:40" x14ac:dyDescent="0.25">
      <c r="A12" s="430"/>
      <c r="B12" s="323" t="s">
        <v>647</v>
      </c>
      <c r="C12" s="445"/>
      <c r="D12" s="445"/>
      <c r="E12" s="445"/>
      <c r="F12" s="445"/>
      <c r="G12" s="445"/>
      <c r="H12" s="445"/>
      <c r="I12" s="445"/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>
        <v>0</v>
      </c>
      <c r="U12" s="445">
        <v>0</v>
      </c>
      <c r="V12" s="445">
        <v>0</v>
      </c>
      <c r="W12" s="445">
        <f t="shared" si="0"/>
        <v>0</v>
      </c>
      <c r="Y12" s="445"/>
      <c r="Z12" s="445"/>
      <c r="AA12" s="445"/>
      <c r="AB12" s="445"/>
      <c r="AC12" s="445"/>
      <c r="AD12" s="445"/>
      <c r="AE12" s="445"/>
      <c r="AF12" s="445"/>
      <c r="AG12" s="445"/>
      <c r="AH12" s="445"/>
      <c r="AI12" s="445"/>
      <c r="AJ12" s="445"/>
      <c r="AK12" s="445"/>
      <c r="AL12" s="445"/>
      <c r="AM12" s="445"/>
      <c r="AN12" s="445"/>
    </row>
    <row r="13" spans="1:40" x14ac:dyDescent="0.25">
      <c r="A13" s="430"/>
      <c r="B13" s="299" t="s">
        <v>648</v>
      </c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>
        <v>0</v>
      </c>
      <c r="U13" s="445">
        <v>0</v>
      </c>
      <c r="V13" s="445">
        <v>0</v>
      </c>
      <c r="W13" s="445">
        <f t="shared" si="0"/>
        <v>0</v>
      </c>
      <c r="Y13" s="445"/>
      <c r="Z13" s="445"/>
      <c r="AA13" s="445"/>
      <c r="AB13" s="445"/>
      <c r="AC13" s="445"/>
      <c r="AD13" s="445"/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</row>
    <row r="14" spans="1:40" x14ac:dyDescent="0.25">
      <c r="A14" s="617" t="s">
        <v>322</v>
      </c>
      <c r="B14" s="618" t="s">
        <v>314</v>
      </c>
      <c r="C14" s="619">
        <f>SUM(C15:C22)</f>
        <v>0</v>
      </c>
      <c r="D14" s="619">
        <f t="shared" ref="D14:F14" si="24">SUM(D15:D22)</f>
        <v>6950</v>
      </c>
      <c r="E14" s="619">
        <f t="shared" si="24"/>
        <v>0</v>
      </c>
      <c r="F14" s="619">
        <f t="shared" si="24"/>
        <v>0</v>
      </c>
      <c r="G14" s="619">
        <f t="shared" si="3"/>
        <v>6950</v>
      </c>
      <c r="H14" s="619">
        <f t="shared" ref="H14:J14" si="25">SUM(H15:H22)</f>
        <v>12725</v>
      </c>
      <c r="I14" s="619">
        <f t="shared" si="25"/>
        <v>0</v>
      </c>
      <c r="J14" s="619">
        <f t="shared" si="25"/>
        <v>0</v>
      </c>
      <c r="K14" s="619">
        <f t="shared" si="5"/>
        <v>12725</v>
      </c>
      <c r="L14" s="619">
        <f t="shared" ref="L14:N14" si="26">SUM(L15:L22)</f>
        <v>13189</v>
      </c>
      <c r="M14" s="619">
        <f t="shared" si="26"/>
        <v>0</v>
      </c>
      <c r="N14" s="619">
        <f t="shared" si="26"/>
        <v>0</v>
      </c>
      <c r="O14" s="619">
        <f t="shared" si="7"/>
        <v>13189</v>
      </c>
      <c r="P14" s="619">
        <f t="shared" ref="P14:R14" si="27">SUM(P15:P22)</f>
        <v>0</v>
      </c>
      <c r="Q14" s="619">
        <f t="shared" si="27"/>
        <v>0</v>
      </c>
      <c r="R14" s="619">
        <f t="shared" si="27"/>
        <v>0</v>
      </c>
      <c r="S14" s="619">
        <f t="shared" si="9"/>
        <v>0</v>
      </c>
      <c r="T14" s="619">
        <f t="shared" ref="T14:V14" si="28">SUM(T15:T22)</f>
        <v>5775</v>
      </c>
      <c r="U14" s="619">
        <f t="shared" si="28"/>
        <v>0</v>
      </c>
      <c r="V14" s="619">
        <f t="shared" si="28"/>
        <v>0</v>
      </c>
      <c r="W14" s="619">
        <f t="shared" si="0"/>
        <v>5775</v>
      </c>
      <c r="Y14" s="619">
        <f t="shared" ref="Y14:AA14" si="29">SUM(Y15:Y22)</f>
        <v>10000</v>
      </c>
      <c r="Z14" s="619">
        <f t="shared" si="29"/>
        <v>0</v>
      </c>
      <c r="AA14" s="619">
        <f t="shared" si="29"/>
        <v>0</v>
      </c>
      <c r="AB14" s="619">
        <f t="shared" ref="AB14" si="30">SUM(Y14:AA14)</f>
        <v>10000</v>
      </c>
      <c r="AC14" s="619">
        <f>SUM(AC15:AC22)</f>
        <v>10944</v>
      </c>
      <c r="AD14" s="619">
        <f t="shared" ref="AD14:AE14" si="31">SUM(AD15:AD22)</f>
        <v>0</v>
      </c>
      <c r="AE14" s="619">
        <f t="shared" si="31"/>
        <v>0</v>
      </c>
      <c r="AF14" s="619">
        <f>SUM(AC14:AE14)</f>
        <v>10944</v>
      </c>
      <c r="AG14" s="619">
        <f>SUM(AG15:AG22)</f>
        <v>12254</v>
      </c>
      <c r="AH14" s="619">
        <f t="shared" ref="AH14:AI14" si="32">SUM(AH15:AH22)</f>
        <v>0</v>
      </c>
      <c r="AI14" s="619">
        <f t="shared" si="32"/>
        <v>0</v>
      </c>
      <c r="AJ14" s="619">
        <f>SUM(AG14:AI14)</f>
        <v>12254</v>
      </c>
      <c r="AK14" s="619">
        <f>SUM(AK15:AK22)</f>
        <v>2564</v>
      </c>
      <c r="AL14" s="619">
        <f t="shared" ref="AL14:AM14" si="33">SUM(AL15:AL22)</f>
        <v>0</v>
      </c>
      <c r="AM14" s="619">
        <f t="shared" si="33"/>
        <v>0</v>
      </c>
      <c r="AN14" s="619">
        <f>SUM(AK14:AM14)</f>
        <v>2564</v>
      </c>
    </row>
    <row r="15" spans="1:40" x14ac:dyDescent="0.25">
      <c r="A15" s="430"/>
      <c r="B15" s="299" t="s">
        <v>649</v>
      </c>
      <c r="C15" s="445"/>
      <c r="D15" s="445">
        <v>75</v>
      </c>
      <c r="E15" s="445">
        <v>0</v>
      </c>
      <c r="F15" s="445">
        <f>PH!I181</f>
        <v>0</v>
      </c>
      <c r="G15" s="445">
        <f>SUM(D15:F15)</f>
        <v>75</v>
      </c>
      <c r="H15" s="445">
        <v>75</v>
      </c>
      <c r="I15" s="445">
        <v>0</v>
      </c>
      <c r="J15" s="445">
        <f>PH!M181</f>
        <v>0</v>
      </c>
      <c r="K15" s="445">
        <f>SUM(H15:J15)</f>
        <v>75</v>
      </c>
      <c r="L15" s="445">
        <v>75</v>
      </c>
      <c r="M15" s="445"/>
      <c r="N15" s="445"/>
      <c r="O15" s="445">
        <f>SUM(L15:N15)</f>
        <v>75</v>
      </c>
      <c r="P15" s="445"/>
      <c r="Q15" s="445"/>
      <c r="R15" s="445"/>
      <c r="S15" s="445"/>
      <c r="T15" s="445">
        <v>0</v>
      </c>
      <c r="U15" s="445">
        <v>0</v>
      </c>
      <c r="V15" s="445">
        <f>PH!Y181</f>
        <v>0</v>
      </c>
      <c r="W15" s="445">
        <f t="shared" si="0"/>
        <v>0</v>
      </c>
      <c r="Y15" s="445">
        <v>75</v>
      </c>
      <c r="Z15" s="445"/>
      <c r="AA15" s="445"/>
      <c r="AB15" s="445">
        <f>SUM(Y15:AA15)</f>
        <v>75</v>
      </c>
      <c r="AC15" s="445">
        <v>120</v>
      </c>
      <c r="AD15" s="445"/>
      <c r="AE15" s="445"/>
      <c r="AF15" s="445">
        <f>SUM(AC15:AE15)</f>
        <v>120</v>
      </c>
      <c r="AG15" s="445">
        <v>240</v>
      </c>
      <c r="AH15" s="445"/>
      <c r="AI15" s="445"/>
      <c r="AJ15" s="445">
        <f>SUM(AG15:AI15)</f>
        <v>240</v>
      </c>
      <c r="AK15" s="445">
        <v>120</v>
      </c>
      <c r="AL15" s="445"/>
      <c r="AM15" s="445"/>
      <c r="AN15" s="445">
        <f>SUM(AK15:AM15)</f>
        <v>120</v>
      </c>
    </row>
    <row r="16" spans="1:40" x14ac:dyDescent="0.25">
      <c r="A16" s="430"/>
      <c r="B16" s="299" t="s">
        <v>650</v>
      </c>
      <c r="C16" s="445"/>
      <c r="D16" s="445">
        <v>1200</v>
      </c>
      <c r="E16" s="445">
        <v>0</v>
      </c>
      <c r="F16" s="445">
        <v>0</v>
      </c>
      <c r="G16" s="445">
        <f t="shared" ref="G16:G22" si="34">SUM(D16:F16)</f>
        <v>1200</v>
      </c>
      <c r="H16" s="445">
        <v>1200</v>
      </c>
      <c r="I16" s="445">
        <v>0</v>
      </c>
      <c r="J16" s="445">
        <v>0</v>
      </c>
      <c r="K16" s="445">
        <f t="shared" ref="K16:K22" si="35">SUM(H16:J16)</f>
        <v>1200</v>
      </c>
      <c r="L16" s="445">
        <v>1200</v>
      </c>
      <c r="M16" s="445"/>
      <c r="N16" s="445"/>
      <c r="O16" s="445">
        <f t="shared" ref="O16:O22" si="36">SUM(L16:N16)</f>
        <v>1200</v>
      </c>
      <c r="P16" s="445"/>
      <c r="Q16" s="445"/>
      <c r="R16" s="445"/>
      <c r="S16" s="445"/>
      <c r="T16" s="445">
        <v>0</v>
      </c>
      <c r="U16" s="445">
        <v>0</v>
      </c>
      <c r="V16" s="445">
        <v>0</v>
      </c>
      <c r="W16" s="445">
        <f t="shared" si="0"/>
        <v>0</v>
      </c>
      <c r="Y16" s="445">
        <v>1000</v>
      </c>
      <c r="Z16" s="445"/>
      <c r="AA16" s="445"/>
      <c r="AB16" s="445">
        <f t="shared" ref="AB16:AB22" si="37">SUM(Y16:AA16)</f>
        <v>1000</v>
      </c>
      <c r="AC16" s="445">
        <v>1898</v>
      </c>
      <c r="AD16" s="445"/>
      <c r="AE16" s="445"/>
      <c r="AF16" s="445">
        <f t="shared" ref="AF16:AF22" si="38">SUM(AC16:AE16)</f>
        <v>1898</v>
      </c>
      <c r="AG16" s="445">
        <v>3086</v>
      </c>
      <c r="AH16" s="445"/>
      <c r="AI16" s="445"/>
      <c r="AJ16" s="445">
        <f t="shared" ref="AJ16:AJ22" si="39">SUM(AG16:AI16)</f>
        <v>3086</v>
      </c>
      <c r="AK16" s="445">
        <v>1894</v>
      </c>
      <c r="AL16" s="445"/>
      <c r="AM16" s="445"/>
      <c r="AN16" s="445">
        <f t="shared" ref="AN16:AN22" si="40">SUM(AK16:AM16)</f>
        <v>1894</v>
      </c>
    </row>
    <row r="17" spans="1:40" x14ac:dyDescent="0.25">
      <c r="A17" s="430"/>
      <c r="B17" s="299" t="s">
        <v>1292</v>
      </c>
      <c r="C17" s="445"/>
      <c r="D17" s="445">
        <v>4000</v>
      </c>
      <c r="E17" s="445">
        <v>0</v>
      </c>
      <c r="F17" s="445">
        <f>PH!I184</f>
        <v>0</v>
      </c>
      <c r="G17" s="445">
        <f t="shared" si="34"/>
        <v>4000</v>
      </c>
      <c r="H17" s="445">
        <v>4000</v>
      </c>
      <c r="I17" s="445">
        <v>0</v>
      </c>
      <c r="J17" s="445">
        <f>PH!M184</f>
        <v>0</v>
      </c>
      <c r="K17" s="445">
        <f t="shared" si="35"/>
        <v>4000</v>
      </c>
      <c r="L17" s="445">
        <v>4400</v>
      </c>
      <c r="M17" s="445"/>
      <c r="N17" s="445"/>
      <c r="O17" s="445">
        <f t="shared" si="36"/>
        <v>4400</v>
      </c>
      <c r="P17" s="445"/>
      <c r="Q17" s="445"/>
      <c r="R17" s="445"/>
      <c r="S17" s="445"/>
      <c r="T17" s="445">
        <v>0</v>
      </c>
      <c r="U17" s="445">
        <f>PH!X184</f>
        <v>0</v>
      </c>
      <c r="V17" s="445">
        <f>PH!Y184</f>
        <v>0</v>
      </c>
      <c r="W17" s="445">
        <f t="shared" si="0"/>
        <v>0</v>
      </c>
      <c r="Y17" s="445">
        <v>2000</v>
      </c>
      <c r="Z17" s="445"/>
      <c r="AA17" s="445"/>
      <c r="AB17" s="445">
        <f t="shared" si="37"/>
        <v>2000</v>
      </c>
      <c r="AC17" s="445">
        <v>2000</v>
      </c>
      <c r="AD17" s="445"/>
      <c r="AE17" s="445"/>
      <c r="AF17" s="445">
        <f t="shared" si="38"/>
        <v>2000</v>
      </c>
      <c r="AG17" s="445">
        <v>2000</v>
      </c>
      <c r="AH17" s="445"/>
      <c r="AI17" s="445"/>
      <c r="AJ17" s="445">
        <f t="shared" si="39"/>
        <v>2000</v>
      </c>
      <c r="AK17" s="445">
        <v>0</v>
      </c>
      <c r="AL17" s="445"/>
      <c r="AM17" s="445"/>
      <c r="AN17" s="445">
        <f t="shared" si="40"/>
        <v>0</v>
      </c>
    </row>
    <row r="18" spans="1:40" x14ac:dyDescent="0.25">
      <c r="A18" s="430"/>
      <c r="B18" s="299" t="s">
        <v>660</v>
      </c>
      <c r="C18" s="445"/>
      <c r="D18" s="445">
        <f>PH!G185</f>
        <v>0</v>
      </c>
      <c r="E18" s="445">
        <v>0</v>
      </c>
      <c r="F18" s="445">
        <f>PH!I185</f>
        <v>0</v>
      </c>
      <c r="G18" s="445">
        <f t="shared" si="34"/>
        <v>0</v>
      </c>
      <c r="H18" s="445">
        <f>PH!K185</f>
        <v>0</v>
      </c>
      <c r="I18" s="445">
        <v>0</v>
      </c>
      <c r="J18" s="445">
        <f>PH!M185</f>
        <v>0</v>
      </c>
      <c r="K18" s="445">
        <f t="shared" si="35"/>
        <v>0</v>
      </c>
      <c r="L18" s="445"/>
      <c r="M18" s="445"/>
      <c r="N18" s="445"/>
      <c r="O18" s="445">
        <f t="shared" si="36"/>
        <v>0</v>
      </c>
      <c r="P18" s="445"/>
      <c r="Q18" s="445"/>
      <c r="R18" s="445"/>
      <c r="S18" s="445"/>
      <c r="T18" s="445">
        <v>0</v>
      </c>
      <c r="U18" s="445">
        <f>PH!X185</f>
        <v>0</v>
      </c>
      <c r="V18" s="445">
        <f>PH!Y185</f>
        <v>0</v>
      </c>
      <c r="W18" s="445">
        <f t="shared" si="0"/>
        <v>0</v>
      </c>
      <c r="Y18" s="445">
        <v>0</v>
      </c>
      <c r="Z18" s="445"/>
      <c r="AA18" s="445"/>
      <c r="AB18" s="445">
        <f t="shared" si="37"/>
        <v>0</v>
      </c>
      <c r="AC18" s="445">
        <v>0</v>
      </c>
      <c r="AD18" s="445"/>
      <c r="AE18" s="445"/>
      <c r="AF18" s="445">
        <f t="shared" si="38"/>
        <v>0</v>
      </c>
      <c r="AG18" s="445">
        <v>0</v>
      </c>
      <c r="AH18" s="445"/>
      <c r="AI18" s="445"/>
      <c r="AJ18" s="445">
        <f t="shared" si="39"/>
        <v>0</v>
      </c>
      <c r="AK18" s="445">
        <v>0</v>
      </c>
      <c r="AL18" s="445"/>
      <c r="AM18" s="445"/>
      <c r="AN18" s="445">
        <f t="shared" si="40"/>
        <v>0</v>
      </c>
    </row>
    <row r="19" spans="1:40" x14ac:dyDescent="0.25">
      <c r="A19" s="430"/>
      <c r="B19" s="299" t="s">
        <v>661</v>
      </c>
      <c r="C19" s="445"/>
      <c r="D19" s="445">
        <v>1300</v>
      </c>
      <c r="E19" s="445">
        <v>0</v>
      </c>
      <c r="F19" s="445">
        <v>0</v>
      </c>
      <c r="G19" s="445">
        <f t="shared" si="34"/>
        <v>1300</v>
      </c>
      <c r="H19" s="445">
        <v>1300</v>
      </c>
      <c r="I19" s="445">
        <v>0</v>
      </c>
      <c r="J19" s="445">
        <v>0</v>
      </c>
      <c r="K19" s="445">
        <f t="shared" si="35"/>
        <v>1300</v>
      </c>
      <c r="L19" s="445">
        <v>1364</v>
      </c>
      <c r="M19" s="445"/>
      <c r="N19" s="445"/>
      <c r="O19" s="445">
        <f t="shared" si="36"/>
        <v>1364</v>
      </c>
      <c r="P19" s="445"/>
      <c r="Q19" s="445"/>
      <c r="R19" s="445"/>
      <c r="S19" s="445"/>
      <c r="T19" s="445">
        <v>0</v>
      </c>
      <c r="U19" s="445">
        <v>0</v>
      </c>
      <c r="V19" s="445">
        <v>0</v>
      </c>
      <c r="W19" s="445">
        <f t="shared" si="0"/>
        <v>0</v>
      </c>
      <c r="Y19" s="445">
        <v>925</v>
      </c>
      <c r="Z19" s="445"/>
      <c r="AA19" s="445"/>
      <c r="AB19" s="445">
        <f t="shared" si="37"/>
        <v>925</v>
      </c>
      <c r="AC19" s="445">
        <v>925</v>
      </c>
      <c r="AD19" s="445"/>
      <c r="AE19" s="445"/>
      <c r="AF19" s="445">
        <f t="shared" si="38"/>
        <v>925</v>
      </c>
      <c r="AG19" s="445">
        <v>925</v>
      </c>
      <c r="AH19" s="445"/>
      <c r="AI19" s="445"/>
      <c r="AJ19" s="445">
        <f t="shared" si="39"/>
        <v>925</v>
      </c>
      <c r="AK19" s="445">
        <v>516</v>
      </c>
      <c r="AL19" s="445"/>
      <c r="AM19" s="445"/>
      <c r="AN19" s="445">
        <f t="shared" si="40"/>
        <v>516</v>
      </c>
    </row>
    <row r="20" spans="1:40" x14ac:dyDescent="0.25">
      <c r="A20" s="430"/>
      <c r="B20" s="299" t="s">
        <v>662</v>
      </c>
      <c r="C20" s="445"/>
      <c r="D20" s="445">
        <f>PH!G187</f>
        <v>0</v>
      </c>
      <c r="E20" s="445">
        <v>0</v>
      </c>
      <c r="F20" s="445">
        <f>PH!I187</f>
        <v>0</v>
      </c>
      <c r="G20" s="445">
        <f t="shared" si="34"/>
        <v>0</v>
      </c>
      <c r="H20" s="445">
        <f>PH!K187</f>
        <v>0</v>
      </c>
      <c r="I20" s="445">
        <v>0</v>
      </c>
      <c r="J20" s="445">
        <f>PH!M187</f>
        <v>0</v>
      </c>
      <c r="K20" s="445">
        <f t="shared" si="35"/>
        <v>0</v>
      </c>
      <c r="L20" s="445"/>
      <c r="M20" s="445"/>
      <c r="N20" s="445"/>
      <c r="O20" s="445">
        <f t="shared" si="36"/>
        <v>0</v>
      </c>
      <c r="P20" s="445"/>
      <c r="Q20" s="445"/>
      <c r="R20" s="445"/>
      <c r="S20" s="445"/>
      <c r="T20" s="445">
        <f>PH!W187</f>
        <v>0</v>
      </c>
      <c r="U20" s="445">
        <f>PH!X187</f>
        <v>0</v>
      </c>
      <c r="V20" s="445">
        <f>PH!Y187</f>
        <v>0</v>
      </c>
      <c r="W20" s="445">
        <f t="shared" si="0"/>
        <v>0</v>
      </c>
      <c r="Y20" s="445">
        <v>0</v>
      </c>
      <c r="Z20" s="445"/>
      <c r="AA20" s="445"/>
      <c r="AB20" s="445">
        <f t="shared" si="37"/>
        <v>0</v>
      </c>
      <c r="AC20" s="445">
        <v>0</v>
      </c>
      <c r="AD20" s="445"/>
      <c r="AE20" s="445"/>
      <c r="AF20" s="445">
        <f t="shared" si="38"/>
        <v>0</v>
      </c>
      <c r="AG20" s="445">
        <v>0</v>
      </c>
      <c r="AH20" s="445"/>
      <c r="AI20" s="445"/>
      <c r="AJ20" s="445">
        <f t="shared" si="39"/>
        <v>0</v>
      </c>
      <c r="AK20" s="445">
        <v>0</v>
      </c>
      <c r="AL20" s="445"/>
      <c r="AM20" s="445"/>
      <c r="AN20" s="445">
        <f t="shared" si="40"/>
        <v>0</v>
      </c>
    </row>
    <row r="21" spans="1:40" x14ac:dyDescent="0.25">
      <c r="A21" s="430"/>
      <c r="B21" s="299" t="s">
        <v>663</v>
      </c>
      <c r="C21" s="445"/>
      <c r="D21" s="445">
        <f>PH!G188</f>
        <v>0</v>
      </c>
      <c r="E21" s="445">
        <v>0</v>
      </c>
      <c r="F21" s="445">
        <f>PH!I188</f>
        <v>0</v>
      </c>
      <c r="G21" s="445">
        <f t="shared" si="34"/>
        <v>0</v>
      </c>
      <c r="H21" s="445">
        <f>PH!K188</f>
        <v>0</v>
      </c>
      <c r="I21" s="445">
        <v>0</v>
      </c>
      <c r="J21" s="445">
        <f>PH!M188</f>
        <v>0</v>
      </c>
      <c r="K21" s="445">
        <f t="shared" si="35"/>
        <v>0</v>
      </c>
      <c r="L21" s="445"/>
      <c r="M21" s="445"/>
      <c r="N21" s="445"/>
      <c r="O21" s="445">
        <f t="shared" si="36"/>
        <v>0</v>
      </c>
      <c r="P21" s="445"/>
      <c r="Q21" s="445"/>
      <c r="R21" s="445"/>
      <c r="S21" s="445"/>
      <c r="T21" s="445">
        <f>PH!W188</f>
        <v>0</v>
      </c>
      <c r="U21" s="445">
        <f>PH!X188</f>
        <v>0</v>
      </c>
      <c r="V21" s="445">
        <f>PH!Y188</f>
        <v>0</v>
      </c>
      <c r="W21" s="445">
        <f t="shared" si="0"/>
        <v>0</v>
      </c>
      <c r="Y21" s="445">
        <v>0</v>
      </c>
      <c r="Z21" s="445"/>
      <c r="AA21" s="445"/>
      <c r="AB21" s="445">
        <f t="shared" si="37"/>
        <v>0</v>
      </c>
      <c r="AC21" s="445">
        <v>1</v>
      </c>
      <c r="AD21" s="445"/>
      <c r="AE21" s="445"/>
      <c r="AF21" s="445">
        <f t="shared" si="38"/>
        <v>1</v>
      </c>
      <c r="AG21" s="445">
        <v>3</v>
      </c>
      <c r="AH21" s="445"/>
      <c r="AI21" s="445"/>
      <c r="AJ21" s="445">
        <f t="shared" si="39"/>
        <v>3</v>
      </c>
      <c r="AK21" s="445">
        <v>1</v>
      </c>
      <c r="AL21" s="445"/>
      <c r="AM21" s="445"/>
      <c r="AN21" s="445">
        <f t="shared" si="40"/>
        <v>1</v>
      </c>
    </row>
    <row r="22" spans="1:40" x14ac:dyDescent="0.25">
      <c r="A22" s="430"/>
      <c r="B22" s="299" t="s">
        <v>664</v>
      </c>
      <c r="C22" s="445"/>
      <c r="D22" s="445">
        <v>375</v>
      </c>
      <c r="E22" s="445">
        <v>0</v>
      </c>
      <c r="F22" s="445">
        <f>PH!I190</f>
        <v>0</v>
      </c>
      <c r="G22" s="445">
        <f t="shared" si="34"/>
        <v>375</v>
      </c>
      <c r="H22" s="445">
        <v>6150</v>
      </c>
      <c r="I22" s="445">
        <v>0</v>
      </c>
      <c r="J22" s="445">
        <f>PH!M190</f>
        <v>0</v>
      </c>
      <c r="K22" s="445">
        <f t="shared" si="35"/>
        <v>6150</v>
      </c>
      <c r="L22" s="445">
        <v>6150</v>
      </c>
      <c r="M22" s="445"/>
      <c r="N22" s="445"/>
      <c r="O22" s="445">
        <f t="shared" si="36"/>
        <v>6150</v>
      </c>
      <c r="P22" s="445"/>
      <c r="Q22" s="445"/>
      <c r="R22" s="445"/>
      <c r="S22" s="445"/>
      <c r="T22" s="445">
        <v>5775</v>
      </c>
      <c r="U22" s="445">
        <f>PH!X190</f>
        <v>0</v>
      </c>
      <c r="V22" s="445">
        <f>PH!Y190</f>
        <v>0</v>
      </c>
      <c r="W22" s="445">
        <f t="shared" si="0"/>
        <v>5775</v>
      </c>
      <c r="Y22" s="445">
        <v>6000</v>
      </c>
      <c r="Z22" s="445"/>
      <c r="AA22" s="445"/>
      <c r="AB22" s="445">
        <f t="shared" si="37"/>
        <v>6000</v>
      </c>
      <c r="AC22" s="445">
        <v>6000</v>
      </c>
      <c r="AD22" s="445"/>
      <c r="AE22" s="445"/>
      <c r="AF22" s="445">
        <f t="shared" si="38"/>
        <v>6000</v>
      </c>
      <c r="AG22" s="445">
        <v>6000</v>
      </c>
      <c r="AH22" s="445"/>
      <c r="AI22" s="445"/>
      <c r="AJ22" s="445">
        <f t="shared" si="39"/>
        <v>6000</v>
      </c>
      <c r="AK22" s="445">
        <v>33</v>
      </c>
      <c r="AL22" s="445"/>
      <c r="AM22" s="445"/>
      <c r="AN22" s="445">
        <f t="shared" si="40"/>
        <v>33</v>
      </c>
    </row>
    <row r="23" spans="1:40" x14ac:dyDescent="0.25">
      <c r="A23" s="617" t="s">
        <v>315</v>
      </c>
      <c r="B23" s="618" t="s">
        <v>316</v>
      </c>
      <c r="C23" s="619">
        <f>SUM(C24:C24)</f>
        <v>0</v>
      </c>
      <c r="D23" s="619">
        <f t="shared" ref="D23:V23" si="41">SUM(D24:D24)</f>
        <v>0</v>
      </c>
      <c r="E23" s="619">
        <f t="shared" si="41"/>
        <v>0</v>
      </c>
      <c r="F23" s="619">
        <f t="shared" si="41"/>
        <v>0</v>
      </c>
      <c r="G23" s="619">
        <f t="shared" si="3"/>
        <v>0</v>
      </c>
      <c r="H23" s="619">
        <f t="shared" si="41"/>
        <v>0</v>
      </c>
      <c r="I23" s="619">
        <f t="shared" si="41"/>
        <v>0</v>
      </c>
      <c r="J23" s="619">
        <f t="shared" si="41"/>
        <v>0</v>
      </c>
      <c r="K23" s="619">
        <f t="shared" si="5"/>
        <v>0</v>
      </c>
      <c r="L23" s="619">
        <f t="shared" si="41"/>
        <v>0</v>
      </c>
      <c r="M23" s="619">
        <f t="shared" si="41"/>
        <v>0</v>
      </c>
      <c r="N23" s="619">
        <f t="shared" si="41"/>
        <v>0</v>
      </c>
      <c r="O23" s="619">
        <f t="shared" si="7"/>
        <v>0</v>
      </c>
      <c r="P23" s="619">
        <f t="shared" si="41"/>
        <v>0</v>
      </c>
      <c r="Q23" s="619">
        <f t="shared" si="41"/>
        <v>0</v>
      </c>
      <c r="R23" s="619">
        <f t="shared" si="41"/>
        <v>0</v>
      </c>
      <c r="S23" s="619">
        <f t="shared" si="9"/>
        <v>0</v>
      </c>
      <c r="T23" s="619">
        <f t="shared" si="41"/>
        <v>0</v>
      </c>
      <c r="U23" s="619">
        <f t="shared" si="41"/>
        <v>0</v>
      </c>
      <c r="V23" s="619">
        <f t="shared" si="41"/>
        <v>0</v>
      </c>
      <c r="W23" s="619">
        <f t="shared" si="0"/>
        <v>0</v>
      </c>
      <c r="Y23" s="619">
        <f t="shared" ref="Y23:AA23" si="42">SUM(Y24:Y24)</f>
        <v>0</v>
      </c>
      <c r="Z23" s="619">
        <f t="shared" si="42"/>
        <v>0</v>
      </c>
      <c r="AA23" s="619">
        <f t="shared" si="42"/>
        <v>0</v>
      </c>
      <c r="AB23" s="619">
        <f t="shared" ref="AB23:AB35" si="43">SUM(Y23:AA23)</f>
        <v>0</v>
      </c>
      <c r="AC23" s="619">
        <v>0</v>
      </c>
      <c r="AD23" s="619">
        <v>0</v>
      </c>
      <c r="AE23" s="619">
        <v>0</v>
      </c>
      <c r="AF23" s="619">
        <v>0</v>
      </c>
      <c r="AG23" s="619">
        <v>0</v>
      </c>
      <c r="AH23" s="619">
        <v>0</v>
      </c>
      <c r="AI23" s="619">
        <v>0</v>
      </c>
      <c r="AJ23" s="619">
        <v>0</v>
      </c>
      <c r="AK23" s="619">
        <v>0</v>
      </c>
      <c r="AL23" s="619">
        <v>0</v>
      </c>
      <c r="AM23" s="619">
        <v>0</v>
      </c>
      <c r="AN23" s="619">
        <v>0</v>
      </c>
    </row>
    <row r="24" spans="1:40" x14ac:dyDescent="0.25">
      <c r="A24" s="430"/>
      <c r="B24" s="299" t="s">
        <v>317</v>
      </c>
      <c r="C24" s="445">
        <v>0</v>
      </c>
      <c r="D24" s="445">
        <v>0</v>
      </c>
      <c r="E24" s="445">
        <v>0</v>
      </c>
      <c r="F24" s="445">
        <v>0</v>
      </c>
      <c r="G24" s="445">
        <f t="shared" si="3"/>
        <v>0</v>
      </c>
      <c r="H24" s="445">
        <v>0</v>
      </c>
      <c r="I24" s="445">
        <v>0</v>
      </c>
      <c r="J24" s="445">
        <v>0</v>
      </c>
      <c r="K24" s="445">
        <f t="shared" si="5"/>
        <v>0</v>
      </c>
      <c r="L24" s="445">
        <v>0</v>
      </c>
      <c r="M24" s="445">
        <v>0</v>
      </c>
      <c r="N24" s="445">
        <v>0</v>
      </c>
      <c r="O24" s="445">
        <f t="shared" si="7"/>
        <v>0</v>
      </c>
      <c r="P24" s="445">
        <v>0</v>
      </c>
      <c r="Q24" s="445">
        <v>0</v>
      </c>
      <c r="R24" s="445">
        <v>0</v>
      </c>
      <c r="S24" s="445">
        <f t="shared" si="9"/>
        <v>0</v>
      </c>
      <c r="T24" s="445">
        <v>0</v>
      </c>
      <c r="U24" s="445">
        <v>0</v>
      </c>
      <c r="V24" s="445">
        <v>0</v>
      </c>
      <c r="W24" s="445">
        <f t="shared" si="0"/>
        <v>0</v>
      </c>
      <c r="Y24" s="445">
        <v>0</v>
      </c>
      <c r="Z24" s="445">
        <v>0</v>
      </c>
      <c r="AA24" s="445">
        <v>0</v>
      </c>
      <c r="AB24" s="445">
        <f t="shared" si="43"/>
        <v>0</v>
      </c>
      <c r="AC24" s="445">
        <v>0</v>
      </c>
      <c r="AD24" s="445">
        <v>0</v>
      </c>
      <c r="AE24" s="445">
        <v>0</v>
      </c>
      <c r="AF24" s="445">
        <v>0</v>
      </c>
      <c r="AG24" s="445">
        <v>0</v>
      </c>
      <c r="AH24" s="445">
        <v>0</v>
      </c>
      <c r="AI24" s="445">
        <v>0</v>
      </c>
      <c r="AJ24" s="445">
        <v>0</v>
      </c>
      <c r="AK24" s="445">
        <v>0</v>
      </c>
      <c r="AL24" s="445">
        <v>0</v>
      </c>
      <c r="AM24" s="445">
        <v>0</v>
      </c>
      <c r="AN24" s="445">
        <v>0</v>
      </c>
    </row>
    <row r="25" spans="1:40" x14ac:dyDescent="0.25">
      <c r="A25" s="456" t="s">
        <v>318</v>
      </c>
      <c r="B25" s="457" t="s">
        <v>319</v>
      </c>
      <c r="C25" s="458">
        <f t="shared" ref="C25:F25" si="44">C26+C28+C31</f>
        <v>0</v>
      </c>
      <c r="D25" s="458">
        <f t="shared" si="44"/>
        <v>0</v>
      </c>
      <c r="E25" s="458">
        <f t="shared" si="44"/>
        <v>0</v>
      </c>
      <c r="F25" s="458">
        <f t="shared" si="44"/>
        <v>0</v>
      </c>
      <c r="G25" s="458">
        <f t="shared" si="3"/>
        <v>0</v>
      </c>
      <c r="H25" s="458">
        <f t="shared" ref="H25:J25" si="45">H26+H28+H31</f>
        <v>0</v>
      </c>
      <c r="I25" s="458">
        <f t="shared" si="45"/>
        <v>0</v>
      </c>
      <c r="J25" s="458">
        <f t="shared" si="45"/>
        <v>0</v>
      </c>
      <c r="K25" s="458">
        <f t="shared" si="5"/>
        <v>0</v>
      </c>
      <c r="L25" s="458">
        <f t="shared" ref="L25:N25" si="46">L26+L28+L31</f>
        <v>0</v>
      </c>
      <c r="M25" s="458">
        <f t="shared" si="46"/>
        <v>0</v>
      </c>
      <c r="N25" s="458">
        <f t="shared" si="46"/>
        <v>0</v>
      </c>
      <c r="O25" s="458">
        <f t="shared" si="7"/>
        <v>0</v>
      </c>
      <c r="P25" s="458">
        <f t="shared" ref="P25:R25" si="47">P26+P28+P31</f>
        <v>0</v>
      </c>
      <c r="Q25" s="458">
        <f t="shared" si="47"/>
        <v>0</v>
      </c>
      <c r="R25" s="458">
        <f t="shared" si="47"/>
        <v>0</v>
      </c>
      <c r="S25" s="458">
        <f t="shared" si="9"/>
        <v>0</v>
      </c>
      <c r="T25" s="458">
        <f t="shared" ref="T25:V25" si="48">T26+T28+T31</f>
        <v>0</v>
      </c>
      <c r="U25" s="458">
        <f t="shared" si="48"/>
        <v>0</v>
      </c>
      <c r="V25" s="458">
        <f t="shared" si="48"/>
        <v>0</v>
      </c>
      <c r="W25" s="458">
        <f t="shared" si="0"/>
        <v>0</v>
      </c>
      <c r="Y25" s="458">
        <f t="shared" ref="Y25:AA25" si="49">Y26+Y28+Y31</f>
        <v>0</v>
      </c>
      <c r="Z25" s="458">
        <f t="shared" si="49"/>
        <v>0</v>
      </c>
      <c r="AA25" s="458">
        <f t="shared" si="49"/>
        <v>0</v>
      </c>
      <c r="AB25" s="458">
        <f t="shared" si="43"/>
        <v>0</v>
      </c>
      <c r="AC25" s="458">
        <v>0</v>
      </c>
      <c r="AD25" s="458">
        <v>0</v>
      </c>
      <c r="AE25" s="458">
        <v>0</v>
      </c>
      <c r="AF25" s="458">
        <v>0</v>
      </c>
      <c r="AG25" s="458">
        <v>0</v>
      </c>
      <c r="AH25" s="458">
        <v>0</v>
      </c>
      <c r="AI25" s="458">
        <v>0</v>
      </c>
      <c r="AJ25" s="458">
        <v>0</v>
      </c>
      <c r="AK25" s="458">
        <v>0</v>
      </c>
      <c r="AL25" s="458">
        <v>0</v>
      </c>
      <c r="AM25" s="458">
        <v>0</v>
      </c>
      <c r="AN25" s="458">
        <v>0</v>
      </c>
    </row>
    <row r="26" spans="1:40" ht="30" x14ac:dyDescent="0.25">
      <c r="A26" s="617" t="s">
        <v>311</v>
      </c>
      <c r="B26" s="618" t="s">
        <v>320</v>
      </c>
      <c r="C26" s="619">
        <f>SUM(C27:C27)</f>
        <v>0</v>
      </c>
      <c r="D26" s="619">
        <f t="shared" ref="D26:V26" si="50">SUM(D27:D27)</f>
        <v>0</v>
      </c>
      <c r="E26" s="619">
        <f t="shared" si="50"/>
        <v>0</v>
      </c>
      <c r="F26" s="619">
        <f t="shared" si="50"/>
        <v>0</v>
      </c>
      <c r="G26" s="619">
        <f t="shared" si="3"/>
        <v>0</v>
      </c>
      <c r="H26" s="619">
        <f t="shared" si="50"/>
        <v>0</v>
      </c>
      <c r="I26" s="619">
        <f t="shared" si="50"/>
        <v>0</v>
      </c>
      <c r="J26" s="619">
        <f t="shared" si="50"/>
        <v>0</v>
      </c>
      <c r="K26" s="619">
        <f t="shared" si="5"/>
        <v>0</v>
      </c>
      <c r="L26" s="619">
        <f t="shared" si="50"/>
        <v>0</v>
      </c>
      <c r="M26" s="619">
        <f t="shared" si="50"/>
        <v>0</v>
      </c>
      <c r="N26" s="619">
        <f t="shared" si="50"/>
        <v>0</v>
      </c>
      <c r="O26" s="619">
        <f t="shared" si="7"/>
        <v>0</v>
      </c>
      <c r="P26" s="619">
        <f t="shared" si="50"/>
        <v>0</v>
      </c>
      <c r="Q26" s="619">
        <f t="shared" si="50"/>
        <v>0</v>
      </c>
      <c r="R26" s="619">
        <f t="shared" si="50"/>
        <v>0</v>
      </c>
      <c r="S26" s="619">
        <f t="shared" si="9"/>
        <v>0</v>
      </c>
      <c r="T26" s="619">
        <f t="shared" si="50"/>
        <v>0</v>
      </c>
      <c r="U26" s="619">
        <f t="shared" si="50"/>
        <v>0</v>
      </c>
      <c r="V26" s="619">
        <f t="shared" si="50"/>
        <v>0</v>
      </c>
      <c r="W26" s="619">
        <f t="shared" si="0"/>
        <v>0</v>
      </c>
      <c r="Y26" s="619">
        <f t="shared" ref="Y26:AA26" si="51">SUM(Y27:Y27)</f>
        <v>0</v>
      </c>
      <c r="Z26" s="619">
        <f t="shared" si="51"/>
        <v>0</v>
      </c>
      <c r="AA26" s="619">
        <f t="shared" si="51"/>
        <v>0</v>
      </c>
      <c r="AB26" s="619">
        <f t="shared" si="43"/>
        <v>0</v>
      </c>
      <c r="AC26" s="619">
        <v>0</v>
      </c>
      <c r="AD26" s="619">
        <v>0</v>
      </c>
      <c r="AE26" s="619">
        <v>0</v>
      </c>
      <c r="AF26" s="619">
        <v>0</v>
      </c>
      <c r="AG26" s="619">
        <v>0</v>
      </c>
      <c r="AH26" s="619">
        <v>0</v>
      </c>
      <c r="AI26" s="619">
        <v>0</v>
      </c>
      <c r="AJ26" s="619">
        <v>0</v>
      </c>
      <c r="AK26" s="619">
        <v>0</v>
      </c>
      <c r="AL26" s="619">
        <v>0</v>
      </c>
      <c r="AM26" s="619">
        <v>0</v>
      </c>
      <c r="AN26" s="619">
        <v>0</v>
      </c>
    </row>
    <row r="27" spans="1:40" ht="30" x14ac:dyDescent="0.25">
      <c r="A27" s="430"/>
      <c r="B27" s="238" t="s">
        <v>321</v>
      </c>
      <c r="C27" s="445">
        <v>0</v>
      </c>
      <c r="D27" s="445">
        <v>0</v>
      </c>
      <c r="E27" s="445">
        <v>0</v>
      </c>
      <c r="F27" s="445">
        <v>0</v>
      </c>
      <c r="G27" s="445">
        <f t="shared" si="3"/>
        <v>0</v>
      </c>
      <c r="H27" s="445">
        <v>0</v>
      </c>
      <c r="I27" s="445">
        <v>0</v>
      </c>
      <c r="J27" s="445">
        <v>0</v>
      </c>
      <c r="K27" s="445">
        <f t="shared" si="5"/>
        <v>0</v>
      </c>
      <c r="L27" s="445">
        <v>0</v>
      </c>
      <c r="M27" s="445">
        <v>0</v>
      </c>
      <c r="N27" s="445">
        <v>0</v>
      </c>
      <c r="O27" s="445">
        <f t="shared" si="7"/>
        <v>0</v>
      </c>
      <c r="P27" s="445">
        <v>0</v>
      </c>
      <c r="Q27" s="445">
        <v>0</v>
      </c>
      <c r="R27" s="445">
        <v>0</v>
      </c>
      <c r="S27" s="445">
        <f t="shared" si="9"/>
        <v>0</v>
      </c>
      <c r="T27" s="445">
        <v>0</v>
      </c>
      <c r="U27" s="445">
        <v>0</v>
      </c>
      <c r="V27" s="445">
        <v>0</v>
      </c>
      <c r="W27" s="445">
        <f t="shared" si="0"/>
        <v>0</v>
      </c>
      <c r="Y27" s="445">
        <v>0</v>
      </c>
      <c r="Z27" s="445">
        <v>0</v>
      </c>
      <c r="AA27" s="445">
        <v>0</v>
      </c>
      <c r="AB27" s="445">
        <f t="shared" si="43"/>
        <v>0</v>
      </c>
      <c r="AC27" s="445">
        <v>0</v>
      </c>
      <c r="AD27" s="445">
        <v>0</v>
      </c>
      <c r="AE27" s="445">
        <v>0</v>
      </c>
      <c r="AF27" s="445">
        <v>0</v>
      </c>
      <c r="AG27" s="445">
        <v>0</v>
      </c>
      <c r="AH27" s="445">
        <v>0</v>
      </c>
      <c r="AI27" s="445">
        <v>0</v>
      </c>
      <c r="AJ27" s="445">
        <v>0</v>
      </c>
      <c r="AK27" s="445">
        <v>0</v>
      </c>
      <c r="AL27" s="445">
        <v>0</v>
      </c>
      <c r="AM27" s="445">
        <v>0</v>
      </c>
      <c r="AN27" s="445">
        <v>0</v>
      </c>
    </row>
    <row r="28" spans="1:40" x14ac:dyDescent="0.25">
      <c r="A28" s="617" t="s">
        <v>322</v>
      </c>
      <c r="B28" s="618" t="s">
        <v>257</v>
      </c>
      <c r="C28" s="619">
        <f>SUM(C29:C30)</f>
        <v>0</v>
      </c>
      <c r="D28" s="619">
        <f t="shared" ref="D28:F28" si="52">SUM(D29:D30)</f>
        <v>0</v>
      </c>
      <c r="E28" s="619">
        <f t="shared" si="52"/>
        <v>0</v>
      </c>
      <c r="F28" s="619">
        <f t="shared" si="52"/>
        <v>0</v>
      </c>
      <c r="G28" s="619">
        <f t="shared" si="3"/>
        <v>0</v>
      </c>
      <c r="H28" s="619">
        <f t="shared" ref="H28:J28" si="53">SUM(H29:H30)</f>
        <v>0</v>
      </c>
      <c r="I28" s="619">
        <f t="shared" si="53"/>
        <v>0</v>
      </c>
      <c r="J28" s="619">
        <f t="shared" si="53"/>
        <v>0</v>
      </c>
      <c r="K28" s="619">
        <f t="shared" si="5"/>
        <v>0</v>
      </c>
      <c r="L28" s="619">
        <f t="shared" ref="L28:N28" si="54">SUM(L29:L30)</f>
        <v>0</v>
      </c>
      <c r="M28" s="619">
        <f t="shared" si="54"/>
        <v>0</v>
      </c>
      <c r="N28" s="619">
        <f t="shared" si="54"/>
        <v>0</v>
      </c>
      <c r="O28" s="619">
        <f t="shared" si="7"/>
        <v>0</v>
      </c>
      <c r="P28" s="619">
        <f t="shared" ref="P28:R28" si="55">SUM(P29:P30)</f>
        <v>0</v>
      </c>
      <c r="Q28" s="619">
        <f t="shared" si="55"/>
        <v>0</v>
      </c>
      <c r="R28" s="619">
        <f t="shared" si="55"/>
        <v>0</v>
      </c>
      <c r="S28" s="619">
        <f t="shared" si="9"/>
        <v>0</v>
      </c>
      <c r="T28" s="619">
        <f t="shared" ref="T28:V28" si="56">SUM(T29:T30)</f>
        <v>0</v>
      </c>
      <c r="U28" s="619">
        <f t="shared" si="56"/>
        <v>0</v>
      </c>
      <c r="V28" s="619">
        <f t="shared" si="56"/>
        <v>0</v>
      </c>
      <c r="W28" s="619">
        <f t="shared" si="0"/>
        <v>0</v>
      </c>
      <c r="Y28" s="619">
        <f t="shared" ref="Y28:AA28" si="57">SUM(Y29:Y30)</f>
        <v>0</v>
      </c>
      <c r="Z28" s="619">
        <f t="shared" si="57"/>
        <v>0</v>
      </c>
      <c r="AA28" s="619">
        <f t="shared" si="57"/>
        <v>0</v>
      </c>
      <c r="AB28" s="619">
        <f t="shared" si="43"/>
        <v>0</v>
      </c>
      <c r="AC28" s="619">
        <v>0</v>
      </c>
      <c r="AD28" s="619">
        <v>0</v>
      </c>
      <c r="AE28" s="619">
        <v>0</v>
      </c>
      <c r="AF28" s="619">
        <v>0</v>
      </c>
      <c r="AG28" s="619">
        <v>0</v>
      </c>
      <c r="AH28" s="619">
        <v>0</v>
      </c>
      <c r="AI28" s="619">
        <v>0</v>
      </c>
      <c r="AJ28" s="619">
        <v>0</v>
      </c>
      <c r="AK28" s="619">
        <v>0</v>
      </c>
      <c r="AL28" s="619">
        <v>0</v>
      </c>
      <c r="AM28" s="619">
        <v>0</v>
      </c>
      <c r="AN28" s="619">
        <v>0</v>
      </c>
    </row>
    <row r="29" spans="1:40" x14ac:dyDescent="0.25">
      <c r="A29" s="430"/>
      <c r="B29" s="238" t="s">
        <v>323</v>
      </c>
      <c r="C29" s="445">
        <v>0</v>
      </c>
      <c r="D29" s="445">
        <v>0</v>
      </c>
      <c r="E29" s="445">
        <v>0</v>
      </c>
      <c r="F29" s="445">
        <v>0</v>
      </c>
      <c r="G29" s="445">
        <f t="shared" si="3"/>
        <v>0</v>
      </c>
      <c r="H29" s="445">
        <v>0</v>
      </c>
      <c r="I29" s="445">
        <v>0</v>
      </c>
      <c r="J29" s="445">
        <v>0</v>
      </c>
      <c r="K29" s="445">
        <f t="shared" si="5"/>
        <v>0</v>
      </c>
      <c r="L29" s="445">
        <v>0</v>
      </c>
      <c r="M29" s="445">
        <v>0</v>
      </c>
      <c r="N29" s="445">
        <v>0</v>
      </c>
      <c r="O29" s="445">
        <f t="shared" si="7"/>
        <v>0</v>
      </c>
      <c r="P29" s="445">
        <v>0</v>
      </c>
      <c r="Q29" s="445">
        <v>0</v>
      </c>
      <c r="R29" s="445">
        <v>0</v>
      </c>
      <c r="S29" s="445">
        <f t="shared" si="9"/>
        <v>0</v>
      </c>
      <c r="T29" s="445">
        <v>0</v>
      </c>
      <c r="U29" s="445">
        <v>0</v>
      </c>
      <c r="V29" s="445">
        <v>0</v>
      </c>
      <c r="W29" s="445">
        <f t="shared" si="0"/>
        <v>0</v>
      </c>
      <c r="Y29" s="445">
        <v>0</v>
      </c>
      <c r="Z29" s="445">
        <v>0</v>
      </c>
      <c r="AA29" s="445">
        <v>0</v>
      </c>
      <c r="AB29" s="445">
        <f t="shared" si="43"/>
        <v>0</v>
      </c>
      <c r="AC29" s="445">
        <v>0</v>
      </c>
      <c r="AD29" s="445">
        <v>0</v>
      </c>
      <c r="AE29" s="445">
        <v>0</v>
      </c>
      <c r="AF29" s="445">
        <v>0</v>
      </c>
      <c r="AG29" s="445">
        <v>0</v>
      </c>
      <c r="AH29" s="445">
        <v>0</v>
      </c>
      <c r="AI29" s="445">
        <v>0</v>
      </c>
      <c r="AJ29" s="445">
        <v>0</v>
      </c>
      <c r="AK29" s="445">
        <v>0</v>
      </c>
      <c r="AL29" s="445">
        <v>0</v>
      </c>
      <c r="AM29" s="445">
        <v>0</v>
      </c>
      <c r="AN29" s="445">
        <v>0</v>
      </c>
    </row>
    <row r="30" spans="1:40" x14ac:dyDescent="0.25">
      <c r="A30" s="430"/>
      <c r="B30" s="238" t="s">
        <v>324</v>
      </c>
      <c r="C30" s="445">
        <v>0</v>
      </c>
      <c r="D30" s="445">
        <v>0</v>
      </c>
      <c r="E30" s="445">
        <v>0</v>
      </c>
      <c r="F30" s="445">
        <v>0</v>
      </c>
      <c r="G30" s="445">
        <f t="shared" si="3"/>
        <v>0</v>
      </c>
      <c r="H30" s="445">
        <v>0</v>
      </c>
      <c r="I30" s="445">
        <v>0</v>
      </c>
      <c r="J30" s="445">
        <v>0</v>
      </c>
      <c r="K30" s="445">
        <f t="shared" si="5"/>
        <v>0</v>
      </c>
      <c r="L30" s="445">
        <v>0</v>
      </c>
      <c r="M30" s="445">
        <v>0</v>
      </c>
      <c r="N30" s="445">
        <v>0</v>
      </c>
      <c r="O30" s="445">
        <f t="shared" si="7"/>
        <v>0</v>
      </c>
      <c r="P30" s="445">
        <v>0</v>
      </c>
      <c r="Q30" s="445">
        <v>0</v>
      </c>
      <c r="R30" s="445">
        <v>0</v>
      </c>
      <c r="S30" s="445">
        <f t="shared" si="9"/>
        <v>0</v>
      </c>
      <c r="T30" s="445">
        <v>0</v>
      </c>
      <c r="U30" s="445">
        <v>0</v>
      </c>
      <c r="V30" s="445">
        <v>0</v>
      </c>
      <c r="W30" s="445">
        <f t="shared" si="0"/>
        <v>0</v>
      </c>
      <c r="Y30" s="445">
        <v>0</v>
      </c>
      <c r="Z30" s="445">
        <v>0</v>
      </c>
      <c r="AA30" s="445">
        <v>0</v>
      </c>
      <c r="AB30" s="445">
        <f t="shared" si="43"/>
        <v>0</v>
      </c>
      <c r="AC30" s="445">
        <v>0</v>
      </c>
      <c r="AD30" s="445">
        <v>0</v>
      </c>
      <c r="AE30" s="445">
        <v>0</v>
      </c>
      <c r="AF30" s="445">
        <v>0</v>
      </c>
      <c r="AG30" s="445">
        <v>0</v>
      </c>
      <c r="AH30" s="445">
        <v>0</v>
      </c>
      <c r="AI30" s="445">
        <v>0</v>
      </c>
      <c r="AJ30" s="445">
        <v>0</v>
      </c>
      <c r="AK30" s="445">
        <v>0</v>
      </c>
      <c r="AL30" s="445">
        <v>0</v>
      </c>
      <c r="AM30" s="445">
        <v>0</v>
      </c>
      <c r="AN30" s="445">
        <v>0</v>
      </c>
    </row>
    <row r="31" spans="1:40" x14ac:dyDescent="0.25">
      <c r="A31" s="617" t="s">
        <v>315</v>
      </c>
      <c r="B31" s="618" t="s">
        <v>325</v>
      </c>
      <c r="C31" s="619">
        <f>SUM(C32:C32)</f>
        <v>0</v>
      </c>
      <c r="D31" s="619">
        <f t="shared" ref="D31:V31" si="58">SUM(D32:D32)</f>
        <v>0</v>
      </c>
      <c r="E31" s="619">
        <f t="shared" si="58"/>
        <v>0</v>
      </c>
      <c r="F31" s="619">
        <f t="shared" si="58"/>
        <v>0</v>
      </c>
      <c r="G31" s="619">
        <f t="shared" si="3"/>
        <v>0</v>
      </c>
      <c r="H31" s="619">
        <f t="shared" si="58"/>
        <v>0</v>
      </c>
      <c r="I31" s="619">
        <f t="shared" si="58"/>
        <v>0</v>
      </c>
      <c r="J31" s="619">
        <f t="shared" si="58"/>
        <v>0</v>
      </c>
      <c r="K31" s="619">
        <f t="shared" si="5"/>
        <v>0</v>
      </c>
      <c r="L31" s="619">
        <f t="shared" si="58"/>
        <v>0</v>
      </c>
      <c r="M31" s="619">
        <f t="shared" si="58"/>
        <v>0</v>
      </c>
      <c r="N31" s="619">
        <f t="shared" si="58"/>
        <v>0</v>
      </c>
      <c r="O31" s="619">
        <f t="shared" si="7"/>
        <v>0</v>
      </c>
      <c r="P31" s="619">
        <f t="shared" si="58"/>
        <v>0</v>
      </c>
      <c r="Q31" s="619">
        <f t="shared" si="58"/>
        <v>0</v>
      </c>
      <c r="R31" s="619">
        <f t="shared" si="58"/>
        <v>0</v>
      </c>
      <c r="S31" s="619">
        <f t="shared" si="9"/>
        <v>0</v>
      </c>
      <c r="T31" s="619">
        <f t="shared" si="58"/>
        <v>0</v>
      </c>
      <c r="U31" s="619">
        <f t="shared" si="58"/>
        <v>0</v>
      </c>
      <c r="V31" s="619">
        <f t="shared" si="58"/>
        <v>0</v>
      </c>
      <c r="W31" s="619">
        <f t="shared" si="0"/>
        <v>0</v>
      </c>
      <c r="Y31" s="619">
        <f t="shared" ref="Y31:AA31" si="59">SUM(Y32:Y32)</f>
        <v>0</v>
      </c>
      <c r="Z31" s="619">
        <f t="shared" si="59"/>
        <v>0</v>
      </c>
      <c r="AA31" s="619">
        <f t="shared" si="59"/>
        <v>0</v>
      </c>
      <c r="AB31" s="619">
        <f t="shared" si="43"/>
        <v>0</v>
      </c>
      <c r="AC31" s="619">
        <v>0</v>
      </c>
      <c r="AD31" s="619">
        <v>0</v>
      </c>
      <c r="AE31" s="619">
        <v>0</v>
      </c>
      <c r="AF31" s="619">
        <v>0</v>
      </c>
      <c r="AG31" s="619">
        <v>0</v>
      </c>
      <c r="AH31" s="619">
        <v>0</v>
      </c>
      <c r="AI31" s="619">
        <v>0</v>
      </c>
      <c r="AJ31" s="619">
        <v>0</v>
      </c>
      <c r="AK31" s="619">
        <v>0</v>
      </c>
      <c r="AL31" s="619">
        <v>0</v>
      </c>
      <c r="AM31" s="619">
        <v>0</v>
      </c>
      <c r="AN31" s="619">
        <v>0</v>
      </c>
    </row>
    <row r="32" spans="1:40" x14ac:dyDescent="0.25">
      <c r="A32" s="430"/>
      <c r="B32" s="238" t="s">
        <v>326</v>
      </c>
      <c r="C32" s="445">
        <v>0</v>
      </c>
      <c r="D32" s="445">
        <v>0</v>
      </c>
      <c r="E32" s="445">
        <v>0</v>
      </c>
      <c r="F32" s="445">
        <v>0</v>
      </c>
      <c r="G32" s="445">
        <f t="shared" si="3"/>
        <v>0</v>
      </c>
      <c r="H32" s="445">
        <v>0</v>
      </c>
      <c r="I32" s="445">
        <v>0</v>
      </c>
      <c r="J32" s="445">
        <v>0</v>
      </c>
      <c r="K32" s="445">
        <f t="shared" si="5"/>
        <v>0</v>
      </c>
      <c r="L32" s="445">
        <v>0</v>
      </c>
      <c r="M32" s="445">
        <v>0</v>
      </c>
      <c r="N32" s="445">
        <v>0</v>
      </c>
      <c r="O32" s="445">
        <f t="shared" si="7"/>
        <v>0</v>
      </c>
      <c r="P32" s="445">
        <v>0</v>
      </c>
      <c r="Q32" s="445">
        <v>0</v>
      </c>
      <c r="R32" s="445">
        <v>0</v>
      </c>
      <c r="S32" s="445">
        <f t="shared" si="9"/>
        <v>0</v>
      </c>
      <c r="T32" s="445">
        <v>0</v>
      </c>
      <c r="U32" s="445">
        <v>0</v>
      </c>
      <c r="V32" s="445">
        <v>0</v>
      </c>
      <c r="W32" s="445">
        <f t="shared" si="0"/>
        <v>0</v>
      </c>
      <c r="Y32" s="445">
        <v>0</v>
      </c>
      <c r="Z32" s="445">
        <v>0</v>
      </c>
      <c r="AA32" s="445">
        <v>0</v>
      </c>
      <c r="AB32" s="445">
        <f t="shared" si="43"/>
        <v>0</v>
      </c>
      <c r="AC32" s="445">
        <v>0</v>
      </c>
      <c r="AD32" s="445">
        <v>0</v>
      </c>
      <c r="AE32" s="445">
        <v>0</v>
      </c>
      <c r="AF32" s="445">
        <v>0</v>
      </c>
      <c r="AG32" s="445">
        <v>0</v>
      </c>
      <c r="AH32" s="445">
        <v>0</v>
      </c>
      <c r="AI32" s="445">
        <v>0</v>
      </c>
      <c r="AJ32" s="445">
        <v>0</v>
      </c>
      <c r="AK32" s="445">
        <v>0</v>
      </c>
      <c r="AL32" s="445">
        <v>0</v>
      </c>
      <c r="AM32" s="445">
        <v>0</v>
      </c>
      <c r="AN32" s="445">
        <v>0</v>
      </c>
    </row>
    <row r="33" spans="1:40" x14ac:dyDescent="0.25">
      <c r="A33" s="589"/>
      <c r="B33" s="621" t="s">
        <v>327</v>
      </c>
      <c r="C33" s="622">
        <f>C25+C8</f>
        <v>0</v>
      </c>
      <c r="D33" s="622">
        <f t="shared" ref="D33:F33" si="60">D25+D8</f>
        <v>6950</v>
      </c>
      <c r="E33" s="622">
        <f t="shared" si="60"/>
        <v>0</v>
      </c>
      <c r="F33" s="622">
        <f t="shared" si="60"/>
        <v>0</v>
      </c>
      <c r="G33" s="622">
        <f t="shared" si="3"/>
        <v>6950</v>
      </c>
      <c r="H33" s="622">
        <f t="shared" ref="H33:J33" si="61">H25+H8</f>
        <v>12725</v>
      </c>
      <c r="I33" s="622">
        <f t="shared" si="61"/>
        <v>0</v>
      </c>
      <c r="J33" s="622">
        <f t="shared" si="61"/>
        <v>0</v>
      </c>
      <c r="K33" s="622">
        <f t="shared" si="5"/>
        <v>12725</v>
      </c>
      <c r="L33" s="622">
        <f t="shared" ref="L33:N33" si="62">L25+L8</f>
        <v>13189</v>
      </c>
      <c r="M33" s="622">
        <f t="shared" si="62"/>
        <v>0</v>
      </c>
      <c r="N33" s="622">
        <f t="shared" si="62"/>
        <v>0</v>
      </c>
      <c r="O33" s="622">
        <f t="shared" si="7"/>
        <v>13189</v>
      </c>
      <c r="P33" s="622">
        <f t="shared" ref="P33:R33" si="63">P25+P8</f>
        <v>0</v>
      </c>
      <c r="Q33" s="622">
        <f t="shared" si="63"/>
        <v>0</v>
      </c>
      <c r="R33" s="622">
        <f t="shared" si="63"/>
        <v>0</v>
      </c>
      <c r="S33" s="622">
        <f t="shared" si="9"/>
        <v>0</v>
      </c>
      <c r="T33" s="622">
        <f t="shared" ref="T33:V33" si="64">T25+T8</f>
        <v>5775</v>
      </c>
      <c r="U33" s="622">
        <f t="shared" si="64"/>
        <v>0</v>
      </c>
      <c r="V33" s="622">
        <f t="shared" si="64"/>
        <v>0</v>
      </c>
      <c r="W33" s="622">
        <f t="shared" si="0"/>
        <v>5775</v>
      </c>
      <c r="Y33" s="622">
        <f t="shared" ref="Y33:AE33" si="65">Y25+Y8</f>
        <v>10000</v>
      </c>
      <c r="Z33" s="622">
        <f t="shared" si="65"/>
        <v>0</v>
      </c>
      <c r="AA33" s="622">
        <f t="shared" si="65"/>
        <v>0</v>
      </c>
      <c r="AB33" s="622">
        <f t="shared" si="43"/>
        <v>10000</v>
      </c>
      <c r="AC33" s="622">
        <f t="shared" si="65"/>
        <v>18462</v>
      </c>
      <c r="AD33" s="622">
        <f t="shared" si="65"/>
        <v>0</v>
      </c>
      <c r="AE33" s="622">
        <f t="shared" si="65"/>
        <v>0</v>
      </c>
      <c r="AF33" s="622">
        <f>SUM(AC33:AE33)</f>
        <v>18462</v>
      </c>
      <c r="AG33" s="622">
        <f t="shared" ref="AG33:AI33" si="66">AG25+AG8</f>
        <v>23235</v>
      </c>
      <c r="AH33" s="622">
        <f t="shared" si="66"/>
        <v>0</v>
      </c>
      <c r="AI33" s="622">
        <f t="shared" si="66"/>
        <v>0</v>
      </c>
      <c r="AJ33" s="622">
        <f t="shared" ref="AJ33:AJ40" si="67">SUM(AG33:AI33)</f>
        <v>23235</v>
      </c>
      <c r="AK33" s="622">
        <f t="shared" ref="AK33" si="68">AK25+AK8</f>
        <v>10082</v>
      </c>
      <c r="AL33" s="622">
        <f t="shared" ref="AL33:AM33" si="69">AL25+AL8</f>
        <v>0</v>
      </c>
      <c r="AM33" s="622">
        <f t="shared" si="69"/>
        <v>0</v>
      </c>
      <c r="AN33" s="622">
        <f t="shared" ref="AN33:AN40" si="70">SUM(AK33:AM33)</f>
        <v>10082</v>
      </c>
    </row>
    <row r="34" spans="1:40" x14ac:dyDescent="0.25">
      <c r="A34" s="456" t="s">
        <v>328</v>
      </c>
      <c r="B34" s="457" t="s">
        <v>329</v>
      </c>
      <c r="C34" s="458">
        <f t="shared" ref="C34:V34" si="71">C35</f>
        <v>0</v>
      </c>
      <c r="D34" s="458">
        <f t="shared" si="71"/>
        <v>167490</v>
      </c>
      <c r="E34" s="458">
        <f t="shared" si="71"/>
        <v>17774</v>
      </c>
      <c r="F34" s="458">
        <f t="shared" si="71"/>
        <v>93015</v>
      </c>
      <c r="G34" s="458">
        <f t="shared" si="3"/>
        <v>278279</v>
      </c>
      <c r="H34" s="458">
        <f t="shared" si="71"/>
        <v>161938</v>
      </c>
      <c r="I34" s="458">
        <f t="shared" si="71"/>
        <v>17774</v>
      </c>
      <c r="J34" s="458">
        <f t="shared" si="71"/>
        <v>99193</v>
      </c>
      <c r="K34" s="458">
        <f t="shared" si="5"/>
        <v>278905</v>
      </c>
      <c r="L34" s="458">
        <f t="shared" si="71"/>
        <v>180322</v>
      </c>
      <c r="M34" s="458">
        <f t="shared" si="71"/>
        <v>17987</v>
      </c>
      <c r="N34" s="458">
        <f t="shared" si="71"/>
        <v>103243</v>
      </c>
      <c r="O34" s="458">
        <f t="shared" si="7"/>
        <v>301552</v>
      </c>
      <c r="P34" s="458">
        <f t="shared" si="71"/>
        <v>174440</v>
      </c>
      <c r="Q34" s="458">
        <f t="shared" si="71"/>
        <v>174440</v>
      </c>
      <c r="R34" s="458">
        <f t="shared" si="71"/>
        <v>174440</v>
      </c>
      <c r="S34" s="458">
        <f t="shared" si="9"/>
        <v>523320</v>
      </c>
      <c r="T34" s="458">
        <f t="shared" si="71"/>
        <v>50547</v>
      </c>
      <c r="U34" s="458">
        <f t="shared" si="71"/>
        <v>4780</v>
      </c>
      <c r="V34" s="458">
        <f t="shared" si="71"/>
        <v>32299</v>
      </c>
      <c r="W34" s="458">
        <f t="shared" si="0"/>
        <v>87626</v>
      </c>
      <c r="Y34" s="458">
        <f t="shared" ref="Y34:AM34" si="72">Y35</f>
        <v>176390</v>
      </c>
      <c r="Z34" s="458">
        <f t="shared" si="72"/>
        <v>19176</v>
      </c>
      <c r="AA34" s="458">
        <f t="shared" si="72"/>
        <v>99368</v>
      </c>
      <c r="AB34" s="458">
        <f t="shared" si="43"/>
        <v>294934</v>
      </c>
      <c r="AC34" s="458">
        <f t="shared" si="72"/>
        <v>202397</v>
      </c>
      <c r="AD34" s="458">
        <f t="shared" si="72"/>
        <v>19176</v>
      </c>
      <c r="AE34" s="458">
        <f t="shared" si="72"/>
        <v>99368</v>
      </c>
      <c r="AF34" s="458">
        <f>SUM(AC34:AE34)</f>
        <v>320941</v>
      </c>
      <c r="AG34" s="458">
        <f t="shared" si="72"/>
        <v>199703</v>
      </c>
      <c r="AH34" s="458">
        <f t="shared" si="72"/>
        <v>19176</v>
      </c>
      <c r="AI34" s="458">
        <f t="shared" si="72"/>
        <v>102312</v>
      </c>
      <c r="AJ34" s="458">
        <f t="shared" si="67"/>
        <v>321191</v>
      </c>
      <c r="AK34" s="458">
        <f t="shared" si="72"/>
        <v>177732</v>
      </c>
      <c r="AL34" s="458">
        <f t="shared" si="72"/>
        <v>0</v>
      </c>
      <c r="AM34" s="458">
        <f t="shared" si="72"/>
        <v>0</v>
      </c>
      <c r="AN34" s="458">
        <f t="shared" si="70"/>
        <v>177732</v>
      </c>
    </row>
    <row r="35" spans="1:40" x14ac:dyDescent="0.25">
      <c r="A35" s="617" t="s">
        <v>311</v>
      </c>
      <c r="B35" s="618" t="s">
        <v>330</v>
      </c>
      <c r="C35" s="619">
        <f>SUM(C36:C37)</f>
        <v>0</v>
      </c>
      <c r="D35" s="619">
        <f t="shared" ref="D35:F35" si="73">SUM(D36:D37)</f>
        <v>167490</v>
      </c>
      <c r="E35" s="619">
        <f t="shared" si="73"/>
        <v>17774</v>
      </c>
      <c r="F35" s="619">
        <f t="shared" si="73"/>
        <v>93015</v>
      </c>
      <c r="G35" s="619">
        <f t="shared" si="3"/>
        <v>278279</v>
      </c>
      <c r="H35" s="619">
        <f t="shared" ref="H35:J35" si="74">SUM(H36:H37)</f>
        <v>161938</v>
      </c>
      <c r="I35" s="619">
        <f t="shared" si="74"/>
        <v>17774</v>
      </c>
      <c r="J35" s="619">
        <f t="shared" si="74"/>
        <v>99193</v>
      </c>
      <c r="K35" s="619">
        <f t="shared" si="5"/>
        <v>278905</v>
      </c>
      <c r="L35" s="619">
        <f t="shared" ref="L35:N35" si="75">SUM(L36:L37)</f>
        <v>180322</v>
      </c>
      <c r="M35" s="619">
        <f t="shared" si="75"/>
        <v>17987</v>
      </c>
      <c r="N35" s="619">
        <f t="shared" si="75"/>
        <v>103243</v>
      </c>
      <c r="O35" s="619">
        <f t="shared" si="7"/>
        <v>301552</v>
      </c>
      <c r="P35" s="619">
        <f t="shared" ref="P35:R35" si="76">SUM(P36:P37)</f>
        <v>174440</v>
      </c>
      <c r="Q35" s="619">
        <f t="shared" si="76"/>
        <v>174440</v>
      </c>
      <c r="R35" s="619">
        <f t="shared" si="76"/>
        <v>174440</v>
      </c>
      <c r="S35" s="619">
        <f t="shared" si="9"/>
        <v>523320</v>
      </c>
      <c r="T35" s="619">
        <f t="shared" ref="T35:V35" si="77">SUM(T36:T37)</f>
        <v>50547</v>
      </c>
      <c r="U35" s="619">
        <f t="shared" si="77"/>
        <v>4780</v>
      </c>
      <c r="V35" s="619">
        <f t="shared" si="77"/>
        <v>32299</v>
      </c>
      <c r="W35" s="619">
        <f t="shared" si="0"/>
        <v>87626</v>
      </c>
      <c r="Y35" s="619">
        <f t="shared" ref="Y35:AE35" si="78">SUM(Y36:Y37)</f>
        <v>176390</v>
      </c>
      <c r="Z35" s="619">
        <f t="shared" si="78"/>
        <v>19176</v>
      </c>
      <c r="AA35" s="619">
        <f t="shared" si="78"/>
        <v>99368</v>
      </c>
      <c r="AB35" s="619">
        <f t="shared" si="43"/>
        <v>294934</v>
      </c>
      <c r="AC35" s="619">
        <f t="shared" si="78"/>
        <v>202397</v>
      </c>
      <c r="AD35" s="619">
        <f t="shared" si="78"/>
        <v>19176</v>
      </c>
      <c r="AE35" s="619">
        <f t="shared" si="78"/>
        <v>99368</v>
      </c>
      <c r="AF35" s="619">
        <f>SUM(AC35:AE35)</f>
        <v>320941</v>
      </c>
      <c r="AG35" s="619">
        <f t="shared" ref="AG35:AI35" si="79">SUM(AG36:AG37)</f>
        <v>199703</v>
      </c>
      <c r="AH35" s="619">
        <f t="shared" si="79"/>
        <v>19176</v>
      </c>
      <c r="AI35" s="619">
        <f t="shared" si="79"/>
        <v>102312</v>
      </c>
      <c r="AJ35" s="619">
        <f t="shared" si="67"/>
        <v>321191</v>
      </c>
      <c r="AK35" s="619">
        <f t="shared" ref="AK35:AM35" si="80">SUM(AK36:AK37)</f>
        <v>177732</v>
      </c>
      <c r="AL35" s="619">
        <f t="shared" si="80"/>
        <v>0</v>
      </c>
      <c r="AM35" s="619">
        <f t="shared" si="80"/>
        <v>0</v>
      </c>
      <c r="AN35" s="619">
        <f t="shared" si="70"/>
        <v>177732</v>
      </c>
    </row>
    <row r="36" spans="1:40" x14ac:dyDescent="0.25">
      <c r="A36" s="430"/>
      <c r="B36" s="238" t="s">
        <v>331</v>
      </c>
      <c r="C36" s="445"/>
      <c r="D36" s="445"/>
      <c r="E36" s="445"/>
      <c r="F36" s="445"/>
      <c r="G36" s="445"/>
      <c r="H36" s="445"/>
      <c r="I36" s="445"/>
      <c r="J36" s="445"/>
      <c r="K36" s="445"/>
      <c r="L36" s="445">
        <v>22380</v>
      </c>
      <c r="M36" s="445"/>
      <c r="N36" s="445"/>
      <c r="O36" s="445"/>
      <c r="P36" s="445"/>
      <c r="Q36" s="445"/>
      <c r="R36" s="445"/>
      <c r="S36" s="445"/>
      <c r="T36" s="445">
        <v>0</v>
      </c>
      <c r="U36" s="445">
        <v>0</v>
      </c>
      <c r="V36" s="445">
        <v>0</v>
      </c>
      <c r="W36" s="445">
        <f t="shared" si="0"/>
        <v>0</v>
      </c>
      <c r="Y36" s="445"/>
      <c r="Z36" s="445"/>
      <c r="AA36" s="445"/>
      <c r="AB36" s="445"/>
      <c r="AC36" s="445">
        <v>25528</v>
      </c>
      <c r="AD36" s="445"/>
      <c r="AE36" s="445"/>
      <c r="AF36" s="445"/>
      <c r="AG36" s="445">
        <v>25528</v>
      </c>
      <c r="AH36" s="445"/>
      <c r="AI36" s="445"/>
      <c r="AJ36" s="445">
        <f t="shared" si="67"/>
        <v>25528</v>
      </c>
      <c r="AK36" s="445">
        <v>25528</v>
      </c>
      <c r="AL36" s="445"/>
      <c r="AM36" s="445"/>
      <c r="AN36" s="445">
        <f t="shared" si="70"/>
        <v>25528</v>
      </c>
    </row>
    <row r="37" spans="1:40" x14ac:dyDescent="0.25">
      <c r="A37" s="430"/>
      <c r="B37" s="238" t="s">
        <v>332</v>
      </c>
      <c r="C37" s="445"/>
      <c r="D37" s="445">
        <f t="shared" ref="D37:S37" si="81">D39+D45-D33-D36</f>
        <v>167490</v>
      </c>
      <c r="E37" s="445">
        <f t="shared" si="81"/>
        <v>17774</v>
      </c>
      <c r="F37" s="445">
        <f t="shared" si="81"/>
        <v>93015</v>
      </c>
      <c r="G37" s="445">
        <f t="shared" si="81"/>
        <v>278279</v>
      </c>
      <c r="H37" s="445">
        <f t="shared" si="81"/>
        <v>161938</v>
      </c>
      <c r="I37" s="445">
        <f t="shared" si="81"/>
        <v>17774</v>
      </c>
      <c r="J37" s="445">
        <f t="shared" si="81"/>
        <v>99193</v>
      </c>
      <c r="K37" s="445">
        <f t="shared" si="81"/>
        <v>278905</v>
      </c>
      <c r="L37" s="445">
        <v>157942</v>
      </c>
      <c r="M37" s="445">
        <v>17987</v>
      </c>
      <c r="N37" s="445">
        <v>103243</v>
      </c>
      <c r="O37" s="445">
        <f>SUM(L37:N37)</f>
        <v>279172</v>
      </c>
      <c r="P37" s="445">
        <f t="shared" si="81"/>
        <v>174440</v>
      </c>
      <c r="Q37" s="445">
        <f t="shared" si="81"/>
        <v>174440</v>
      </c>
      <c r="R37" s="445">
        <f t="shared" si="81"/>
        <v>174440</v>
      </c>
      <c r="S37" s="445">
        <f t="shared" si="81"/>
        <v>523320</v>
      </c>
      <c r="T37" s="445">
        <v>50547</v>
      </c>
      <c r="U37" s="445">
        <v>4780</v>
      </c>
      <c r="V37" s="445">
        <v>32299</v>
      </c>
      <c r="W37" s="445">
        <f t="shared" si="0"/>
        <v>87626</v>
      </c>
      <c r="Y37" s="445">
        <f t="shared" ref="Y37:AI37" si="82">Y39+Y45-Y33-Y36</f>
        <v>176390</v>
      </c>
      <c r="Z37" s="445">
        <f t="shared" si="82"/>
        <v>19176</v>
      </c>
      <c r="AA37" s="445">
        <f t="shared" si="82"/>
        <v>99368</v>
      </c>
      <c r="AB37" s="445">
        <f>SUM(Y37:AA37)</f>
        <v>294934</v>
      </c>
      <c r="AC37" s="445">
        <f t="shared" si="82"/>
        <v>176869</v>
      </c>
      <c r="AD37" s="445">
        <f t="shared" si="82"/>
        <v>19176</v>
      </c>
      <c r="AE37" s="445">
        <f t="shared" si="82"/>
        <v>99368</v>
      </c>
      <c r="AF37" s="445">
        <f>SUM(AC37:AE37)</f>
        <v>295413</v>
      </c>
      <c r="AG37" s="445">
        <f>AG39+AG45-AG33-AG36</f>
        <v>174175</v>
      </c>
      <c r="AH37" s="445">
        <f t="shared" si="82"/>
        <v>19176</v>
      </c>
      <c r="AI37" s="445">
        <f t="shared" si="82"/>
        <v>102312</v>
      </c>
      <c r="AJ37" s="445">
        <f>SUM(AG37:AI37)</f>
        <v>295663</v>
      </c>
      <c r="AK37" s="445">
        <v>152204</v>
      </c>
      <c r="AL37" s="445"/>
      <c r="AM37" s="445"/>
      <c r="AN37" s="445">
        <f t="shared" si="70"/>
        <v>152204</v>
      </c>
    </row>
    <row r="38" spans="1:40" x14ac:dyDescent="0.25">
      <c r="A38" s="617"/>
      <c r="B38" s="624" t="s">
        <v>333</v>
      </c>
      <c r="C38" s="625">
        <f>C34+C25+C8</f>
        <v>0</v>
      </c>
      <c r="D38" s="625">
        <f t="shared" ref="D38:F38" si="83">D34+D25+D8</f>
        <v>174440</v>
      </c>
      <c r="E38" s="625">
        <f t="shared" si="83"/>
        <v>17774</v>
      </c>
      <c r="F38" s="625">
        <f t="shared" si="83"/>
        <v>93015</v>
      </c>
      <c r="G38" s="625">
        <f t="shared" si="3"/>
        <v>285229</v>
      </c>
      <c r="H38" s="625">
        <f t="shared" ref="H38:J38" si="84">H34+H25+H8</f>
        <v>174663</v>
      </c>
      <c r="I38" s="625">
        <f t="shared" si="84"/>
        <v>17774</v>
      </c>
      <c r="J38" s="625">
        <f t="shared" si="84"/>
        <v>99193</v>
      </c>
      <c r="K38" s="625">
        <f t="shared" si="5"/>
        <v>291630</v>
      </c>
      <c r="L38" s="625">
        <f t="shared" ref="L38:N38" si="85">L34+L25+L8</f>
        <v>193511</v>
      </c>
      <c r="M38" s="625">
        <f t="shared" si="85"/>
        <v>17987</v>
      </c>
      <c r="N38" s="625">
        <f t="shared" si="85"/>
        <v>103243</v>
      </c>
      <c r="O38" s="625">
        <f t="shared" si="7"/>
        <v>314741</v>
      </c>
      <c r="P38" s="625">
        <f t="shared" ref="P38:R38" si="86">P34+P25+P8</f>
        <v>174440</v>
      </c>
      <c r="Q38" s="625">
        <f t="shared" si="86"/>
        <v>174440</v>
      </c>
      <c r="R38" s="625">
        <f t="shared" si="86"/>
        <v>174440</v>
      </c>
      <c r="S38" s="625">
        <f t="shared" si="9"/>
        <v>523320</v>
      </c>
      <c r="T38" s="625">
        <f t="shared" ref="T38:V38" si="87">T34+T25+T8</f>
        <v>56322</v>
      </c>
      <c r="U38" s="625">
        <f t="shared" si="87"/>
        <v>4780</v>
      </c>
      <c r="V38" s="625">
        <f t="shared" si="87"/>
        <v>32299</v>
      </c>
      <c r="W38" s="625">
        <f t="shared" si="0"/>
        <v>93401</v>
      </c>
      <c r="Y38" s="625">
        <f t="shared" ref="Y38:AA38" si="88">Y34+Y25+Y8</f>
        <v>186390</v>
      </c>
      <c r="Z38" s="625">
        <f t="shared" si="88"/>
        <v>19176</v>
      </c>
      <c r="AA38" s="625">
        <f t="shared" si="88"/>
        <v>99368</v>
      </c>
      <c r="AB38" s="625">
        <f t="shared" ref="AB38:AB39" si="89">SUM(Y38:AA38)</f>
        <v>304934</v>
      </c>
      <c r="AC38" s="625">
        <v>186390</v>
      </c>
      <c r="AD38" s="625">
        <v>19176</v>
      </c>
      <c r="AE38" s="625">
        <v>99368</v>
      </c>
      <c r="AF38" s="625">
        <v>304934</v>
      </c>
      <c r="AG38" s="625">
        <f t="shared" ref="AG38:AM38" si="90">AG34+AG25+AG8</f>
        <v>222938</v>
      </c>
      <c r="AH38" s="625">
        <f t="shared" si="90"/>
        <v>19176</v>
      </c>
      <c r="AI38" s="625">
        <f t="shared" si="90"/>
        <v>102312</v>
      </c>
      <c r="AJ38" s="625">
        <f t="shared" si="67"/>
        <v>344426</v>
      </c>
      <c r="AK38" s="625">
        <f t="shared" si="90"/>
        <v>187814</v>
      </c>
      <c r="AL38" s="625">
        <f t="shared" si="90"/>
        <v>0</v>
      </c>
      <c r="AM38" s="625">
        <f t="shared" si="90"/>
        <v>0</v>
      </c>
      <c r="AN38" s="625">
        <f t="shared" si="70"/>
        <v>187814</v>
      </c>
    </row>
    <row r="39" spans="1:40" x14ac:dyDescent="0.25">
      <c r="A39" s="456" t="s">
        <v>309</v>
      </c>
      <c r="B39" s="457" t="s">
        <v>334</v>
      </c>
      <c r="C39" s="458">
        <f t="shared" ref="C39:F39" si="91">SUM(C40:C44)</f>
        <v>0</v>
      </c>
      <c r="D39" s="458">
        <f t="shared" si="91"/>
        <v>174440</v>
      </c>
      <c r="E39" s="458">
        <f t="shared" si="91"/>
        <v>17774</v>
      </c>
      <c r="F39" s="458">
        <f t="shared" si="91"/>
        <v>93015</v>
      </c>
      <c r="G39" s="458">
        <f t="shared" si="3"/>
        <v>285229</v>
      </c>
      <c r="H39" s="458">
        <f t="shared" ref="H39:J39" si="92">SUM(H40:H44)</f>
        <v>174663</v>
      </c>
      <c r="I39" s="458">
        <f t="shared" si="92"/>
        <v>17774</v>
      </c>
      <c r="J39" s="458">
        <f t="shared" si="92"/>
        <v>99193</v>
      </c>
      <c r="K39" s="458">
        <f t="shared" si="5"/>
        <v>291630</v>
      </c>
      <c r="L39" s="458">
        <f t="shared" ref="L39:N39" si="93">SUM(L40:L44)</f>
        <v>193511</v>
      </c>
      <c r="M39" s="458">
        <f t="shared" si="93"/>
        <v>17987</v>
      </c>
      <c r="N39" s="458">
        <f t="shared" si="93"/>
        <v>103243</v>
      </c>
      <c r="O39" s="458">
        <f t="shared" si="7"/>
        <v>314741</v>
      </c>
      <c r="P39" s="458">
        <f t="shared" ref="P39:R39" si="94">SUM(P40:P44)</f>
        <v>174440</v>
      </c>
      <c r="Q39" s="458">
        <f t="shared" si="94"/>
        <v>174440</v>
      </c>
      <c r="R39" s="458">
        <f t="shared" si="94"/>
        <v>174440</v>
      </c>
      <c r="S39" s="458">
        <f t="shared" si="9"/>
        <v>523320</v>
      </c>
      <c r="T39" s="458">
        <f t="shared" ref="T39:V39" si="95">SUM(T40:T44)</f>
        <v>50547</v>
      </c>
      <c r="U39" s="458">
        <f t="shared" si="95"/>
        <v>4780</v>
      </c>
      <c r="V39" s="458">
        <f t="shared" si="95"/>
        <v>25881</v>
      </c>
      <c r="W39" s="458">
        <f t="shared" si="0"/>
        <v>81208</v>
      </c>
      <c r="Y39" s="458">
        <f t="shared" ref="Y39:AE39" si="96">SUM(Y40:Y44)</f>
        <v>186390</v>
      </c>
      <c r="Z39" s="458">
        <f t="shared" si="96"/>
        <v>19176</v>
      </c>
      <c r="AA39" s="458">
        <f t="shared" si="96"/>
        <v>99368</v>
      </c>
      <c r="AB39" s="458">
        <f t="shared" si="89"/>
        <v>304934</v>
      </c>
      <c r="AC39" s="458">
        <f t="shared" si="96"/>
        <v>219440</v>
      </c>
      <c r="AD39" s="458">
        <f t="shared" si="96"/>
        <v>19176</v>
      </c>
      <c r="AE39" s="458">
        <f t="shared" si="96"/>
        <v>99368</v>
      </c>
      <c r="AF39" s="458">
        <f>SUM(AC39:AE39)</f>
        <v>337984</v>
      </c>
      <c r="AG39" s="458">
        <f t="shared" ref="AG39:AI39" si="97">SUM(AG40:AG44)</f>
        <v>220658</v>
      </c>
      <c r="AH39" s="458">
        <f t="shared" si="97"/>
        <v>19176</v>
      </c>
      <c r="AI39" s="458">
        <f t="shared" si="97"/>
        <v>102312</v>
      </c>
      <c r="AJ39" s="458">
        <f t="shared" si="67"/>
        <v>342146</v>
      </c>
      <c r="AK39" s="458">
        <f t="shared" ref="AK39:AM39" si="98">SUM(AK40:AK44)</f>
        <v>98768</v>
      </c>
      <c r="AL39" s="458">
        <f t="shared" si="98"/>
        <v>10536</v>
      </c>
      <c r="AM39" s="458">
        <f t="shared" si="98"/>
        <v>47565</v>
      </c>
      <c r="AN39" s="458">
        <f t="shared" si="70"/>
        <v>156869</v>
      </c>
    </row>
    <row r="40" spans="1:40" x14ac:dyDescent="0.25">
      <c r="A40" s="667" t="s">
        <v>311</v>
      </c>
      <c r="B40" s="668" t="s">
        <v>286</v>
      </c>
      <c r="C40" s="669"/>
      <c r="D40" s="669">
        <f>'3.2. PH fel'!G7+'3.2. PH fel'!G13+'3.2. PH fel'!G17</f>
        <v>111566</v>
      </c>
      <c r="E40" s="669">
        <f>'3.2. PH fel'!G21+'3.2. PH fel'!G26</f>
        <v>14037</v>
      </c>
      <c r="F40" s="669">
        <f>'3.2. PH fel'!G37</f>
        <v>60551</v>
      </c>
      <c r="G40" s="669">
        <f>SUM(D40:F40)</f>
        <v>186154</v>
      </c>
      <c r="H40" s="669">
        <f>'3.2. PH fel'!K7+'3.2. PH fel'!K13+'3.2. PH fel'!K17</f>
        <v>111742</v>
      </c>
      <c r="I40" s="669">
        <f>'3.2. PH fel'!K21+'3.2. PH fel'!K26</f>
        <v>14037</v>
      </c>
      <c r="J40" s="669">
        <f>'3.2. PH fel'!K37</f>
        <v>60551</v>
      </c>
      <c r="K40" s="669">
        <f>SUM(H40:J40)</f>
        <v>186330</v>
      </c>
      <c r="L40" s="669">
        <v>113260</v>
      </c>
      <c r="M40" s="669">
        <v>14250</v>
      </c>
      <c r="N40" s="669">
        <v>61470</v>
      </c>
      <c r="O40" s="669">
        <f>SUM(L40:N40)</f>
        <v>188980</v>
      </c>
      <c r="P40" s="669">
        <f>'3.2. PH fel'!S7+'3.2. PH fel'!S13+'3.2. PH fel'!S17</f>
        <v>111566</v>
      </c>
      <c r="Q40" s="669">
        <f>'3.2. PH fel'!T7+'3.2. PH fel'!T13+'3.2. PH fel'!T17</f>
        <v>111566</v>
      </c>
      <c r="R40" s="669">
        <f>'3.2. PH fel'!U7+'3.2. PH fel'!U13+'3.2. PH fel'!U17</f>
        <v>111566</v>
      </c>
      <c r="S40" s="669">
        <f>'3.2. PH fel'!V7+'3.2. PH fel'!V13+'3.2. PH fel'!V17</f>
        <v>111566</v>
      </c>
      <c r="T40" s="669">
        <f>'3.2. PH fel'!W7+'3.2. PH fel'!W13+'3.2. PH fel'!W17</f>
        <v>36785</v>
      </c>
      <c r="U40" s="669">
        <f>'3.2. PH fel'!W21+'3.2. PH fel'!W26</f>
        <v>3961</v>
      </c>
      <c r="V40" s="669">
        <f>'3.2. PH fel'!W37</f>
        <v>19807</v>
      </c>
      <c r="W40" s="669">
        <f t="shared" si="0"/>
        <v>60553</v>
      </c>
      <c r="Y40" s="669">
        <f>'3.2. PH fel'!X7+'3.2. PH fel'!X13+'3.2. PH fel'!X17</f>
        <v>121592</v>
      </c>
      <c r="Z40" s="669">
        <f>'3.2. PH fel'!X21+'3.2. PH fel'!X26</f>
        <v>15199</v>
      </c>
      <c r="AA40" s="669">
        <f>'3.2. PH fel'!X37</f>
        <v>65862</v>
      </c>
      <c r="AB40" s="669">
        <f>SUM(Y40:AA40)</f>
        <v>202653</v>
      </c>
      <c r="AC40" s="669">
        <v>121592</v>
      </c>
      <c r="AD40" s="669">
        <v>15199</v>
      </c>
      <c r="AE40" s="669">
        <v>65862</v>
      </c>
      <c r="AF40" s="669">
        <f>SUM(AC40:AE40)</f>
        <v>202653</v>
      </c>
      <c r="AG40" s="669">
        <f>SUM('3.2. PH fel'!Z7)</f>
        <v>122705</v>
      </c>
      <c r="AH40" s="669">
        <f>'3.2. PH fel'!Z21</f>
        <v>15199</v>
      </c>
      <c r="AI40" s="669">
        <f>'3.2. PH fel'!Z37</f>
        <v>65862</v>
      </c>
      <c r="AJ40" s="669">
        <f t="shared" si="67"/>
        <v>203766</v>
      </c>
      <c r="AK40" s="669">
        <f>'3.2. PH fel'!AA7</f>
        <v>64446</v>
      </c>
      <c r="AL40" s="669">
        <f>'3.2. PH fel'!AA21</f>
        <v>8067</v>
      </c>
      <c r="AM40" s="669">
        <f>'3.2. PH fel'!AA37</f>
        <v>34248</v>
      </c>
      <c r="AN40" s="669">
        <f t="shared" si="70"/>
        <v>106761</v>
      </c>
    </row>
    <row r="41" spans="1:40" ht="30" x14ac:dyDescent="0.25">
      <c r="A41" s="667" t="s">
        <v>322</v>
      </c>
      <c r="B41" s="668" t="s">
        <v>335</v>
      </c>
      <c r="C41" s="669"/>
      <c r="D41" s="669">
        <f>'3.2. PH fel'!G8+'3.2. PH fel'!G14+'3.2. PH fel'!G18</f>
        <v>20084</v>
      </c>
      <c r="E41" s="669">
        <f>'3.2. PH fel'!G22+'3.2. PH fel'!G27</f>
        <v>2737</v>
      </c>
      <c r="F41" s="669">
        <f>'3.2. PH fel'!G38</f>
        <v>10464</v>
      </c>
      <c r="G41" s="669">
        <f>SUM(D41:F41)</f>
        <v>33285</v>
      </c>
      <c r="H41" s="669">
        <f>'3.2. PH fel'!K8+'3.2. PH fel'!K14+'3.2. PH fel'!K18</f>
        <v>20131</v>
      </c>
      <c r="I41" s="669">
        <f>'3.2. PH fel'!K22+'3.2. PH fel'!K27</f>
        <v>2737</v>
      </c>
      <c r="J41" s="669">
        <f>'3.2. PH fel'!K38</f>
        <v>10464</v>
      </c>
      <c r="K41" s="669">
        <f t="shared" ref="K41:K42" si="99">SUM(H41:J41)</f>
        <v>33332</v>
      </c>
      <c r="L41" s="669">
        <v>20141</v>
      </c>
      <c r="M41" s="669">
        <v>2737</v>
      </c>
      <c r="N41" s="669">
        <v>10464</v>
      </c>
      <c r="O41" s="669">
        <f>SUM(L41:N41)</f>
        <v>33342</v>
      </c>
      <c r="P41" s="669">
        <f>'3.2. PH fel'!S8+'3.2. PH fel'!S14+'3.2. PH fel'!S18</f>
        <v>20084</v>
      </c>
      <c r="Q41" s="669">
        <f>'3.2. PH fel'!T8+'3.2. PH fel'!T14+'3.2. PH fel'!T18</f>
        <v>20084</v>
      </c>
      <c r="R41" s="669">
        <f>'3.2. PH fel'!U8+'3.2. PH fel'!U14+'3.2. PH fel'!U18</f>
        <v>20084</v>
      </c>
      <c r="S41" s="669">
        <f>'3.2. PH fel'!V8+'3.2. PH fel'!V14+'3.2. PH fel'!V18</f>
        <v>20084</v>
      </c>
      <c r="T41" s="669">
        <f>'3.2. PH fel'!W8+'3.2. PH fel'!W14+'3.2. PH fel'!W18</f>
        <v>7653</v>
      </c>
      <c r="U41" s="669">
        <f>'3.2. PH fel'!W22+'3.2. PH fel'!W27</f>
        <v>819</v>
      </c>
      <c r="V41" s="669">
        <f>'3.2. PH fel'!W38</f>
        <v>4121</v>
      </c>
      <c r="W41" s="669">
        <f t="shared" si="0"/>
        <v>12593</v>
      </c>
      <c r="Y41" s="669">
        <f>'3.2. PH fel'!X8+'3.2. PH fel'!X14+'3.2. PH fel'!X18</f>
        <v>22008</v>
      </c>
      <c r="Z41" s="669">
        <f>'3.2. PH fel'!X22+'3.2. PH fel'!X27</f>
        <v>2977</v>
      </c>
      <c r="AA41" s="669">
        <f>'3.2. PH fel'!X38</f>
        <v>11506</v>
      </c>
      <c r="AB41" s="669">
        <f>SUM(Y41:AA41)</f>
        <v>36491</v>
      </c>
      <c r="AC41" s="669">
        <v>22008</v>
      </c>
      <c r="AD41" s="669">
        <v>2977</v>
      </c>
      <c r="AE41" s="669">
        <v>11506</v>
      </c>
      <c r="AF41" s="669">
        <f t="shared" ref="AF41:AF42" si="100">SUM(AC41:AE41)</f>
        <v>36491</v>
      </c>
      <c r="AG41" s="669">
        <f>SUM('3.2. PH fel'!Z8)</f>
        <v>22008</v>
      </c>
      <c r="AH41" s="669">
        <f>'3.2. PH fel'!Z22</f>
        <v>2977</v>
      </c>
      <c r="AI41" s="669">
        <f>'3.2. PH fel'!Z38</f>
        <v>11506</v>
      </c>
      <c r="AJ41" s="669">
        <f t="shared" ref="AJ41:AJ42" si="101">SUM(AG41:AI41)</f>
        <v>36491</v>
      </c>
      <c r="AK41" s="669">
        <f>'3.2. PH fel'!AA8</f>
        <v>13261</v>
      </c>
      <c r="AL41" s="669">
        <f>'3.2. PH fel'!AA22</f>
        <v>1708</v>
      </c>
      <c r="AM41" s="669">
        <f>'3.2. PH fel'!AA38</f>
        <v>7047</v>
      </c>
      <c r="AN41" s="669">
        <f t="shared" ref="AN41:AN42" si="102">SUM(AK41:AM41)</f>
        <v>22016</v>
      </c>
    </row>
    <row r="42" spans="1:40" x14ac:dyDescent="0.25">
      <c r="A42" s="667" t="s">
        <v>315</v>
      </c>
      <c r="B42" s="668" t="s">
        <v>292</v>
      </c>
      <c r="C42" s="669"/>
      <c r="D42" s="669">
        <f>'3.2. PH fel'!G9+'3.2. PH fel'!G15</f>
        <v>42790</v>
      </c>
      <c r="E42" s="669">
        <f>'3.2. PH fel'!G23+'3.2. PH fel'!G28</f>
        <v>1000</v>
      </c>
      <c r="F42" s="669">
        <f>'3.2. PH fel'!G39</f>
        <v>22000</v>
      </c>
      <c r="G42" s="669">
        <f>SUM(D42:F42)</f>
        <v>65790</v>
      </c>
      <c r="H42" s="669">
        <f>'3.2. PH fel'!K9+'3.2. PH fel'!K15</f>
        <v>42790</v>
      </c>
      <c r="I42" s="669">
        <f>'3.2. PH fel'!K23+'3.2. PH fel'!K28</f>
        <v>1000</v>
      </c>
      <c r="J42" s="669">
        <f>'3.2. PH fel'!K39</f>
        <v>28178</v>
      </c>
      <c r="K42" s="669">
        <f t="shared" si="99"/>
        <v>71968</v>
      </c>
      <c r="L42" s="669">
        <v>60110</v>
      </c>
      <c r="M42" s="669">
        <v>1000</v>
      </c>
      <c r="N42" s="669">
        <v>31309</v>
      </c>
      <c r="O42" s="669">
        <f>SUM(L42:N42)</f>
        <v>92419</v>
      </c>
      <c r="P42" s="669">
        <f>'3.2. PH fel'!S9+'3.2. PH fel'!S15</f>
        <v>42790</v>
      </c>
      <c r="Q42" s="669">
        <f>'3.2. PH fel'!T9+'3.2. PH fel'!T15</f>
        <v>42790</v>
      </c>
      <c r="R42" s="669">
        <f>'3.2. PH fel'!U9+'3.2. PH fel'!U15</f>
        <v>42790</v>
      </c>
      <c r="S42" s="669">
        <f>'3.2. PH fel'!V9+'3.2. PH fel'!V15</f>
        <v>42790</v>
      </c>
      <c r="T42" s="669">
        <f>'3.2. PH fel'!W9+'3.2. PH fel'!W15</f>
        <v>6109</v>
      </c>
      <c r="U42" s="669">
        <f>'3.2. PH fel'!W23+'3.2. PH fel'!W28</f>
        <v>0</v>
      </c>
      <c r="V42" s="669">
        <f>'3.2. PH fel'!W39</f>
        <v>1953</v>
      </c>
      <c r="W42" s="669">
        <f t="shared" si="0"/>
        <v>8062</v>
      </c>
      <c r="Y42" s="669">
        <f>'3.2. PH fel'!X9+'3.2. PH fel'!X15</f>
        <v>42790</v>
      </c>
      <c r="Z42" s="669">
        <f>'3.2. PH fel'!X23+'3.2. PH fel'!X28</f>
        <v>1000</v>
      </c>
      <c r="AA42" s="669">
        <f>'3.2. PH fel'!X39</f>
        <v>22000</v>
      </c>
      <c r="AB42" s="669">
        <f>SUM(Y42:AA42)</f>
        <v>65790</v>
      </c>
      <c r="AC42" s="669">
        <v>75840</v>
      </c>
      <c r="AD42" s="669">
        <v>1000</v>
      </c>
      <c r="AE42" s="669">
        <v>22000</v>
      </c>
      <c r="AF42" s="669">
        <f t="shared" si="100"/>
        <v>98840</v>
      </c>
      <c r="AG42" s="669">
        <f>SUM('3.2. PH fel'!Z9)</f>
        <v>75840</v>
      </c>
      <c r="AH42" s="669">
        <f>'3.2. PH fel'!Z23</f>
        <v>1000</v>
      </c>
      <c r="AI42" s="669">
        <f>'3.2. PH fel'!Z39</f>
        <v>24944</v>
      </c>
      <c r="AJ42" s="669">
        <f t="shared" si="101"/>
        <v>101784</v>
      </c>
      <c r="AK42" s="669">
        <f>'3.2. PH fel'!AA9</f>
        <v>21061</v>
      </c>
      <c r="AL42" s="669">
        <f>'3.2. PH fel'!AA23</f>
        <v>761</v>
      </c>
      <c r="AM42" s="669">
        <f>'3.2. PH fel'!AA39</f>
        <v>6270</v>
      </c>
      <c r="AN42" s="669">
        <f t="shared" si="102"/>
        <v>28092</v>
      </c>
    </row>
    <row r="43" spans="1:40" x14ac:dyDescent="0.25">
      <c r="A43" s="667" t="s">
        <v>336</v>
      </c>
      <c r="B43" s="668" t="s">
        <v>337</v>
      </c>
      <c r="C43" s="669"/>
      <c r="D43" s="669"/>
      <c r="E43" s="669"/>
      <c r="F43" s="669"/>
      <c r="G43" s="669"/>
      <c r="H43" s="669"/>
      <c r="I43" s="669"/>
      <c r="J43" s="669">
        <f>'3.2. PH fel'!J46</f>
        <v>0</v>
      </c>
      <c r="K43" s="669"/>
      <c r="L43" s="669"/>
      <c r="M43" s="669"/>
      <c r="N43" s="669"/>
      <c r="O43" s="669"/>
      <c r="P43" s="669"/>
      <c r="Q43" s="669"/>
      <c r="R43" s="669"/>
      <c r="S43" s="669"/>
      <c r="T43" s="669">
        <f>'3.2. PH fel'!T46</f>
        <v>0</v>
      </c>
      <c r="U43" s="669">
        <f>'3.2. PH fel'!U46</f>
        <v>0</v>
      </c>
      <c r="V43" s="669">
        <f>'3.2. PH fel'!V46</f>
        <v>0</v>
      </c>
      <c r="W43" s="669">
        <f t="shared" si="0"/>
        <v>0</v>
      </c>
      <c r="Y43" s="669"/>
      <c r="Z43" s="669"/>
      <c r="AA43" s="669"/>
      <c r="AB43" s="669"/>
      <c r="AC43" s="669"/>
      <c r="AD43" s="669"/>
      <c r="AE43" s="669"/>
      <c r="AF43" s="669"/>
      <c r="AG43" s="669">
        <f>SUM('3.2. PH fel'!Z10)</f>
        <v>105</v>
      </c>
      <c r="AH43" s="669"/>
      <c r="AI43" s="669"/>
      <c r="AJ43" s="669"/>
      <c r="AK43" s="669"/>
      <c r="AL43" s="669"/>
      <c r="AM43" s="669"/>
      <c r="AN43" s="669"/>
    </row>
    <row r="44" spans="1:40" x14ac:dyDescent="0.25">
      <c r="A44" s="667" t="s">
        <v>338</v>
      </c>
      <c r="B44" s="668" t="s">
        <v>339</v>
      </c>
      <c r="C44" s="669"/>
      <c r="D44" s="669"/>
      <c r="E44" s="669"/>
      <c r="F44" s="669"/>
      <c r="G44" s="669"/>
      <c r="H44" s="669"/>
      <c r="I44" s="669"/>
      <c r="J44" s="669">
        <f>'3.2. PH fel'!J47</f>
        <v>0</v>
      </c>
      <c r="K44" s="669"/>
      <c r="L44" s="669"/>
      <c r="M44" s="669"/>
      <c r="N44" s="669"/>
      <c r="O44" s="669"/>
      <c r="P44" s="669"/>
      <c r="Q44" s="669"/>
      <c r="R44" s="669"/>
      <c r="S44" s="669"/>
      <c r="T44" s="669">
        <f>'3.2. PH fel'!T47</f>
        <v>0</v>
      </c>
      <c r="U44" s="669">
        <f>'3.2. PH fel'!U47</f>
        <v>0</v>
      </c>
      <c r="V44" s="669">
        <f>'3.2. PH fel'!V47</f>
        <v>0</v>
      </c>
      <c r="W44" s="669">
        <f t="shared" si="0"/>
        <v>0</v>
      </c>
      <c r="Y44" s="669"/>
      <c r="Z44" s="669"/>
      <c r="AA44" s="669"/>
      <c r="AB44" s="669"/>
      <c r="AC44" s="669"/>
      <c r="AD44" s="669"/>
      <c r="AE44" s="669"/>
      <c r="AF44" s="669"/>
      <c r="AG44" s="669">
        <v>0</v>
      </c>
      <c r="AH44" s="669"/>
      <c r="AI44" s="669"/>
      <c r="AJ44" s="669"/>
      <c r="AK44" s="669"/>
      <c r="AL44" s="669"/>
      <c r="AM44" s="669"/>
      <c r="AN44" s="669"/>
    </row>
    <row r="45" spans="1:40" x14ac:dyDescent="0.25">
      <c r="A45" s="456" t="s">
        <v>318</v>
      </c>
      <c r="B45" s="457" t="s">
        <v>340</v>
      </c>
      <c r="C45" s="458">
        <f>SUM(C46:C48)</f>
        <v>0</v>
      </c>
      <c r="D45" s="458">
        <f t="shared" ref="D45:F45" si="103">SUM(D46:D48)</f>
        <v>0</v>
      </c>
      <c r="E45" s="458">
        <f t="shared" si="103"/>
        <v>0</v>
      </c>
      <c r="F45" s="458">
        <f t="shared" si="103"/>
        <v>0</v>
      </c>
      <c r="G45" s="458">
        <f t="shared" si="3"/>
        <v>0</v>
      </c>
      <c r="H45" s="458">
        <f t="shared" ref="H45:J45" si="104">SUM(H46:H48)</f>
        <v>0</v>
      </c>
      <c r="I45" s="458">
        <f t="shared" si="104"/>
        <v>0</v>
      </c>
      <c r="J45" s="458">
        <f t="shared" si="104"/>
        <v>0</v>
      </c>
      <c r="K45" s="458">
        <f t="shared" si="5"/>
        <v>0</v>
      </c>
      <c r="L45" s="458">
        <f t="shared" ref="L45:N45" si="105">SUM(L46:L48)</f>
        <v>0</v>
      </c>
      <c r="M45" s="458">
        <f t="shared" si="105"/>
        <v>0</v>
      </c>
      <c r="N45" s="458">
        <f t="shared" si="105"/>
        <v>0</v>
      </c>
      <c r="O45" s="458">
        <f t="shared" si="7"/>
        <v>0</v>
      </c>
      <c r="P45" s="458">
        <f t="shared" ref="P45:R45" si="106">SUM(P46:P48)</f>
        <v>0</v>
      </c>
      <c r="Q45" s="458">
        <f t="shared" si="106"/>
        <v>0</v>
      </c>
      <c r="R45" s="458">
        <f t="shared" si="106"/>
        <v>0</v>
      </c>
      <c r="S45" s="458">
        <f t="shared" si="9"/>
        <v>0</v>
      </c>
      <c r="T45" s="458">
        <f t="shared" ref="T45:V45" si="107">SUM(T46:T48)</f>
        <v>0</v>
      </c>
      <c r="U45" s="458">
        <f t="shared" si="107"/>
        <v>0</v>
      </c>
      <c r="V45" s="458">
        <f t="shared" si="107"/>
        <v>0</v>
      </c>
      <c r="W45" s="458">
        <f t="shared" si="0"/>
        <v>0</v>
      </c>
      <c r="Y45" s="458">
        <f t="shared" ref="Y45:AA45" si="108">SUM(Y46:Y48)</f>
        <v>0</v>
      </c>
      <c r="Z45" s="458">
        <f t="shared" si="108"/>
        <v>0</v>
      </c>
      <c r="AA45" s="458">
        <f t="shared" si="108"/>
        <v>0</v>
      </c>
      <c r="AB45" s="458">
        <f t="shared" ref="AB45" si="109">SUM(Y45:AA45)</f>
        <v>0</v>
      </c>
      <c r="AC45" s="458">
        <v>1419</v>
      </c>
      <c r="AD45" s="458">
        <v>0</v>
      </c>
      <c r="AE45" s="458">
        <v>0</v>
      </c>
      <c r="AF45" s="458">
        <v>0</v>
      </c>
      <c r="AG45" s="458">
        <f>SUM(AG46:AG48)</f>
        <v>2280</v>
      </c>
      <c r="AH45" s="458">
        <v>0</v>
      </c>
      <c r="AI45" s="458">
        <v>0</v>
      </c>
      <c r="AJ45" s="458">
        <f>SUM(AG45:AI45)</f>
        <v>2280</v>
      </c>
      <c r="AK45" s="458">
        <v>1397</v>
      </c>
      <c r="AL45" s="458"/>
      <c r="AM45" s="458"/>
      <c r="AN45" s="458">
        <f>SUM(AK45:AM45)</f>
        <v>1397</v>
      </c>
    </row>
    <row r="46" spans="1:40" x14ac:dyDescent="0.25">
      <c r="A46" s="667" t="s">
        <v>311</v>
      </c>
      <c r="B46" s="668" t="s">
        <v>341</v>
      </c>
      <c r="C46" s="669"/>
      <c r="D46" s="669"/>
      <c r="E46" s="669"/>
      <c r="F46" s="669"/>
      <c r="G46" s="669"/>
      <c r="H46" s="669"/>
      <c r="I46" s="669"/>
      <c r="J46" s="669"/>
      <c r="K46" s="669"/>
      <c r="L46" s="669"/>
      <c r="M46" s="669"/>
      <c r="N46" s="669"/>
      <c r="O46" s="669"/>
      <c r="P46" s="669"/>
      <c r="Q46" s="669"/>
      <c r="R46" s="669"/>
      <c r="S46" s="669"/>
      <c r="T46" s="669">
        <f>'3.2. PH fel'!W11</f>
        <v>0</v>
      </c>
      <c r="U46" s="669">
        <f>'3.2. PH fel'!W24</f>
        <v>0</v>
      </c>
      <c r="V46" s="669">
        <f>'3.2. PH fel'!V48</f>
        <v>0</v>
      </c>
      <c r="W46" s="669">
        <f t="shared" si="0"/>
        <v>0</v>
      </c>
      <c r="Y46" s="669"/>
      <c r="Z46" s="669"/>
      <c r="AA46" s="669"/>
      <c r="AB46" s="669">
        <f>SUM(Y46:AA46)</f>
        <v>0</v>
      </c>
      <c r="AC46" s="669">
        <v>1419</v>
      </c>
      <c r="AD46" s="669"/>
      <c r="AE46" s="669"/>
      <c r="AF46" s="669">
        <f>SUM(AC46:AE46)</f>
        <v>1419</v>
      </c>
      <c r="AG46" s="669">
        <f>'3.2. PH fel'!Z11</f>
        <v>2280</v>
      </c>
      <c r="AH46" s="669">
        <v>0</v>
      </c>
      <c r="AI46" s="669"/>
      <c r="AJ46" s="669">
        <f>SUM(AG46:AI46)</f>
        <v>2280</v>
      </c>
      <c r="AK46" s="669">
        <f>'3.2. PH fel'!AA11</f>
        <v>1397</v>
      </c>
      <c r="AL46" s="669"/>
      <c r="AM46" s="669"/>
      <c r="AN46" s="669">
        <f>SUM(AK46:AM46)</f>
        <v>1397</v>
      </c>
    </row>
    <row r="47" spans="1:40" x14ac:dyDescent="0.25">
      <c r="A47" s="667" t="s">
        <v>322</v>
      </c>
      <c r="B47" s="668" t="s">
        <v>342</v>
      </c>
      <c r="C47" s="669"/>
      <c r="D47" s="669"/>
      <c r="E47" s="669"/>
      <c r="F47" s="669"/>
      <c r="G47" s="669"/>
      <c r="H47" s="669"/>
      <c r="I47" s="669"/>
      <c r="J47" s="669"/>
      <c r="K47" s="669"/>
      <c r="L47" s="669"/>
      <c r="M47" s="669"/>
      <c r="N47" s="669"/>
      <c r="O47" s="669"/>
      <c r="P47" s="669"/>
      <c r="Q47" s="669"/>
      <c r="R47" s="669"/>
      <c r="S47" s="669"/>
      <c r="T47" s="669">
        <f>'3.2. PH fel'!T49</f>
        <v>0</v>
      </c>
      <c r="U47" s="669">
        <f>'3.2. PH fel'!U49</f>
        <v>0</v>
      </c>
      <c r="V47" s="669">
        <f>'3.2. PH fel'!V49</f>
        <v>0</v>
      </c>
      <c r="W47" s="669">
        <f t="shared" si="0"/>
        <v>0</v>
      </c>
      <c r="Y47" s="669"/>
      <c r="Z47" s="669"/>
      <c r="AA47" s="669"/>
      <c r="AB47" s="669"/>
      <c r="AC47" s="669"/>
      <c r="AD47" s="669"/>
      <c r="AE47" s="669"/>
      <c r="AF47" s="669"/>
      <c r="AG47" s="669">
        <f>'3.2. PH fel'!Z12</f>
        <v>0</v>
      </c>
      <c r="AH47" s="669">
        <f>'3.2. PH fel'!AA12</f>
        <v>0</v>
      </c>
      <c r="AI47" s="669"/>
      <c r="AJ47" s="669"/>
      <c r="AK47" s="669"/>
      <c r="AL47" s="669"/>
      <c r="AM47" s="669"/>
      <c r="AN47" s="669"/>
    </row>
    <row r="48" spans="1:40" x14ac:dyDescent="0.25">
      <c r="A48" s="667" t="s">
        <v>315</v>
      </c>
      <c r="B48" s="668" t="s">
        <v>343</v>
      </c>
      <c r="C48" s="669"/>
      <c r="D48" s="669"/>
      <c r="E48" s="669"/>
      <c r="F48" s="669"/>
      <c r="G48" s="669"/>
      <c r="H48" s="669"/>
      <c r="I48" s="669"/>
      <c r="J48" s="669"/>
      <c r="K48" s="669"/>
      <c r="L48" s="669"/>
      <c r="M48" s="669"/>
      <c r="N48" s="669"/>
      <c r="O48" s="669"/>
      <c r="P48" s="669"/>
      <c r="Q48" s="669"/>
      <c r="R48" s="669"/>
      <c r="S48" s="669"/>
      <c r="T48" s="669">
        <f>'3.2. PH fel'!T50</f>
        <v>0</v>
      </c>
      <c r="U48" s="669">
        <f>'3.2. PH fel'!U50</f>
        <v>0</v>
      </c>
      <c r="V48" s="669">
        <f>'3.2. PH fel'!V50</f>
        <v>0</v>
      </c>
      <c r="W48" s="669">
        <f t="shared" si="0"/>
        <v>0</v>
      </c>
      <c r="Y48" s="669"/>
      <c r="Z48" s="669"/>
      <c r="AA48" s="669"/>
      <c r="AB48" s="669"/>
      <c r="AC48" s="669"/>
      <c r="AD48" s="669"/>
      <c r="AE48" s="669"/>
      <c r="AF48" s="669"/>
      <c r="AG48" s="669">
        <f>'3.2. PH fel'!Z13</f>
        <v>0</v>
      </c>
      <c r="AH48" s="669">
        <f>'3.2. PH fel'!AA13</f>
        <v>0</v>
      </c>
      <c r="AI48" s="669"/>
      <c r="AJ48" s="669"/>
      <c r="AK48" s="669"/>
      <c r="AL48" s="669"/>
      <c r="AM48" s="669"/>
      <c r="AN48" s="669"/>
    </row>
    <row r="49" spans="1:40" x14ac:dyDescent="0.25">
      <c r="A49" s="617"/>
      <c r="B49" s="624" t="s">
        <v>344</v>
      </c>
      <c r="C49" s="625">
        <f t="shared" ref="C49:F49" si="110">C39+C45</f>
        <v>0</v>
      </c>
      <c r="D49" s="625">
        <f t="shared" si="110"/>
        <v>174440</v>
      </c>
      <c r="E49" s="625">
        <f t="shared" si="110"/>
        <v>17774</v>
      </c>
      <c r="F49" s="625">
        <f t="shared" si="110"/>
        <v>93015</v>
      </c>
      <c r="G49" s="625">
        <f t="shared" si="3"/>
        <v>285229</v>
      </c>
      <c r="H49" s="625">
        <f t="shared" ref="H49:J49" si="111">H39+H45</f>
        <v>174663</v>
      </c>
      <c r="I49" s="625">
        <f t="shared" si="111"/>
        <v>17774</v>
      </c>
      <c r="J49" s="625">
        <f t="shared" si="111"/>
        <v>99193</v>
      </c>
      <c r="K49" s="625">
        <f t="shared" si="5"/>
        <v>291630</v>
      </c>
      <c r="L49" s="625">
        <f t="shared" ref="L49:N49" si="112">L39+L45</f>
        <v>193511</v>
      </c>
      <c r="M49" s="625">
        <f t="shared" si="112"/>
        <v>17987</v>
      </c>
      <c r="N49" s="625">
        <f t="shared" si="112"/>
        <v>103243</v>
      </c>
      <c r="O49" s="625">
        <f t="shared" si="7"/>
        <v>314741</v>
      </c>
      <c r="P49" s="625">
        <f t="shared" ref="P49:R49" si="113">P39+P45</f>
        <v>174440</v>
      </c>
      <c r="Q49" s="625">
        <f t="shared" si="113"/>
        <v>174440</v>
      </c>
      <c r="R49" s="625">
        <f t="shared" si="113"/>
        <v>174440</v>
      </c>
      <c r="S49" s="625">
        <f t="shared" si="9"/>
        <v>523320</v>
      </c>
      <c r="T49" s="625">
        <f t="shared" ref="T49:V49" si="114">T39+T45</f>
        <v>50547</v>
      </c>
      <c r="U49" s="625">
        <f t="shared" si="114"/>
        <v>4780</v>
      </c>
      <c r="V49" s="625">
        <f t="shared" si="114"/>
        <v>25881</v>
      </c>
      <c r="W49" s="625">
        <f t="shared" si="0"/>
        <v>81208</v>
      </c>
      <c r="Y49" s="625">
        <f t="shared" ref="Y49:AE49" si="115">Y39+Y45</f>
        <v>186390</v>
      </c>
      <c r="Z49" s="625">
        <f t="shared" si="115"/>
        <v>19176</v>
      </c>
      <c r="AA49" s="625">
        <f t="shared" si="115"/>
        <v>99368</v>
      </c>
      <c r="AB49" s="625">
        <f t="shared" ref="AB49" si="116">SUM(Y49:AA49)</f>
        <v>304934</v>
      </c>
      <c r="AC49" s="625">
        <f t="shared" si="115"/>
        <v>220859</v>
      </c>
      <c r="AD49" s="625">
        <f t="shared" si="115"/>
        <v>19176</v>
      </c>
      <c r="AE49" s="625">
        <f t="shared" si="115"/>
        <v>99368</v>
      </c>
      <c r="AF49" s="625">
        <f>SUM(AC49:AE49)</f>
        <v>339403</v>
      </c>
      <c r="AG49" s="625">
        <f t="shared" ref="AG49:AI49" si="117">AG39+AG45</f>
        <v>222938</v>
      </c>
      <c r="AH49" s="625">
        <f t="shared" si="117"/>
        <v>19176</v>
      </c>
      <c r="AI49" s="625">
        <f t="shared" si="117"/>
        <v>102312</v>
      </c>
      <c r="AJ49" s="625">
        <f>SUM(AG49:AI49)</f>
        <v>344426</v>
      </c>
      <c r="AK49" s="625">
        <f t="shared" ref="AK49:AM49" si="118">AK39+AK45</f>
        <v>100165</v>
      </c>
      <c r="AL49" s="625">
        <f t="shared" si="118"/>
        <v>10536</v>
      </c>
      <c r="AM49" s="625">
        <f t="shared" si="118"/>
        <v>47565</v>
      </c>
      <c r="AN49" s="625">
        <f>SUM(AK49:AM49)</f>
        <v>158266</v>
      </c>
    </row>
  </sheetData>
  <customSheetViews>
    <customSheetView guid="{7F1DC213-A29D-4C8C-BAC3-F1BD898020FD}" scale="82" hiddenRows="1" hiddenColumns="1" topLeftCell="B8">
      <pane xSplit="1" topLeftCell="Y1" activePane="topRight" state="frozen"/>
      <selection pane="topRight" activeCell="AG46" sqref="AG46"/>
      <colBreaks count="1" manualBreakCount="1">
        <brk id="36" max="48" man="1"/>
      </colBreaks>
      <pageMargins left="0.70866141732283472" right="0.70866141732283472" top="1.1417322834645669" bottom="0.74803149606299213" header="0.31496062992125984" footer="0.31496062992125984"/>
      <printOptions horizontalCentered="1"/>
      <pageSetup paperSize="9" scale="50" orientation="landscape" r:id="rId1"/>
      <headerFooter>
        <oddHeader>&amp;L3.1. melléklet a ...../2019. (.....) önkormányzati rendelethez&amp;C&amp;"-,Félkövér"&amp;16A Polgármesteri Hivatal 2019. évi bevételei és kiadásai jogcímenként és feladatonként&amp;RAdatok ezer forintban</oddHeader>
      </headerFooter>
    </customSheetView>
    <customSheetView guid="{4DCB1349-1166-4B69-AE14-D6B08F9FCE74}" scale="82" hiddenRows="1" hiddenColumns="1" topLeftCell="B1">
      <pane xSplit="1" topLeftCell="Y1" activePane="topRight" state="frozen"/>
      <selection pane="topRight" activeCell="AC37" sqref="AC37"/>
      <colBreaks count="1" manualBreakCount="1">
        <brk id="36" max="48" man="1"/>
      </colBreaks>
      <pageMargins left="0.70866141732283472" right="0.70866141732283472" top="1.1417322834645669" bottom="0.74803149606299213" header="0.31496062992125984" footer="0.31496062992125984"/>
      <printOptions horizontalCentered="1"/>
      <pageSetup paperSize="9" scale="50" orientation="landscape" r:id="rId2"/>
      <headerFooter>
        <oddHeader>&amp;L3.1. melléklet a ...../2019. (.....) önkormányzati rendelethez&amp;C&amp;"-,Félkövér"&amp;16A Polgármesteri Hivatal 2019. évi bevételei és kiadásai jogcímenként és feladatonként&amp;RAdatok ezer forintban</oddHeader>
      </headerFooter>
    </customSheetView>
  </customSheetViews>
  <mergeCells count="11">
    <mergeCell ref="AG3:AJ3"/>
    <mergeCell ref="AK3:AN3"/>
    <mergeCell ref="AC3:AF3"/>
    <mergeCell ref="Y3:AB3"/>
    <mergeCell ref="A3:A4"/>
    <mergeCell ref="B3:B4"/>
    <mergeCell ref="P3:S3"/>
    <mergeCell ref="T3:W3"/>
    <mergeCell ref="D3:G3"/>
    <mergeCell ref="L3:O3"/>
    <mergeCell ref="H3:K3"/>
  </mergeCells>
  <printOptions horizontalCentered="1"/>
  <pageMargins left="0.70866141732283472" right="0.70866141732283472" top="1.1417322834645669" bottom="0.74803149606299213" header="0.31496062992125984" footer="0.31496062992125984"/>
  <pageSetup paperSize="9" scale="51" orientation="landscape" r:id="rId3"/>
  <headerFooter>
    <oddHeader>&amp;L3.1. melléklet a 3/2019. (II.20.) önkormányzati rendelethez&amp;C&amp;"-,Félkövér"&amp;16A Polgármesteri Hivatal 2019. évi bevételei és kiadásai jogcímenként és feladatonként&amp;RAdatok ezer forintban</oddHeader>
  </headerFooter>
  <colBreaks count="1" manualBreakCount="1">
    <brk id="36" max="4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P51"/>
  <sheetViews>
    <sheetView zoomScale="98" zoomScaleNormal="98" zoomScaleSheetLayoutView="75" workbookViewId="0"/>
  </sheetViews>
  <sheetFormatPr defaultRowHeight="15" x14ac:dyDescent="0.25"/>
  <cols>
    <col min="1" max="1" width="7.7109375" style="433" bestFit="1" customWidth="1"/>
    <col min="2" max="2" width="52" style="434" customWidth="1"/>
    <col min="3" max="3" width="10.85546875" style="435" hidden="1" customWidth="1"/>
    <col min="4" max="4" width="10.85546875" style="452" hidden="1" customWidth="1"/>
    <col min="5" max="5" width="10.140625" style="452" hidden="1" customWidth="1"/>
    <col min="6" max="6" width="11.42578125" style="452" hidden="1" customWidth="1"/>
    <col min="7" max="7" width="18.140625" style="435" hidden="1" customWidth="1"/>
    <col min="8" max="8" width="11" style="435" hidden="1" customWidth="1"/>
    <col min="9" max="9" width="10.28515625" style="246" hidden="1" customWidth="1"/>
    <col min="10" max="10" width="11.140625" style="246" hidden="1" customWidth="1"/>
    <col min="11" max="11" width="20.140625" style="246" hidden="1" customWidth="1"/>
    <col min="12" max="12" width="10.28515625" style="246" hidden="1" customWidth="1"/>
    <col min="13" max="13" width="10.42578125" style="246" hidden="1" customWidth="1"/>
    <col min="14" max="14" width="10.85546875" style="246" hidden="1" customWidth="1"/>
    <col min="15" max="15" width="18.42578125" style="246" hidden="1" customWidth="1"/>
    <col min="16" max="16" width="10.28515625" style="246" hidden="1" customWidth="1"/>
    <col min="17" max="17" width="10.42578125" style="246" hidden="1" customWidth="1"/>
    <col min="18" max="19" width="10.85546875" style="246" hidden="1" customWidth="1"/>
    <col min="20" max="20" width="14.28515625" style="246" hidden="1" customWidth="1"/>
    <col min="21" max="21" width="13.85546875" style="246" hidden="1" customWidth="1"/>
    <col min="22" max="22" width="10.85546875" style="246" hidden="1" customWidth="1"/>
    <col min="23" max="23" width="20.28515625" style="246" hidden="1" customWidth="1"/>
    <col min="24" max="24" width="19.28515625" style="246" customWidth="1"/>
    <col min="25" max="25" width="18.140625" style="246" customWidth="1"/>
    <col min="26" max="26" width="16.42578125" style="246" customWidth="1"/>
    <col min="27" max="27" width="16.5703125" style="246" hidden="1" customWidth="1"/>
    <col min="28" max="16384" width="9.140625" style="246"/>
  </cols>
  <sheetData>
    <row r="1" spans="1:42" ht="15" customHeight="1" x14ac:dyDescent="0.25">
      <c r="A1" s="443" t="s">
        <v>1375</v>
      </c>
      <c r="B1" s="751" t="s">
        <v>1388</v>
      </c>
      <c r="C1" s="743" t="s">
        <v>302</v>
      </c>
      <c r="D1" s="752"/>
      <c r="E1" s="752"/>
      <c r="F1" s="752"/>
      <c r="G1" s="743" t="s">
        <v>1366</v>
      </c>
      <c r="H1" s="752"/>
      <c r="I1" s="752"/>
      <c r="J1" s="752"/>
      <c r="K1" s="742" t="s">
        <v>1376</v>
      </c>
      <c r="L1" s="742"/>
      <c r="M1" s="742"/>
      <c r="N1" s="742"/>
      <c r="O1" s="746" t="s">
        <v>1377</v>
      </c>
      <c r="P1" s="742"/>
      <c r="Q1" s="742"/>
      <c r="R1" s="742"/>
      <c r="S1" s="746"/>
      <c r="T1" s="742"/>
      <c r="U1" s="742"/>
      <c r="V1" s="742"/>
      <c r="W1" s="746" t="s">
        <v>1377</v>
      </c>
      <c r="X1" s="746" t="s">
        <v>1366</v>
      </c>
      <c r="Y1" s="746" t="s">
        <v>1376</v>
      </c>
      <c r="Z1" s="746" t="s">
        <v>1377</v>
      </c>
      <c r="AA1" s="746"/>
    </row>
    <row r="2" spans="1:42" ht="42.75" customHeight="1" x14ac:dyDescent="0.25">
      <c r="A2" s="939" t="s">
        <v>545</v>
      </c>
      <c r="B2" s="939" t="s">
        <v>306</v>
      </c>
      <c r="C2" s="670" t="s">
        <v>345</v>
      </c>
      <c r="D2" s="671" t="s">
        <v>1229</v>
      </c>
      <c r="E2" s="671" t="s">
        <v>1212</v>
      </c>
      <c r="F2" s="671" t="s">
        <v>1216</v>
      </c>
      <c r="G2" s="940" t="s">
        <v>345</v>
      </c>
      <c r="H2" s="941"/>
      <c r="I2" s="941"/>
      <c r="J2" s="941"/>
      <c r="K2" s="941"/>
      <c r="L2" s="941"/>
      <c r="M2" s="941"/>
      <c r="N2" s="941"/>
      <c r="O2" s="941"/>
      <c r="P2" s="941"/>
      <c r="Q2" s="941"/>
      <c r="R2" s="941"/>
      <c r="S2" s="941"/>
      <c r="T2" s="941"/>
      <c r="U2" s="941"/>
      <c r="V2" s="941"/>
      <c r="W2" s="941"/>
      <c r="X2" s="941"/>
      <c r="Y2" s="941"/>
      <c r="Z2" s="941"/>
      <c r="AA2" s="941"/>
      <c r="AB2" s="871"/>
      <c r="AC2" s="871"/>
      <c r="AD2" s="871"/>
      <c r="AE2" s="871"/>
      <c r="AF2" s="871"/>
      <c r="AG2" s="871"/>
      <c r="AH2" s="871"/>
      <c r="AI2" s="871"/>
      <c r="AJ2" s="871"/>
      <c r="AK2" s="871"/>
      <c r="AL2" s="871"/>
      <c r="AM2" s="871"/>
      <c r="AN2" s="871"/>
      <c r="AO2" s="871"/>
      <c r="AP2" s="871"/>
    </row>
    <row r="3" spans="1:42" s="216" customFormat="1" ht="30" customHeight="1" x14ac:dyDescent="0.25">
      <c r="A3" s="907"/>
      <c r="B3" s="907"/>
      <c r="C3" s="591" t="s">
        <v>1187</v>
      </c>
      <c r="D3" s="906" t="s">
        <v>1367</v>
      </c>
      <c r="E3" s="907"/>
      <c r="F3" s="907"/>
      <c r="G3" s="907"/>
      <c r="H3" s="906" t="s">
        <v>1396</v>
      </c>
      <c r="I3" s="907"/>
      <c r="J3" s="907"/>
      <c r="K3" s="907"/>
      <c r="L3" s="906" t="s">
        <v>1394</v>
      </c>
      <c r="M3" s="907"/>
      <c r="N3" s="907"/>
      <c r="O3" s="907"/>
      <c r="P3" s="898" t="s">
        <v>1246</v>
      </c>
      <c r="Q3" s="901"/>
      <c r="R3" s="901"/>
      <c r="S3" s="902"/>
      <c r="T3" s="898" t="s">
        <v>1387</v>
      </c>
      <c r="U3" s="901"/>
      <c r="V3" s="901"/>
      <c r="W3" s="902"/>
      <c r="X3" s="810" t="s">
        <v>1415</v>
      </c>
      <c r="Y3" s="810" t="s">
        <v>1460</v>
      </c>
      <c r="Z3" s="810" t="s">
        <v>1461</v>
      </c>
      <c r="AA3" s="810" t="s">
        <v>1456</v>
      </c>
    </row>
    <row r="4" spans="1:42" s="216" customFormat="1" x14ac:dyDescent="0.25">
      <c r="A4" s="672" t="s">
        <v>322</v>
      </c>
      <c r="B4" s="658" t="s">
        <v>651</v>
      </c>
      <c r="C4" s="625">
        <f t="shared" ref="C4" si="0">C5+C19+C33</f>
        <v>0</v>
      </c>
      <c r="D4" s="673">
        <f t="shared" ref="D4:F4" si="1">D5+D19+D33</f>
        <v>0</v>
      </c>
      <c r="E4" s="673">
        <f t="shared" si="1"/>
        <v>0</v>
      </c>
      <c r="F4" s="673">
        <f t="shared" si="1"/>
        <v>0</v>
      </c>
      <c r="G4" s="625">
        <f t="shared" ref="G4:J4" si="2">G5+G19+G33</f>
        <v>285229</v>
      </c>
      <c r="H4" s="673">
        <f t="shared" si="2"/>
        <v>0</v>
      </c>
      <c r="I4" s="673">
        <f t="shared" si="2"/>
        <v>0</v>
      </c>
      <c r="J4" s="673">
        <f t="shared" si="2"/>
        <v>0</v>
      </c>
      <c r="K4" s="625">
        <f t="shared" ref="K4:N4" si="3">K5+K19+K33</f>
        <v>291630</v>
      </c>
      <c r="L4" s="673">
        <f t="shared" si="3"/>
        <v>0</v>
      </c>
      <c r="M4" s="673">
        <f t="shared" si="3"/>
        <v>0</v>
      </c>
      <c r="N4" s="673">
        <f t="shared" si="3"/>
        <v>0</v>
      </c>
      <c r="O4" s="625">
        <f t="shared" ref="O4:R4" si="4">O5+O19+O33</f>
        <v>314741</v>
      </c>
      <c r="P4" s="673">
        <f t="shared" si="4"/>
        <v>0</v>
      </c>
      <c r="Q4" s="673">
        <f t="shared" si="4"/>
        <v>0</v>
      </c>
      <c r="R4" s="673">
        <f t="shared" si="4"/>
        <v>0</v>
      </c>
      <c r="S4" s="625">
        <f t="shared" ref="S4:Y4" si="5">S5+S19+S33</f>
        <v>285225</v>
      </c>
      <c r="T4" s="673">
        <f t="shared" si="5"/>
        <v>0</v>
      </c>
      <c r="U4" s="673">
        <f t="shared" si="5"/>
        <v>0</v>
      </c>
      <c r="V4" s="673">
        <f t="shared" si="5"/>
        <v>0</v>
      </c>
      <c r="W4" s="625">
        <f t="shared" si="5"/>
        <v>81208</v>
      </c>
      <c r="X4" s="625">
        <f t="shared" si="5"/>
        <v>304934</v>
      </c>
      <c r="Y4" s="625">
        <f t="shared" si="5"/>
        <v>339403</v>
      </c>
      <c r="Z4" s="625">
        <f t="shared" ref="Z4:AA4" si="6">Z5+Z19+Z33</f>
        <v>344426</v>
      </c>
      <c r="AA4" s="625">
        <f t="shared" si="6"/>
        <v>158266</v>
      </c>
    </row>
    <row r="5" spans="1:42" x14ac:dyDescent="0.25">
      <c r="A5" s="436" t="s">
        <v>309</v>
      </c>
      <c r="B5" s="437" t="s">
        <v>348</v>
      </c>
      <c r="C5" s="438">
        <f>C6+C12+C16</f>
        <v>0</v>
      </c>
      <c r="D5" s="439">
        <f t="shared" ref="D5:F5" si="7">D6+D12+D16</f>
        <v>0</v>
      </c>
      <c r="E5" s="439">
        <f t="shared" si="7"/>
        <v>0</v>
      </c>
      <c r="F5" s="439">
        <f t="shared" si="7"/>
        <v>0</v>
      </c>
      <c r="G5" s="438">
        <f>G6+G12+G16</f>
        <v>174440</v>
      </c>
      <c r="H5" s="439">
        <f t="shared" ref="H5:J5" si="8">H6+H12+H16</f>
        <v>0</v>
      </c>
      <c r="I5" s="439">
        <f t="shared" si="8"/>
        <v>0</v>
      </c>
      <c r="J5" s="439">
        <f t="shared" si="8"/>
        <v>0</v>
      </c>
      <c r="K5" s="438">
        <f>K6+K12+K16</f>
        <v>174663</v>
      </c>
      <c r="L5" s="439">
        <f t="shared" ref="L5:N5" si="9">L6+L12+L16</f>
        <v>0</v>
      </c>
      <c r="M5" s="439">
        <f t="shared" si="9"/>
        <v>0</v>
      </c>
      <c r="N5" s="439">
        <f t="shared" si="9"/>
        <v>0</v>
      </c>
      <c r="O5" s="438">
        <f>O6+O12+O16</f>
        <v>193511</v>
      </c>
      <c r="P5" s="439">
        <f t="shared" ref="P5:R5" si="10">P6+P12+P16</f>
        <v>0</v>
      </c>
      <c r="Q5" s="439">
        <f t="shared" si="10"/>
        <v>0</v>
      </c>
      <c r="R5" s="439">
        <f t="shared" si="10"/>
        <v>0</v>
      </c>
      <c r="S5" s="438">
        <f>S6+S12+S16</f>
        <v>174440</v>
      </c>
      <c r="T5" s="439">
        <f t="shared" ref="T5:V5" si="11">T6+T12+T16</f>
        <v>0</v>
      </c>
      <c r="U5" s="439">
        <f t="shared" si="11"/>
        <v>0</v>
      </c>
      <c r="V5" s="439">
        <f t="shared" si="11"/>
        <v>0</v>
      </c>
      <c r="W5" s="438">
        <f>W6+W12+W16</f>
        <v>50547</v>
      </c>
      <c r="X5" s="438">
        <f>X6+X12+X16</f>
        <v>186390</v>
      </c>
      <c r="Y5" s="438">
        <f>Y6+Y12+Y16</f>
        <v>220859</v>
      </c>
      <c r="Z5" s="438">
        <f>Z6+Z12+Z16</f>
        <v>222938</v>
      </c>
      <c r="AA5" s="438">
        <f>AA6+AA12+AA16</f>
        <v>100165</v>
      </c>
    </row>
    <row r="6" spans="1:42" x14ac:dyDescent="0.25">
      <c r="A6" s="440" t="s">
        <v>311</v>
      </c>
      <c r="B6" s="432" t="s">
        <v>652</v>
      </c>
      <c r="C6" s="441">
        <f>SUM(C7:C11)</f>
        <v>0</v>
      </c>
      <c r="D6" s="442"/>
      <c r="E6" s="442"/>
      <c r="F6" s="442"/>
      <c r="G6" s="441">
        <f>SUM(G7:G11)</f>
        <v>174440</v>
      </c>
      <c r="H6" s="442"/>
      <c r="I6" s="442"/>
      <c r="J6" s="442"/>
      <c r="K6" s="441">
        <f>SUM(K7:K11)</f>
        <v>174663</v>
      </c>
      <c r="L6" s="442"/>
      <c r="M6" s="442"/>
      <c r="N6" s="442"/>
      <c r="O6" s="441">
        <f>SUM(O7:O11)</f>
        <v>193511</v>
      </c>
      <c r="P6" s="442"/>
      <c r="Q6" s="442"/>
      <c r="R6" s="442"/>
      <c r="S6" s="441">
        <f>SUM(S7:S11)</f>
        <v>174440</v>
      </c>
      <c r="T6" s="442">
        <v>0</v>
      </c>
      <c r="U6" s="442"/>
      <c r="V6" s="442">
        <v>0</v>
      </c>
      <c r="W6" s="441">
        <f>SUM(W7:W11)</f>
        <v>50547</v>
      </c>
      <c r="X6" s="441">
        <f>SUM(X7:X11)</f>
        <v>186390</v>
      </c>
      <c r="Y6" s="441">
        <f>SUM(Y7:Y11)</f>
        <v>220859</v>
      </c>
      <c r="Z6" s="441">
        <f>SUM(Z7:Z11)</f>
        <v>222938</v>
      </c>
      <c r="AA6" s="441">
        <f>SUM(AA7:AA11)</f>
        <v>100165</v>
      </c>
    </row>
    <row r="7" spans="1:42" x14ac:dyDescent="0.25">
      <c r="A7" s="443"/>
      <c r="B7" s="444" t="s">
        <v>286</v>
      </c>
      <c r="C7" s="445"/>
      <c r="D7" s="446"/>
      <c r="E7" s="446"/>
      <c r="F7" s="446"/>
      <c r="G7" s="445">
        <v>111566</v>
      </c>
      <c r="H7" s="446"/>
      <c r="I7" s="446"/>
      <c r="J7" s="446"/>
      <c r="K7" s="445">
        <v>111742</v>
      </c>
      <c r="L7" s="445"/>
      <c r="M7" s="445"/>
      <c r="N7" s="445"/>
      <c r="O7" s="445">
        <v>113260</v>
      </c>
      <c r="P7" s="445">
        <v>111566</v>
      </c>
      <c r="Q7" s="445">
        <v>111566</v>
      </c>
      <c r="R7" s="445">
        <v>111566</v>
      </c>
      <c r="S7" s="445">
        <v>111566</v>
      </c>
      <c r="T7" s="445">
        <v>111566</v>
      </c>
      <c r="U7" s="445">
        <v>111566</v>
      </c>
      <c r="V7" s="445">
        <v>111566</v>
      </c>
      <c r="W7" s="445">
        <v>36785</v>
      </c>
      <c r="X7" s="445">
        <v>121592</v>
      </c>
      <c r="Y7" s="445">
        <v>121592</v>
      </c>
      <c r="Z7" s="445">
        <v>122705</v>
      </c>
      <c r="AA7" s="445">
        <v>64446</v>
      </c>
    </row>
    <row r="8" spans="1:42" x14ac:dyDescent="0.25">
      <c r="A8" s="443"/>
      <c r="B8" s="444" t="s">
        <v>287</v>
      </c>
      <c r="C8" s="445"/>
      <c r="D8" s="446"/>
      <c r="E8" s="446"/>
      <c r="F8" s="446"/>
      <c r="G8" s="445">
        <v>20084</v>
      </c>
      <c r="H8" s="446"/>
      <c r="I8" s="446"/>
      <c r="J8" s="446"/>
      <c r="K8" s="445">
        <v>20131</v>
      </c>
      <c r="L8" s="445"/>
      <c r="M8" s="445"/>
      <c r="N8" s="445"/>
      <c r="O8" s="445">
        <v>20141</v>
      </c>
      <c r="P8" s="445">
        <v>20084</v>
      </c>
      <c r="Q8" s="445">
        <v>20084</v>
      </c>
      <c r="R8" s="445">
        <v>20084</v>
      </c>
      <c r="S8" s="445">
        <v>20084</v>
      </c>
      <c r="T8" s="445">
        <v>20084</v>
      </c>
      <c r="U8" s="445">
        <v>20084</v>
      </c>
      <c r="V8" s="445">
        <v>20084</v>
      </c>
      <c r="W8" s="445">
        <v>7653</v>
      </c>
      <c r="X8" s="445">
        <v>22008</v>
      </c>
      <c r="Y8" s="445">
        <v>22008</v>
      </c>
      <c r="Z8" s="445">
        <v>22008</v>
      </c>
      <c r="AA8" s="445">
        <v>13261</v>
      </c>
    </row>
    <row r="9" spans="1:42" x14ac:dyDescent="0.25">
      <c r="A9" s="443"/>
      <c r="B9" s="444" t="s">
        <v>292</v>
      </c>
      <c r="C9" s="445"/>
      <c r="D9" s="446"/>
      <c r="E9" s="446"/>
      <c r="F9" s="446"/>
      <c r="G9" s="445">
        <v>42790</v>
      </c>
      <c r="H9" s="446"/>
      <c r="I9" s="446"/>
      <c r="J9" s="446"/>
      <c r="K9" s="445">
        <v>42790</v>
      </c>
      <c r="L9" s="445"/>
      <c r="M9" s="445"/>
      <c r="N9" s="445"/>
      <c r="O9" s="445">
        <v>60110</v>
      </c>
      <c r="P9" s="445">
        <v>42790</v>
      </c>
      <c r="Q9" s="445">
        <v>42790</v>
      </c>
      <c r="R9" s="445">
        <v>42790</v>
      </c>
      <c r="S9" s="445">
        <v>42790</v>
      </c>
      <c r="T9" s="445">
        <v>42790</v>
      </c>
      <c r="U9" s="445">
        <v>42790</v>
      </c>
      <c r="V9" s="445">
        <v>42790</v>
      </c>
      <c r="W9" s="445">
        <v>6109</v>
      </c>
      <c r="X9" s="445">
        <v>42790</v>
      </c>
      <c r="Y9" s="445">
        <v>75840</v>
      </c>
      <c r="Z9" s="445">
        <v>75840</v>
      </c>
      <c r="AA9" s="445">
        <v>21061</v>
      </c>
    </row>
    <row r="10" spans="1:42" ht="13.5" customHeight="1" x14ac:dyDescent="0.25">
      <c r="A10" s="443"/>
      <c r="B10" s="444" t="s">
        <v>560</v>
      </c>
      <c r="C10" s="445"/>
      <c r="D10" s="446"/>
      <c r="E10" s="446"/>
      <c r="F10" s="446"/>
      <c r="G10" s="445">
        <v>0</v>
      </c>
      <c r="H10" s="446"/>
      <c r="I10" s="446"/>
      <c r="J10" s="446"/>
      <c r="K10" s="445">
        <v>0</v>
      </c>
      <c r="L10" s="445"/>
      <c r="M10" s="445"/>
      <c r="N10" s="445"/>
      <c r="O10" s="445">
        <v>0</v>
      </c>
      <c r="P10" s="445">
        <v>0</v>
      </c>
      <c r="Q10" s="445">
        <v>0</v>
      </c>
      <c r="R10" s="445">
        <v>0</v>
      </c>
      <c r="S10" s="445">
        <v>0</v>
      </c>
      <c r="T10" s="445">
        <v>0</v>
      </c>
      <c r="U10" s="445">
        <v>0</v>
      </c>
      <c r="V10" s="445">
        <v>0</v>
      </c>
      <c r="W10" s="445">
        <v>0</v>
      </c>
      <c r="X10" s="445">
        <v>0</v>
      </c>
      <c r="Y10" s="445">
        <v>0</v>
      </c>
      <c r="Z10" s="445">
        <v>105</v>
      </c>
      <c r="AA10" s="445">
        <v>0</v>
      </c>
    </row>
    <row r="11" spans="1:42" x14ac:dyDescent="0.25">
      <c r="A11" s="443"/>
      <c r="B11" s="444" t="s">
        <v>351</v>
      </c>
      <c r="C11" s="445"/>
      <c r="D11" s="446"/>
      <c r="E11" s="446"/>
      <c r="F11" s="446"/>
      <c r="G11" s="445">
        <v>0</v>
      </c>
      <c r="H11" s="446"/>
      <c r="I11" s="446"/>
      <c r="J11" s="446"/>
      <c r="K11" s="445">
        <v>0</v>
      </c>
      <c r="L11" s="445"/>
      <c r="M11" s="445"/>
      <c r="N11" s="445"/>
      <c r="O11" s="445">
        <v>0</v>
      </c>
      <c r="P11" s="445">
        <v>0</v>
      </c>
      <c r="Q11" s="445">
        <v>0</v>
      </c>
      <c r="R11" s="445">
        <v>0</v>
      </c>
      <c r="S11" s="445">
        <v>0</v>
      </c>
      <c r="T11" s="445">
        <v>0</v>
      </c>
      <c r="U11" s="445">
        <v>0</v>
      </c>
      <c r="V11" s="445">
        <v>0</v>
      </c>
      <c r="W11" s="445">
        <v>0</v>
      </c>
      <c r="X11" s="445">
        <v>0</v>
      </c>
      <c r="Y11" s="445">
        <v>1419</v>
      </c>
      <c r="Z11" s="445">
        <v>2280</v>
      </c>
      <c r="AA11" s="445">
        <v>1397</v>
      </c>
    </row>
    <row r="12" spans="1:42" hidden="1" x14ac:dyDescent="0.25">
      <c r="A12" s="440" t="s">
        <v>322</v>
      </c>
      <c r="B12" s="432" t="s">
        <v>653</v>
      </c>
      <c r="C12" s="441">
        <f>SUM(C13:C15)</f>
        <v>0</v>
      </c>
      <c r="D12" s="442"/>
      <c r="E12" s="442"/>
      <c r="F12" s="442"/>
      <c r="G12" s="441">
        <f>SUM(G13:G15)</f>
        <v>0</v>
      </c>
      <c r="H12" s="442"/>
      <c r="I12" s="442"/>
      <c r="J12" s="442"/>
      <c r="K12" s="441">
        <f>SUM(K13:K15)</f>
        <v>0</v>
      </c>
      <c r="L12" s="442"/>
      <c r="M12" s="442"/>
      <c r="N12" s="442"/>
      <c r="O12" s="441">
        <f>SUM(O13:O15)</f>
        <v>0</v>
      </c>
      <c r="P12" s="442"/>
      <c r="Q12" s="442"/>
      <c r="R12" s="442"/>
      <c r="S12" s="441">
        <f>SUM(S13:S15)</f>
        <v>0</v>
      </c>
      <c r="T12" s="442"/>
      <c r="U12" s="442"/>
      <c r="V12" s="442"/>
      <c r="W12" s="441">
        <f>SUM(W13:W15)</f>
        <v>0</v>
      </c>
      <c r="X12" s="441">
        <f>SUM(X13:X15)</f>
        <v>0</v>
      </c>
      <c r="Y12" s="441">
        <v>0</v>
      </c>
      <c r="Z12" s="441">
        <v>0</v>
      </c>
      <c r="AA12" s="441">
        <v>0</v>
      </c>
    </row>
    <row r="13" spans="1:42" hidden="1" x14ac:dyDescent="0.25">
      <c r="A13" s="443"/>
      <c r="B13" s="444" t="s">
        <v>286</v>
      </c>
      <c r="C13" s="445">
        <v>0</v>
      </c>
      <c r="D13" s="446"/>
      <c r="E13" s="446"/>
      <c r="F13" s="446"/>
      <c r="G13" s="445">
        <v>0</v>
      </c>
      <c r="H13" s="446"/>
      <c r="I13" s="446"/>
      <c r="J13" s="446"/>
      <c r="K13" s="445">
        <v>0</v>
      </c>
      <c r="L13" s="446"/>
      <c r="M13" s="446"/>
      <c r="N13" s="446"/>
      <c r="O13" s="445">
        <v>0</v>
      </c>
      <c r="P13" s="446"/>
      <c r="Q13" s="446"/>
      <c r="R13" s="446"/>
      <c r="S13" s="445">
        <v>0</v>
      </c>
      <c r="T13" s="446"/>
      <c r="U13" s="446"/>
      <c r="V13" s="446"/>
      <c r="W13" s="445">
        <v>0</v>
      </c>
      <c r="X13" s="445">
        <v>0</v>
      </c>
      <c r="Y13" s="445">
        <v>0</v>
      </c>
      <c r="Z13" s="445">
        <v>0</v>
      </c>
      <c r="AA13" s="445">
        <v>0</v>
      </c>
    </row>
    <row r="14" spans="1:42" hidden="1" x14ac:dyDescent="0.25">
      <c r="A14" s="443"/>
      <c r="B14" s="444" t="s">
        <v>287</v>
      </c>
      <c r="C14" s="445">
        <v>0</v>
      </c>
      <c r="D14" s="446"/>
      <c r="E14" s="446"/>
      <c r="F14" s="446"/>
      <c r="G14" s="445">
        <v>0</v>
      </c>
      <c r="H14" s="446"/>
      <c r="I14" s="446"/>
      <c r="J14" s="446"/>
      <c r="K14" s="445">
        <v>0</v>
      </c>
      <c r="L14" s="446"/>
      <c r="M14" s="446"/>
      <c r="N14" s="446"/>
      <c r="O14" s="445">
        <v>0</v>
      </c>
      <c r="P14" s="446"/>
      <c r="Q14" s="446"/>
      <c r="R14" s="446"/>
      <c r="S14" s="445">
        <v>0</v>
      </c>
      <c r="T14" s="446"/>
      <c r="U14" s="446"/>
      <c r="V14" s="446"/>
      <c r="W14" s="445">
        <v>0</v>
      </c>
      <c r="X14" s="445">
        <v>0</v>
      </c>
      <c r="Y14" s="445">
        <v>0</v>
      </c>
      <c r="Z14" s="445">
        <v>0</v>
      </c>
      <c r="AA14" s="445">
        <v>0</v>
      </c>
    </row>
    <row r="15" spans="1:42" hidden="1" x14ac:dyDescent="0.25">
      <c r="A15" s="443"/>
      <c r="B15" s="444" t="s">
        <v>292</v>
      </c>
      <c r="C15" s="445">
        <v>0</v>
      </c>
      <c r="D15" s="446"/>
      <c r="E15" s="446"/>
      <c r="F15" s="446"/>
      <c r="G15" s="445">
        <v>0</v>
      </c>
      <c r="H15" s="446"/>
      <c r="I15" s="446"/>
      <c r="J15" s="446"/>
      <c r="K15" s="445">
        <v>0</v>
      </c>
      <c r="L15" s="446"/>
      <c r="M15" s="446"/>
      <c r="N15" s="446"/>
      <c r="O15" s="445">
        <v>0</v>
      </c>
      <c r="P15" s="446"/>
      <c r="Q15" s="446"/>
      <c r="R15" s="446"/>
      <c r="S15" s="445">
        <v>0</v>
      </c>
      <c r="T15" s="446"/>
      <c r="U15" s="446"/>
      <c r="V15" s="446"/>
      <c r="W15" s="445">
        <v>0</v>
      </c>
      <c r="X15" s="445">
        <v>0</v>
      </c>
      <c r="Y15" s="445">
        <v>0</v>
      </c>
      <c r="Z15" s="445">
        <v>0</v>
      </c>
      <c r="AA15" s="445">
        <v>0</v>
      </c>
    </row>
    <row r="16" spans="1:42" s="447" customFormat="1" x14ac:dyDescent="0.25">
      <c r="A16" s="440" t="s">
        <v>322</v>
      </c>
      <c r="B16" s="432" t="s">
        <v>606</v>
      </c>
      <c r="C16" s="441">
        <f>SUM(C17:C18)</f>
        <v>0</v>
      </c>
      <c r="D16" s="442"/>
      <c r="E16" s="442"/>
      <c r="F16" s="442"/>
      <c r="G16" s="441">
        <f>SUM(G17:G18)</f>
        <v>0</v>
      </c>
      <c r="H16" s="442"/>
      <c r="I16" s="442"/>
      <c r="J16" s="442"/>
      <c r="K16" s="441">
        <f>SUM(K17:K18)</f>
        <v>0</v>
      </c>
      <c r="L16" s="442"/>
      <c r="M16" s="442"/>
      <c r="N16" s="442"/>
      <c r="O16" s="441">
        <f>SUM(O17:O18)</f>
        <v>0</v>
      </c>
      <c r="P16" s="442"/>
      <c r="Q16" s="442"/>
      <c r="R16" s="442"/>
      <c r="S16" s="441">
        <f>SUM(S17:S18)</f>
        <v>0</v>
      </c>
      <c r="T16" s="442"/>
      <c r="U16" s="442"/>
      <c r="V16" s="442"/>
      <c r="W16" s="441">
        <f>SUM(W17:W18)</f>
        <v>0</v>
      </c>
      <c r="X16" s="441">
        <f>SUM(X17:X18)</f>
        <v>0</v>
      </c>
      <c r="Y16" s="441">
        <v>0</v>
      </c>
      <c r="Z16" s="441">
        <v>0</v>
      </c>
      <c r="AA16" s="441">
        <v>0</v>
      </c>
    </row>
    <row r="17" spans="1:27" x14ac:dyDescent="0.25">
      <c r="A17" s="443"/>
      <c r="B17" s="444" t="s">
        <v>286</v>
      </c>
      <c r="C17" s="445">
        <v>0</v>
      </c>
      <c r="D17" s="446"/>
      <c r="E17" s="446"/>
      <c r="F17" s="446"/>
      <c r="G17" s="445">
        <v>0</v>
      </c>
      <c r="H17" s="446"/>
      <c r="I17" s="446"/>
      <c r="J17" s="446"/>
      <c r="K17" s="445">
        <v>0</v>
      </c>
      <c r="L17" s="446"/>
      <c r="M17" s="446"/>
      <c r="N17" s="446"/>
      <c r="O17" s="445">
        <v>0</v>
      </c>
      <c r="P17" s="446"/>
      <c r="Q17" s="446"/>
      <c r="R17" s="446"/>
      <c r="S17" s="445">
        <v>0</v>
      </c>
      <c r="T17" s="446"/>
      <c r="U17" s="446"/>
      <c r="V17" s="446"/>
      <c r="W17" s="445">
        <v>0</v>
      </c>
      <c r="X17" s="445">
        <v>0</v>
      </c>
      <c r="Y17" s="445">
        <v>0</v>
      </c>
      <c r="Z17" s="445">
        <v>0</v>
      </c>
      <c r="AA17" s="445">
        <v>0</v>
      </c>
    </row>
    <row r="18" spans="1:27" x14ac:dyDescent="0.25">
      <c r="A18" s="443"/>
      <c r="B18" s="444" t="s">
        <v>287</v>
      </c>
      <c r="C18" s="445">
        <v>0</v>
      </c>
      <c r="D18" s="446"/>
      <c r="E18" s="446"/>
      <c r="F18" s="446"/>
      <c r="G18" s="445">
        <v>0</v>
      </c>
      <c r="H18" s="446"/>
      <c r="I18" s="446"/>
      <c r="J18" s="446"/>
      <c r="K18" s="445">
        <v>0</v>
      </c>
      <c r="L18" s="446"/>
      <c r="M18" s="446"/>
      <c r="N18" s="446"/>
      <c r="O18" s="445">
        <v>0</v>
      </c>
      <c r="P18" s="446"/>
      <c r="Q18" s="446"/>
      <c r="R18" s="446"/>
      <c r="S18" s="445">
        <v>0</v>
      </c>
      <c r="T18" s="446"/>
      <c r="U18" s="446"/>
      <c r="V18" s="446"/>
      <c r="W18" s="445">
        <v>0</v>
      </c>
      <c r="X18" s="445">
        <v>0</v>
      </c>
      <c r="Y18" s="445">
        <v>0</v>
      </c>
      <c r="Z18" s="445">
        <v>0</v>
      </c>
      <c r="AA18" s="445">
        <v>0</v>
      </c>
    </row>
    <row r="19" spans="1:27" x14ac:dyDescent="0.25">
      <c r="A19" s="436" t="s">
        <v>318</v>
      </c>
      <c r="B19" s="437" t="s">
        <v>353</v>
      </c>
      <c r="C19" s="438">
        <f>SUM(C21:C24)</f>
        <v>0</v>
      </c>
      <c r="D19" s="439">
        <f>SUM(D20)</f>
        <v>0</v>
      </c>
      <c r="E19" s="439">
        <v>0</v>
      </c>
      <c r="F19" s="439">
        <v>0</v>
      </c>
      <c r="G19" s="438">
        <f>SUM(G21:G24)</f>
        <v>17774</v>
      </c>
      <c r="H19" s="439">
        <f>SUM(H20)</f>
        <v>0</v>
      </c>
      <c r="I19" s="439">
        <v>0</v>
      </c>
      <c r="J19" s="439">
        <v>0</v>
      </c>
      <c r="K19" s="438">
        <f>SUM(K21:K24)</f>
        <v>17774</v>
      </c>
      <c r="L19" s="439">
        <f>SUM(L20)</f>
        <v>0</v>
      </c>
      <c r="M19" s="439">
        <v>0</v>
      </c>
      <c r="N19" s="439">
        <v>0</v>
      </c>
      <c r="O19" s="438">
        <f>SUM(O21:O24)</f>
        <v>17987</v>
      </c>
      <c r="P19" s="439">
        <f>SUM(P20)</f>
        <v>0</v>
      </c>
      <c r="Q19" s="439">
        <v>0</v>
      </c>
      <c r="R19" s="439">
        <v>0</v>
      </c>
      <c r="S19" s="438">
        <f>SUM(S21:S24)</f>
        <v>17774</v>
      </c>
      <c r="T19" s="439">
        <f>+T20+T25</f>
        <v>0</v>
      </c>
      <c r="U19" s="439">
        <v>0</v>
      </c>
      <c r="V19" s="439">
        <v>0</v>
      </c>
      <c r="W19" s="438">
        <f>+W20+W25</f>
        <v>4780</v>
      </c>
      <c r="X19" s="438">
        <f>SUM(X21:X24)</f>
        <v>19176</v>
      </c>
      <c r="Y19" s="438">
        <f t="shared" ref="Y19:AA19" si="12">SUM(Y21:Y24)</f>
        <v>19176</v>
      </c>
      <c r="Z19" s="438">
        <f t="shared" si="12"/>
        <v>19176</v>
      </c>
      <c r="AA19" s="438">
        <f t="shared" si="12"/>
        <v>10536</v>
      </c>
    </row>
    <row r="20" spans="1:27" s="447" customFormat="1" x14ac:dyDescent="0.25">
      <c r="A20" s="440" t="s">
        <v>311</v>
      </c>
      <c r="B20" s="432" t="s">
        <v>608</v>
      </c>
      <c r="C20" s="441">
        <f>SUM(C21:C24)</f>
        <v>0</v>
      </c>
      <c r="D20" s="442"/>
      <c r="E20" s="442"/>
      <c r="F20" s="442"/>
      <c r="G20" s="441">
        <f>SUM(G21:G24)</f>
        <v>17774</v>
      </c>
      <c r="H20" s="442"/>
      <c r="I20" s="442"/>
      <c r="J20" s="442"/>
      <c r="K20" s="441">
        <f>SUM(K21:K24)</f>
        <v>17774</v>
      </c>
      <c r="L20" s="442"/>
      <c r="M20" s="442"/>
      <c r="N20" s="442"/>
      <c r="O20" s="441">
        <f>SUM(O21:O24)</f>
        <v>17987</v>
      </c>
      <c r="P20" s="442"/>
      <c r="Q20" s="442"/>
      <c r="R20" s="442"/>
      <c r="S20" s="441">
        <f>SUM(S21:S24)</f>
        <v>17774</v>
      </c>
      <c r="T20" s="442">
        <v>0</v>
      </c>
      <c r="U20" s="442"/>
      <c r="V20" s="442"/>
      <c r="W20" s="441">
        <f>SUM(W21:W24)</f>
        <v>4780</v>
      </c>
      <c r="X20" s="441">
        <f>SUM(X21:X24)</f>
        <v>19176</v>
      </c>
      <c r="Y20" s="441">
        <f t="shared" ref="Y20:AA20" si="13">SUM(Y21:Y24)</f>
        <v>19176</v>
      </c>
      <c r="Z20" s="441">
        <f t="shared" si="13"/>
        <v>19176</v>
      </c>
      <c r="AA20" s="441">
        <f t="shared" si="13"/>
        <v>10536</v>
      </c>
    </row>
    <row r="21" spans="1:27" x14ac:dyDescent="0.25">
      <c r="A21" s="443"/>
      <c r="B21" s="444" t="s">
        <v>286</v>
      </c>
      <c r="C21" s="445"/>
      <c r="D21" s="446"/>
      <c r="E21" s="446"/>
      <c r="F21" s="446"/>
      <c r="G21" s="445">
        <v>14037</v>
      </c>
      <c r="H21" s="446"/>
      <c r="I21" s="446"/>
      <c r="J21" s="446"/>
      <c r="K21" s="445">
        <v>14037</v>
      </c>
      <c r="L21" s="445"/>
      <c r="M21" s="445"/>
      <c r="N21" s="445"/>
      <c r="O21" s="445">
        <v>14250</v>
      </c>
      <c r="P21" s="445">
        <v>14037</v>
      </c>
      <c r="Q21" s="445">
        <v>14037</v>
      </c>
      <c r="R21" s="445">
        <v>14037</v>
      </c>
      <c r="S21" s="445">
        <v>14037</v>
      </c>
      <c r="T21" s="445">
        <v>14037</v>
      </c>
      <c r="U21" s="445">
        <v>14037</v>
      </c>
      <c r="V21" s="445">
        <v>14037</v>
      </c>
      <c r="W21" s="445">
        <v>3961</v>
      </c>
      <c r="X21" s="445">
        <v>15199</v>
      </c>
      <c r="Y21" s="445">
        <v>15199</v>
      </c>
      <c r="Z21" s="445">
        <v>15199</v>
      </c>
      <c r="AA21" s="445">
        <v>8067</v>
      </c>
    </row>
    <row r="22" spans="1:27" x14ac:dyDescent="0.25">
      <c r="A22" s="443"/>
      <c r="B22" s="444" t="s">
        <v>287</v>
      </c>
      <c r="C22" s="445"/>
      <c r="D22" s="446"/>
      <c r="E22" s="446"/>
      <c r="F22" s="446"/>
      <c r="G22" s="445">
        <v>2737</v>
      </c>
      <c r="H22" s="446"/>
      <c r="I22" s="446"/>
      <c r="J22" s="446"/>
      <c r="K22" s="445">
        <v>2737</v>
      </c>
      <c r="L22" s="445"/>
      <c r="M22" s="445"/>
      <c r="N22" s="445"/>
      <c r="O22" s="445">
        <v>2737</v>
      </c>
      <c r="P22" s="445">
        <v>2737</v>
      </c>
      <c r="Q22" s="445">
        <v>2737</v>
      </c>
      <c r="R22" s="445">
        <v>2737</v>
      </c>
      <c r="S22" s="445">
        <v>2737</v>
      </c>
      <c r="T22" s="445">
        <v>2737</v>
      </c>
      <c r="U22" s="445">
        <v>2737</v>
      </c>
      <c r="V22" s="445">
        <v>2737</v>
      </c>
      <c r="W22" s="445">
        <v>819</v>
      </c>
      <c r="X22" s="445">
        <v>2977</v>
      </c>
      <c r="Y22" s="445">
        <v>2977</v>
      </c>
      <c r="Z22" s="445">
        <v>2977</v>
      </c>
      <c r="AA22" s="445">
        <v>1708</v>
      </c>
    </row>
    <row r="23" spans="1:27" x14ac:dyDescent="0.25">
      <c r="A23" s="443"/>
      <c r="B23" s="444" t="s">
        <v>292</v>
      </c>
      <c r="C23" s="445"/>
      <c r="D23" s="446"/>
      <c r="E23" s="446"/>
      <c r="F23" s="446"/>
      <c r="G23" s="445">
        <v>1000</v>
      </c>
      <c r="H23" s="446"/>
      <c r="I23" s="446"/>
      <c r="J23" s="446"/>
      <c r="K23" s="445">
        <v>1000</v>
      </c>
      <c r="L23" s="445"/>
      <c r="M23" s="445"/>
      <c r="N23" s="445"/>
      <c r="O23" s="445">
        <v>1000</v>
      </c>
      <c r="P23" s="445">
        <v>1000</v>
      </c>
      <c r="Q23" s="445">
        <v>1000</v>
      </c>
      <c r="R23" s="445">
        <v>1000</v>
      </c>
      <c r="S23" s="445">
        <v>1000</v>
      </c>
      <c r="T23" s="445">
        <v>1000</v>
      </c>
      <c r="U23" s="445">
        <v>1000</v>
      </c>
      <c r="V23" s="445">
        <v>1000</v>
      </c>
      <c r="W23" s="445">
        <v>0</v>
      </c>
      <c r="X23" s="445">
        <v>1000</v>
      </c>
      <c r="Y23" s="445">
        <v>1000</v>
      </c>
      <c r="Z23" s="445">
        <v>1000</v>
      </c>
      <c r="AA23" s="445">
        <v>761</v>
      </c>
    </row>
    <row r="24" spans="1:27" x14ac:dyDescent="0.25">
      <c r="A24" s="443"/>
      <c r="B24" s="444" t="s">
        <v>351</v>
      </c>
      <c r="C24" s="445"/>
      <c r="D24" s="446"/>
      <c r="E24" s="446"/>
      <c r="F24" s="446"/>
      <c r="G24" s="445">
        <v>0</v>
      </c>
      <c r="H24" s="446"/>
      <c r="I24" s="446"/>
      <c r="J24" s="446"/>
      <c r="K24" s="445"/>
      <c r="L24" s="446"/>
      <c r="M24" s="446"/>
      <c r="N24" s="446"/>
      <c r="O24" s="445"/>
      <c r="P24" s="446"/>
      <c r="Q24" s="446"/>
      <c r="R24" s="446"/>
      <c r="S24" s="445"/>
      <c r="T24" s="446"/>
      <c r="U24" s="446"/>
      <c r="V24" s="446"/>
      <c r="W24" s="445">
        <v>0</v>
      </c>
      <c r="X24" s="445"/>
      <c r="Y24" s="445"/>
      <c r="Z24" s="445"/>
      <c r="AA24" s="445"/>
    </row>
    <row r="25" spans="1:27" s="447" customFormat="1" hidden="1" x14ac:dyDescent="0.25">
      <c r="A25" s="440" t="s">
        <v>322</v>
      </c>
      <c r="B25" s="432" t="s">
        <v>1253</v>
      </c>
      <c r="C25" s="441">
        <f>C26+C27</f>
        <v>0</v>
      </c>
      <c r="D25" s="442"/>
      <c r="E25" s="442"/>
      <c r="F25" s="442"/>
      <c r="G25" s="441">
        <f>G26+G27</f>
        <v>0</v>
      </c>
      <c r="H25" s="442"/>
      <c r="I25" s="442"/>
      <c r="J25" s="442"/>
      <c r="K25" s="441">
        <f>K26+K27</f>
        <v>0</v>
      </c>
      <c r="L25" s="442"/>
      <c r="M25" s="442"/>
      <c r="N25" s="442"/>
      <c r="O25" s="441">
        <f>O26+O27+O28+O29</f>
        <v>0</v>
      </c>
      <c r="P25" s="442"/>
      <c r="Q25" s="442"/>
      <c r="R25" s="442"/>
      <c r="S25" s="441">
        <f>S26+S27+S28+S29</f>
        <v>0</v>
      </c>
      <c r="T25" s="442">
        <v>0</v>
      </c>
      <c r="U25" s="442"/>
      <c r="V25" s="442"/>
      <c r="W25" s="441">
        <f>SUM(W26:W29)</f>
        <v>0</v>
      </c>
      <c r="X25" s="441">
        <f>X26+X27+X28+X29</f>
        <v>0</v>
      </c>
      <c r="Y25" s="441">
        <v>0</v>
      </c>
      <c r="Z25" s="441">
        <v>0</v>
      </c>
      <c r="AA25" s="441">
        <v>0</v>
      </c>
    </row>
    <row r="26" spans="1:27" hidden="1" x14ac:dyDescent="0.25">
      <c r="A26" s="443"/>
      <c r="B26" s="444" t="s">
        <v>286</v>
      </c>
      <c r="C26" s="445"/>
      <c r="D26" s="446"/>
      <c r="E26" s="446"/>
      <c r="F26" s="446"/>
      <c r="G26" s="445"/>
      <c r="H26" s="446"/>
      <c r="I26" s="446"/>
      <c r="J26" s="446"/>
      <c r="K26" s="445"/>
      <c r="L26" s="446"/>
      <c r="M26" s="446"/>
      <c r="N26" s="446"/>
      <c r="O26" s="445"/>
      <c r="P26" s="446"/>
      <c r="Q26" s="446"/>
      <c r="R26" s="446"/>
      <c r="S26" s="445"/>
      <c r="T26" s="446"/>
      <c r="U26" s="446"/>
      <c r="V26" s="446"/>
      <c r="W26" s="445">
        <v>0</v>
      </c>
      <c r="X26" s="445"/>
      <c r="Y26" s="445"/>
      <c r="Z26" s="445"/>
      <c r="AA26" s="445"/>
    </row>
    <row r="27" spans="1:27" hidden="1" x14ac:dyDescent="0.25">
      <c r="A27" s="443"/>
      <c r="B27" s="444" t="s">
        <v>287</v>
      </c>
      <c r="C27" s="445"/>
      <c r="D27" s="446"/>
      <c r="E27" s="446"/>
      <c r="F27" s="446"/>
      <c r="G27" s="445"/>
      <c r="H27" s="446"/>
      <c r="I27" s="446"/>
      <c r="J27" s="446"/>
      <c r="K27" s="445"/>
      <c r="L27" s="446"/>
      <c r="M27" s="446"/>
      <c r="N27" s="446"/>
      <c r="O27" s="445"/>
      <c r="P27" s="446"/>
      <c r="Q27" s="446"/>
      <c r="R27" s="446"/>
      <c r="S27" s="445"/>
      <c r="T27" s="446"/>
      <c r="U27" s="446"/>
      <c r="V27" s="446"/>
      <c r="W27" s="445">
        <v>0</v>
      </c>
      <c r="X27" s="445"/>
      <c r="Y27" s="445"/>
      <c r="Z27" s="445"/>
      <c r="AA27" s="445"/>
    </row>
    <row r="28" spans="1:27" hidden="1" x14ac:dyDescent="0.25">
      <c r="A28" s="443"/>
      <c r="B28" s="444" t="s">
        <v>292</v>
      </c>
      <c r="C28" s="445"/>
      <c r="D28" s="446"/>
      <c r="E28" s="446"/>
      <c r="F28" s="446"/>
      <c r="G28" s="445"/>
      <c r="H28" s="446"/>
      <c r="I28" s="446"/>
      <c r="J28" s="446"/>
      <c r="K28" s="445"/>
      <c r="L28" s="446"/>
      <c r="M28" s="446"/>
      <c r="N28" s="446"/>
      <c r="O28" s="445"/>
      <c r="P28" s="446"/>
      <c r="Q28" s="446"/>
      <c r="R28" s="446"/>
      <c r="S28" s="445"/>
      <c r="T28" s="446"/>
      <c r="U28" s="446"/>
      <c r="V28" s="446"/>
      <c r="W28" s="445">
        <v>0</v>
      </c>
      <c r="X28" s="445"/>
      <c r="Y28" s="445"/>
      <c r="Z28" s="445"/>
      <c r="AA28" s="445"/>
    </row>
    <row r="29" spans="1:27" hidden="1" x14ac:dyDescent="0.25">
      <c r="A29" s="443"/>
      <c r="B29" s="444" t="s">
        <v>351</v>
      </c>
      <c r="C29" s="445"/>
      <c r="D29" s="446"/>
      <c r="E29" s="446"/>
      <c r="F29" s="446"/>
      <c r="G29" s="445"/>
      <c r="H29" s="446"/>
      <c r="I29" s="446"/>
      <c r="J29" s="446"/>
      <c r="K29" s="445"/>
      <c r="L29" s="446"/>
      <c r="M29" s="446"/>
      <c r="N29" s="446"/>
      <c r="O29" s="445"/>
      <c r="P29" s="446"/>
      <c r="Q29" s="446"/>
      <c r="R29" s="446"/>
      <c r="S29" s="445"/>
      <c r="T29" s="446"/>
      <c r="U29" s="446"/>
      <c r="V29" s="446"/>
      <c r="W29" s="445"/>
      <c r="X29" s="445"/>
      <c r="Y29" s="445"/>
      <c r="Z29" s="445"/>
      <c r="AA29" s="445"/>
    </row>
    <row r="30" spans="1:27" s="447" customFormat="1" hidden="1" x14ac:dyDescent="0.25">
      <c r="A30" s="440" t="s">
        <v>315</v>
      </c>
      <c r="B30" s="432" t="s">
        <v>655</v>
      </c>
      <c r="C30" s="441">
        <f>C31+C32</f>
        <v>0</v>
      </c>
      <c r="D30" s="442"/>
      <c r="E30" s="442"/>
      <c r="F30" s="442"/>
      <c r="G30" s="441">
        <f>G31+G32</f>
        <v>0</v>
      </c>
      <c r="H30" s="442"/>
      <c r="I30" s="442"/>
      <c r="J30" s="442"/>
      <c r="K30" s="441">
        <f>K31+K32</f>
        <v>0</v>
      </c>
      <c r="L30" s="442"/>
      <c r="M30" s="442"/>
      <c r="N30" s="442"/>
      <c r="O30" s="441">
        <f>O31+O32</f>
        <v>0</v>
      </c>
      <c r="P30" s="442"/>
      <c r="Q30" s="442"/>
      <c r="R30" s="442"/>
      <c r="S30" s="441">
        <f>S31+S32</f>
        <v>0</v>
      </c>
      <c r="T30" s="442"/>
      <c r="U30" s="442"/>
      <c r="V30" s="442"/>
      <c r="W30" s="441">
        <f>W31+W32</f>
        <v>0</v>
      </c>
      <c r="X30" s="441">
        <f>X31+X32</f>
        <v>0</v>
      </c>
      <c r="Y30" s="441">
        <v>0</v>
      </c>
      <c r="Z30" s="441">
        <v>0</v>
      </c>
      <c r="AA30" s="441">
        <v>0</v>
      </c>
    </row>
    <row r="31" spans="1:27" hidden="1" x14ac:dyDescent="0.25">
      <c r="A31" s="443"/>
      <c r="B31" s="444" t="s">
        <v>286</v>
      </c>
      <c r="C31" s="445">
        <v>0</v>
      </c>
      <c r="D31" s="446"/>
      <c r="E31" s="446"/>
      <c r="F31" s="446"/>
      <c r="G31" s="445">
        <v>0</v>
      </c>
      <c r="H31" s="446"/>
      <c r="I31" s="446"/>
      <c r="J31" s="446"/>
      <c r="K31" s="445">
        <v>0</v>
      </c>
      <c r="L31" s="446"/>
      <c r="M31" s="446"/>
      <c r="N31" s="446"/>
      <c r="O31" s="445">
        <v>0</v>
      </c>
      <c r="P31" s="446"/>
      <c r="Q31" s="446"/>
      <c r="R31" s="446"/>
      <c r="S31" s="445">
        <v>0</v>
      </c>
      <c r="T31" s="446"/>
      <c r="U31" s="446"/>
      <c r="V31" s="446"/>
      <c r="W31" s="445">
        <v>0</v>
      </c>
      <c r="X31" s="445">
        <v>0</v>
      </c>
      <c r="Y31" s="445">
        <v>0</v>
      </c>
      <c r="Z31" s="445">
        <v>0</v>
      </c>
      <c r="AA31" s="445">
        <v>0</v>
      </c>
    </row>
    <row r="32" spans="1:27" hidden="1" x14ac:dyDescent="0.25">
      <c r="A32" s="443"/>
      <c r="B32" s="444" t="s">
        <v>287</v>
      </c>
      <c r="C32" s="445">
        <v>0</v>
      </c>
      <c r="D32" s="446"/>
      <c r="E32" s="446"/>
      <c r="F32" s="446"/>
      <c r="G32" s="445">
        <v>0</v>
      </c>
      <c r="H32" s="446"/>
      <c r="I32" s="446"/>
      <c r="J32" s="446"/>
      <c r="K32" s="445">
        <v>0</v>
      </c>
      <c r="L32" s="446"/>
      <c r="M32" s="446"/>
      <c r="N32" s="446"/>
      <c r="O32" s="445">
        <v>0</v>
      </c>
      <c r="P32" s="446"/>
      <c r="Q32" s="446"/>
      <c r="R32" s="446"/>
      <c r="S32" s="445">
        <v>0</v>
      </c>
      <c r="T32" s="446"/>
      <c r="U32" s="446"/>
      <c r="V32" s="446"/>
      <c r="W32" s="445">
        <v>0</v>
      </c>
      <c r="X32" s="445">
        <v>0</v>
      </c>
      <c r="Y32" s="445">
        <v>0</v>
      </c>
      <c r="Z32" s="445">
        <v>0</v>
      </c>
      <c r="AA32" s="445">
        <v>0</v>
      </c>
    </row>
    <row r="33" spans="1:27" x14ac:dyDescent="0.25">
      <c r="A33" s="436" t="s">
        <v>328</v>
      </c>
      <c r="B33" s="437" t="s">
        <v>656</v>
      </c>
      <c r="C33" s="438">
        <f t="shared" ref="C33" si="14">C34+C36</f>
        <v>0</v>
      </c>
      <c r="D33" s="439"/>
      <c r="E33" s="439"/>
      <c r="F33" s="439"/>
      <c r="G33" s="438">
        <f t="shared" ref="G33" si="15">G34+G36</f>
        <v>93015</v>
      </c>
      <c r="H33" s="439"/>
      <c r="I33" s="439"/>
      <c r="J33" s="439"/>
      <c r="K33" s="438">
        <f t="shared" ref="K33" si="16">K34+K36</f>
        <v>99193</v>
      </c>
      <c r="L33" s="439"/>
      <c r="M33" s="439"/>
      <c r="N33" s="439"/>
      <c r="O33" s="438">
        <f t="shared" ref="O33" si="17">O34+O36</f>
        <v>103243</v>
      </c>
      <c r="P33" s="439"/>
      <c r="Q33" s="439"/>
      <c r="R33" s="439"/>
      <c r="S33" s="438">
        <f t="shared" ref="S33" si="18">S34+S36</f>
        <v>93011</v>
      </c>
      <c r="T33" s="439"/>
      <c r="U33" s="439"/>
      <c r="V33" s="439"/>
      <c r="W33" s="438">
        <f t="shared" ref="W33:AA33" si="19">W34+W36</f>
        <v>25881</v>
      </c>
      <c r="X33" s="438">
        <f t="shared" si="19"/>
        <v>99368</v>
      </c>
      <c r="Y33" s="438">
        <f t="shared" si="19"/>
        <v>99368</v>
      </c>
      <c r="Z33" s="438">
        <f t="shared" si="19"/>
        <v>102312</v>
      </c>
      <c r="AA33" s="438">
        <f t="shared" si="19"/>
        <v>47565</v>
      </c>
    </row>
    <row r="34" spans="1:27" s="447" customFormat="1" hidden="1" x14ac:dyDescent="0.25">
      <c r="A34" s="440" t="s">
        <v>311</v>
      </c>
      <c r="B34" s="432" t="s">
        <v>657</v>
      </c>
      <c r="C34" s="441">
        <f>C35</f>
        <v>0</v>
      </c>
      <c r="D34" s="442"/>
      <c r="E34" s="442"/>
      <c r="F34" s="442"/>
      <c r="G34" s="441">
        <f>G35</f>
        <v>0</v>
      </c>
      <c r="H34" s="442"/>
      <c r="I34" s="442"/>
      <c r="J34" s="442"/>
      <c r="K34" s="441">
        <f>K35</f>
        <v>0</v>
      </c>
      <c r="L34" s="442"/>
      <c r="M34" s="442"/>
      <c r="N34" s="442"/>
      <c r="O34" s="441">
        <f>O35</f>
        <v>0</v>
      </c>
      <c r="P34" s="442"/>
      <c r="Q34" s="442"/>
      <c r="R34" s="442"/>
      <c r="S34" s="441">
        <f>S35</f>
        <v>0</v>
      </c>
      <c r="T34" s="442"/>
      <c r="U34" s="442"/>
      <c r="V34" s="442"/>
      <c r="W34" s="441">
        <f>W35</f>
        <v>0</v>
      </c>
      <c r="X34" s="441">
        <f>X35</f>
        <v>0</v>
      </c>
      <c r="Y34" s="441">
        <v>0</v>
      </c>
      <c r="Z34" s="441">
        <v>0</v>
      </c>
      <c r="AA34" s="441">
        <v>0</v>
      </c>
    </row>
    <row r="35" spans="1:27" hidden="1" x14ac:dyDescent="0.25">
      <c r="A35" s="443"/>
      <c r="B35" s="444" t="s">
        <v>337</v>
      </c>
      <c r="C35" s="445">
        <v>0</v>
      </c>
      <c r="D35" s="446"/>
      <c r="E35" s="446"/>
      <c r="F35" s="446"/>
      <c r="G35" s="445">
        <v>0</v>
      </c>
      <c r="H35" s="446"/>
      <c r="I35" s="446"/>
      <c r="J35" s="446"/>
      <c r="K35" s="445">
        <v>0</v>
      </c>
      <c r="L35" s="446"/>
      <c r="M35" s="446"/>
      <c r="N35" s="446"/>
      <c r="O35" s="445">
        <v>0</v>
      </c>
      <c r="P35" s="446"/>
      <c r="Q35" s="446"/>
      <c r="R35" s="446"/>
      <c r="S35" s="445">
        <v>0</v>
      </c>
      <c r="T35" s="446"/>
      <c r="U35" s="446"/>
      <c r="V35" s="446"/>
      <c r="W35" s="445">
        <v>0</v>
      </c>
      <c r="X35" s="445">
        <v>0</v>
      </c>
      <c r="Y35" s="445">
        <v>0</v>
      </c>
      <c r="Z35" s="445">
        <v>0</v>
      </c>
      <c r="AA35" s="445">
        <v>0</v>
      </c>
    </row>
    <row r="36" spans="1:27" s="447" customFormat="1" x14ac:dyDescent="0.25">
      <c r="A36" s="440" t="s">
        <v>311</v>
      </c>
      <c r="B36" s="432" t="s">
        <v>658</v>
      </c>
      <c r="C36" s="441">
        <f>SUM(C37:C40)</f>
        <v>0</v>
      </c>
      <c r="D36" s="442"/>
      <c r="E36" s="442"/>
      <c r="F36" s="442"/>
      <c r="G36" s="441">
        <f>SUM(G37:G40)</f>
        <v>93015</v>
      </c>
      <c r="H36" s="442"/>
      <c r="I36" s="442"/>
      <c r="J36" s="442"/>
      <c r="K36" s="441">
        <f>SUM(K37:K40)</f>
        <v>99193</v>
      </c>
      <c r="L36" s="442"/>
      <c r="M36" s="442"/>
      <c r="N36" s="442"/>
      <c r="O36" s="441">
        <f>SUM(O37:O40)</f>
        <v>103243</v>
      </c>
      <c r="P36" s="442"/>
      <c r="Q36" s="442"/>
      <c r="R36" s="442"/>
      <c r="S36" s="441">
        <f>SUM(S37:S40)</f>
        <v>93011</v>
      </c>
      <c r="T36" s="442"/>
      <c r="U36" s="442"/>
      <c r="V36" s="442"/>
      <c r="W36" s="441">
        <f>SUM(W37:W40)</f>
        <v>25881</v>
      </c>
      <c r="X36" s="441">
        <f>SUM(X37:X40)</f>
        <v>99368</v>
      </c>
      <c r="Y36" s="441">
        <f t="shared" ref="Y36:AA36" si="20">SUM(Y37:Y40)</f>
        <v>99368</v>
      </c>
      <c r="Z36" s="441">
        <f t="shared" si="20"/>
        <v>102312</v>
      </c>
      <c r="AA36" s="441">
        <f t="shared" si="20"/>
        <v>47565</v>
      </c>
    </row>
    <row r="37" spans="1:27" s="450" customFormat="1" x14ac:dyDescent="0.25">
      <c r="A37" s="448"/>
      <c r="B37" s="444" t="s">
        <v>286</v>
      </c>
      <c r="C37" s="449"/>
      <c r="D37" s="446"/>
      <c r="E37" s="446"/>
      <c r="F37" s="446"/>
      <c r="G37" s="449">
        <f>56551+4000</f>
        <v>60551</v>
      </c>
      <c r="H37" s="446"/>
      <c r="I37" s="446"/>
      <c r="J37" s="446"/>
      <c r="K37" s="449">
        <f t="shared" ref="K37:V37" si="21">56551+4000</f>
        <v>60551</v>
      </c>
      <c r="L37" s="449"/>
      <c r="M37" s="449"/>
      <c r="N37" s="449"/>
      <c r="O37" s="449">
        <v>61470</v>
      </c>
      <c r="P37" s="449">
        <f t="shared" si="21"/>
        <v>60551</v>
      </c>
      <c r="Q37" s="449">
        <f t="shared" si="21"/>
        <v>60551</v>
      </c>
      <c r="R37" s="449">
        <f t="shared" si="21"/>
        <v>60551</v>
      </c>
      <c r="S37" s="449">
        <f t="shared" si="21"/>
        <v>60551</v>
      </c>
      <c r="T37" s="449">
        <f t="shared" si="21"/>
        <v>60551</v>
      </c>
      <c r="U37" s="449">
        <f t="shared" si="21"/>
        <v>60551</v>
      </c>
      <c r="V37" s="449">
        <f t="shared" si="21"/>
        <v>60551</v>
      </c>
      <c r="W37" s="449">
        <v>19807</v>
      </c>
      <c r="X37" s="449">
        <v>65862</v>
      </c>
      <c r="Y37" s="449">
        <v>65862</v>
      </c>
      <c r="Z37" s="449">
        <v>65862</v>
      </c>
      <c r="AA37" s="449">
        <v>34248</v>
      </c>
    </row>
    <row r="38" spans="1:27" s="450" customFormat="1" x14ac:dyDescent="0.25">
      <c r="A38" s="448"/>
      <c r="B38" s="451" t="s">
        <v>287</v>
      </c>
      <c r="C38" s="449"/>
      <c r="D38" s="446"/>
      <c r="E38" s="446"/>
      <c r="F38" s="446"/>
      <c r="G38" s="449">
        <f>9664+800</f>
        <v>10464</v>
      </c>
      <c r="H38" s="446"/>
      <c r="I38" s="446"/>
      <c r="J38" s="446"/>
      <c r="K38" s="449">
        <f t="shared" ref="K38:V38" si="22">9664+800</f>
        <v>10464</v>
      </c>
      <c r="L38" s="449"/>
      <c r="M38" s="449"/>
      <c r="N38" s="449"/>
      <c r="O38" s="449">
        <v>10464</v>
      </c>
      <c r="P38" s="449">
        <f t="shared" si="22"/>
        <v>10464</v>
      </c>
      <c r="Q38" s="449">
        <f t="shared" si="22"/>
        <v>10464</v>
      </c>
      <c r="R38" s="449">
        <f t="shared" si="22"/>
        <v>10464</v>
      </c>
      <c r="S38" s="449">
        <f t="shared" si="22"/>
        <v>10464</v>
      </c>
      <c r="T38" s="449">
        <f t="shared" si="22"/>
        <v>10464</v>
      </c>
      <c r="U38" s="449">
        <f t="shared" si="22"/>
        <v>10464</v>
      </c>
      <c r="V38" s="449">
        <f t="shared" si="22"/>
        <v>10464</v>
      </c>
      <c r="W38" s="449">
        <v>4121</v>
      </c>
      <c r="X38" s="449">
        <v>11506</v>
      </c>
      <c r="Y38" s="449">
        <v>11506</v>
      </c>
      <c r="Z38" s="449">
        <v>11506</v>
      </c>
      <c r="AA38" s="449">
        <v>7047</v>
      </c>
    </row>
    <row r="39" spans="1:27" x14ac:dyDescent="0.25">
      <c r="A39" s="443"/>
      <c r="B39" s="444" t="s">
        <v>292</v>
      </c>
      <c r="C39" s="445"/>
      <c r="D39" s="446"/>
      <c r="E39" s="446"/>
      <c r="F39" s="446"/>
      <c r="G39" s="445">
        <v>22000</v>
      </c>
      <c r="H39" s="446"/>
      <c r="I39" s="446"/>
      <c r="J39" s="446"/>
      <c r="K39" s="445">
        <v>28178</v>
      </c>
      <c r="L39" s="445"/>
      <c r="M39" s="445"/>
      <c r="N39" s="445"/>
      <c r="O39" s="445">
        <v>31309</v>
      </c>
      <c r="P39" s="445">
        <v>21993</v>
      </c>
      <c r="Q39" s="445">
        <v>21994</v>
      </c>
      <c r="R39" s="445">
        <v>21995</v>
      </c>
      <c r="S39" s="445">
        <v>21996</v>
      </c>
      <c r="T39" s="445">
        <v>21997</v>
      </c>
      <c r="U39" s="445">
        <v>21998</v>
      </c>
      <c r="V39" s="445">
        <v>21999</v>
      </c>
      <c r="W39" s="445">
        <v>1953</v>
      </c>
      <c r="X39" s="445">
        <v>22000</v>
      </c>
      <c r="Y39" s="445">
        <v>22000</v>
      </c>
      <c r="Z39" s="445">
        <v>24944</v>
      </c>
      <c r="AA39" s="445">
        <v>6270</v>
      </c>
    </row>
    <row r="40" spans="1:27" x14ac:dyDescent="0.25">
      <c r="A40" s="443"/>
      <c r="B40" s="444" t="s">
        <v>351</v>
      </c>
      <c r="C40" s="445"/>
      <c r="D40" s="446"/>
      <c r="E40" s="446"/>
      <c r="F40" s="446"/>
      <c r="G40" s="445">
        <v>0</v>
      </c>
      <c r="H40" s="446"/>
      <c r="I40" s="446"/>
      <c r="J40" s="446"/>
      <c r="K40" s="445"/>
      <c r="L40" s="446"/>
      <c r="M40" s="446"/>
      <c r="N40" s="446"/>
      <c r="O40" s="445"/>
      <c r="P40" s="446"/>
      <c r="Q40" s="446"/>
      <c r="R40" s="446"/>
      <c r="S40" s="445"/>
      <c r="T40" s="446"/>
      <c r="U40" s="446"/>
      <c r="V40" s="446"/>
      <c r="W40" s="445">
        <v>0</v>
      </c>
      <c r="X40" s="445">
        <v>0</v>
      </c>
      <c r="Y40" s="445">
        <v>0</v>
      </c>
      <c r="Z40" s="445">
        <v>0</v>
      </c>
      <c r="AA40" s="445">
        <v>0</v>
      </c>
    </row>
    <row r="43" spans="1:27" x14ac:dyDescent="0.25">
      <c r="C43" s="435">
        <f>C7+C13+C17+C21+C37</f>
        <v>0</v>
      </c>
    </row>
    <row r="44" spans="1:27" x14ac:dyDescent="0.25">
      <c r="C44" s="435">
        <f>C8+C14+C18+C22+C38</f>
        <v>0</v>
      </c>
    </row>
    <row r="45" spans="1:27" x14ac:dyDescent="0.25">
      <c r="C45" s="435">
        <f>C9+C15+C23+C39</f>
        <v>0</v>
      </c>
    </row>
    <row r="46" spans="1:27" x14ac:dyDescent="0.25">
      <c r="C46" s="435">
        <f>C35</f>
        <v>0</v>
      </c>
    </row>
    <row r="47" spans="1:27" x14ac:dyDescent="0.25">
      <c r="C47" s="435">
        <f>C10</f>
        <v>0</v>
      </c>
    </row>
    <row r="48" spans="1:27" x14ac:dyDescent="0.25">
      <c r="C48" s="435">
        <f>C11+C24+C40</f>
        <v>0</v>
      </c>
    </row>
    <row r="51" spans="2:3" x14ac:dyDescent="0.25">
      <c r="B51" s="453"/>
      <c r="C51" s="454">
        <f>SUM(C43:C50)</f>
        <v>0</v>
      </c>
    </row>
  </sheetData>
  <customSheetViews>
    <customSheetView guid="{7F1DC213-A29D-4C8C-BAC3-F1BD898020FD}" scale="98" hiddenRows="1" hiddenColumns="1">
      <selection activeCell="Y16" sqref="Y16"/>
      <pageMargins left="0.19685039370078741" right="0.19685039370078741" top="1.2204724409448819" bottom="0.19685039370078741" header="0.31496062992125984" footer="0.31496062992125984"/>
      <printOptions horizontalCentered="1"/>
      <pageSetup paperSize="9" scale="65" fitToWidth="2" pageOrder="overThenDown" orientation="portrait" r:id="rId1"/>
      <headerFooter>
        <oddHeader>&amp;L3.2. melléklet a ...../2019. (......) önkormányzati rendelethez&amp;C&amp;"-,Félkövér"&amp;16A Polgármesteri Hivatal 2019. évi kiadásai feladatonként részletes bontásban&amp;RAdatok ezer forintban</oddHeader>
      </headerFooter>
    </customSheetView>
    <customSheetView guid="{4DCB1349-1166-4B69-AE14-D6B08F9FCE74}" scale="98" hiddenRows="1" hiddenColumns="1" topLeftCell="A7">
      <selection activeCell="Y16" sqref="Y16"/>
      <pageMargins left="0.19685039370078741" right="0.19685039370078741" top="1.2204724409448819" bottom="0.19685039370078741" header="0.31496062992125984" footer="0.31496062992125984"/>
      <printOptions horizontalCentered="1"/>
      <pageSetup paperSize="9" scale="65" fitToWidth="2" pageOrder="overThenDown" orientation="portrait" r:id="rId2"/>
      <headerFooter>
        <oddHeader>&amp;L3.2. melléklet a ...../2019. (......) önkormányzati rendelethez&amp;C&amp;"-,Félkövér"&amp;16A Polgármesteri Hivatal 2019. évi kiadásai feladatonként részletes bontásban&amp;RAdatok ezer forintban</oddHeader>
      </headerFooter>
    </customSheetView>
  </customSheetViews>
  <mergeCells count="8">
    <mergeCell ref="P3:S3"/>
    <mergeCell ref="T3:W3"/>
    <mergeCell ref="D3:G3"/>
    <mergeCell ref="A2:A3"/>
    <mergeCell ref="B2:B3"/>
    <mergeCell ref="H3:K3"/>
    <mergeCell ref="L3:O3"/>
    <mergeCell ref="G2:AA2"/>
  </mergeCells>
  <printOptions horizontalCentered="1"/>
  <pageMargins left="0.19685039370078741" right="0.19685039370078741" top="1.2204724409448819" bottom="0.19685039370078741" header="0.31496062992125984" footer="0.31496062992125984"/>
  <pageSetup paperSize="9" scale="65" fitToWidth="2" pageOrder="overThenDown" orientation="portrait" r:id="rId3"/>
  <headerFooter>
    <oddHeader>&amp;L3.2. melléklet a 3/2019. (II.20.) önkormányzati rendelethez&amp;C&amp;"-,Félkövér"&amp;16
A Polgármesteri Hivatal 2019. évi kiadásai feladatonként részletes bontásban&amp;RAdatok ezer 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M47"/>
  <sheetViews>
    <sheetView view="pageLayout" zoomScaleNormal="78" zoomScaleSheetLayoutView="75" workbookViewId="0"/>
  </sheetViews>
  <sheetFormatPr defaultRowHeight="15" x14ac:dyDescent="0.25"/>
  <cols>
    <col min="1" max="1" width="8.5703125" style="31" customWidth="1"/>
    <col min="2" max="2" width="54" customWidth="1"/>
    <col min="3" max="3" width="12.5703125" style="40" hidden="1" customWidth="1"/>
    <col min="4" max="4" width="13" hidden="1" customWidth="1"/>
    <col min="5" max="5" width="9.140625" hidden="1" customWidth="1"/>
    <col min="6" max="6" width="10" hidden="1" customWidth="1"/>
    <col min="7" max="7" width="11" hidden="1" customWidth="1"/>
    <col min="8" max="8" width="13" hidden="1" customWidth="1"/>
    <col min="9" max="9" width="11.140625" hidden="1" customWidth="1"/>
    <col min="10" max="10" width="11.85546875" hidden="1" customWidth="1"/>
    <col min="11" max="11" width="10.7109375" hidden="1" customWidth="1"/>
    <col min="12" max="12" width="10.28515625" hidden="1" customWidth="1"/>
    <col min="13" max="13" width="9.140625" hidden="1" customWidth="1"/>
    <col min="14" max="15" width="11.28515625" hidden="1" customWidth="1"/>
    <col min="16" max="16" width="10.28515625" hidden="1" customWidth="1"/>
    <col min="17" max="17" width="9.140625" hidden="1" customWidth="1"/>
    <col min="18" max="18" width="9.7109375" hidden="1" customWidth="1"/>
    <col min="19" max="19" width="10.140625" hidden="1" customWidth="1"/>
    <col min="20" max="20" width="13" hidden="1" customWidth="1"/>
    <col min="21" max="21" width="12.140625" hidden="1" customWidth="1"/>
    <col min="22" max="22" width="12" hidden="1" customWidth="1"/>
    <col min="23" max="23" width="10.140625" hidden="1" customWidth="1"/>
    <col min="24" max="25" width="14.7109375" customWidth="1"/>
    <col min="26" max="27" width="14.85546875" customWidth="1"/>
    <col min="28" max="28" width="13.5703125" customWidth="1"/>
    <col min="29" max="29" width="14.5703125" customWidth="1"/>
    <col min="30" max="30" width="13.28515625" customWidth="1"/>
    <col min="31" max="31" width="14" customWidth="1"/>
    <col min="32" max="32" width="12" customWidth="1"/>
    <col min="33" max="33" width="11.5703125" customWidth="1"/>
    <col min="34" max="34" width="10.85546875" customWidth="1"/>
    <col min="35" max="35" width="11.7109375" customWidth="1"/>
    <col min="36" max="36" width="12.42578125" hidden="1" customWidth="1"/>
    <col min="37" max="37" width="12.28515625" hidden="1" customWidth="1"/>
    <col min="38" max="38" width="12.85546875" hidden="1" customWidth="1"/>
    <col min="39" max="39" width="13.140625" hidden="1" customWidth="1"/>
  </cols>
  <sheetData>
    <row r="1" spans="1:39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X1" s="742" t="s">
        <v>1366</v>
      </c>
      <c r="Y1" s="742" t="s">
        <v>1376</v>
      </c>
      <c r="Z1" s="742" t="s">
        <v>1377</v>
      </c>
      <c r="AA1" s="745" t="s">
        <v>1378</v>
      </c>
      <c r="AB1" s="745" t="s">
        <v>1379</v>
      </c>
      <c r="AC1" s="745" t="s">
        <v>1380</v>
      </c>
      <c r="AD1" s="745" t="s">
        <v>1381</v>
      </c>
      <c r="AE1" s="745" t="s">
        <v>1382</v>
      </c>
      <c r="AF1" s="745" t="s">
        <v>1383</v>
      </c>
      <c r="AG1" s="745" t="s">
        <v>1384</v>
      </c>
      <c r="AH1" s="745" t="s">
        <v>1385</v>
      </c>
      <c r="AI1" s="745" t="s">
        <v>1386</v>
      </c>
      <c r="AJ1" s="745"/>
      <c r="AK1" s="745"/>
      <c r="AL1" s="745"/>
      <c r="AM1" s="745"/>
    </row>
    <row r="2" spans="1:39" ht="30" x14ac:dyDescent="0.25">
      <c r="A2" s="646" t="s">
        <v>303</v>
      </c>
      <c r="B2" s="646" t="s">
        <v>1295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D2" s="674"/>
      <c r="AE2" s="674"/>
      <c r="AF2" s="674"/>
      <c r="AG2" s="674"/>
      <c r="AH2" s="674"/>
      <c r="AI2" s="674"/>
      <c r="AJ2" s="674"/>
      <c r="AK2" s="674"/>
      <c r="AL2" s="674"/>
      <c r="AM2" s="674"/>
    </row>
    <row r="3" spans="1:39" x14ac:dyDescent="0.25">
      <c r="A3" s="646" t="s">
        <v>304</v>
      </c>
      <c r="B3" s="646" t="s">
        <v>1296</v>
      </c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8"/>
      <c r="Z3" s="588"/>
      <c r="AA3" s="588"/>
      <c r="AB3" s="588"/>
      <c r="AC3" s="588"/>
      <c r="AD3" s="588"/>
      <c r="AE3" s="588"/>
      <c r="AF3" s="588"/>
      <c r="AG3" s="588"/>
      <c r="AH3" s="588"/>
      <c r="AI3" s="588"/>
      <c r="AJ3" s="588"/>
      <c r="AK3" s="588"/>
      <c r="AL3" s="588"/>
      <c r="AM3" s="588"/>
    </row>
    <row r="4" spans="1:39" ht="62.25" customHeight="1" x14ac:dyDescent="0.25">
      <c r="A4" s="897" t="s">
        <v>305</v>
      </c>
      <c r="B4" s="942" t="s">
        <v>306</v>
      </c>
      <c r="C4" s="591" t="s">
        <v>1193</v>
      </c>
      <c r="D4" s="898" t="s">
        <v>1279</v>
      </c>
      <c r="E4" s="918"/>
      <c r="F4" s="918"/>
      <c r="G4" s="919"/>
      <c r="H4" s="898" t="s">
        <v>1391</v>
      </c>
      <c r="I4" s="918"/>
      <c r="J4" s="918"/>
      <c r="K4" s="919"/>
      <c r="L4" s="898" t="s">
        <v>1397</v>
      </c>
      <c r="M4" s="918"/>
      <c r="N4" s="918"/>
      <c r="O4" s="919"/>
      <c r="P4" s="898" t="s">
        <v>1246</v>
      </c>
      <c r="Q4" s="901"/>
      <c r="R4" s="901"/>
      <c r="S4" s="902"/>
      <c r="T4" s="898" t="s">
        <v>1387</v>
      </c>
      <c r="U4" s="901"/>
      <c r="V4" s="901"/>
      <c r="W4" s="902"/>
      <c r="X4" s="898" t="s">
        <v>1414</v>
      </c>
      <c r="Y4" s="918"/>
      <c r="Z4" s="918"/>
      <c r="AA4" s="919"/>
      <c r="AB4" s="898" t="s">
        <v>1455</v>
      </c>
      <c r="AC4" s="918"/>
      <c r="AD4" s="918"/>
      <c r="AE4" s="919"/>
      <c r="AF4" s="898" t="s">
        <v>1445</v>
      </c>
      <c r="AG4" s="918"/>
      <c r="AH4" s="918"/>
      <c r="AI4" s="919"/>
      <c r="AJ4" s="898" t="s">
        <v>1456</v>
      </c>
      <c r="AK4" s="918"/>
      <c r="AL4" s="918"/>
      <c r="AM4" s="919"/>
    </row>
    <row r="5" spans="1:39" ht="45" customHeight="1" x14ac:dyDescent="0.25">
      <c r="A5" s="897"/>
      <c r="B5" s="942"/>
      <c r="C5" s="591" t="s">
        <v>546</v>
      </c>
      <c r="D5" s="591" t="s">
        <v>1209</v>
      </c>
      <c r="E5" s="591" t="s">
        <v>1210</v>
      </c>
      <c r="F5" s="591" t="s">
        <v>1211</v>
      </c>
      <c r="G5" s="591" t="s">
        <v>546</v>
      </c>
      <c r="H5" s="591" t="s">
        <v>1209</v>
      </c>
      <c r="I5" s="591" t="s">
        <v>1210</v>
      </c>
      <c r="J5" s="591" t="s">
        <v>1211</v>
      </c>
      <c r="K5" s="591" t="s">
        <v>546</v>
      </c>
      <c r="L5" s="591" t="s">
        <v>1209</v>
      </c>
      <c r="M5" s="591" t="s">
        <v>1210</v>
      </c>
      <c r="N5" s="591" t="s">
        <v>1211</v>
      </c>
      <c r="O5" s="591" t="s">
        <v>546</v>
      </c>
      <c r="P5" s="591" t="s">
        <v>1209</v>
      </c>
      <c r="Q5" s="591" t="s">
        <v>1210</v>
      </c>
      <c r="R5" s="591" t="s">
        <v>1211</v>
      </c>
      <c r="S5" s="591" t="s">
        <v>546</v>
      </c>
      <c r="T5" s="591" t="s">
        <v>1209</v>
      </c>
      <c r="U5" s="591" t="s">
        <v>1210</v>
      </c>
      <c r="V5" s="591" t="s">
        <v>1211</v>
      </c>
      <c r="W5" s="591" t="s">
        <v>546</v>
      </c>
      <c r="X5" s="809" t="s">
        <v>1209</v>
      </c>
      <c r="Y5" s="809" t="s">
        <v>1210</v>
      </c>
      <c r="Z5" s="809" t="s">
        <v>1211</v>
      </c>
      <c r="AA5" s="809" t="s">
        <v>546</v>
      </c>
      <c r="AB5" s="857" t="s">
        <v>1209</v>
      </c>
      <c r="AC5" s="857" t="s">
        <v>1210</v>
      </c>
      <c r="AD5" s="857" t="s">
        <v>1211</v>
      </c>
      <c r="AE5" s="857" t="s">
        <v>546</v>
      </c>
      <c r="AF5" s="883" t="s">
        <v>1209</v>
      </c>
      <c r="AG5" s="883" t="s">
        <v>1210</v>
      </c>
      <c r="AH5" s="883" t="s">
        <v>1211</v>
      </c>
      <c r="AI5" s="883" t="s">
        <v>546</v>
      </c>
      <c r="AJ5" s="883" t="s">
        <v>1209</v>
      </c>
      <c r="AK5" s="883" t="s">
        <v>1210</v>
      </c>
      <c r="AL5" s="883" t="s">
        <v>1211</v>
      </c>
      <c r="AM5" s="883" t="s">
        <v>546</v>
      </c>
    </row>
    <row r="6" spans="1:39" hidden="1" x14ac:dyDescent="0.25">
      <c r="A6" s="290"/>
      <c r="B6" s="291" t="s">
        <v>307</v>
      </c>
      <c r="C6" s="292">
        <v>97</v>
      </c>
      <c r="D6" s="399">
        <v>0</v>
      </c>
      <c r="E6" s="399">
        <v>0</v>
      </c>
      <c r="F6" s="399">
        <v>0</v>
      </c>
      <c r="G6" s="399">
        <f>SUM(D6:F6)</f>
        <v>0</v>
      </c>
      <c r="H6" s="399">
        <v>0</v>
      </c>
      <c r="I6" s="399">
        <v>0</v>
      </c>
      <c r="J6" s="399">
        <v>0</v>
      </c>
      <c r="K6" s="399">
        <f>SUM(H6:J6)</f>
        <v>0</v>
      </c>
      <c r="L6" s="399">
        <f>97-4-1-20</f>
        <v>72</v>
      </c>
      <c r="M6" s="399">
        <v>0</v>
      </c>
      <c r="N6" s="399">
        <v>0</v>
      </c>
      <c r="O6" s="399">
        <f>SUM(L6:N6)</f>
        <v>72</v>
      </c>
      <c r="P6" s="399">
        <f>97-4-1-20</f>
        <v>72</v>
      </c>
      <c r="Q6" s="399">
        <v>0</v>
      </c>
      <c r="R6" s="399">
        <v>0</v>
      </c>
      <c r="S6" s="399">
        <f>SUM(P6:R6)</f>
        <v>72</v>
      </c>
      <c r="T6" s="399">
        <v>0</v>
      </c>
      <c r="U6" s="399">
        <v>0</v>
      </c>
      <c r="V6" s="399">
        <v>0</v>
      </c>
      <c r="W6" s="399">
        <f>SUM(T6:V6)</f>
        <v>0</v>
      </c>
      <c r="X6" s="399">
        <f>97-4-1-20</f>
        <v>72</v>
      </c>
      <c r="Y6" s="399">
        <v>0</v>
      </c>
      <c r="Z6" s="399">
        <v>0</v>
      </c>
      <c r="AA6" s="399">
        <f>SUM(X6:Z6)</f>
        <v>72</v>
      </c>
      <c r="AB6" s="399">
        <v>72</v>
      </c>
      <c r="AC6" s="399">
        <v>0</v>
      </c>
      <c r="AD6" s="399">
        <v>0</v>
      </c>
      <c r="AE6" s="399">
        <v>72</v>
      </c>
      <c r="AF6" s="399">
        <v>36</v>
      </c>
      <c r="AG6" s="399">
        <v>36</v>
      </c>
      <c r="AH6" s="399">
        <v>36</v>
      </c>
      <c r="AI6" s="399">
        <v>36</v>
      </c>
      <c r="AJ6" s="399">
        <v>36</v>
      </c>
      <c r="AK6" s="399">
        <v>36</v>
      </c>
      <c r="AL6" s="399">
        <v>36</v>
      </c>
      <c r="AM6" s="399">
        <v>36</v>
      </c>
    </row>
    <row r="7" spans="1:39" hidden="1" x14ac:dyDescent="0.25">
      <c r="A7" s="290"/>
      <c r="B7" s="291" t="s">
        <v>308</v>
      </c>
      <c r="C7" s="292">
        <v>0</v>
      </c>
      <c r="D7" s="292">
        <v>0</v>
      </c>
      <c r="E7" s="292">
        <v>0</v>
      </c>
      <c r="F7" s="292">
        <v>0</v>
      </c>
      <c r="G7" s="292">
        <f t="shared" ref="G7:G46" si="0">SUM(D7:F7)</f>
        <v>0</v>
      </c>
      <c r="H7" s="292">
        <v>0</v>
      </c>
      <c r="I7" s="292">
        <v>0</v>
      </c>
      <c r="J7" s="292">
        <v>0</v>
      </c>
      <c r="K7" s="292">
        <f t="shared" ref="K7:K46" si="1">SUM(H7:J7)</f>
        <v>0</v>
      </c>
      <c r="L7" s="292">
        <v>0</v>
      </c>
      <c r="M7" s="292">
        <v>0</v>
      </c>
      <c r="N7" s="292">
        <v>0</v>
      </c>
      <c r="O7" s="292">
        <f t="shared" ref="O7:O46" si="2">SUM(L7:N7)</f>
        <v>0</v>
      </c>
      <c r="P7" s="292">
        <v>0</v>
      </c>
      <c r="Q7" s="292">
        <v>0</v>
      </c>
      <c r="R7" s="292">
        <v>0</v>
      </c>
      <c r="S7" s="292">
        <f t="shared" ref="S7:S46" si="3">SUM(P7:R7)</f>
        <v>0</v>
      </c>
      <c r="T7" s="292">
        <v>0</v>
      </c>
      <c r="U7" s="292">
        <v>0</v>
      </c>
      <c r="V7" s="292">
        <v>0</v>
      </c>
      <c r="W7" s="292">
        <f t="shared" ref="W7:W46" si="4">SUM(T7:V7)</f>
        <v>0</v>
      </c>
      <c r="X7" s="292">
        <v>0</v>
      </c>
      <c r="Y7" s="292">
        <v>0</v>
      </c>
      <c r="Z7" s="292">
        <v>0</v>
      </c>
      <c r="AA7" s="292">
        <f t="shared" ref="AA7:AA33" si="5">SUM(X7:Z7)</f>
        <v>0</v>
      </c>
      <c r="AB7" s="292">
        <v>0</v>
      </c>
      <c r="AC7" s="292">
        <v>0</v>
      </c>
      <c r="AD7" s="292">
        <v>0</v>
      </c>
      <c r="AE7" s="292">
        <v>0</v>
      </c>
      <c r="AF7" s="292">
        <v>0</v>
      </c>
      <c r="AG7" s="292">
        <v>0</v>
      </c>
      <c r="AH7" s="292">
        <v>0</v>
      </c>
      <c r="AI7" s="292">
        <v>0</v>
      </c>
      <c r="AJ7" s="292">
        <v>0</v>
      </c>
      <c r="AK7" s="292">
        <v>0</v>
      </c>
      <c r="AL7" s="292">
        <v>0</v>
      </c>
      <c r="AM7" s="292">
        <v>0</v>
      </c>
    </row>
    <row r="8" spans="1:39" x14ac:dyDescent="0.25">
      <c r="A8" s="293" t="s">
        <v>309</v>
      </c>
      <c r="B8" s="294" t="s">
        <v>310</v>
      </c>
      <c r="C8" s="295">
        <f>C9+C11+C20</f>
        <v>93541</v>
      </c>
      <c r="D8" s="295">
        <f t="shared" ref="D8:F8" si="6">D9+D11+D20</f>
        <v>81505</v>
      </c>
      <c r="E8" s="295">
        <f t="shared" si="6"/>
        <v>0</v>
      </c>
      <c r="F8" s="295">
        <f t="shared" si="6"/>
        <v>0</v>
      </c>
      <c r="G8" s="295">
        <f t="shared" si="0"/>
        <v>81505</v>
      </c>
      <c r="H8" s="295">
        <f t="shared" ref="H8:J8" si="7">H9+H11+H20</f>
        <v>158965</v>
      </c>
      <c r="I8" s="295">
        <f t="shared" si="7"/>
        <v>0</v>
      </c>
      <c r="J8" s="295">
        <f t="shared" si="7"/>
        <v>0</v>
      </c>
      <c r="K8" s="295">
        <f t="shared" si="1"/>
        <v>158965</v>
      </c>
      <c r="L8" s="295">
        <f t="shared" ref="L8:N8" si="8">L9+L11+L20</f>
        <v>195633</v>
      </c>
      <c r="M8" s="295">
        <f t="shared" si="8"/>
        <v>0</v>
      </c>
      <c r="N8" s="295">
        <f t="shared" si="8"/>
        <v>0</v>
      </c>
      <c r="O8" s="295">
        <f t="shared" si="2"/>
        <v>195633</v>
      </c>
      <c r="P8" s="295">
        <f t="shared" ref="P8:R8" si="9">P9+P11+P20</f>
        <v>116290</v>
      </c>
      <c r="Q8" s="295">
        <f t="shared" si="9"/>
        <v>0</v>
      </c>
      <c r="R8" s="295">
        <f t="shared" si="9"/>
        <v>0</v>
      </c>
      <c r="S8" s="295">
        <f t="shared" si="3"/>
        <v>116290</v>
      </c>
      <c r="T8" s="295">
        <f t="shared" ref="T8:V8" si="10">T9+T11+T20</f>
        <v>99737</v>
      </c>
      <c r="U8" s="295">
        <f t="shared" si="10"/>
        <v>0</v>
      </c>
      <c r="V8" s="295">
        <f t="shared" si="10"/>
        <v>0</v>
      </c>
      <c r="W8" s="295">
        <f t="shared" si="4"/>
        <v>99737</v>
      </c>
      <c r="X8" s="295">
        <f t="shared" ref="X8:AD8" si="11">X9+X11+X20</f>
        <v>83170</v>
      </c>
      <c r="Y8" s="295">
        <f t="shared" si="11"/>
        <v>0</v>
      </c>
      <c r="Z8" s="295">
        <f t="shared" si="11"/>
        <v>0</v>
      </c>
      <c r="AA8" s="295">
        <f t="shared" si="5"/>
        <v>83170</v>
      </c>
      <c r="AB8" s="295">
        <f t="shared" si="11"/>
        <v>188096</v>
      </c>
      <c r="AC8" s="295">
        <f t="shared" si="11"/>
        <v>0</v>
      </c>
      <c r="AD8" s="295">
        <f t="shared" si="11"/>
        <v>0</v>
      </c>
      <c r="AE8" s="295">
        <f>SUM(AB8:AD8)</f>
        <v>188096</v>
      </c>
      <c r="AF8" s="295">
        <f t="shared" ref="AF8:AH8" si="12">AF9+AF11+AF20</f>
        <v>269659</v>
      </c>
      <c r="AG8" s="295">
        <f t="shared" si="12"/>
        <v>0</v>
      </c>
      <c r="AH8" s="295">
        <f t="shared" si="12"/>
        <v>0</v>
      </c>
      <c r="AI8" s="295">
        <f>SUM(AF8:AH8)</f>
        <v>269659</v>
      </c>
      <c r="AJ8" s="295">
        <f t="shared" ref="AJ8:AL8" si="13">AJ9+AJ11+AJ20</f>
        <v>164532</v>
      </c>
      <c r="AK8" s="295">
        <f t="shared" si="13"/>
        <v>0</v>
      </c>
      <c r="AL8" s="295">
        <f t="shared" si="13"/>
        <v>0</v>
      </c>
      <c r="AM8" s="295">
        <f>SUM(AJ8:AL8)</f>
        <v>164532</v>
      </c>
    </row>
    <row r="9" spans="1:39" x14ac:dyDescent="0.25">
      <c r="A9" s="296" t="s">
        <v>311</v>
      </c>
      <c r="B9" s="297" t="s">
        <v>312</v>
      </c>
      <c r="C9" s="298">
        <f>C10</f>
        <v>0</v>
      </c>
      <c r="D9" s="298">
        <f t="shared" ref="D9:AL9" si="14">D10</f>
        <v>0</v>
      </c>
      <c r="E9" s="298">
        <f t="shared" si="14"/>
        <v>0</v>
      </c>
      <c r="F9" s="298">
        <f t="shared" si="14"/>
        <v>0</v>
      </c>
      <c r="G9" s="298">
        <f t="shared" si="0"/>
        <v>0</v>
      </c>
      <c r="H9" s="298">
        <f t="shared" si="14"/>
        <v>77460</v>
      </c>
      <c r="I9" s="298">
        <f t="shared" si="14"/>
        <v>0</v>
      </c>
      <c r="J9" s="298">
        <f t="shared" si="14"/>
        <v>0</v>
      </c>
      <c r="K9" s="298">
        <f t="shared" si="1"/>
        <v>77460</v>
      </c>
      <c r="L9" s="298">
        <f t="shared" si="14"/>
        <v>114133</v>
      </c>
      <c r="M9" s="298">
        <f t="shared" si="14"/>
        <v>0</v>
      </c>
      <c r="N9" s="298">
        <f t="shared" si="14"/>
        <v>0</v>
      </c>
      <c r="O9" s="298">
        <f t="shared" si="2"/>
        <v>114133</v>
      </c>
      <c r="P9" s="298">
        <f t="shared" si="14"/>
        <v>0</v>
      </c>
      <c r="Q9" s="298">
        <f t="shared" si="14"/>
        <v>0</v>
      </c>
      <c r="R9" s="298">
        <f t="shared" si="14"/>
        <v>0</v>
      </c>
      <c r="S9" s="298">
        <f t="shared" si="3"/>
        <v>0</v>
      </c>
      <c r="T9" s="298">
        <f t="shared" si="14"/>
        <v>88044</v>
      </c>
      <c r="U9" s="298">
        <f t="shared" si="14"/>
        <v>0</v>
      </c>
      <c r="V9" s="298">
        <f t="shared" si="14"/>
        <v>0</v>
      </c>
      <c r="W9" s="298">
        <f t="shared" si="4"/>
        <v>88044</v>
      </c>
      <c r="X9" s="298">
        <f t="shared" si="14"/>
        <v>0</v>
      </c>
      <c r="Y9" s="298">
        <f t="shared" si="14"/>
        <v>0</v>
      </c>
      <c r="Z9" s="298">
        <f t="shared" si="14"/>
        <v>0</v>
      </c>
      <c r="AA9" s="298">
        <f t="shared" si="5"/>
        <v>0</v>
      </c>
      <c r="AB9" s="298">
        <f t="shared" si="14"/>
        <v>104926</v>
      </c>
      <c r="AC9" s="298">
        <f t="shared" si="14"/>
        <v>0</v>
      </c>
      <c r="AD9" s="298">
        <f t="shared" si="14"/>
        <v>0</v>
      </c>
      <c r="AE9" s="298">
        <f>SUM(AB9:AD9)</f>
        <v>104926</v>
      </c>
      <c r="AF9" s="298">
        <f t="shared" si="14"/>
        <v>186489</v>
      </c>
      <c r="AG9" s="298">
        <f t="shared" si="14"/>
        <v>0</v>
      </c>
      <c r="AH9" s="298">
        <f t="shared" si="14"/>
        <v>0</v>
      </c>
      <c r="AI9" s="298">
        <f>SUM(AF9:AH9)</f>
        <v>186489</v>
      </c>
      <c r="AJ9" s="298">
        <f t="shared" si="14"/>
        <v>127599</v>
      </c>
      <c r="AK9" s="298">
        <f t="shared" si="14"/>
        <v>0</v>
      </c>
      <c r="AL9" s="298">
        <f t="shared" si="14"/>
        <v>0</v>
      </c>
      <c r="AM9" s="298">
        <f>SUM(AJ9:AL9)</f>
        <v>127599</v>
      </c>
    </row>
    <row r="10" spans="1:39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77460</v>
      </c>
      <c r="I10" s="239">
        <v>0</v>
      </c>
      <c r="J10" s="239">
        <v>0</v>
      </c>
      <c r="K10" s="239">
        <f t="shared" si="1"/>
        <v>77460</v>
      </c>
      <c r="L10" s="239">
        <v>114133</v>
      </c>
      <c r="M10" s="239">
        <v>0</v>
      </c>
      <c r="N10" s="239">
        <v>0</v>
      </c>
      <c r="O10" s="239">
        <f t="shared" si="2"/>
        <v>114133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88044</v>
      </c>
      <c r="U10" s="239">
        <v>0</v>
      </c>
      <c r="V10" s="239">
        <v>0</v>
      </c>
      <c r="W10" s="239">
        <f t="shared" si="4"/>
        <v>88044</v>
      </c>
      <c r="X10" s="239"/>
      <c r="Y10" s="239">
        <v>0</v>
      </c>
      <c r="Z10" s="239">
        <v>0</v>
      </c>
      <c r="AA10" s="239">
        <f t="shared" si="5"/>
        <v>0</v>
      </c>
      <c r="AB10" s="239">
        <v>104926</v>
      </c>
      <c r="AC10" s="239">
        <v>0</v>
      </c>
      <c r="AD10" s="239">
        <v>0</v>
      </c>
      <c r="AE10" s="239">
        <f>SUM(AB10:AD10)</f>
        <v>104926</v>
      </c>
      <c r="AF10" s="239">
        <v>186489</v>
      </c>
      <c r="AG10" s="239"/>
      <c r="AH10" s="239"/>
      <c r="AI10" s="239">
        <f>SUM(AF10:AH10)</f>
        <v>186489</v>
      </c>
      <c r="AJ10" s="239">
        <v>127599</v>
      </c>
      <c r="AK10" s="239"/>
      <c r="AL10" s="239"/>
      <c r="AM10" s="239">
        <f>SUM(AJ10:AL10)</f>
        <v>127599</v>
      </c>
    </row>
    <row r="11" spans="1:39" x14ac:dyDescent="0.25">
      <c r="A11" s="296" t="s">
        <v>322</v>
      </c>
      <c r="B11" s="297" t="s">
        <v>314</v>
      </c>
      <c r="C11" s="298">
        <f>C12+C13+C14+C15+C16+C17+C18+C19</f>
        <v>93541</v>
      </c>
      <c r="D11" s="298">
        <f t="shared" ref="D11:F11" si="15">D12+D13+D14+D15+D16+D17+D18+D19</f>
        <v>81505</v>
      </c>
      <c r="E11" s="298">
        <f t="shared" si="15"/>
        <v>0</v>
      </c>
      <c r="F11" s="298">
        <f t="shared" si="15"/>
        <v>0</v>
      </c>
      <c r="G11" s="298">
        <f t="shared" si="0"/>
        <v>81505</v>
      </c>
      <c r="H11" s="298">
        <f t="shared" ref="H11:J11" si="16">H12+H13+H14+H15+H16+H17+H18+H19</f>
        <v>81505</v>
      </c>
      <c r="I11" s="298">
        <f t="shared" si="16"/>
        <v>0</v>
      </c>
      <c r="J11" s="298">
        <f t="shared" si="16"/>
        <v>0</v>
      </c>
      <c r="K11" s="298">
        <f t="shared" si="1"/>
        <v>81505</v>
      </c>
      <c r="L11" s="298">
        <f t="shared" ref="L11:N11" si="17">L12+L13+L14+L15+L16+L17+L18+L19</f>
        <v>81500</v>
      </c>
      <c r="M11" s="298">
        <f t="shared" si="17"/>
        <v>0</v>
      </c>
      <c r="N11" s="298">
        <f t="shared" si="17"/>
        <v>0</v>
      </c>
      <c r="O11" s="298">
        <f t="shared" si="2"/>
        <v>81500</v>
      </c>
      <c r="P11" s="298">
        <f t="shared" ref="P11:R11" si="18">P12+P13+P14+P15+P16+P17+P18+P19</f>
        <v>116290</v>
      </c>
      <c r="Q11" s="298">
        <f t="shared" si="18"/>
        <v>0</v>
      </c>
      <c r="R11" s="298">
        <f t="shared" si="18"/>
        <v>0</v>
      </c>
      <c r="S11" s="298">
        <f t="shared" si="3"/>
        <v>116290</v>
      </c>
      <c r="T11" s="298">
        <f>SUM(T12:T19)</f>
        <v>11693</v>
      </c>
      <c r="U11" s="298">
        <f t="shared" ref="U11:V11" si="19">U12+U13+U14+U15+U16+U17+U18+U19</f>
        <v>0</v>
      </c>
      <c r="V11" s="298">
        <f t="shared" si="19"/>
        <v>0</v>
      </c>
      <c r="W11" s="298">
        <f t="shared" si="4"/>
        <v>11693</v>
      </c>
      <c r="X11" s="298">
        <f t="shared" ref="X11:Z11" si="20">X12+X13+X14+X15+X16+X17+X18+X19</f>
        <v>83170</v>
      </c>
      <c r="Y11" s="298">
        <f t="shared" si="20"/>
        <v>0</v>
      </c>
      <c r="Z11" s="298">
        <f t="shared" si="20"/>
        <v>0</v>
      </c>
      <c r="AA11" s="298">
        <f t="shared" si="5"/>
        <v>83170</v>
      </c>
      <c r="AB11" s="298">
        <v>83170</v>
      </c>
      <c r="AC11" s="298">
        <v>0</v>
      </c>
      <c r="AD11" s="298">
        <v>0</v>
      </c>
      <c r="AE11" s="298">
        <v>83170</v>
      </c>
      <c r="AF11" s="298">
        <f>SUM(AF12:AF19)</f>
        <v>83170</v>
      </c>
      <c r="AG11" s="298">
        <f t="shared" ref="AG11:AH11" si="21">SUM(AG12:AG19)</f>
        <v>0</v>
      </c>
      <c r="AH11" s="298">
        <f t="shared" si="21"/>
        <v>0</v>
      </c>
      <c r="AI11" s="298">
        <f>SUM(AF11:AH11)</f>
        <v>83170</v>
      </c>
      <c r="AJ11" s="298">
        <f>SUM(AJ12:AJ19)</f>
        <v>36933</v>
      </c>
      <c r="AK11" s="298">
        <f t="shared" ref="AK11:AL11" si="22">SUM(AK13:AK19)</f>
        <v>0</v>
      </c>
      <c r="AL11" s="298">
        <f t="shared" si="22"/>
        <v>0</v>
      </c>
      <c r="AM11" s="298">
        <f>SUM(AJ11:AL11)</f>
        <v>36933</v>
      </c>
    </row>
    <row r="12" spans="1:39" x14ac:dyDescent="0.25">
      <c r="A12" s="328"/>
      <c r="B12" s="299" t="s">
        <v>649</v>
      </c>
      <c r="C12" s="239">
        <v>4000</v>
      </c>
      <c r="D12" s="239">
        <v>1500</v>
      </c>
      <c r="E12" s="239">
        <v>0</v>
      </c>
      <c r="F12" s="239">
        <v>0</v>
      </c>
      <c r="G12" s="239">
        <f t="shared" si="0"/>
        <v>1500</v>
      </c>
      <c r="H12" s="239">
        <v>1500</v>
      </c>
      <c r="I12" s="239">
        <v>0</v>
      </c>
      <c r="J12" s="239">
        <v>0</v>
      </c>
      <c r="K12" s="239">
        <f t="shared" si="1"/>
        <v>1500</v>
      </c>
      <c r="L12" s="239">
        <v>1500</v>
      </c>
      <c r="M12" s="239">
        <v>0</v>
      </c>
      <c r="N12" s="239">
        <v>0</v>
      </c>
      <c r="O12" s="239">
        <f t="shared" si="2"/>
        <v>1500</v>
      </c>
      <c r="P12" s="239">
        <v>5088</v>
      </c>
      <c r="Q12" s="239">
        <v>0</v>
      </c>
      <c r="R12" s="239">
        <v>0</v>
      </c>
      <c r="S12" s="239">
        <f t="shared" si="3"/>
        <v>5088</v>
      </c>
      <c r="T12" s="239">
        <v>85</v>
      </c>
      <c r="U12" s="239">
        <v>0</v>
      </c>
      <c r="V12" s="239">
        <v>0</v>
      </c>
      <c r="W12" s="239">
        <f t="shared" si="4"/>
        <v>85</v>
      </c>
      <c r="X12" s="239">
        <v>1500</v>
      </c>
      <c r="Y12" s="239">
        <v>0</v>
      </c>
      <c r="Z12" s="239">
        <v>0</v>
      </c>
      <c r="AA12" s="239">
        <f t="shared" si="5"/>
        <v>1500</v>
      </c>
      <c r="AB12" s="239">
        <v>1500</v>
      </c>
      <c r="AC12" s="239">
        <v>0</v>
      </c>
      <c r="AD12" s="239">
        <v>0</v>
      </c>
      <c r="AE12" s="239">
        <v>1500</v>
      </c>
      <c r="AF12" s="239">
        <v>1500</v>
      </c>
      <c r="AG12" s="239"/>
      <c r="AH12" s="239"/>
      <c r="AI12" s="239">
        <f>SUM(AF12:AH12)</f>
        <v>1500</v>
      </c>
      <c r="AJ12" s="239">
        <v>664</v>
      </c>
      <c r="AK12" s="239"/>
      <c r="AL12" s="239"/>
      <c r="AM12" s="239">
        <f>SUM(AJ12:AL12)</f>
        <v>664</v>
      </c>
    </row>
    <row r="13" spans="1:39" x14ac:dyDescent="0.25">
      <c r="A13" s="328"/>
      <c r="B13" s="299" t="s">
        <v>650</v>
      </c>
      <c r="C13" s="300">
        <v>17560</v>
      </c>
      <c r="D13" s="300">
        <v>47170</v>
      </c>
      <c r="E13" s="300">
        <v>0</v>
      </c>
      <c r="F13" s="300">
        <v>0</v>
      </c>
      <c r="G13" s="300">
        <f t="shared" si="0"/>
        <v>47170</v>
      </c>
      <c r="H13" s="300">
        <v>47170</v>
      </c>
      <c r="I13" s="300">
        <v>0</v>
      </c>
      <c r="J13" s="300">
        <v>0</v>
      </c>
      <c r="K13" s="300">
        <f t="shared" si="1"/>
        <v>47170</v>
      </c>
      <c r="L13" s="300">
        <v>47170</v>
      </c>
      <c r="M13" s="300">
        <v>0</v>
      </c>
      <c r="N13" s="300">
        <v>0</v>
      </c>
      <c r="O13" s="300">
        <f t="shared" si="2"/>
        <v>47170</v>
      </c>
      <c r="P13" s="300">
        <v>22552</v>
      </c>
      <c r="Q13" s="300">
        <v>0</v>
      </c>
      <c r="R13" s="300">
        <v>0</v>
      </c>
      <c r="S13" s="300">
        <f t="shared" si="3"/>
        <v>22552</v>
      </c>
      <c r="T13" s="300">
        <v>5649</v>
      </c>
      <c r="U13" s="300">
        <v>0</v>
      </c>
      <c r="V13" s="300">
        <v>0</v>
      </c>
      <c r="W13" s="300">
        <f t="shared" si="4"/>
        <v>5649</v>
      </c>
      <c r="X13" s="300">
        <v>49715</v>
      </c>
      <c r="Y13" s="300">
        <v>0</v>
      </c>
      <c r="Z13" s="300">
        <v>0</v>
      </c>
      <c r="AA13" s="300">
        <f t="shared" si="5"/>
        <v>49715</v>
      </c>
      <c r="AB13" s="300">
        <v>49715</v>
      </c>
      <c r="AC13" s="300">
        <v>0</v>
      </c>
      <c r="AD13" s="300">
        <v>0</v>
      </c>
      <c r="AE13" s="300">
        <v>49715</v>
      </c>
      <c r="AF13" s="300">
        <v>49715</v>
      </c>
      <c r="AG13" s="300"/>
      <c r="AH13" s="300"/>
      <c r="AI13" s="239">
        <f t="shared" ref="AI13:AI19" si="23">SUM(AF13:AH13)</f>
        <v>49715</v>
      </c>
      <c r="AJ13" s="300">
        <v>23144</v>
      </c>
      <c r="AK13" s="300"/>
      <c r="AL13" s="300"/>
      <c r="AM13" s="239">
        <f t="shared" ref="AM13:AM19" si="24">SUM(AJ13:AL13)</f>
        <v>23144</v>
      </c>
    </row>
    <row r="14" spans="1:39" x14ac:dyDescent="0.25">
      <c r="A14" s="328"/>
      <c r="B14" s="299" t="s">
        <v>659</v>
      </c>
      <c r="C14" s="239">
        <v>0</v>
      </c>
      <c r="D14" s="239">
        <v>500</v>
      </c>
      <c r="E14" s="239">
        <v>0</v>
      </c>
      <c r="F14" s="239">
        <v>0</v>
      </c>
      <c r="G14" s="239">
        <f t="shared" si="0"/>
        <v>500</v>
      </c>
      <c r="H14" s="239">
        <v>500</v>
      </c>
      <c r="I14" s="239">
        <v>0</v>
      </c>
      <c r="J14" s="239">
        <v>0</v>
      </c>
      <c r="K14" s="239">
        <f t="shared" si="1"/>
        <v>500</v>
      </c>
      <c r="L14" s="239">
        <v>500</v>
      </c>
      <c r="M14" s="239">
        <v>0</v>
      </c>
      <c r="N14" s="239">
        <v>0</v>
      </c>
      <c r="O14" s="239">
        <f t="shared" si="2"/>
        <v>500</v>
      </c>
      <c r="P14" s="239">
        <v>1189</v>
      </c>
      <c r="Q14" s="239">
        <v>0</v>
      </c>
      <c r="R14" s="239">
        <v>0</v>
      </c>
      <c r="S14" s="239">
        <f t="shared" si="3"/>
        <v>1189</v>
      </c>
      <c r="T14" s="239">
        <v>0</v>
      </c>
      <c r="U14" s="239">
        <v>0</v>
      </c>
      <c r="V14" s="239">
        <v>0</v>
      </c>
      <c r="W14" s="239">
        <f t="shared" si="4"/>
        <v>0</v>
      </c>
      <c r="X14" s="239">
        <v>0</v>
      </c>
      <c r="Y14" s="239">
        <v>0</v>
      </c>
      <c r="Z14" s="239">
        <v>0</v>
      </c>
      <c r="AA14" s="239">
        <f t="shared" si="5"/>
        <v>0</v>
      </c>
      <c r="AB14" s="239">
        <v>0</v>
      </c>
      <c r="AC14" s="239">
        <v>0</v>
      </c>
      <c r="AD14" s="239">
        <v>0</v>
      </c>
      <c r="AE14" s="239">
        <v>0</v>
      </c>
      <c r="AF14" s="239">
        <v>0</v>
      </c>
      <c r="AG14" s="239"/>
      <c r="AH14" s="239"/>
      <c r="AI14" s="239">
        <f t="shared" si="23"/>
        <v>0</v>
      </c>
      <c r="AJ14" s="239">
        <v>0</v>
      </c>
      <c r="AK14" s="239"/>
      <c r="AL14" s="239"/>
      <c r="AM14" s="239">
        <f t="shared" si="24"/>
        <v>0</v>
      </c>
    </row>
    <row r="15" spans="1:39" x14ac:dyDescent="0.25">
      <c r="A15" s="328"/>
      <c r="B15" s="299" t="s">
        <v>660</v>
      </c>
      <c r="C15" s="239">
        <v>54000</v>
      </c>
      <c r="D15" s="239">
        <v>15000</v>
      </c>
      <c r="E15" s="239">
        <v>0</v>
      </c>
      <c r="F15" s="239">
        <v>0</v>
      </c>
      <c r="G15" s="239">
        <f t="shared" si="0"/>
        <v>15000</v>
      </c>
      <c r="H15" s="239">
        <v>15000</v>
      </c>
      <c r="I15" s="239">
        <v>0</v>
      </c>
      <c r="J15" s="239">
        <v>0</v>
      </c>
      <c r="K15" s="239">
        <f t="shared" si="1"/>
        <v>15000</v>
      </c>
      <c r="L15" s="239">
        <v>15000</v>
      </c>
      <c r="M15" s="239">
        <v>0</v>
      </c>
      <c r="N15" s="239">
        <v>0</v>
      </c>
      <c r="O15" s="239">
        <f t="shared" si="2"/>
        <v>15000</v>
      </c>
      <c r="P15" s="239">
        <v>52627</v>
      </c>
      <c r="Q15" s="239">
        <v>0</v>
      </c>
      <c r="R15" s="239">
        <v>0</v>
      </c>
      <c r="S15" s="239">
        <f t="shared" si="3"/>
        <v>52627</v>
      </c>
      <c r="T15" s="239">
        <v>3488</v>
      </c>
      <c r="U15" s="239">
        <v>0</v>
      </c>
      <c r="V15" s="239">
        <v>0</v>
      </c>
      <c r="W15" s="239">
        <f t="shared" si="4"/>
        <v>3488</v>
      </c>
      <c r="X15" s="239">
        <v>15000</v>
      </c>
      <c r="Y15" s="239">
        <v>0</v>
      </c>
      <c r="Z15" s="239">
        <v>0</v>
      </c>
      <c r="AA15" s="239">
        <f t="shared" si="5"/>
        <v>15000</v>
      </c>
      <c r="AB15" s="239">
        <v>15000</v>
      </c>
      <c r="AC15" s="239">
        <v>0</v>
      </c>
      <c r="AD15" s="239">
        <v>0</v>
      </c>
      <c r="AE15" s="239">
        <v>15000</v>
      </c>
      <c r="AF15" s="239">
        <v>15000</v>
      </c>
      <c r="AG15" s="239"/>
      <c r="AH15" s="239"/>
      <c r="AI15" s="239">
        <f t="shared" si="23"/>
        <v>15000</v>
      </c>
      <c r="AJ15" s="239">
        <v>7040</v>
      </c>
      <c r="AK15" s="239"/>
      <c r="AL15" s="239"/>
      <c r="AM15" s="239">
        <f t="shared" si="24"/>
        <v>7040</v>
      </c>
    </row>
    <row r="16" spans="1:39" x14ac:dyDescent="0.25">
      <c r="A16" s="328"/>
      <c r="B16" s="299" t="s">
        <v>661</v>
      </c>
      <c r="C16" s="239">
        <v>17931</v>
      </c>
      <c r="D16" s="239">
        <v>17330</v>
      </c>
      <c r="E16" s="239">
        <v>0</v>
      </c>
      <c r="F16" s="239">
        <v>0</v>
      </c>
      <c r="G16" s="239">
        <f t="shared" si="0"/>
        <v>17330</v>
      </c>
      <c r="H16" s="239">
        <v>17330</v>
      </c>
      <c r="I16" s="239">
        <v>0</v>
      </c>
      <c r="J16" s="239">
        <v>0</v>
      </c>
      <c r="K16" s="239">
        <f t="shared" si="1"/>
        <v>17330</v>
      </c>
      <c r="L16" s="239">
        <v>17330</v>
      </c>
      <c r="M16" s="239">
        <v>0</v>
      </c>
      <c r="N16" s="239">
        <v>0</v>
      </c>
      <c r="O16" s="239">
        <f t="shared" si="2"/>
        <v>17330</v>
      </c>
      <c r="P16" s="239">
        <v>17509</v>
      </c>
      <c r="Q16" s="239">
        <v>0</v>
      </c>
      <c r="R16" s="239">
        <v>0</v>
      </c>
      <c r="S16" s="239">
        <f t="shared" si="3"/>
        <v>17509</v>
      </c>
      <c r="T16" s="239">
        <v>2471</v>
      </c>
      <c r="U16" s="239">
        <v>0</v>
      </c>
      <c r="V16" s="239">
        <v>0</v>
      </c>
      <c r="W16" s="239">
        <f t="shared" si="4"/>
        <v>2471</v>
      </c>
      <c r="X16" s="239">
        <v>16950</v>
      </c>
      <c r="Y16" s="239">
        <v>0</v>
      </c>
      <c r="Z16" s="239">
        <v>0</v>
      </c>
      <c r="AA16" s="239">
        <f t="shared" si="5"/>
        <v>16950</v>
      </c>
      <c r="AB16" s="239">
        <v>16950</v>
      </c>
      <c r="AC16" s="239">
        <v>0</v>
      </c>
      <c r="AD16" s="239">
        <v>0</v>
      </c>
      <c r="AE16" s="239">
        <v>16950</v>
      </c>
      <c r="AF16" s="239">
        <v>16950</v>
      </c>
      <c r="AG16" s="239"/>
      <c r="AH16" s="239"/>
      <c r="AI16" s="239">
        <f t="shared" si="23"/>
        <v>16950</v>
      </c>
      <c r="AJ16" s="239">
        <v>6064</v>
      </c>
      <c r="AK16" s="239"/>
      <c r="AL16" s="239"/>
      <c r="AM16" s="239">
        <f t="shared" si="24"/>
        <v>6064</v>
      </c>
    </row>
    <row r="17" spans="1:39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15818</v>
      </c>
      <c r="Q17" s="239">
        <v>0</v>
      </c>
      <c r="R17" s="239">
        <v>0</v>
      </c>
      <c r="S17" s="239">
        <f t="shared" si="3"/>
        <v>15818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/>
      <c r="Y17" s="239">
        <v>0</v>
      </c>
      <c r="Z17" s="239">
        <v>0</v>
      </c>
      <c r="AA17" s="239">
        <f t="shared" si="5"/>
        <v>0</v>
      </c>
      <c r="AB17" s="239"/>
      <c r="AC17" s="239">
        <v>0</v>
      </c>
      <c r="AD17" s="239">
        <v>0</v>
      </c>
      <c r="AE17" s="239">
        <v>0</v>
      </c>
      <c r="AF17" s="239"/>
      <c r="AG17" s="239">
        <v>0</v>
      </c>
      <c r="AH17" s="239">
        <v>0</v>
      </c>
      <c r="AI17" s="239">
        <f t="shared" si="23"/>
        <v>0</v>
      </c>
      <c r="AJ17" s="239"/>
      <c r="AK17" s="239"/>
      <c r="AL17" s="239"/>
      <c r="AM17" s="239">
        <f t="shared" si="24"/>
        <v>0</v>
      </c>
    </row>
    <row r="18" spans="1:39" x14ac:dyDescent="0.25">
      <c r="A18" s="328"/>
      <c r="B18" s="299" t="s">
        <v>663</v>
      </c>
      <c r="C18" s="239">
        <v>0</v>
      </c>
      <c r="D18" s="239">
        <v>5</v>
      </c>
      <c r="E18" s="239">
        <v>0</v>
      </c>
      <c r="F18" s="239">
        <v>0</v>
      </c>
      <c r="G18" s="239">
        <f t="shared" si="0"/>
        <v>5</v>
      </c>
      <c r="H18" s="239">
        <v>5</v>
      </c>
      <c r="I18" s="239">
        <v>0</v>
      </c>
      <c r="J18" s="239">
        <v>0</v>
      </c>
      <c r="K18" s="239">
        <f t="shared" si="1"/>
        <v>5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>
        <v>5</v>
      </c>
      <c r="Y18" s="239">
        <v>0</v>
      </c>
      <c r="Z18" s="239">
        <v>0</v>
      </c>
      <c r="AA18" s="239">
        <f t="shared" si="5"/>
        <v>5</v>
      </c>
      <c r="AB18" s="239">
        <v>5</v>
      </c>
      <c r="AC18" s="239">
        <v>0</v>
      </c>
      <c r="AD18" s="239">
        <v>0</v>
      </c>
      <c r="AE18" s="239">
        <v>5</v>
      </c>
      <c r="AF18" s="239">
        <v>5</v>
      </c>
      <c r="AG18" s="239"/>
      <c r="AH18" s="239"/>
      <c r="AI18" s="239">
        <f t="shared" si="23"/>
        <v>5</v>
      </c>
      <c r="AJ18" s="239"/>
      <c r="AK18" s="239"/>
      <c r="AL18" s="239"/>
      <c r="AM18" s="239">
        <f t="shared" si="24"/>
        <v>0</v>
      </c>
    </row>
    <row r="19" spans="1:39" x14ac:dyDescent="0.25">
      <c r="A19" s="328"/>
      <c r="B19" s="299" t="s">
        <v>664</v>
      </c>
      <c r="C19" s="239">
        <v>50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0</v>
      </c>
      <c r="I19" s="239">
        <v>0</v>
      </c>
      <c r="J19" s="239">
        <v>0</v>
      </c>
      <c r="K19" s="239">
        <f t="shared" si="1"/>
        <v>0</v>
      </c>
      <c r="L19" s="239"/>
      <c r="M19" s="239">
        <v>0</v>
      </c>
      <c r="N19" s="239">
        <v>0</v>
      </c>
      <c r="O19" s="239">
        <f t="shared" si="2"/>
        <v>0</v>
      </c>
      <c r="P19" s="239">
        <v>1507</v>
      </c>
      <c r="Q19" s="239">
        <v>0</v>
      </c>
      <c r="R19" s="239">
        <v>0</v>
      </c>
      <c r="S19" s="239">
        <f t="shared" si="3"/>
        <v>1507</v>
      </c>
      <c r="T19" s="239">
        <v>0</v>
      </c>
      <c r="U19" s="239">
        <v>0</v>
      </c>
      <c r="V19" s="239">
        <v>0</v>
      </c>
      <c r="W19" s="239">
        <f t="shared" si="4"/>
        <v>0</v>
      </c>
      <c r="X19" s="239"/>
      <c r="Y19" s="239">
        <v>0</v>
      </c>
      <c r="Z19" s="239">
        <v>0</v>
      </c>
      <c r="AA19" s="239">
        <f t="shared" si="5"/>
        <v>0</v>
      </c>
      <c r="AB19" s="239"/>
      <c r="AC19" s="239">
        <v>0</v>
      </c>
      <c r="AD19" s="239">
        <v>0</v>
      </c>
      <c r="AE19" s="239">
        <v>0</v>
      </c>
      <c r="AF19" s="239"/>
      <c r="AG19" s="239">
        <v>0</v>
      </c>
      <c r="AH19" s="239">
        <v>0</v>
      </c>
      <c r="AI19" s="239">
        <f t="shared" si="23"/>
        <v>0</v>
      </c>
      <c r="AJ19" s="239">
        <v>21</v>
      </c>
      <c r="AK19" s="239">
        <v>0</v>
      </c>
      <c r="AL19" s="239">
        <v>0</v>
      </c>
      <c r="AM19" s="239">
        <f t="shared" si="24"/>
        <v>21</v>
      </c>
    </row>
    <row r="20" spans="1:39" x14ac:dyDescent="0.25">
      <c r="A20" s="296" t="s">
        <v>315</v>
      </c>
      <c r="B20" s="297" t="s">
        <v>316</v>
      </c>
      <c r="C20" s="298">
        <f>SUM(C21:C21)</f>
        <v>0</v>
      </c>
      <c r="D20" s="298">
        <f t="shared" ref="D20:Z20" si="25">SUM(D21:D21)</f>
        <v>0</v>
      </c>
      <c r="E20" s="298">
        <f t="shared" si="25"/>
        <v>0</v>
      </c>
      <c r="F20" s="298">
        <f t="shared" si="25"/>
        <v>0</v>
      </c>
      <c r="G20" s="298">
        <f t="shared" si="0"/>
        <v>0</v>
      </c>
      <c r="H20" s="298">
        <f t="shared" si="25"/>
        <v>0</v>
      </c>
      <c r="I20" s="298">
        <f t="shared" si="25"/>
        <v>0</v>
      </c>
      <c r="J20" s="298">
        <f t="shared" si="25"/>
        <v>0</v>
      </c>
      <c r="K20" s="298">
        <f t="shared" si="1"/>
        <v>0</v>
      </c>
      <c r="L20" s="298">
        <f t="shared" si="25"/>
        <v>0</v>
      </c>
      <c r="M20" s="298">
        <f t="shared" si="25"/>
        <v>0</v>
      </c>
      <c r="N20" s="298">
        <f t="shared" si="25"/>
        <v>0</v>
      </c>
      <c r="O20" s="298">
        <f t="shared" si="2"/>
        <v>0</v>
      </c>
      <c r="P20" s="298">
        <f t="shared" si="25"/>
        <v>0</v>
      </c>
      <c r="Q20" s="298">
        <f t="shared" si="25"/>
        <v>0</v>
      </c>
      <c r="R20" s="298">
        <f t="shared" si="25"/>
        <v>0</v>
      </c>
      <c r="S20" s="298">
        <f t="shared" si="3"/>
        <v>0</v>
      </c>
      <c r="T20" s="298">
        <f t="shared" si="25"/>
        <v>0</v>
      </c>
      <c r="U20" s="298">
        <f t="shared" si="25"/>
        <v>0</v>
      </c>
      <c r="V20" s="298">
        <f t="shared" si="25"/>
        <v>0</v>
      </c>
      <c r="W20" s="298">
        <f t="shared" si="4"/>
        <v>0</v>
      </c>
      <c r="X20" s="298">
        <f t="shared" si="25"/>
        <v>0</v>
      </c>
      <c r="Y20" s="298">
        <f t="shared" si="25"/>
        <v>0</v>
      </c>
      <c r="Z20" s="298">
        <f t="shared" si="25"/>
        <v>0</v>
      </c>
      <c r="AA20" s="298">
        <f t="shared" si="5"/>
        <v>0</v>
      </c>
      <c r="AB20" s="298">
        <v>0</v>
      </c>
      <c r="AC20" s="298">
        <v>0</v>
      </c>
      <c r="AD20" s="298">
        <v>0</v>
      </c>
      <c r="AE20" s="298">
        <v>0</v>
      </c>
      <c r="AF20" s="298">
        <v>0</v>
      </c>
      <c r="AG20" s="298">
        <v>0</v>
      </c>
      <c r="AH20" s="298">
        <v>0</v>
      </c>
      <c r="AI20" s="298">
        <v>0</v>
      </c>
      <c r="AJ20" s="298">
        <v>0</v>
      </c>
      <c r="AK20" s="298">
        <v>0</v>
      </c>
      <c r="AL20" s="298">
        <v>0</v>
      </c>
      <c r="AM20" s="298">
        <v>0</v>
      </c>
    </row>
    <row r="21" spans="1:39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0</v>
      </c>
      <c r="I21" s="239">
        <v>0</v>
      </c>
      <c r="J21" s="239">
        <v>0</v>
      </c>
      <c r="K21" s="239">
        <f t="shared" si="1"/>
        <v>0</v>
      </c>
      <c r="L21" s="239">
        <v>0</v>
      </c>
      <c r="M21" s="239">
        <v>0</v>
      </c>
      <c r="N21" s="239">
        <v>0</v>
      </c>
      <c r="O21" s="239">
        <f t="shared" si="2"/>
        <v>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  <c r="X21" s="239">
        <v>0</v>
      </c>
      <c r="Y21" s="239">
        <v>0</v>
      </c>
      <c r="Z21" s="239">
        <v>0</v>
      </c>
      <c r="AA21" s="239">
        <f t="shared" si="5"/>
        <v>0</v>
      </c>
      <c r="AB21" s="239">
        <v>0</v>
      </c>
      <c r="AC21" s="239">
        <v>0</v>
      </c>
      <c r="AD21" s="239">
        <v>0</v>
      </c>
      <c r="AE21" s="239">
        <v>0</v>
      </c>
      <c r="AF21" s="239">
        <v>0</v>
      </c>
      <c r="AG21" s="239">
        <v>0</v>
      </c>
      <c r="AH21" s="239">
        <v>0</v>
      </c>
      <c r="AI21" s="239">
        <v>0</v>
      </c>
      <c r="AJ21" s="239">
        <v>0</v>
      </c>
      <c r="AK21" s="239">
        <v>0</v>
      </c>
      <c r="AL21" s="239">
        <v>0</v>
      </c>
      <c r="AM21" s="239">
        <v>0</v>
      </c>
    </row>
    <row r="22" spans="1:39" x14ac:dyDescent="0.25">
      <c r="A22" s="293" t="s">
        <v>318</v>
      </c>
      <c r="B22" s="294" t="s">
        <v>319</v>
      </c>
      <c r="C22" s="295">
        <f t="shared" ref="C22:F22" si="26">C23+C25+C28</f>
        <v>0</v>
      </c>
      <c r="D22" s="295">
        <f t="shared" si="26"/>
        <v>0</v>
      </c>
      <c r="E22" s="295">
        <f t="shared" si="26"/>
        <v>0</v>
      </c>
      <c r="F22" s="295">
        <f t="shared" si="26"/>
        <v>0</v>
      </c>
      <c r="G22" s="295">
        <f t="shared" si="0"/>
        <v>0</v>
      </c>
      <c r="H22" s="295">
        <f t="shared" ref="H22:J22" si="27">H23+H25+H28</f>
        <v>0</v>
      </c>
      <c r="I22" s="295">
        <f t="shared" si="27"/>
        <v>0</v>
      </c>
      <c r="J22" s="295">
        <f t="shared" si="27"/>
        <v>0</v>
      </c>
      <c r="K22" s="295">
        <f t="shared" si="1"/>
        <v>0</v>
      </c>
      <c r="L22" s="295">
        <f t="shared" ref="L22:N22" si="28">L23+L25+L28</f>
        <v>0</v>
      </c>
      <c r="M22" s="295">
        <f t="shared" si="28"/>
        <v>0</v>
      </c>
      <c r="N22" s="295">
        <f t="shared" si="28"/>
        <v>0</v>
      </c>
      <c r="O22" s="295">
        <f t="shared" si="2"/>
        <v>0</v>
      </c>
      <c r="P22" s="295">
        <f t="shared" ref="P22:R22" si="29">P23+P25+P28</f>
        <v>0</v>
      </c>
      <c r="Q22" s="295">
        <f t="shared" si="29"/>
        <v>0</v>
      </c>
      <c r="R22" s="295">
        <f t="shared" si="29"/>
        <v>0</v>
      </c>
      <c r="S22" s="295">
        <f t="shared" si="3"/>
        <v>0</v>
      </c>
      <c r="T22" s="295">
        <f t="shared" ref="T22:V22" si="30">T23+T25+T28</f>
        <v>0</v>
      </c>
      <c r="U22" s="295">
        <f t="shared" si="30"/>
        <v>0</v>
      </c>
      <c r="V22" s="295">
        <f t="shared" si="30"/>
        <v>0</v>
      </c>
      <c r="W22" s="295">
        <f t="shared" si="4"/>
        <v>0</v>
      </c>
      <c r="X22" s="295">
        <f t="shared" ref="X22:Z22" si="31">X23+X25+X28</f>
        <v>0</v>
      </c>
      <c r="Y22" s="295">
        <f t="shared" si="31"/>
        <v>0</v>
      </c>
      <c r="Z22" s="295">
        <f t="shared" si="31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v>57</v>
      </c>
      <c r="AK22" s="295">
        <v>0</v>
      </c>
      <c r="AL22" s="295">
        <v>0</v>
      </c>
      <c r="AM22" s="295">
        <v>57</v>
      </c>
    </row>
    <row r="23" spans="1:39" x14ac:dyDescent="0.25">
      <c r="A23" s="296" t="s">
        <v>311</v>
      </c>
      <c r="B23" s="297" t="s">
        <v>320</v>
      </c>
      <c r="C23" s="298">
        <f>SUM(C24:C24)</f>
        <v>0</v>
      </c>
      <c r="D23" s="298">
        <f t="shared" ref="D23:Z23" si="32">SUM(D24:D24)</f>
        <v>0</v>
      </c>
      <c r="E23" s="298">
        <f t="shared" si="32"/>
        <v>0</v>
      </c>
      <c r="F23" s="298">
        <f t="shared" si="32"/>
        <v>0</v>
      </c>
      <c r="G23" s="298">
        <f t="shared" si="0"/>
        <v>0</v>
      </c>
      <c r="H23" s="298">
        <f t="shared" si="32"/>
        <v>0</v>
      </c>
      <c r="I23" s="298">
        <f t="shared" si="32"/>
        <v>0</v>
      </c>
      <c r="J23" s="298">
        <f t="shared" si="32"/>
        <v>0</v>
      </c>
      <c r="K23" s="298">
        <f t="shared" si="1"/>
        <v>0</v>
      </c>
      <c r="L23" s="298">
        <f t="shared" si="32"/>
        <v>0</v>
      </c>
      <c r="M23" s="298">
        <f t="shared" si="32"/>
        <v>0</v>
      </c>
      <c r="N23" s="298">
        <f t="shared" si="32"/>
        <v>0</v>
      </c>
      <c r="O23" s="298">
        <f t="shared" si="2"/>
        <v>0</v>
      </c>
      <c r="P23" s="298">
        <f t="shared" si="32"/>
        <v>0</v>
      </c>
      <c r="Q23" s="298">
        <f t="shared" si="32"/>
        <v>0</v>
      </c>
      <c r="R23" s="298">
        <f t="shared" si="32"/>
        <v>0</v>
      </c>
      <c r="S23" s="298">
        <f t="shared" si="3"/>
        <v>0</v>
      </c>
      <c r="T23" s="298">
        <f t="shared" si="32"/>
        <v>0</v>
      </c>
      <c r="U23" s="298">
        <f t="shared" si="32"/>
        <v>0</v>
      </c>
      <c r="V23" s="298">
        <f t="shared" si="32"/>
        <v>0</v>
      </c>
      <c r="W23" s="298">
        <f t="shared" si="4"/>
        <v>0</v>
      </c>
      <c r="X23" s="298">
        <f t="shared" si="32"/>
        <v>0</v>
      </c>
      <c r="Y23" s="298">
        <f t="shared" si="32"/>
        <v>0</v>
      </c>
      <c r="Z23" s="298">
        <f t="shared" si="32"/>
        <v>0</v>
      </c>
      <c r="AA23" s="298">
        <f t="shared" si="5"/>
        <v>0</v>
      </c>
      <c r="AB23" s="298">
        <v>0</v>
      </c>
      <c r="AC23" s="298">
        <v>0</v>
      </c>
      <c r="AD23" s="298">
        <v>0</v>
      </c>
      <c r="AE23" s="298">
        <v>0</v>
      </c>
      <c r="AF23" s="298">
        <v>0</v>
      </c>
      <c r="AG23" s="298">
        <v>0</v>
      </c>
      <c r="AH23" s="298">
        <v>0</v>
      </c>
      <c r="AI23" s="298">
        <v>0</v>
      </c>
      <c r="AJ23" s="298">
        <v>0</v>
      </c>
      <c r="AK23" s="298">
        <v>0</v>
      </c>
      <c r="AL23" s="298">
        <v>0</v>
      </c>
      <c r="AM23" s="298">
        <v>0</v>
      </c>
    </row>
    <row r="24" spans="1:39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X24" s="239">
        <v>0</v>
      </c>
      <c r="Y24" s="239">
        <v>0</v>
      </c>
      <c r="Z24" s="239">
        <v>0</v>
      </c>
      <c r="AA24" s="239">
        <f t="shared" si="5"/>
        <v>0</v>
      </c>
      <c r="AB24" s="239">
        <v>0</v>
      </c>
      <c r="AC24" s="239">
        <v>0</v>
      </c>
      <c r="AD24" s="239">
        <v>0</v>
      </c>
      <c r="AE24" s="239">
        <v>0</v>
      </c>
      <c r="AF24" s="239">
        <v>0</v>
      </c>
      <c r="AG24" s="239">
        <v>0</v>
      </c>
      <c r="AH24" s="239">
        <v>0</v>
      </c>
      <c r="AI24" s="239">
        <v>0</v>
      </c>
      <c r="AJ24" s="239">
        <v>0</v>
      </c>
      <c r="AK24" s="239">
        <v>0</v>
      </c>
      <c r="AL24" s="239">
        <v>0</v>
      </c>
      <c r="AM24" s="239">
        <v>0</v>
      </c>
    </row>
    <row r="25" spans="1:39" x14ac:dyDescent="0.25">
      <c r="A25" s="296" t="s">
        <v>322</v>
      </c>
      <c r="B25" s="297" t="s">
        <v>257</v>
      </c>
      <c r="C25" s="298">
        <f>SUM(C26:C27)</f>
        <v>0</v>
      </c>
      <c r="D25" s="298">
        <f t="shared" ref="D25:F25" si="33">SUM(D26:D27)</f>
        <v>0</v>
      </c>
      <c r="E25" s="298">
        <f t="shared" si="33"/>
        <v>0</v>
      </c>
      <c r="F25" s="298">
        <f t="shared" si="33"/>
        <v>0</v>
      </c>
      <c r="G25" s="298">
        <f t="shared" si="0"/>
        <v>0</v>
      </c>
      <c r="H25" s="298">
        <f t="shared" ref="H25:J25" si="34">SUM(H26:H27)</f>
        <v>0</v>
      </c>
      <c r="I25" s="298">
        <f t="shared" si="34"/>
        <v>0</v>
      </c>
      <c r="J25" s="298">
        <f t="shared" si="34"/>
        <v>0</v>
      </c>
      <c r="K25" s="298">
        <f t="shared" si="1"/>
        <v>0</v>
      </c>
      <c r="L25" s="298">
        <f t="shared" ref="L25:N25" si="35">SUM(L26:L27)</f>
        <v>0</v>
      </c>
      <c r="M25" s="298">
        <f t="shared" si="35"/>
        <v>0</v>
      </c>
      <c r="N25" s="298">
        <f t="shared" si="35"/>
        <v>0</v>
      </c>
      <c r="O25" s="298">
        <f t="shared" si="2"/>
        <v>0</v>
      </c>
      <c r="P25" s="298">
        <f t="shared" ref="P25:R25" si="36">SUM(P26:P27)</f>
        <v>0</v>
      </c>
      <c r="Q25" s="298">
        <f t="shared" si="36"/>
        <v>0</v>
      </c>
      <c r="R25" s="298">
        <f t="shared" si="36"/>
        <v>0</v>
      </c>
      <c r="S25" s="298">
        <f t="shared" si="3"/>
        <v>0</v>
      </c>
      <c r="T25" s="298">
        <f t="shared" ref="T25:V25" si="37">SUM(T26:T27)</f>
        <v>0</v>
      </c>
      <c r="U25" s="298">
        <f t="shared" si="37"/>
        <v>0</v>
      </c>
      <c r="V25" s="298">
        <f t="shared" si="37"/>
        <v>0</v>
      </c>
      <c r="W25" s="298">
        <f t="shared" si="4"/>
        <v>0</v>
      </c>
      <c r="X25" s="298">
        <f t="shared" ref="X25:Z25" si="38">SUM(X26:X27)</f>
        <v>0</v>
      </c>
      <c r="Y25" s="298">
        <f t="shared" si="38"/>
        <v>0</v>
      </c>
      <c r="Z25" s="298">
        <f t="shared" si="38"/>
        <v>0</v>
      </c>
      <c r="AA25" s="298">
        <f t="shared" si="5"/>
        <v>0</v>
      </c>
      <c r="AB25" s="298">
        <v>0</v>
      </c>
      <c r="AC25" s="298">
        <v>0</v>
      </c>
      <c r="AD25" s="298">
        <v>0</v>
      </c>
      <c r="AE25" s="298">
        <v>0</v>
      </c>
      <c r="AF25" s="298">
        <v>0</v>
      </c>
      <c r="AG25" s="298">
        <v>0</v>
      </c>
      <c r="AH25" s="298">
        <v>0</v>
      </c>
      <c r="AI25" s="298">
        <v>0</v>
      </c>
      <c r="AJ25" s="298">
        <f>SUM(AJ26:AJ27)</f>
        <v>57</v>
      </c>
      <c r="AK25" s="298">
        <f t="shared" ref="AK25:AL25" si="39">SUM(AK26:AK27)</f>
        <v>0</v>
      </c>
      <c r="AL25" s="298">
        <f t="shared" si="39"/>
        <v>0</v>
      </c>
      <c r="AM25" s="298">
        <f>SUM(AJ25:AL25)</f>
        <v>57</v>
      </c>
    </row>
    <row r="26" spans="1:39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>
        <v>0</v>
      </c>
      <c r="Y26" s="239">
        <v>0</v>
      </c>
      <c r="Z26" s="239">
        <v>0</v>
      </c>
      <c r="AA26" s="239">
        <f t="shared" si="5"/>
        <v>0</v>
      </c>
      <c r="AB26" s="239">
        <v>0</v>
      </c>
      <c r="AC26" s="239">
        <v>0</v>
      </c>
      <c r="AD26" s="239">
        <v>0</v>
      </c>
      <c r="AE26" s="239">
        <v>0</v>
      </c>
      <c r="AF26" s="239">
        <v>0</v>
      </c>
      <c r="AG26" s="239">
        <v>0</v>
      </c>
      <c r="AH26" s="239">
        <v>0</v>
      </c>
      <c r="AI26" s="239">
        <v>0</v>
      </c>
      <c r="AJ26" s="239">
        <v>0</v>
      </c>
      <c r="AK26" s="239">
        <v>0</v>
      </c>
      <c r="AL26" s="239">
        <v>0</v>
      </c>
      <c r="AM26" s="239">
        <v>0</v>
      </c>
    </row>
    <row r="27" spans="1:39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57</v>
      </c>
      <c r="AK27" s="239">
        <v>0</v>
      </c>
      <c r="AL27" s="239">
        <v>0</v>
      </c>
      <c r="AM27" s="239">
        <v>0</v>
      </c>
    </row>
    <row r="28" spans="1:39" x14ac:dyDescent="0.25">
      <c r="A28" s="296" t="s">
        <v>315</v>
      </c>
      <c r="B28" s="297" t="s">
        <v>325</v>
      </c>
      <c r="C28" s="298">
        <f>SUM(C29:C29)</f>
        <v>0</v>
      </c>
      <c r="D28" s="298">
        <f t="shared" ref="D28:Z28" si="40">SUM(D29:D29)</f>
        <v>0</v>
      </c>
      <c r="E28" s="298">
        <f t="shared" si="40"/>
        <v>0</v>
      </c>
      <c r="F28" s="298">
        <f t="shared" si="40"/>
        <v>0</v>
      </c>
      <c r="G28" s="298">
        <f t="shared" si="0"/>
        <v>0</v>
      </c>
      <c r="H28" s="298">
        <f t="shared" si="40"/>
        <v>0</v>
      </c>
      <c r="I28" s="298">
        <f t="shared" si="40"/>
        <v>0</v>
      </c>
      <c r="J28" s="298">
        <f t="shared" si="40"/>
        <v>0</v>
      </c>
      <c r="K28" s="298">
        <f t="shared" si="1"/>
        <v>0</v>
      </c>
      <c r="L28" s="298">
        <f t="shared" si="40"/>
        <v>0</v>
      </c>
      <c r="M28" s="298">
        <f t="shared" si="40"/>
        <v>0</v>
      </c>
      <c r="N28" s="298">
        <f t="shared" si="40"/>
        <v>0</v>
      </c>
      <c r="O28" s="298">
        <f t="shared" si="2"/>
        <v>0</v>
      </c>
      <c r="P28" s="298">
        <f t="shared" si="40"/>
        <v>0</v>
      </c>
      <c r="Q28" s="298">
        <f t="shared" si="40"/>
        <v>0</v>
      </c>
      <c r="R28" s="298">
        <f t="shared" si="40"/>
        <v>0</v>
      </c>
      <c r="S28" s="298">
        <f t="shared" si="3"/>
        <v>0</v>
      </c>
      <c r="T28" s="298">
        <f t="shared" si="40"/>
        <v>0</v>
      </c>
      <c r="U28" s="298">
        <f t="shared" si="40"/>
        <v>0</v>
      </c>
      <c r="V28" s="298">
        <f t="shared" si="40"/>
        <v>0</v>
      </c>
      <c r="W28" s="298">
        <f t="shared" si="4"/>
        <v>0</v>
      </c>
      <c r="X28" s="298">
        <f t="shared" si="40"/>
        <v>0</v>
      </c>
      <c r="Y28" s="298">
        <f t="shared" si="40"/>
        <v>0</v>
      </c>
      <c r="Z28" s="298">
        <f t="shared" si="40"/>
        <v>0</v>
      </c>
      <c r="AA28" s="298">
        <f t="shared" si="5"/>
        <v>0</v>
      </c>
      <c r="AB28" s="298">
        <v>0</v>
      </c>
      <c r="AC28" s="298">
        <v>0</v>
      </c>
      <c r="AD28" s="298">
        <v>0</v>
      </c>
      <c r="AE28" s="298">
        <v>0</v>
      </c>
      <c r="AF28" s="298">
        <v>0</v>
      </c>
      <c r="AG28" s="298">
        <v>0</v>
      </c>
      <c r="AH28" s="298">
        <v>0</v>
      </c>
      <c r="AI28" s="298">
        <v>0</v>
      </c>
      <c r="AJ28" s="298">
        <v>0</v>
      </c>
      <c r="AK28" s="298">
        <v>0</v>
      </c>
      <c r="AL28" s="298">
        <v>0</v>
      </c>
      <c r="AM28" s="298">
        <v>0</v>
      </c>
    </row>
    <row r="29" spans="1:39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>
        <v>0</v>
      </c>
      <c r="Y29" s="239">
        <v>0</v>
      </c>
      <c r="Z29" s="239">
        <v>0</v>
      </c>
      <c r="AA29" s="239">
        <f t="shared" si="5"/>
        <v>0</v>
      </c>
      <c r="AB29" s="239">
        <v>0</v>
      </c>
      <c r="AC29" s="239">
        <v>0</v>
      </c>
      <c r="AD29" s="239">
        <v>0</v>
      </c>
      <c r="AE29" s="239">
        <v>0</v>
      </c>
      <c r="AF29" s="239">
        <v>0</v>
      </c>
      <c r="AG29" s="239">
        <v>0</v>
      </c>
      <c r="AH29" s="239">
        <v>0</v>
      </c>
      <c r="AI29" s="239">
        <v>0</v>
      </c>
      <c r="AJ29" s="239">
        <v>0</v>
      </c>
      <c r="AK29" s="239">
        <v>0</v>
      </c>
      <c r="AL29" s="239">
        <v>0</v>
      </c>
      <c r="AM29" s="239">
        <v>0</v>
      </c>
    </row>
    <row r="30" spans="1:39" x14ac:dyDescent="0.25">
      <c r="A30" s="595"/>
      <c r="B30" s="590" t="s">
        <v>327</v>
      </c>
      <c r="C30" s="622">
        <f>C22+C8</f>
        <v>93541</v>
      </c>
      <c r="D30" s="622">
        <f t="shared" ref="D30:F30" si="41">D22+D8</f>
        <v>81505</v>
      </c>
      <c r="E30" s="622">
        <f t="shared" si="41"/>
        <v>0</v>
      </c>
      <c r="F30" s="622">
        <f t="shared" si="41"/>
        <v>0</v>
      </c>
      <c r="G30" s="622">
        <f t="shared" si="0"/>
        <v>81505</v>
      </c>
      <c r="H30" s="622">
        <f t="shared" ref="H30:J30" si="42">H22+H8</f>
        <v>158965</v>
      </c>
      <c r="I30" s="622">
        <f t="shared" si="42"/>
        <v>0</v>
      </c>
      <c r="J30" s="622">
        <f t="shared" si="42"/>
        <v>0</v>
      </c>
      <c r="K30" s="622">
        <f t="shared" si="1"/>
        <v>158965</v>
      </c>
      <c r="L30" s="622">
        <f t="shared" ref="L30:N30" si="43">L22+L8</f>
        <v>195633</v>
      </c>
      <c r="M30" s="622">
        <f t="shared" si="43"/>
        <v>0</v>
      </c>
      <c r="N30" s="622">
        <f t="shared" si="43"/>
        <v>0</v>
      </c>
      <c r="O30" s="622">
        <f t="shared" si="2"/>
        <v>195633</v>
      </c>
      <c r="P30" s="622">
        <f t="shared" ref="P30:R30" si="44">P22+P8</f>
        <v>116290</v>
      </c>
      <c r="Q30" s="622">
        <f t="shared" si="44"/>
        <v>0</v>
      </c>
      <c r="R30" s="622">
        <f t="shared" si="44"/>
        <v>0</v>
      </c>
      <c r="S30" s="622">
        <f t="shared" si="3"/>
        <v>116290</v>
      </c>
      <c r="T30" s="622">
        <f t="shared" ref="T30:V30" si="45">T22+T8</f>
        <v>99737</v>
      </c>
      <c r="U30" s="622">
        <f t="shared" si="45"/>
        <v>0</v>
      </c>
      <c r="V30" s="622">
        <f t="shared" si="45"/>
        <v>0</v>
      </c>
      <c r="W30" s="622">
        <f t="shared" si="4"/>
        <v>99737</v>
      </c>
      <c r="X30" s="622">
        <f t="shared" ref="X30:AD30" si="46">X22+X8</f>
        <v>83170</v>
      </c>
      <c r="Y30" s="622">
        <f t="shared" si="46"/>
        <v>0</v>
      </c>
      <c r="Z30" s="622">
        <f t="shared" si="46"/>
        <v>0</v>
      </c>
      <c r="AA30" s="622">
        <f t="shared" si="5"/>
        <v>83170</v>
      </c>
      <c r="AB30" s="622">
        <f t="shared" si="46"/>
        <v>188096</v>
      </c>
      <c r="AC30" s="622">
        <f t="shared" si="46"/>
        <v>0</v>
      </c>
      <c r="AD30" s="622">
        <f t="shared" si="46"/>
        <v>0</v>
      </c>
      <c r="AE30" s="622">
        <f>SUM(AB30:AD30)</f>
        <v>188096</v>
      </c>
      <c r="AF30" s="622">
        <f t="shared" ref="AF30:AH30" si="47">AF22+AF8</f>
        <v>269659</v>
      </c>
      <c r="AG30" s="622">
        <f t="shared" si="47"/>
        <v>0</v>
      </c>
      <c r="AH30" s="622">
        <f t="shared" si="47"/>
        <v>0</v>
      </c>
      <c r="AI30" s="622">
        <f t="shared" ref="AI30:AI35" si="48">SUM(AF30:AH30)</f>
        <v>269659</v>
      </c>
      <c r="AJ30" s="622">
        <f t="shared" ref="AJ30:AL30" si="49">AJ22+AJ8</f>
        <v>164589</v>
      </c>
      <c r="AK30" s="622">
        <f t="shared" si="49"/>
        <v>0</v>
      </c>
      <c r="AL30" s="622">
        <f t="shared" si="49"/>
        <v>0</v>
      </c>
      <c r="AM30" s="622">
        <f>SUM(AJ30:AL30)</f>
        <v>164589</v>
      </c>
    </row>
    <row r="31" spans="1:39" x14ac:dyDescent="0.25">
      <c r="A31" s="293" t="s">
        <v>328</v>
      </c>
      <c r="B31" s="294" t="s">
        <v>329</v>
      </c>
      <c r="C31" s="295">
        <f t="shared" ref="C31:AL31" si="50">C32</f>
        <v>855044</v>
      </c>
      <c r="D31" s="295">
        <f t="shared" si="50"/>
        <v>356597</v>
      </c>
      <c r="E31" s="295">
        <f t="shared" si="50"/>
        <v>0</v>
      </c>
      <c r="F31" s="295">
        <f t="shared" si="50"/>
        <v>0</v>
      </c>
      <c r="G31" s="295">
        <f t="shared" si="0"/>
        <v>356597</v>
      </c>
      <c r="H31" s="295">
        <f t="shared" si="50"/>
        <v>357106</v>
      </c>
      <c r="I31" s="295">
        <f t="shared" si="50"/>
        <v>0</v>
      </c>
      <c r="J31" s="295">
        <f t="shared" si="50"/>
        <v>0</v>
      </c>
      <c r="K31" s="295">
        <f t="shared" si="1"/>
        <v>357106</v>
      </c>
      <c r="L31" s="295">
        <f t="shared" si="50"/>
        <v>383165</v>
      </c>
      <c r="M31" s="295">
        <f t="shared" si="50"/>
        <v>0</v>
      </c>
      <c r="N31" s="295">
        <f t="shared" si="50"/>
        <v>0</v>
      </c>
      <c r="O31" s="295">
        <f t="shared" si="2"/>
        <v>383165</v>
      </c>
      <c r="P31" s="295">
        <f t="shared" si="50"/>
        <v>655755</v>
      </c>
      <c r="Q31" s="295">
        <f t="shared" si="50"/>
        <v>50016</v>
      </c>
      <c r="R31" s="295">
        <f t="shared" si="50"/>
        <v>0</v>
      </c>
      <c r="S31" s="295">
        <f t="shared" si="3"/>
        <v>705771</v>
      </c>
      <c r="T31" s="295">
        <f t="shared" si="50"/>
        <v>115762</v>
      </c>
      <c r="U31" s="295">
        <f t="shared" si="50"/>
        <v>0</v>
      </c>
      <c r="V31" s="295">
        <f t="shared" si="50"/>
        <v>475400</v>
      </c>
      <c r="W31" s="295">
        <f t="shared" si="4"/>
        <v>591162</v>
      </c>
      <c r="X31" s="295">
        <f t="shared" si="50"/>
        <v>392230</v>
      </c>
      <c r="Y31" s="295">
        <f t="shared" si="50"/>
        <v>0</v>
      </c>
      <c r="Z31" s="295">
        <f t="shared" si="50"/>
        <v>0</v>
      </c>
      <c r="AA31" s="295">
        <f t="shared" si="5"/>
        <v>392230</v>
      </c>
      <c r="AB31" s="295">
        <f t="shared" si="50"/>
        <v>434267</v>
      </c>
      <c r="AC31" s="295">
        <f t="shared" si="50"/>
        <v>0</v>
      </c>
      <c r="AD31" s="295">
        <f t="shared" si="50"/>
        <v>0</v>
      </c>
      <c r="AE31" s="295">
        <v>392230</v>
      </c>
      <c r="AF31" s="295">
        <f t="shared" si="50"/>
        <v>434448</v>
      </c>
      <c r="AG31" s="295">
        <f t="shared" si="50"/>
        <v>0</v>
      </c>
      <c r="AH31" s="295">
        <f t="shared" si="50"/>
        <v>0</v>
      </c>
      <c r="AI31" s="295">
        <f t="shared" si="48"/>
        <v>434448</v>
      </c>
      <c r="AJ31" s="295">
        <f t="shared" si="50"/>
        <v>208864</v>
      </c>
      <c r="AK31" s="295">
        <f t="shared" si="50"/>
        <v>0</v>
      </c>
      <c r="AL31" s="295">
        <f t="shared" si="50"/>
        <v>0</v>
      </c>
      <c r="AM31" s="295">
        <f>SUM(AJ31:AL31)</f>
        <v>208864</v>
      </c>
    </row>
    <row r="32" spans="1:39" x14ac:dyDescent="0.25">
      <c r="A32" s="296" t="s">
        <v>311</v>
      </c>
      <c r="B32" s="297" t="s">
        <v>330</v>
      </c>
      <c r="C32" s="298">
        <f>SUM(C33:C34)</f>
        <v>855044</v>
      </c>
      <c r="D32" s="298">
        <f t="shared" ref="D32:F32" si="51">SUM(D33:D34)</f>
        <v>356597</v>
      </c>
      <c r="E32" s="298">
        <f t="shared" si="51"/>
        <v>0</v>
      </c>
      <c r="F32" s="298">
        <f t="shared" si="51"/>
        <v>0</v>
      </c>
      <c r="G32" s="298">
        <f t="shared" si="0"/>
        <v>356597</v>
      </c>
      <c r="H32" s="298">
        <f t="shared" ref="H32:J32" si="52">SUM(H33:H34)</f>
        <v>357106</v>
      </c>
      <c r="I32" s="298">
        <f t="shared" si="52"/>
        <v>0</v>
      </c>
      <c r="J32" s="298">
        <f t="shared" si="52"/>
        <v>0</v>
      </c>
      <c r="K32" s="298">
        <f t="shared" si="1"/>
        <v>357106</v>
      </c>
      <c r="L32" s="298">
        <f t="shared" ref="L32:N32" si="53">SUM(L33:L34)</f>
        <v>383165</v>
      </c>
      <c r="M32" s="298">
        <f t="shared" si="53"/>
        <v>0</v>
      </c>
      <c r="N32" s="298">
        <f t="shared" si="53"/>
        <v>0</v>
      </c>
      <c r="O32" s="298">
        <f t="shared" si="2"/>
        <v>383165</v>
      </c>
      <c r="P32" s="298">
        <f t="shared" ref="P32:R32" si="54">SUM(P33:P34)</f>
        <v>655755</v>
      </c>
      <c r="Q32" s="298">
        <f t="shared" si="54"/>
        <v>50016</v>
      </c>
      <c r="R32" s="298">
        <f t="shared" si="54"/>
        <v>0</v>
      </c>
      <c r="S32" s="298">
        <f t="shared" si="3"/>
        <v>705771</v>
      </c>
      <c r="T32" s="298">
        <f t="shared" ref="T32:V32" si="55">SUM(T33:T34)</f>
        <v>115762</v>
      </c>
      <c r="U32" s="298">
        <f t="shared" si="55"/>
        <v>0</v>
      </c>
      <c r="V32" s="298">
        <f t="shared" si="55"/>
        <v>475400</v>
      </c>
      <c r="W32" s="298">
        <f t="shared" si="4"/>
        <v>591162</v>
      </c>
      <c r="X32" s="298">
        <f t="shared" ref="X32:Z32" si="56">SUM(X33:X34)</f>
        <v>392230</v>
      </c>
      <c r="Y32" s="298">
        <f t="shared" si="56"/>
        <v>0</v>
      </c>
      <c r="Z32" s="298">
        <f t="shared" si="56"/>
        <v>0</v>
      </c>
      <c r="AA32" s="298">
        <f t="shared" si="5"/>
        <v>392230</v>
      </c>
      <c r="AB32" s="298">
        <f>SUM(AB33:AB34)</f>
        <v>434267</v>
      </c>
      <c r="AC32" s="298">
        <v>0</v>
      </c>
      <c r="AD32" s="298">
        <v>0</v>
      </c>
      <c r="AE32" s="298">
        <f>SUM(AE33:AE34)</f>
        <v>434267</v>
      </c>
      <c r="AF32" s="298">
        <f>SUM(AF33:AF34)</f>
        <v>434448</v>
      </c>
      <c r="AG32" s="298">
        <f t="shared" ref="AG32:AH32" si="57">SUM(AG33:AG34)</f>
        <v>0</v>
      </c>
      <c r="AH32" s="298">
        <f t="shared" si="57"/>
        <v>0</v>
      </c>
      <c r="AI32" s="298">
        <f t="shared" si="48"/>
        <v>434448</v>
      </c>
      <c r="AJ32" s="298">
        <f>SUM(AJ33:AJ34)</f>
        <v>208864</v>
      </c>
      <c r="AK32" s="298">
        <f t="shared" ref="AK32:AL32" si="58">SUM(AK33:AK34)</f>
        <v>0</v>
      </c>
      <c r="AL32" s="298">
        <f t="shared" si="58"/>
        <v>0</v>
      </c>
      <c r="AM32" s="298">
        <f>SUM(AJ32:AL32)</f>
        <v>208864</v>
      </c>
    </row>
    <row r="33" spans="1:39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/>
      <c r="I33" s="239">
        <v>0</v>
      </c>
      <c r="J33" s="239">
        <v>0</v>
      </c>
      <c r="K33" s="239">
        <f t="shared" si="1"/>
        <v>0</v>
      </c>
      <c r="L33" s="239">
        <v>25848</v>
      </c>
      <c r="M33" s="239">
        <v>0</v>
      </c>
      <c r="N33" s="239">
        <v>0</v>
      </c>
      <c r="O33" s="239">
        <f t="shared" si="2"/>
        <v>25848</v>
      </c>
      <c r="P33" s="239">
        <v>32778</v>
      </c>
      <c r="Q33" s="239">
        <v>0</v>
      </c>
      <c r="R33" s="239">
        <v>0</v>
      </c>
      <c r="S33" s="239">
        <f t="shared" si="3"/>
        <v>32778</v>
      </c>
      <c r="T33" s="239"/>
      <c r="U33" s="239">
        <v>0</v>
      </c>
      <c r="V33" s="239">
        <v>0</v>
      </c>
      <c r="W33" s="239">
        <f t="shared" si="4"/>
        <v>0</v>
      </c>
      <c r="X33" s="239"/>
      <c r="Y33" s="239">
        <v>0</v>
      </c>
      <c r="Z33" s="239">
        <v>0</v>
      </c>
      <c r="AA33" s="239">
        <f t="shared" si="5"/>
        <v>0</v>
      </c>
      <c r="AB33" s="239">
        <v>41676</v>
      </c>
      <c r="AC33" s="239">
        <v>0</v>
      </c>
      <c r="AD33" s="239">
        <v>0</v>
      </c>
      <c r="AE33" s="239">
        <f>SUM(AB33:AD33)</f>
        <v>41676</v>
      </c>
      <c r="AF33" s="239">
        <v>41676</v>
      </c>
      <c r="AG33" s="239">
        <v>0</v>
      </c>
      <c r="AH33" s="239">
        <v>0</v>
      </c>
      <c r="AI33" s="239">
        <f t="shared" si="48"/>
        <v>41676</v>
      </c>
      <c r="AJ33" s="239">
        <v>41676</v>
      </c>
      <c r="AK33" s="239">
        <v>0</v>
      </c>
      <c r="AL33" s="239">
        <v>0</v>
      </c>
      <c r="AM33" s="239">
        <v>0</v>
      </c>
    </row>
    <row r="34" spans="1:39" x14ac:dyDescent="0.25">
      <c r="A34" s="328"/>
      <c r="B34" s="301" t="s">
        <v>332</v>
      </c>
      <c r="C34" s="239">
        <f>C46-C30</f>
        <v>855044</v>
      </c>
      <c r="D34" s="239">
        <f t="shared" ref="D34:S34" si="59">D46-D30</f>
        <v>356597</v>
      </c>
      <c r="E34" s="239">
        <f t="shared" si="59"/>
        <v>0</v>
      </c>
      <c r="F34" s="239">
        <f t="shared" si="59"/>
        <v>0</v>
      </c>
      <c r="G34" s="239">
        <f t="shared" si="59"/>
        <v>356597</v>
      </c>
      <c r="H34" s="239">
        <f t="shared" si="59"/>
        <v>357106</v>
      </c>
      <c r="I34" s="239">
        <f t="shared" si="59"/>
        <v>0</v>
      </c>
      <c r="J34" s="239">
        <f t="shared" si="59"/>
        <v>0</v>
      </c>
      <c r="K34" s="239">
        <f t="shared" si="59"/>
        <v>357106</v>
      </c>
      <c r="L34" s="239">
        <v>357317</v>
      </c>
      <c r="M34" s="239">
        <f t="shared" si="59"/>
        <v>0</v>
      </c>
      <c r="N34" s="239">
        <f t="shared" si="59"/>
        <v>0</v>
      </c>
      <c r="O34" s="239">
        <f>SUM(L34:N34)</f>
        <v>357317</v>
      </c>
      <c r="P34" s="239">
        <f t="shared" si="59"/>
        <v>622977</v>
      </c>
      <c r="Q34" s="239">
        <f t="shared" si="59"/>
        <v>50016</v>
      </c>
      <c r="R34" s="239">
        <f t="shared" si="59"/>
        <v>0</v>
      </c>
      <c r="S34" s="239">
        <f t="shared" si="59"/>
        <v>672993</v>
      </c>
      <c r="T34" s="239">
        <v>115762</v>
      </c>
      <c r="U34" s="239">
        <f t="shared" ref="U34:V34" si="60">U46-U30</f>
        <v>0</v>
      </c>
      <c r="V34" s="239">
        <f t="shared" si="60"/>
        <v>475400</v>
      </c>
      <c r="W34" s="239">
        <f t="shared" si="4"/>
        <v>591162</v>
      </c>
      <c r="X34" s="239">
        <f t="shared" ref="X34" si="61">X46-X30</f>
        <v>392230</v>
      </c>
      <c r="Y34" s="239">
        <f t="shared" ref="Y34:Z34" si="62">Y46-Y30</f>
        <v>0</v>
      </c>
      <c r="Z34" s="239">
        <f t="shared" si="62"/>
        <v>0</v>
      </c>
      <c r="AA34" s="239">
        <f>SUM(X34:Z34)</f>
        <v>392230</v>
      </c>
      <c r="AB34" s="239">
        <v>392591</v>
      </c>
      <c r="AC34" s="239">
        <v>0</v>
      </c>
      <c r="AD34" s="239">
        <v>0</v>
      </c>
      <c r="AE34" s="239">
        <f>SUM(AB34:AD34)</f>
        <v>392591</v>
      </c>
      <c r="AF34" s="239">
        <v>392772</v>
      </c>
      <c r="AG34" s="239"/>
      <c r="AH34" s="239"/>
      <c r="AI34" s="239">
        <f t="shared" si="48"/>
        <v>392772</v>
      </c>
      <c r="AJ34" s="239">
        <v>167188</v>
      </c>
      <c r="AK34" s="239"/>
      <c r="AL34" s="239"/>
      <c r="AM34" s="239">
        <f>SUM(AJ34:AL34)</f>
        <v>167188</v>
      </c>
    </row>
    <row r="35" spans="1:39" x14ac:dyDescent="0.25">
      <c r="A35" s="649"/>
      <c r="B35" s="650" t="s">
        <v>333</v>
      </c>
      <c r="C35" s="638">
        <f>C31+C22+C8</f>
        <v>948585</v>
      </c>
      <c r="D35" s="638">
        <f t="shared" ref="D35:F35" si="63">D31+D22+D8</f>
        <v>438102</v>
      </c>
      <c r="E35" s="638">
        <f t="shared" si="63"/>
        <v>0</v>
      </c>
      <c r="F35" s="638">
        <f t="shared" si="63"/>
        <v>0</v>
      </c>
      <c r="G35" s="638">
        <f t="shared" si="0"/>
        <v>438102</v>
      </c>
      <c r="H35" s="638">
        <f t="shared" ref="H35:J35" si="64">H31+H22+H8</f>
        <v>516071</v>
      </c>
      <c r="I35" s="638">
        <f t="shared" si="64"/>
        <v>0</v>
      </c>
      <c r="J35" s="638">
        <f t="shared" si="64"/>
        <v>0</v>
      </c>
      <c r="K35" s="638">
        <f t="shared" si="1"/>
        <v>516071</v>
      </c>
      <c r="L35" s="638">
        <f t="shared" ref="L35:N35" si="65">L31+L22+L8</f>
        <v>578798</v>
      </c>
      <c r="M35" s="638">
        <f t="shared" si="65"/>
        <v>0</v>
      </c>
      <c r="N35" s="638">
        <f t="shared" si="65"/>
        <v>0</v>
      </c>
      <c r="O35" s="638">
        <f t="shared" si="2"/>
        <v>578798</v>
      </c>
      <c r="P35" s="638">
        <f t="shared" ref="P35:R35" si="66">P31+P22+P8</f>
        <v>772045</v>
      </c>
      <c r="Q35" s="638">
        <f t="shared" si="66"/>
        <v>50016</v>
      </c>
      <c r="R35" s="638">
        <f t="shared" si="66"/>
        <v>0</v>
      </c>
      <c r="S35" s="638">
        <f t="shared" si="3"/>
        <v>822061</v>
      </c>
      <c r="T35" s="638">
        <f t="shared" ref="T35:V35" si="67">T31+T22+T8</f>
        <v>215499</v>
      </c>
      <c r="U35" s="638">
        <f t="shared" si="67"/>
        <v>0</v>
      </c>
      <c r="V35" s="638">
        <f t="shared" si="67"/>
        <v>475400</v>
      </c>
      <c r="W35" s="638">
        <f t="shared" si="4"/>
        <v>690899</v>
      </c>
      <c r="X35" s="638">
        <f t="shared" ref="X35:AD35" si="68">X31+X22+X8</f>
        <v>475400</v>
      </c>
      <c r="Y35" s="638">
        <f t="shared" si="68"/>
        <v>0</v>
      </c>
      <c r="Z35" s="638">
        <f t="shared" si="68"/>
        <v>0</v>
      </c>
      <c r="AA35" s="638">
        <f t="shared" ref="AA35:AA46" si="69">SUM(X35:Z35)</f>
        <v>475400</v>
      </c>
      <c r="AB35" s="638">
        <f t="shared" si="68"/>
        <v>622363</v>
      </c>
      <c r="AC35" s="638">
        <f t="shared" si="68"/>
        <v>0</v>
      </c>
      <c r="AD35" s="638">
        <f t="shared" si="68"/>
        <v>0</v>
      </c>
      <c r="AE35" s="638">
        <f>SUM(AB35:AD35)</f>
        <v>622363</v>
      </c>
      <c r="AF35" s="638">
        <f t="shared" ref="AF35:AH35" si="70">AF31+AF22+AF8</f>
        <v>704107</v>
      </c>
      <c r="AG35" s="638">
        <f t="shared" si="70"/>
        <v>0</v>
      </c>
      <c r="AH35" s="638">
        <f t="shared" si="70"/>
        <v>0</v>
      </c>
      <c r="AI35" s="638">
        <f t="shared" si="48"/>
        <v>704107</v>
      </c>
      <c r="AJ35" s="638">
        <f t="shared" ref="AJ35:AL35" si="71">AJ31+AJ22+AJ8</f>
        <v>373453</v>
      </c>
      <c r="AK35" s="638">
        <f t="shared" si="71"/>
        <v>0</v>
      </c>
      <c r="AL35" s="638">
        <f t="shared" si="71"/>
        <v>0</v>
      </c>
      <c r="AM35" s="638">
        <f>SUM(AJ35:AL35)</f>
        <v>373453</v>
      </c>
    </row>
    <row r="36" spans="1:39" x14ac:dyDescent="0.25">
      <c r="A36" s="293" t="s">
        <v>309</v>
      </c>
      <c r="B36" s="294" t="s">
        <v>334</v>
      </c>
      <c r="C36" s="295">
        <f t="shared" ref="C36:F36" si="72">SUM(C37:C41)</f>
        <v>931710</v>
      </c>
      <c r="D36" s="295">
        <f t="shared" si="72"/>
        <v>438102</v>
      </c>
      <c r="E36" s="295">
        <f t="shared" si="72"/>
        <v>0</v>
      </c>
      <c r="F36" s="295">
        <f t="shared" si="72"/>
        <v>0</v>
      </c>
      <c r="G36" s="295">
        <f t="shared" si="0"/>
        <v>438102</v>
      </c>
      <c r="H36" s="295">
        <f t="shared" ref="H36:J36" si="73">SUM(H37:H41)</f>
        <v>516071</v>
      </c>
      <c r="I36" s="295">
        <f t="shared" si="73"/>
        <v>0</v>
      </c>
      <c r="J36" s="295">
        <f t="shared" si="73"/>
        <v>0</v>
      </c>
      <c r="K36" s="295">
        <f t="shared" si="1"/>
        <v>516071</v>
      </c>
      <c r="L36" s="295">
        <f t="shared" ref="L36:N36" si="74">SUM(L37:L41)</f>
        <v>577263</v>
      </c>
      <c r="M36" s="295">
        <f t="shared" si="74"/>
        <v>0</v>
      </c>
      <c r="N36" s="295">
        <f t="shared" si="74"/>
        <v>0</v>
      </c>
      <c r="O36" s="295">
        <f t="shared" si="2"/>
        <v>577263</v>
      </c>
      <c r="P36" s="295">
        <f t="shared" ref="P36:R36" si="75">SUM(P37:P41)</f>
        <v>712453</v>
      </c>
      <c r="Q36" s="295">
        <f t="shared" si="75"/>
        <v>50016</v>
      </c>
      <c r="R36" s="295">
        <f t="shared" si="75"/>
        <v>0</v>
      </c>
      <c r="S36" s="295">
        <f t="shared" si="3"/>
        <v>762469</v>
      </c>
      <c r="T36" s="295">
        <f t="shared" ref="T36:V36" si="76">SUM(T37:T41)</f>
        <v>173657</v>
      </c>
      <c r="U36" s="295">
        <f t="shared" si="76"/>
        <v>0</v>
      </c>
      <c r="V36" s="295">
        <f t="shared" si="76"/>
        <v>475400</v>
      </c>
      <c r="W36" s="295">
        <f t="shared" si="4"/>
        <v>649057</v>
      </c>
      <c r="X36" s="295">
        <f t="shared" ref="X36:AD36" si="77">SUM(X37:X41)</f>
        <v>475400</v>
      </c>
      <c r="Y36" s="295">
        <f t="shared" si="77"/>
        <v>0</v>
      </c>
      <c r="Z36" s="295">
        <f t="shared" si="77"/>
        <v>0</v>
      </c>
      <c r="AA36" s="295">
        <f t="shared" si="69"/>
        <v>475400</v>
      </c>
      <c r="AB36" s="295">
        <f t="shared" si="77"/>
        <v>615541</v>
      </c>
      <c r="AC36" s="295">
        <f t="shared" si="77"/>
        <v>0</v>
      </c>
      <c r="AD36" s="295">
        <f t="shared" si="77"/>
        <v>0</v>
      </c>
      <c r="AE36" s="295">
        <f>SUM(AB36:AD36)+AE42</f>
        <v>622363</v>
      </c>
      <c r="AF36" s="295">
        <f t="shared" ref="AF36:AH36" si="78">SUM(AF37:AF41)</f>
        <v>688071</v>
      </c>
      <c r="AG36" s="295">
        <f t="shared" si="78"/>
        <v>0</v>
      </c>
      <c r="AH36" s="295">
        <f t="shared" si="78"/>
        <v>0</v>
      </c>
      <c r="AI36" s="295">
        <f>SUM(AF36:AH36)+AI42</f>
        <v>704107</v>
      </c>
      <c r="AJ36" s="295">
        <f t="shared" ref="AJ36:AL36" si="79">SUM(AJ37:AJ41)</f>
        <v>330211</v>
      </c>
      <c r="AK36" s="295">
        <f t="shared" si="79"/>
        <v>0</v>
      </c>
      <c r="AL36" s="295">
        <f t="shared" si="79"/>
        <v>0</v>
      </c>
      <c r="AM36" s="295">
        <f>SUM(AJ36:AL36)+AM42</f>
        <v>336764</v>
      </c>
    </row>
    <row r="37" spans="1:39" x14ac:dyDescent="0.25">
      <c r="A37" s="582" t="s">
        <v>311</v>
      </c>
      <c r="B37" s="675" t="s">
        <v>286</v>
      </c>
      <c r="C37" s="676">
        <f>'4.2. Vesz fa.'!C95</f>
        <v>252145</v>
      </c>
      <c r="D37" s="676">
        <f>'4.2. Vesz fa.'!F95</f>
        <v>182699</v>
      </c>
      <c r="E37" s="676">
        <f>'4.2. Vesz fa.'!F71+'4.2. Vesz fa.'!F77+'4.2. Vesz fa.'!F82+'4.2. Vesz fa.'!F87</f>
        <v>0</v>
      </c>
      <c r="F37" s="676"/>
      <c r="G37" s="676">
        <f t="shared" si="0"/>
        <v>182699</v>
      </c>
      <c r="H37" s="676">
        <f>'4.2. Vesz fa.'!I95</f>
        <v>253570</v>
      </c>
      <c r="I37" s="676">
        <f>'4.2. Vesz fa.'!I71+'4.2. Vesz fa.'!I77+'4.2. Vesz fa.'!I82+'4.2. Vesz fa.'!I87</f>
        <v>0</v>
      </c>
      <c r="J37" s="676"/>
      <c r="K37" s="676">
        <f t="shared" si="1"/>
        <v>253570</v>
      </c>
      <c r="L37" s="676">
        <v>285686</v>
      </c>
      <c r="M37" s="676">
        <f>'4.2. Vesz fa.'!L71+'4.2. Vesz fa.'!L77+'4.2. Vesz fa.'!L82+'4.2. Vesz fa.'!L87</f>
        <v>0</v>
      </c>
      <c r="N37" s="676"/>
      <c r="O37" s="676">
        <f t="shared" si="2"/>
        <v>285686</v>
      </c>
      <c r="P37" s="676">
        <f>'4.2. Vesz fa.'!O8+'4.2. Vesz fa.'!O13+'4.2. Vesz fa.'!O28+'4.2. Vesz fa.'!O33+'4.2. Vesz fa.'!O38+'4.2. Vesz fa.'!O46+'4.2. Vesz fa.'!O56+'4.2. Vesz fa.'!O61+'4.2. Vesz fa.'!O66</f>
        <v>202727</v>
      </c>
      <c r="Q37" s="676">
        <f>'4.2. Vesz fa.'!O71+'4.2. Vesz fa.'!O77+'4.2. Vesz fa.'!O82+'4.2. Vesz fa.'!O87</f>
        <v>40636</v>
      </c>
      <c r="R37" s="676">
        <v>0</v>
      </c>
      <c r="S37" s="676">
        <f t="shared" si="3"/>
        <v>243363</v>
      </c>
      <c r="T37" s="676">
        <f>'4.2. Vesz fa.'!R95</f>
        <v>126046</v>
      </c>
      <c r="U37" s="676">
        <f>'4.2. Vesz fa.'!R71+'4.2. Vesz fa.'!R77+'4.2. Vesz fa.'!R82+'4.2. Vesz fa.'!R87</f>
        <v>0</v>
      </c>
      <c r="V37" s="676">
        <f>'4.2. Vesz fa.'!S95</f>
        <v>196987</v>
      </c>
      <c r="W37" s="676">
        <f t="shared" si="4"/>
        <v>323033</v>
      </c>
      <c r="X37" s="676">
        <f>'4.2. Vesz fa.'!S95</f>
        <v>196987</v>
      </c>
      <c r="Y37" s="676">
        <f>'4.2. Vesz fa.'!X71+'4.2. Vesz fa.'!X77+'4.2. Vesz fa.'!X82+'4.2. Vesz fa.'!X87</f>
        <v>0</v>
      </c>
      <c r="Z37" s="676"/>
      <c r="AA37" s="676">
        <f t="shared" si="69"/>
        <v>196987</v>
      </c>
      <c r="AB37" s="676">
        <v>283299</v>
      </c>
      <c r="AC37" s="676">
        <v>0</v>
      </c>
      <c r="AD37" s="676"/>
      <c r="AE37" s="676">
        <f>SUM(AB37:AD37)</f>
        <v>283299</v>
      </c>
      <c r="AF37" s="676">
        <f>'4.2. Vesz fa.'!U95</f>
        <v>347572</v>
      </c>
      <c r="AG37" s="676"/>
      <c r="AH37" s="676"/>
      <c r="AI37" s="676">
        <f>SUM(AF37:AH37)</f>
        <v>347572</v>
      </c>
      <c r="AJ37" s="676">
        <v>184687</v>
      </c>
      <c r="AK37" s="676"/>
      <c r="AL37" s="676"/>
      <c r="AM37" s="676">
        <f>SUM(AJ37:AL37)</f>
        <v>184687</v>
      </c>
    </row>
    <row r="38" spans="1:39" x14ac:dyDescent="0.25">
      <c r="A38" s="582" t="s">
        <v>322</v>
      </c>
      <c r="B38" s="675" t="s">
        <v>335</v>
      </c>
      <c r="C38" s="676">
        <f>'4.2. Vesz fa.'!C96</f>
        <v>64002</v>
      </c>
      <c r="D38" s="676">
        <f>'4.2. Vesz fa.'!F96</f>
        <v>37466</v>
      </c>
      <c r="E38" s="676">
        <f>'4.2. Vesz fa.'!F72+'4.2. Vesz fa.'!F78+'4.2. Vesz fa.'!F83+'4.2. Vesz fa.'!F88</f>
        <v>0</v>
      </c>
      <c r="F38" s="676"/>
      <c r="G38" s="676">
        <f t="shared" si="0"/>
        <v>37466</v>
      </c>
      <c r="H38" s="676">
        <f>'4.2. Vesz fa.'!I96</f>
        <v>45409</v>
      </c>
      <c r="I38" s="676">
        <f>'4.2. Vesz fa.'!I72+'4.2. Vesz fa.'!I78+'4.2. Vesz fa.'!I83+'4.2. Vesz fa.'!I88</f>
        <v>0</v>
      </c>
      <c r="J38" s="676"/>
      <c r="K38" s="676">
        <f t="shared" si="1"/>
        <v>45409</v>
      </c>
      <c r="L38" s="676">
        <v>48636</v>
      </c>
      <c r="M38" s="676">
        <f>'4.2. Vesz fa.'!L72+'4.2. Vesz fa.'!L78+'4.2. Vesz fa.'!L83+'4.2. Vesz fa.'!L88</f>
        <v>0</v>
      </c>
      <c r="N38" s="676"/>
      <c r="O38" s="676">
        <f t="shared" si="2"/>
        <v>48636</v>
      </c>
      <c r="P38" s="676">
        <f>'4.2. Vesz fa.'!O9+'4.2. Vesz fa.'!O14+'4.2. Vesz fa.'!O29+'4.2. Vesz fa.'!O34+'4.2. Vesz fa.'!O39+'4.2. Vesz fa.'!O47+'4.2. Vesz fa.'!O57+'4.2. Vesz fa.'!O62+'4.2. Vesz fa.'!O67</f>
        <v>42387</v>
      </c>
      <c r="Q38" s="676">
        <f>'4.2. Vesz fa.'!O72+'4.2. Vesz fa.'!O78+'4.2. Vesz fa.'!O83+'4.2. Vesz fa.'!O88</f>
        <v>9380</v>
      </c>
      <c r="R38" s="676">
        <v>0</v>
      </c>
      <c r="S38" s="676">
        <f t="shared" si="3"/>
        <v>51767</v>
      </c>
      <c r="T38" s="676">
        <f>'4.2. Vesz fa.'!R96</f>
        <v>18775</v>
      </c>
      <c r="U38" s="676">
        <f>'4.2. Vesz fa.'!R72+'4.2. Vesz fa.'!R78+'4.2. Vesz fa.'!R83+'4.2. Vesz fa.'!R88</f>
        <v>0</v>
      </c>
      <c r="V38" s="676">
        <f>'4.2. Vesz fa.'!S96</f>
        <v>39911</v>
      </c>
      <c r="W38" s="676">
        <f t="shared" si="4"/>
        <v>58686</v>
      </c>
      <c r="X38" s="676">
        <f>'4.2. Vesz fa.'!S96</f>
        <v>39911</v>
      </c>
      <c r="Y38" s="676">
        <f>'4.2. Vesz fa.'!X72+'4.2. Vesz fa.'!X78+'4.2. Vesz fa.'!X83+'4.2. Vesz fa.'!X88</f>
        <v>0</v>
      </c>
      <c r="Z38" s="676"/>
      <c r="AA38" s="676">
        <f t="shared" si="69"/>
        <v>39911</v>
      </c>
      <c r="AB38" s="676">
        <v>48888</v>
      </c>
      <c r="AC38" s="676">
        <v>0</v>
      </c>
      <c r="AD38" s="676"/>
      <c r="AE38" s="676">
        <f t="shared" ref="AE38:AE41" si="80">SUM(AB38:AD38)</f>
        <v>48888</v>
      </c>
      <c r="AF38" s="676">
        <f>'4.2. Vesz fa.'!U96</f>
        <v>55231</v>
      </c>
      <c r="AG38" s="676"/>
      <c r="AH38" s="676"/>
      <c r="AI38" s="676">
        <f t="shared" ref="AI38:AI41" si="81">SUM(AF38:AH38)</f>
        <v>55231</v>
      </c>
      <c r="AJ38" s="676">
        <v>28239</v>
      </c>
      <c r="AK38" s="676"/>
      <c r="AL38" s="676"/>
      <c r="AM38" s="676">
        <f t="shared" ref="AM38:AM41" si="82">SUM(AJ38:AL38)</f>
        <v>28239</v>
      </c>
    </row>
    <row r="39" spans="1:39" x14ac:dyDescent="0.25">
      <c r="A39" s="582" t="s">
        <v>315</v>
      </c>
      <c r="B39" s="675" t="s">
        <v>292</v>
      </c>
      <c r="C39" s="676">
        <f>'4.2. Vesz fa.'!C97</f>
        <v>615563</v>
      </c>
      <c r="D39" s="676">
        <f>'4.2. Vesz fa.'!F97</f>
        <v>217937</v>
      </c>
      <c r="E39" s="676">
        <f>'4.2. Vesz fa.'!F79+'4.2. Vesz fa.'!F84+'4.2. Vesz fa.'!F89</f>
        <v>0</v>
      </c>
      <c r="F39" s="676"/>
      <c r="G39" s="676">
        <f t="shared" si="0"/>
        <v>217937</v>
      </c>
      <c r="H39" s="676">
        <f>'4.2. Vesz fa.'!I97</f>
        <v>217092</v>
      </c>
      <c r="I39" s="676">
        <f>'4.2. Vesz fa.'!I79+'4.2. Vesz fa.'!I84+'4.2. Vesz fa.'!I89</f>
        <v>0</v>
      </c>
      <c r="J39" s="676"/>
      <c r="K39" s="676">
        <f t="shared" si="1"/>
        <v>217092</v>
      </c>
      <c r="L39" s="676">
        <v>242941</v>
      </c>
      <c r="M39" s="676">
        <f>'4.2. Vesz fa.'!L79+'4.2. Vesz fa.'!L84+'4.2. Vesz fa.'!L89</f>
        <v>0</v>
      </c>
      <c r="N39" s="676"/>
      <c r="O39" s="676">
        <f t="shared" si="2"/>
        <v>242941</v>
      </c>
      <c r="P39" s="676">
        <f>'4.2. Vesz fa.'!O10+'4.2. Vesz fa.'!O15+'4.2. Vesz fa.'!O18+'4.2. Vesz fa.'!O21+'4.2. Vesz fa.'!O24+'4.2. Vesz fa.'!O30+'4.2. Vesz fa.'!O35+'4.2. Vesz fa.'!O42+'4.2. Vesz fa.'!O48+'4.2. Vesz fa.'!O52+'4.2. Vesz fa.'!O58+'4.2. Vesz fa.'!O63+'4.2. Vesz fa.'!O68+'4.2. Vesz fa.'!O73</f>
        <v>435049</v>
      </c>
      <c r="Q39" s="676">
        <f>'4.2. Vesz fa.'!O79+'4.2. Vesz fa.'!O84+'4.2. Vesz fa.'!O89</f>
        <v>0</v>
      </c>
      <c r="R39" s="676">
        <v>0</v>
      </c>
      <c r="S39" s="676">
        <f t="shared" si="3"/>
        <v>435049</v>
      </c>
      <c r="T39" s="676">
        <f>'4.2. Vesz fa.'!R97</f>
        <v>28836</v>
      </c>
      <c r="U39" s="676">
        <f>'4.2. Vesz fa.'!R79+'4.2. Vesz fa.'!R84+'4.2. Vesz fa.'!R89</f>
        <v>0</v>
      </c>
      <c r="V39" s="676">
        <f>'4.2. Vesz fa.'!S97</f>
        <v>238502</v>
      </c>
      <c r="W39" s="676">
        <f t="shared" si="4"/>
        <v>267338</v>
      </c>
      <c r="X39" s="676">
        <f>'4.2. Vesz fa.'!S97</f>
        <v>238502</v>
      </c>
      <c r="Y39" s="676">
        <f>'4.2. Vesz fa.'!X79+'4.2. Vesz fa.'!X84+'4.2. Vesz fa.'!X89</f>
        <v>0</v>
      </c>
      <c r="Z39" s="676"/>
      <c r="AA39" s="676">
        <f t="shared" si="69"/>
        <v>238502</v>
      </c>
      <c r="AB39" s="676">
        <v>283354</v>
      </c>
      <c r="AC39" s="676">
        <v>0</v>
      </c>
      <c r="AD39" s="676"/>
      <c r="AE39" s="676">
        <f t="shared" si="80"/>
        <v>283354</v>
      </c>
      <c r="AF39" s="676">
        <f>'4.2. Vesz fa.'!U97</f>
        <v>285268</v>
      </c>
      <c r="AG39" s="676"/>
      <c r="AH39" s="676"/>
      <c r="AI39" s="676">
        <f t="shared" si="81"/>
        <v>285268</v>
      </c>
      <c r="AJ39" s="676">
        <v>117285</v>
      </c>
      <c r="AK39" s="676"/>
      <c r="AL39" s="676"/>
      <c r="AM39" s="676">
        <f t="shared" si="82"/>
        <v>117285</v>
      </c>
    </row>
    <row r="40" spans="1:39" x14ac:dyDescent="0.25">
      <c r="A40" s="582" t="s">
        <v>336</v>
      </c>
      <c r="B40" s="675" t="s">
        <v>337</v>
      </c>
      <c r="C40" s="676">
        <v>0</v>
      </c>
      <c r="D40" s="676">
        <v>0</v>
      </c>
      <c r="E40" s="676">
        <v>0</v>
      </c>
      <c r="F40" s="676">
        <v>0</v>
      </c>
      <c r="G40" s="676">
        <f t="shared" si="0"/>
        <v>0</v>
      </c>
      <c r="H40" s="676">
        <v>0</v>
      </c>
      <c r="I40" s="676">
        <v>0</v>
      </c>
      <c r="J40" s="676">
        <v>0</v>
      </c>
      <c r="K40" s="676">
        <f t="shared" si="1"/>
        <v>0</v>
      </c>
      <c r="L40" s="676">
        <v>0</v>
      </c>
      <c r="M40" s="676">
        <v>0</v>
      </c>
      <c r="N40" s="676">
        <v>0</v>
      </c>
      <c r="O40" s="676">
        <f t="shared" si="2"/>
        <v>0</v>
      </c>
      <c r="P40" s="676">
        <v>0</v>
      </c>
      <c r="Q40" s="676">
        <v>0</v>
      </c>
      <c r="R40" s="676">
        <v>0</v>
      </c>
      <c r="S40" s="676">
        <f t="shared" si="3"/>
        <v>0</v>
      </c>
      <c r="T40" s="676">
        <v>0</v>
      </c>
      <c r="U40" s="676">
        <v>0</v>
      </c>
      <c r="V40" s="676">
        <v>0</v>
      </c>
      <c r="W40" s="676">
        <f t="shared" si="4"/>
        <v>0</v>
      </c>
      <c r="X40" s="676">
        <v>0</v>
      </c>
      <c r="Y40" s="676">
        <v>0</v>
      </c>
      <c r="Z40" s="676">
        <v>0</v>
      </c>
      <c r="AA40" s="676">
        <f t="shared" si="69"/>
        <v>0</v>
      </c>
      <c r="AB40" s="676">
        <v>0</v>
      </c>
      <c r="AC40" s="676">
        <v>0</v>
      </c>
      <c r="AD40" s="676">
        <v>0</v>
      </c>
      <c r="AE40" s="676">
        <f t="shared" si="80"/>
        <v>0</v>
      </c>
      <c r="AF40" s="676"/>
      <c r="AG40" s="676"/>
      <c r="AH40" s="676"/>
      <c r="AI40" s="676">
        <f t="shared" si="81"/>
        <v>0</v>
      </c>
      <c r="AJ40" s="676"/>
      <c r="AK40" s="676"/>
      <c r="AL40" s="676"/>
      <c r="AM40" s="676">
        <f t="shared" si="82"/>
        <v>0</v>
      </c>
    </row>
    <row r="41" spans="1:39" x14ac:dyDescent="0.25">
      <c r="A41" s="582" t="s">
        <v>338</v>
      </c>
      <c r="B41" s="675" t="s">
        <v>339</v>
      </c>
      <c r="C41" s="676">
        <v>0</v>
      </c>
      <c r="D41" s="676">
        <v>0</v>
      </c>
      <c r="E41" s="676">
        <v>0</v>
      </c>
      <c r="F41" s="676">
        <v>0</v>
      </c>
      <c r="G41" s="676">
        <f t="shared" si="0"/>
        <v>0</v>
      </c>
      <c r="H41" s="676">
        <f>+'4.2. Vesz fa.'!I49</f>
        <v>0</v>
      </c>
      <c r="I41" s="676">
        <v>0</v>
      </c>
      <c r="J41" s="676">
        <v>0</v>
      </c>
      <c r="K41" s="676">
        <f t="shared" si="1"/>
        <v>0</v>
      </c>
      <c r="L41" s="676">
        <f>+'4.2. Vesz fa.'!L49</f>
        <v>0</v>
      </c>
      <c r="M41" s="676">
        <v>0</v>
      </c>
      <c r="N41" s="676">
        <v>0</v>
      </c>
      <c r="O41" s="676">
        <f t="shared" si="2"/>
        <v>0</v>
      </c>
      <c r="P41" s="676">
        <f>+'4.2. Vesz fa.'!O49</f>
        <v>32290</v>
      </c>
      <c r="Q41" s="676">
        <v>0</v>
      </c>
      <c r="R41" s="676">
        <v>0</v>
      </c>
      <c r="S41" s="676">
        <f t="shared" si="3"/>
        <v>32290</v>
      </c>
      <c r="T41" s="676">
        <f>+'4.2. Vesz fa.'!R49</f>
        <v>0</v>
      </c>
      <c r="U41" s="676">
        <v>0</v>
      </c>
      <c r="V41" s="676">
        <v>0</v>
      </c>
      <c r="W41" s="676">
        <f t="shared" si="4"/>
        <v>0</v>
      </c>
      <c r="X41" s="676">
        <f>+'4.2. Vesz fa.'!X49</f>
        <v>0</v>
      </c>
      <c r="Y41" s="676">
        <v>0</v>
      </c>
      <c r="Z41" s="676">
        <v>0</v>
      </c>
      <c r="AA41" s="676">
        <f t="shared" si="69"/>
        <v>0</v>
      </c>
      <c r="AB41" s="676">
        <v>0</v>
      </c>
      <c r="AC41" s="676">
        <v>0</v>
      </c>
      <c r="AD41" s="676">
        <v>0</v>
      </c>
      <c r="AE41" s="676">
        <f t="shared" si="80"/>
        <v>0</v>
      </c>
      <c r="AF41" s="676"/>
      <c r="AG41" s="676"/>
      <c r="AH41" s="676"/>
      <c r="AI41" s="676">
        <f t="shared" si="81"/>
        <v>0</v>
      </c>
      <c r="AJ41" s="676"/>
      <c r="AK41" s="676"/>
      <c r="AL41" s="676"/>
      <c r="AM41" s="676">
        <f t="shared" si="82"/>
        <v>0</v>
      </c>
    </row>
    <row r="42" spans="1:39" x14ac:dyDescent="0.25">
      <c r="A42" s="293" t="s">
        <v>318</v>
      </c>
      <c r="B42" s="294" t="s">
        <v>340</v>
      </c>
      <c r="C42" s="295">
        <f t="shared" ref="C42:F42" si="83">SUM(C43:C45)</f>
        <v>16875</v>
      </c>
      <c r="D42" s="295">
        <f t="shared" si="83"/>
        <v>0</v>
      </c>
      <c r="E42" s="295">
        <f t="shared" si="83"/>
        <v>0</v>
      </c>
      <c r="F42" s="295">
        <f t="shared" si="83"/>
        <v>0</v>
      </c>
      <c r="G42" s="295">
        <f t="shared" si="0"/>
        <v>0</v>
      </c>
      <c r="H42" s="295">
        <f t="shared" ref="H42:J42" si="84">SUM(H43:H45)</f>
        <v>0</v>
      </c>
      <c r="I42" s="295">
        <f t="shared" si="84"/>
        <v>0</v>
      </c>
      <c r="J42" s="295">
        <f t="shared" si="84"/>
        <v>0</v>
      </c>
      <c r="K42" s="295">
        <f t="shared" si="1"/>
        <v>0</v>
      </c>
      <c r="L42" s="295">
        <f t="shared" ref="L42:M42" si="85">SUM(L43:L45)</f>
        <v>1540</v>
      </c>
      <c r="M42" s="295">
        <f t="shared" si="85"/>
        <v>0</v>
      </c>
      <c r="N42" s="295">
        <f t="shared" ref="N42" si="86">SUM(N43:N45)</f>
        <v>0</v>
      </c>
      <c r="O42" s="295">
        <f t="shared" si="2"/>
        <v>1540</v>
      </c>
      <c r="P42" s="295">
        <f t="shared" ref="P42:R42" si="87">SUM(P43:P45)</f>
        <v>26814</v>
      </c>
      <c r="Q42" s="295">
        <f t="shared" si="87"/>
        <v>0</v>
      </c>
      <c r="R42" s="295">
        <f t="shared" si="87"/>
        <v>0</v>
      </c>
      <c r="S42" s="295">
        <f t="shared" si="3"/>
        <v>26814</v>
      </c>
      <c r="T42" s="295">
        <f t="shared" ref="T42:V42" si="88">SUM(T43:T45)</f>
        <v>0</v>
      </c>
      <c r="U42" s="295">
        <f t="shared" si="88"/>
        <v>0</v>
      </c>
      <c r="V42" s="295">
        <f t="shared" si="88"/>
        <v>0</v>
      </c>
      <c r="W42" s="295">
        <f t="shared" si="4"/>
        <v>0</v>
      </c>
      <c r="X42" s="295">
        <f t="shared" ref="X42:Z42" si="89">SUM(X43:X45)</f>
        <v>0</v>
      </c>
      <c r="Y42" s="295">
        <f t="shared" si="89"/>
        <v>0</v>
      </c>
      <c r="Z42" s="295">
        <f t="shared" si="89"/>
        <v>0</v>
      </c>
      <c r="AA42" s="295">
        <f t="shared" si="69"/>
        <v>0</v>
      </c>
      <c r="AB42" s="295">
        <f>AB43</f>
        <v>6822</v>
      </c>
      <c r="AC42" s="295">
        <v>0</v>
      </c>
      <c r="AD42" s="295">
        <v>0</v>
      </c>
      <c r="AE42" s="295">
        <f>SUM(AB42:AD42)</f>
        <v>6822</v>
      </c>
      <c r="AF42" s="295">
        <f>SUM(AF43:AF45)</f>
        <v>16036</v>
      </c>
      <c r="AG42" s="295">
        <f t="shared" ref="AG42:AH42" si="90">SUM(AG43:AG45)</f>
        <v>0</v>
      </c>
      <c r="AH42" s="295">
        <f t="shared" si="90"/>
        <v>0</v>
      </c>
      <c r="AI42" s="295">
        <f>SUM(AF42:AH42)</f>
        <v>16036</v>
      </c>
      <c r="AJ42" s="295">
        <f>SUM(AJ43:AJ45)</f>
        <v>6553</v>
      </c>
      <c r="AK42" s="295">
        <f t="shared" ref="AK42:AL42" si="91">SUM(AK43:AK45)</f>
        <v>0</v>
      </c>
      <c r="AL42" s="295">
        <f t="shared" si="91"/>
        <v>0</v>
      </c>
      <c r="AM42" s="295">
        <f>SUM(AJ42:AL42)</f>
        <v>6553</v>
      </c>
    </row>
    <row r="43" spans="1:39" x14ac:dyDescent="0.25">
      <c r="A43" s="582" t="s">
        <v>311</v>
      </c>
      <c r="B43" s="675" t="s">
        <v>341</v>
      </c>
      <c r="C43" s="676">
        <f>'4.2. Vesz fa.'!C98</f>
        <v>16875</v>
      </c>
      <c r="D43" s="676"/>
      <c r="E43" s="676">
        <f>'4.2. Vesz fa.'!E98</f>
        <v>0</v>
      </c>
      <c r="F43" s="676"/>
      <c r="G43" s="676">
        <f t="shared" si="0"/>
        <v>0</v>
      </c>
      <c r="H43" s="676">
        <v>0</v>
      </c>
      <c r="I43" s="676">
        <f>'4.2. Vesz fa.'!I98</f>
        <v>0</v>
      </c>
      <c r="J43" s="676">
        <f>'4.2. Vesz fa.'!G98</f>
        <v>0</v>
      </c>
      <c r="K43" s="676">
        <f t="shared" si="1"/>
        <v>0</v>
      </c>
      <c r="L43" s="676">
        <v>1540</v>
      </c>
      <c r="M43" s="676">
        <f>'4.2. Vesz fa.'!J98</f>
        <v>0</v>
      </c>
      <c r="N43" s="676">
        <f>'4.2. Vesz fa.'!K98</f>
        <v>0</v>
      </c>
      <c r="O43" s="676">
        <f t="shared" si="2"/>
        <v>1540</v>
      </c>
      <c r="P43" s="676">
        <f>'4.2. Vesz fa.'!O11+'4.2. Vesz fa.'!O16+'4.2. Vesz fa.'!O19+'4.2. Vesz fa.'!O22+'4.2. Vesz fa.'!O26+'4.2. Vesz fa.'!O31+'4.2. Vesz fa.'!O36+'4.2. Vesz fa.'!O43+'4.2. Vesz fa.'!O50+'4.2. Vesz fa.'!O53+'4.2. Vesz fa.'!O59+'4.2. Vesz fa.'!O64+'4.2. Vesz fa.'!O69+'4.2. Vesz fa.'!O74</f>
        <v>26814</v>
      </c>
      <c r="Q43" s="676">
        <f>'4.2. Vesz fa.'!N98</f>
        <v>0</v>
      </c>
      <c r="R43" s="676">
        <v>0</v>
      </c>
      <c r="S43" s="676">
        <f t="shared" si="3"/>
        <v>26814</v>
      </c>
      <c r="T43" s="676"/>
      <c r="U43" s="676">
        <f>'4.2. Vesz fa.'!Q98</f>
        <v>0</v>
      </c>
      <c r="V43" s="676">
        <f>'4.2. Vesz fa.'!S98</f>
        <v>0</v>
      </c>
      <c r="W43" s="676">
        <f t="shared" si="4"/>
        <v>0</v>
      </c>
      <c r="X43" s="676"/>
      <c r="Y43" s="676">
        <f>'4.2. Vesz fa.'!V98</f>
        <v>0</v>
      </c>
      <c r="Z43" s="676">
        <f>'4.2. Vesz fa.'!W98</f>
        <v>0</v>
      </c>
      <c r="AA43" s="676">
        <f t="shared" si="69"/>
        <v>0</v>
      </c>
      <c r="AB43" s="676">
        <v>6822</v>
      </c>
      <c r="AC43" s="676">
        <v>0</v>
      </c>
      <c r="AD43" s="676">
        <v>0</v>
      </c>
      <c r="AE43" s="676">
        <f>SUM(AB43:AD43)</f>
        <v>6822</v>
      </c>
      <c r="AF43" s="676">
        <f>'4.2. Vesz fa.'!U98</f>
        <v>9730</v>
      </c>
      <c r="AG43" s="676"/>
      <c r="AH43" s="676"/>
      <c r="AI43" s="676">
        <f>SUM(AF43:AH43)</f>
        <v>9730</v>
      </c>
      <c r="AJ43" s="676">
        <v>6553</v>
      </c>
      <c r="AK43" s="676"/>
      <c r="AL43" s="676"/>
      <c r="AM43" s="676"/>
    </row>
    <row r="44" spans="1:39" x14ac:dyDescent="0.25">
      <c r="A44" s="582" t="s">
        <v>322</v>
      </c>
      <c r="B44" s="675" t="s">
        <v>342</v>
      </c>
      <c r="C44" s="676">
        <f>'4.2. Vesz fa.'!C99</f>
        <v>0</v>
      </c>
      <c r="D44" s="676">
        <f>'4.2. Vesz fa.'!C44</f>
        <v>0</v>
      </c>
      <c r="E44" s="676">
        <f>'4.2. Vesz fa.'!E99</f>
        <v>0</v>
      </c>
      <c r="F44" s="676"/>
      <c r="G44" s="676">
        <f t="shared" si="0"/>
        <v>0</v>
      </c>
      <c r="H44" s="676">
        <f>+'4.2. Vesz fa.'!I99</f>
        <v>0</v>
      </c>
      <c r="I44" s="676">
        <f>+'4.2. Vesz fa.'!F99</f>
        <v>0</v>
      </c>
      <c r="J44" s="676">
        <f>'4.2. Vesz fa.'!G99</f>
        <v>0</v>
      </c>
      <c r="K44" s="676">
        <f t="shared" si="1"/>
        <v>0</v>
      </c>
      <c r="L44" s="676">
        <f>'4.2. Vesz fa.'!L44</f>
        <v>0</v>
      </c>
      <c r="M44" s="676">
        <f>'4.2. Vesz fa.'!J99</f>
        <v>0</v>
      </c>
      <c r="N44" s="676">
        <f>'4.2. Vesz fa.'!K99</f>
        <v>0</v>
      </c>
      <c r="O44" s="676">
        <f t="shared" si="2"/>
        <v>0</v>
      </c>
      <c r="P44" s="676">
        <f>'4.2. Vesz fa.'!O44</f>
        <v>0</v>
      </c>
      <c r="Q44" s="676">
        <f>'4.2. Vesz fa.'!N99</f>
        <v>0</v>
      </c>
      <c r="R44" s="676">
        <f>'4.2. Vesz fa.'!O99</f>
        <v>0</v>
      </c>
      <c r="S44" s="676">
        <f t="shared" si="3"/>
        <v>0</v>
      </c>
      <c r="T44" s="676">
        <f>'4.2. Vesz fa.'!R44</f>
        <v>0</v>
      </c>
      <c r="U44" s="676">
        <f>'4.2. Vesz fa.'!R99</f>
        <v>0</v>
      </c>
      <c r="V44" s="676">
        <f>'4.2. Vesz fa.'!S99</f>
        <v>0</v>
      </c>
      <c r="W44" s="676">
        <f t="shared" si="4"/>
        <v>0</v>
      </c>
      <c r="X44" s="676">
        <f>'4.2. Vesz fa.'!X44</f>
        <v>0</v>
      </c>
      <c r="Y44" s="676">
        <f>'4.2. Vesz fa.'!V99</f>
        <v>0</v>
      </c>
      <c r="Z44" s="676">
        <f>'4.2. Vesz fa.'!W99</f>
        <v>0</v>
      </c>
      <c r="AA44" s="676">
        <f t="shared" si="69"/>
        <v>0</v>
      </c>
      <c r="AB44" s="676">
        <v>0</v>
      </c>
      <c r="AC44" s="676">
        <v>0</v>
      </c>
      <c r="AD44" s="676">
        <v>0</v>
      </c>
      <c r="AE44" s="676">
        <f t="shared" ref="AE44:AE45" si="92">SUM(AB44:AD44)</f>
        <v>0</v>
      </c>
      <c r="AF44" s="676">
        <f>'4.2. Vesz fa.'!U99</f>
        <v>6306</v>
      </c>
      <c r="AG44" s="676"/>
      <c r="AH44" s="676"/>
      <c r="AI44" s="676">
        <f t="shared" ref="AI44:AI45" si="93">SUM(AF44:AH44)</f>
        <v>6306</v>
      </c>
      <c r="AJ44" s="676"/>
      <c r="AK44" s="676"/>
      <c r="AL44" s="676"/>
      <c r="AM44" s="676">
        <v>0</v>
      </c>
    </row>
    <row r="45" spans="1:39" x14ac:dyDescent="0.25">
      <c r="A45" s="582" t="s">
        <v>315</v>
      </c>
      <c r="B45" s="675" t="s">
        <v>343</v>
      </c>
      <c r="C45" s="676">
        <v>0</v>
      </c>
      <c r="D45" s="676">
        <v>0</v>
      </c>
      <c r="E45" s="676">
        <v>0</v>
      </c>
      <c r="F45" s="676">
        <v>0</v>
      </c>
      <c r="G45" s="676">
        <f t="shared" si="0"/>
        <v>0</v>
      </c>
      <c r="H45" s="676">
        <v>0</v>
      </c>
      <c r="I45" s="676">
        <v>0</v>
      </c>
      <c r="J45" s="676">
        <v>0</v>
      </c>
      <c r="K45" s="676">
        <f t="shared" si="1"/>
        <v>0</v>
      </c>
      <c r="L45" s="676">
        <v>0</v>
      </c>
      <c r="M45" s="676">
        <v>0</v>
      </c>
      <c r="N45" s="676">
        <v>0</v>
      </c>
      <c r="O45" s="676">
        <f t="shared" si="2"/>
        <v>0</v>
      </c>
      <c r="P45" s="676">
        <v>0</v>
      </c>
      <c r="Q45" s="676">
        <v>0</v>
      </c>
      <c r="R45" s="676">
        <v>0</v>
      </c>
      <c r="S45" s="676">
        <f t="shared" si="3"/>
        <v>0</v>
      </c>
      <c r="T45" s="676">
        <v>0</v>
      </c>
      <c r="U45" s="676">
        <v>0</v>
      </c>
      <c r="V45" s="676">
        <v>0</v>
      </c>
      <c r="W45" s="676">
        <f t="shared" si="4"/>
        <v>0</v>
      </c>
      <c r="X45" s="676">
        <v>0</v>
      </c>
      <c r="Y45" s="676">
        <v>0</v>
      </c>
      <c r="Z45" s="676">
        <v>0</v>
      </c>
      <c r="AA45" s="676">
        <f t="shared" si="69"/>
        <v>0</v>
      </c>
      <c r="AB45" s="676">
        <v>0</v>
      </c>
      <c r="AC45" s="676">
        <v>0</v>
      </c>
      <c r="AD45" s="676">
        <v>0</v>
      </c>
      <c r="AE45" s="676">
        <f t="shared" si="92"/>
        <v>0</v>
      </c>
      <c r="AF45" s="676"/>
      <c r="AG45" s="676"/>
      <c r="AH45" s="676"/>
      <c r="AI45" s="676">
        <f t="shared" si="93"/>
        <v>0</v>
      </c>
      <c r="AJ45" s="676"/>
      <c r="AK45" s="676"/>
      <c r="AL45" s="676"/>
      <c r="AM45" s="676">
        <v>0</v>
      </c>
    </row>
    <row r="46" spans="1:39" x14ac:dyDescent="0.25">
      <c r="A46" s="649"/>
      <c r="B46" s="650" t="s">
        <v>344</v>
      </c>
      <c r="C46" s="638">
        <f t="shared" ref="C46:F46" si="94">C36+C42</f>
        <v>948585</v>
      </c>
      <c r="D46" s="638">
        <f t="shared" si="94"/>
        <v>438102</v>
      </c>
      <c r="E46" s="638">
        <f t="shared" si="94"/>
        <v>0</v>
      </c>
      <c r="F46" s="638">
        <f t="shared" si="94"/>
        <v>0</v>
      </c>
      <c r="G46" s="638">
        <f t="shared" si="0"/>
        <v>438102</v>
      </c>
      <c r="H46" s="638">
        <f t="shared" ref="H46:J46" si="95">H36+H42</f>
        <v>516071</v>
      </c>
      <c r="I46" s="638">
        <f t="shared" si="95"/>
        <v>0</v>
      </c>
      <c r="J46" s="638">
        <f t="shared" si="95"/>
        <v>0</v>
      </c>
      <c r="K46" s="638">
        <f t="shared" si="1"/>
        <v>516071</v>
      </c>
      <c r="L46" s="638">
        <f t="shared" ref="L46:N46" si="96">L36+L42</f>
        <v>578803</v>
      </c>
      <c r="M46" s="638">
        <f t="shared" si="96"/>
        <v>0</v>
      </c>
      <c r="N46" s="638">
        <f t="shared" si="96"/>
        <v>0</v>
      </c>
      <c r="O46" s="638">
        <f t="shared" si="2"/>
        <v>578803</v>
      </c>
      <c r="P46" s="638">
        <f t="shared" ref="P46:R46" si="97">P36+P42</f>
        <v>739267</v>
      </c>
      <c r="Q46" s="638">
        <f t="shared" si="97"/>
        <v>50016</v>
      </c>
      <c r="R46" s="638">
        <f t="shared" si="97"/>
        <v>0</v>
      </c>
      <c r="S46" s="638">
        <f t="shared" si="3"/>
        <v>789283</v>
      </c>
      <c r="T46" s="638">
        <f t="shared" ref="T46:V46" si="98">T36+T42</f>
        <v>173657</v>
      </c>
      <c r="U46" s="638">
        <f t="shared" si="98"/>
        <v>0</v>
      </c>
      <c r="V46" s="638">
        <f t="shared" si="98"/>
        <v>475400</v>
      </c>
      <c r="W46" s="638">
        <f t="shared" si="4"/>
        <v>649057</v>
      </c>
      <c r="X46" s="638">
        <f t="shared" ref="X46:AD46" si="99">X36+X42</f>
        <v>475400</v>
      </c>
      <c r="Y46" s="638">
        <f t="shared" si="99"/>
        <v>0</v>
      </c>
      <c r="Z46" s="638">
        <f t="shared" si="99"/>
        <v>0</v>
      </c>
      <c r="AA46" s="638">
        <f t="shared" si="69"/>
        <v>475400</v>
      </c>
      <c r="AB46" s="638">
        <f t="shared" si="99"/>
        <v>622363</v>
      </c>
      <c r="AC46" s="638">
        <f t="shared" si="99"/>
        <v>0</v>
      </c>
      <c r="AD46" s="638">
        <f t="shared" si="99"/>
        <v>0</v>
      </c>
      <c r="AE46" s="638">
        <f>SUM(AB46:AD46)</f>
        <v>622363</v>
      </c>
      <c r="AF46" s="638">
        <f t="shared" ref="AF46:AH46" si="100">AF36+AF42</f>
        <v>704107</v>
      </c>
      <c r="AG46" s="638">
        <f t="shared" si="100"/>
        <v>0</v>
      </c>
      <c r="AH46" s="638">
        <f t="shared" si="100"/>
        <v>0</v>
      </c>
      <c r="AI46" s="638">
        <f>SUM(AF46:AH46)</f>
        <v>704107</v>
      </c>
      <c r="AJ46" s="638">
        <f t="shared" ref="AJ46:AL46" si="101">AJ36+AJ42</f>
        <v>336764</v>
      </c>
      <c r="AK46" s="638">
        <f t="shared" si="101"/>
        <v>0</v>
      </c>
      <c r="AL46" s="638">
        <f t="shared" si="101"/>
        <v>0</v>
      </c>
      <c r="AM46" s="638">
        <f>SUM(AJ46:AL46)</f>
        <v>336764</v>
      </c>
    </row>
    <row r="47" spans="1:39" x14ac:dyDescent="0.25">
      <c r="K47" s="40"/>
    </row>
  </sheetData>
  <customSheetViews>
    <customSheetView guid="{7F1DC213-A29D-4C8C-BAC3-F1BD898020FD}" scale="78" hiddenRows="1" hiddenColumns="1">
      <selection activeCell="AB33" sqref="AB33"/>
      <pageMargins left="0.19685039370078741" right="0.19685039370078741" top="1.0629921259842521" bottom="0.19685039370078741" header="0.31496062992125984" footer="0.31496062992125984"/>
      <printOptions horizontalCentered="1"/>
      <pageSetup paperSize="9" scale="60" fitToWidth="0" fitToHeight="0" orientation="landscape" copies="4" r:id="rId1"/>
      <headerFooter>
        <oddHeader>&amp;L4.1. melléklet a ...../2019. (.....) önkormányzati rendelethez&amp;C&amp;"-,Félkövér"&amp;16Sátoraljaújhelyi Városellátó Szervezet 2019. évi bevételei és kiadásai jogcímenként és feladatonként&amp;RAdatok ezer forintban</oddHeader>
      </headerFooter>
    </customSheetView>
    <customSheetView guid="{4DCB1349-1166-4B69-AE14-D6B08F9FCE74}" scale="78" hiddenRows="1" hiddenColumns="1">
      <selection activeCell="AB33" sqref="AB33"/>
      <pageMargins left="0.19685039370078741" right="0.19685039370078741" top="1.0629921259842521" bottom="0.19685039370078741" header="0.31496062992125984" footer="0.31496062992125984"/>
      <printOptions horizontalCentered="1"/>
      <pageSetup paperSize="9" scale="60" fitToWidth="0" fitToHeight="0" orientation="landscape" copies="4" r:id="rId2"/>
      <headerFooter>
        <oddHeader>&amp;L4.1. melléklet a ...../2019. (.....) önkormányzati rendelethez&amp;C&amp;"-,Félkövér"&amp;16Sátoraljaújhelyi Városellátó Szervezet 2019. évi bevételei és kiadásai jogcímenként és feladatonként&amp;RAdatok ezer forintban</oddHeader>
      </headerFooter>
    </customSheetView>
  </customSheetViews>
  <mergeCells count="11">
    <mergeCell ref="AF4:AI4"/>
    <mergeCell ref="AJ4:AM4"/>
    <mergeCell ref="AB4:AE4"/>
    <mergeCell ref="X4:AA4"/>
    <mergeCell ref="P4:S4"/>
    <mergeCell ref="T4:W4"/>
    <mergeCell ref="A4:A5"/>
    <mergeCell ref="B4:B5"/>
    <mergeCell ref="D4:G4"/>
    <mergeCell ref="L4:O4"/>
    <mergeCell ref="H4:K4"/>
  </mergeCells>
  <printOptions horizontalCentered="1"/>
  <pageMargins left="0.19685039370078741" right="0.19685039370078741" top="1.0629921259842521" bottom="0.19685039370078741" header="0.31496062992125984" footer="0.31496062992125984"/>
  <pageSetup paperSize="9" scale="60" fitToWidth="0" fitToHeight="0" orientation="landscape" copies="4" r:id="rId3"/>
  <headerFooter>
    <oddHeader>&amp;L4.1. melléklet a 3/2019. (II.20.) önkormányzati rendelethez&amp;C&amp;"-,Félkövér"&amp;16Sátoraljaújhelyi Városellátó Szervezet 2019. évi bevételei és kiadásai jogcímenként és feladatonként&amp;RAdatok ezer forintban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AG113"/>
  <sheetViews>
    <sheetView view="pageLayout" zoomScaleNormal="100" zoomScaleSheetLayoutView="75" workbookViewId="0">
      <selection activeCell="Z16" sqref="Z16"/>
    </sheetView>
  </sheetViews>
  <sheetFormatPr defaultRowHeight="15" x14ac:dyDescent="0.25"/>
  <cols>
    <col min="1" max="1" width="7.7109375" style="41" bestFit="1" customWidth="1"/>
    <col min="2" max="2" width="46.140625" style="42" customWidth="1"/>
    <col min="3" max="3" width="10.85546875" style="40" hidden="1" customWidth="1"/>
    <col min="4" max="4" width="14.28515625" style="336" hidden="1" customWidth="1"/>
    <col min="5" max="5" width="10.85546875" style="336" hidden="1" customWidth="1"/>
    <col min="6" max="6" width="16.5703125" style="40" hidden="1" customWidth="1"/>
    <col min="7" max="7" width="13.5703125" style="40" hidden="1" customWidth="1"/>
    <col min="8" max="8" width="11.140625" style="40" hidden="1" customWidth="1"/>
    <col min="9" max="9" width="15.5703125" hidden="1" customWidth="1"/>
    <col min="10" max="10" width="13.7109375" hidden="1" customWidth="1"/>
    <col min="11" max="11" width="10.28515625" hidden="1" customWidth="1"/>
    <col min="12" max="12" width="15.5703125" hidden="1" customWidth="1"/>
    <col min="13" max="13" width="13.7109375" hidden="1" customWidth="1"/>
    <col min="14" max="14" width="10.28515625" hidden="1" customWidth="1"/>
    <col min="15" max="15" width="11" hidden="1" customWidth="1"/>
    <col min="16" max="16" width="14.7109375" hidden="1" customWidth="1"/>
    <col min="17" max="17" width="10.28515625" hidden="1" customWidth="1"/>
    <col min="18" max="18" width="14.42578125" hidden="1" customWidth="1"/>
    <col min="19" max="20" width="21.140625" customWidth="1"/>
    <col min="21" max="21" width="17" customWidth="1"/>
    <col min="22" max="22" width="17" hidden="1" customWidth="1"/>
    <col min="255" max="255" width="7.7109375" bestFit="1" customWidth="1"/>
    <col min="256" max="256" width="48.7109375" customWidth="1"/>
    <col min="257" max="258" width="9.5703125" customWidth="1"/>
    <col min="259" max="260" width="10.85546875" bestFit="1" customWidth="1"/>
    <col min="261" max="261" width="10.140625" bestFit="1" customWidth="1"/>
    <col min="262" max="262" width="10.28515625" customWidth="1"/>
    <col min="263" max="263" width="14" bestFit="1" customWidth="1"/>
    <col min="511" max="511" width="7.7109375" bestFit="1" customWidth="1"/>
    <col min="512" max="512" width="48.7109375" customWidth="1"/>
    <col min="513" max="514" width="9.5703125" customWidth="1"/>
    <col min="515" max="516" width="10.85546875" bestFit="1" customWidth="1"/>
    <col min="517" max="517" width="10.140625" bestFit="1" customWidth="1"/>
    <col min="518" max="518" width="10.28515625" customWidth="1"/>
    <col min="519" max="519" width="14" bestFit="1" customWidth="1"/>
    <col min="767" max="767" width="7.7109375" bestFit="1" customWidth="1"/>
    <col min="768" max="768" width="48.7109375" customWidth="1"/>
    <col min="769" max="770" width="9.5703125" customWidth="1"/>
    <col min="771" max="772" width="10.85546875" bestFit="1" customWidth="1"/>
    <col min="773" max="773" width="10.140625" bestFit="1" customWidth="1"/>
    <col min="774" max="774" width="10.28515625" customWidth="1"/>
    <col min="775" max="775" width="14" bestFit="1" customWidth="1"/>
    <col min="1023" max="1023" width="7.7109375" bestFit="1" customWidth="1"/>
    <col min="1024" max="1024" width="48.7109375" customWidth="1"/>
    <col min="1025" max="1026" width="9.5703125" customWidth="1"/>
    <col min="1027" max="1028" width="10.85546875" bestFit="1" customWidth="1"/>
    <col min="1029" max="1029" width="10.140625" bestFit="1" customWidth="1"/>
    <col min="1030" max="1030" width="10.28515625" customWidth="1"/>
    <col min="1031" max="1031" width="14" bestFit="1" customWidth="1"/>
    <col min="1279" max="1279" width="7.7109375" bestFit="1" customWidth="1"/>
    <col min="1280" max="1280" width="48.7109375" customWidth="1"/>
    <col min="1281" max="1282" width="9.5703125" customWidth="1"/>
    <col min="1283" max="1284" width="10.85546875" bestFit="1" customWidth="1"/>
    <col min="1285" max="1285" width="10.140625" bestFit="1" customWidth="1"/>
    <col min="1286" max="1286" width="10.28515625" customWidth="1"/>
    <col min="1287" max="1287" width="14" bestFit="1" customWidth="1"/>
    <col min="1535" max="1535" width="7.7109375" bestFit="1" customWidth="1"/>
    <col min="1536" max="1536" width="48.7109375" customWidth="1"/>
    <col min="1537" max="1538" width="9.5703125" customWidth="1"/>
    <col min="1539" max="1540" width="10.85546875" bestFit="1" customWidth="1"/>
    <col min="1541" max="1541" width="10.140625" bestFit="1" customWidth="1"/>
    <col min="1542" max="1542" width="10.28515625" customWidth="1"/>
    <col min="1543" max="1543" width="14" bestFit="1" customWidth="1"/>
    <col min="1791" max="1791" width="7.7109375" bestFit="1" customWidth="1"/>
    <col min="1792" max="1792" width="48.7109375" customWidth="1"/>
    <col min="1793" max="1794" width="9.5703125" customWidth="1"/>
    <col min="1795" max="1796" width="10.85546875" bestFit="1" customWidth="1"/>
    <col min="1797" max="1797" width="10.140625" bestFit="1" customWidth="1"/>
    <col min="1798" max="1798" width="10.28515625" customWidth="1"/>
    <col min="1799" max="1799" width="14" bestFit="1" customWidth="1"/>
    <col min="2047" max="2047" width="7.7109375" bestFit="1" customWidth="1"/>
    <col min="2048" max="2048" width="48.7109375" customWidth="1"/>
    <col min="2049" max="2050" width="9.5703125" customWidth="1"/>
    <col min="2051" max="2052" width="10.85546875" bestFit="1" customWidth="1"/>
    <col min="2053" max="2053" width="10.140625" bestFit="1" customWidth="1"/>
    <col min="2054" max="2054" width="10.28515625" customWidth="1"/>
    <col min="2055" max="2055" width="14" bestFit="1" customWidth="1"/>
    <col min="2303" max="2303" width="7.7109375" bestFit="1" customWidth="1"/>
    <col min="2304" max="2304" width="48.7109375" customWidth="1"/>
    <col min="2305" max="2306" width="9.5703125" customWidth="1"/>
    <col min="2307" max="2308" width="10.85546875" bestFit="1" customWidth="1"/>
    <col min="2309" max="2309" width="10.140625" bestFit="1" customWidth="1"/>
    <col min="2310" max="2310" width="10.28515625" customWidth="1"/>
    <col min="2311" max="2311" width="14" bestFit="1" customWidth="1"/>
    <col min="2559" max="2559" width="7.7109375" bestFit="1" customWidth="1"/>
    <col min="2560" max="2560" width="48.7109375" customWidth="1"/>
    <col min="2561" max="2562" width="9.5703125" customWidth="1"/>
    <col min="2563" max="2564" width="10.85546875" bestFit="1" customWidth="1"/>
    <col min="2565" max="2565" width="10.140625" bestFit="1" customWidth="1"/>
    <col min="2566" max="2566" width="10.28515625" customWidth="1"/>
    <col min="2567" max="2567" width="14" bestFit="1" customWidth="1"/>
    <col min="2815" max="2815" width="7.7109375" bestFit="1" customWidth="1"/>
    <col min="2816" max="2816" width="48.7109375" customWidth="1"/>
    <col min="2817" max="2818" width="9.5703125" customWidth="1"/>
    <col min="2819" max="2820" width="10.85546875" bestFit="1" customWidth="1"/>
    <col min="2821" max="2821" width="10.140625" bestFit="1" customWidth="1"/>
    <col min="2822" max="2822" width="10.28515625" customWidth="1"/>
    <col min="2823" max="2823" width="14" bestFit="1" customWidth="1"/>
    <col min="3071" max="3071" width="7.7109375" bestFit="1" customWidth="1"/>
    <col min="3072" max="3072" width="48.7109375" customWidth="1"/>
    <col min="3073" max="3074" width="9.5703125" customWidth="1"/>
    <col min="3075" max="3076" width="10.85546875" bestFit="1" customWidth="1"/>
    <col min="3077" max="3077" width="10.140625" bestFit="1" customWidth="1"/>
    <col min="3078" max="3078" width="10.28515625" customWidth="1"/>
    <col min="3079" max="3079" width="14" bestFit="1" customWidth="1"/>
    <col min="3327" max="3327" width="7.7109375" bestFit="1" customWidth="1"/>
    <col min="3328" max="3328" width="48.7109375" customWidth="1"/>
    <col min="3329" max="3330" width="9.5703125" customWidth="1"/>
    <col min="3331" max="3332" width="10.85546875" bestFit="1" customWidth="1"/>
    <col min="3333" max="3333" width="10.140625" bestFit="1" customWidth="1"/>
    <col min="3334" max="3334" width="10.28515625" customWidth="1"/>
    <col min="3335" max="3335" width="14" bestFit="1" customWidth="1"/>
    <col min="3583" max="3583" width="7.7109375" bestFit="1" customWidth="1"/>
    <col min="3584" max="3584" width="48.7109375" customWidth="1"/>
    <col min="3585" max="3586" width="9.5703125" customWidth="1"/>
    <col min="3587" max="3588" width="10.85546875" bestFit="1" customWidth="1"/>
    <col min="3589" max="3589" width="10.140625" bestFit="1" customWidth="1"/>
    <col min="3590" max="3590" width="10.28515625" customWidth="1"/>
    <col min="3591" max="3591" width="14" bestFit="1" customWidth="1"/>
    <col min="3839" max="3839" width="7.7109375" bestFit="1" customWidth="1"/>
    <col min="3840" max="3840" width="48.7109375" customWidth="1"/>
    <col min="3841" max="3842" width="9.5703125" customWidth="1"/>
    <col min="3843" max="3844" width="10.85546875" bestFit="1" customWidth="1"/>
    <col min="3845" max="3845" width="10.140625" bestFit="1" customWidth="1"/>
    <col min="3846" max="3846" width="10.28515625" customWidth="1"/>
    <col min="3847" max="3847" width="14" bestFit="1" customWidth="1"/>
    <col min="4095" max="4095" width="7.7109375" bestFit="1" customWidth="1"/>
    <col min="4096" max="4096" width="48.7109375" customWidth="1"/>
    <col min="4097" max="4098" width="9.5703125" customWidth="1"/>
    <col min="4099" max="4100" width="10.85546875" bestFit="1" customWidth="1"/>
    <col min="4101" max="4101" width="10.140625" bestFit="1" customWidth="1"/>
    <col min="4102" max="4102" width="10.28515625" customWidth="1"/>
    <col min="4103" max="4103" width="14" bestFit="1" customWidth="1"/>
    <col min="4351" max="4351" width="7.7109375" bestFit="1" customWidth="1"/>
    <col min="4352" max="4352" width="48.7109375" customWidth="1"/>
    <col min="4353" max="4354" width="9.5703125" customWidth="1"/>
    <col min="4355" max="4356" width="10.85546875" bestFit="1" customWidth="1"/>
    <col min="4357" max="4357" width="10.140625" bestFit="1" customWidth="1"/>
    <col min="4358" max="4358" width="10.28515625" customWidth="1"/>
    <col min="4359" max="4359" width="14" bestFit="1" customWidth="1"/>
    <col min="4607" max="4607" width="7.7109375" bestFit="1" customWidth="1"/>
    <col min="4608" max="4608" width="48.7109375" customWidth="1"/>
    <col min="4609" max="4610" width="9.5703125" customWidth="1"/>
    <col min="4611" max="4612" width="10.85546875" bestFit="1" customWidth="1"/>
    <col min="4613" max="4613" width="10.140625" bestFit="1" customWidth="1"/>
    <col min="4614" max="4614" width="10.28515625" customWidth="1"/>
    <col min="4615" max="4615" width="14" bestFit="1" customWidth="1"/>
    <col min="4863" max="4863" width="7.7109375" bestFit="1" customWidth="1"/>
    <col min="4864" max="4864" width="48.7109375" customWidth="1"/>
    <col min="4865" max="4866" width="9.5703125" customWidth="1"/>
    <col min="4867" max="4868" width="10.85546875" bestFit="1" customWidth="1"/>
    <col min="4869" max="4869" width="10.140625" bestFit="1" customWidth="1"/>
    <col min="4870" max="4870" width="10.28515625" customWidth="1"/>
    <col min="4871" max="4871" width="14" bestFit="1" customWidth="1"/>
    <col min="5119" max="5119" width="7.7109375" bestFit="1" customWidth="1"/>
    <col min="5120" max="5120" width="48.7109375" customWidth="1"/>
    <col min="5121" max="5122" width="9.5703125" customWidth="1"/>
    <col min="5123" max="5124" width="10.85546875" bestFit="1" customWidth="1"/>
    <col min="5125" max="5125" width="10.140625" bestFit="1" customWidth="1"/>
    <col min="5126" max="5126" width="10.28515625" customWidth="1"/>
    <col min="5127" max="5127" width="14" bestFit="1" customWidth="1"/>
    <col min="5375" max="5375" width="7.7109375" bestFit="1" customWidth="1"/>
    <col min="5376" max="5376" width="48.7109375" customWidth="1"/>
    <col min="5377" max="5378" width="9.5703125" customWidth="1"/>
    <col min="5379" max="5380" width="10.85546875" bestFit="1" customWidth="1"/>
    <col min="5381" max="5381" width="10.140625" bestFit="1" customWidth="1"/>
    <col min="5382" max="5382" width="10.28515625" customWidth="1"/>
    <col min="5383" max="5383" width="14" bestFit="1" customWidth="1"/>
    <col min="5631" max="5631" width="7.7109375" bestFit="1" customWidth="1"/>
    <col min="5632" max="5632" width="48.7109375" customWidth="1"/>
    <col min="5633" max="5634" width="9.5703125" customWidth="1"/>
    <col min="5635" max="5636" width="10.85546875" bestFit="1" customWidth="1"/>
    <col min="5637" max="5637" width="10.140625" bestFit="1" customWidth="1"/>
    <col min="5638" max="5638" width="10.28515625" customWidth="1"/>
    <col min="5639" max="5639" width="14" bestFit="1" customWidth="1"/>
    <col min="5887" max="5887" width="7.7109375" bestFit="1" customWidth="1"/>
    <col min="5888" max="5888" width="48.7109375" customWidth="1"/>
    <col min="5889" max="5890" width="9.5703125" customWidth="1"/>
    <col min="5891" max="5892" width="10.85546875" bestFit="1" customWidth="1"/>
    <col min="5893" max="5893" width="10.140625" bestFit="1" customWidth="1"/>
    <col min="5894" max="5894" width="10.28515625" customWidth="1"/>
    <col min="5895" max="5895" width="14" bestFit="1" customWidth="1"/>
    <col min="6143" max="6143" width="7.7109375" bestFit="1" customWidth="1"/>
    <col min="6144" max="6144" width="48.7109375" customWidth="1"/>
    <col min="6145" max="6146" width="9.5703125" customWidth="1"/>
    <col min="6147" max="6148" width="10.85546875" bestFit="1" customWidth="1"/>
    <col min="6149" max="6149" width="10.140625" bestFit="1" customWidth="1"/>
    <col min="6150" max="6150" width="10.28515625" customWidth="1"/>
    <col min="6151" max="6151" width="14" bestFit="1" customWidth="1"/>
    <col min="6399" max="6399" width="7.7109375" bestFit="1" customWidth="1"/>
    <col min="6400" max="6400" width="48.7109375" customWidth="1"/>
    <col min="6401" max="6402" width="9.5703125" customWidth="1"/>
    <col min="6403" max="6404" width="10.85546875" bestFit="1" customWidth="1"/>
    <col min="6405" max="6405" width="10.140625" bestFit="1" customWidth="1"/>
    <col min="6406" max="6406" width="10.28515625" customWidth="1"/>
    <col min="6407" max="6407" width="14" bestFit="1" customWidth="1"/>
    <col min="6655" max="6655" width="7.7109375" bestFit="1" customWidth="1"/>
    <col min="6656" max="6656" width="48.7109375" customWidth="1"/>
    <col min="6657" max="6658" width="9.5703125" customWidth="1"/>
    <col min="6659" max="6660" width="10.85546875" bestFit="1" customWidth="1"/>
    <col min="6661" max="6661" width="10.140625" bestFit="1" customWidth="1"/>
    <col min="6662" max="6662" width="10.28515625" customWidth="1"/>
    <col min="6663" max="6663" width="14" bestFit="1" customWidth="1"/>
    <col min="6911" max="6911" width="7.7109375" bestFit="1" customWidth="1"/>
    <col min="6912" max="6912" width="48.7109375" customWidth="1"/>
    <col min="6913" max="6914" width="9.5703125" customWidth="1"/>
    <col min="6915" max="6916" width="10.85546875" bestFit="1" customWidth="1"/>
    <col min="6917" max="6917" width="10.140625" bestFit="1" customWidth="1"/>
    <col min="6918" max="6918" width="10.28515625" customWidth="1"/>
    <col min="6919" max="6919" width="14" bestFit="1" customWidth="1"/>
    <col min="7167" max="7167" width="7.7109375" bestFit="1" customWidth="1"/>
    <col min="7168" max="7168" width="48.7109375" customWidth="1"/>
    <col min="7169" max="7170" width="9.5703125" customWidth="1"/>
    <col min="7171" max="7172" width="10.85546875" bestFit="1" customWidth="1"/>
    <col min="7173" max="7173" width="10.140625" bestFit="1" customWidth="1"/>
    <col min="7174" max="7174" width="10.28515625" customWidth="1"/>
    <col min="7175" max="7175" width="14" bestFit="1" customWidth="1"/>
    <col min="7423" max="7423" width="7.7109375" bestFit="1" customWidth="1"/>
    <col min="7424" max="7424" width="48.7109375" customWidth="1"/>
    <col min="7425" max="7426" width="9.5703125" customWidth="1"/>
    <col min="7427" max="7428" width="10.85546875" bestFit="1" customWidth="1"/>
    <col min="7429" max="7429" width="10.140625" bestFit="1" customWidth="1"/>
    <col min="7430" max="7430" width="10.28515625" customWidth="1"/>
    <col min="7431" max="7431" width="14" bestFit="1" customWidth="1"/>
    <col min="7679" max="7679" width="7.7109375" bestFit="1" customWidth="1"/>
    <col min="7680" max="7680" width="48.7109375" customWidth="1"/>
    <col min="7681" max="7682" width="9.5703125" customWidth="1"/>
    <col min="7683" max="7684" width="10.85546875" bestFit="1" customWidth="1"/>
    <col min="7685" max="7685" width="10.140625" bestFit="1" customWidth="1"/>
    <col min="7686" max="7686" width="10.28515625" customWidth="1"/>
    <col min="7687" max="7687" width="14" bestFit="1" customWidth="1"/>
    <col min="7935" max="7935" width="7.7109375" bestFit="1" customWidth="1"/>
    <col min="7936" max="7936" width="48.7109375" customWidth="1"/>
    <col min="7937" max="7938" width="9.5703125" customWidth="1"/>
    <col min="7939" max="7940" width="10.85546875" bestFit="1" customWidth="1"/>
    <col min="7941" max="7941" width="10.140625" bestFit="1" customWidth="1"/>
    <col min="7942" max="7942" width="10.28515625" customWidth="1"/>
    <col min="7943" max="7943" width="14" bestFit="1" customWidth="1"/>
    <col min="8191" max="8191" width="7.7109375" bestFit="1" customWidth="1"/>
    <col min="8192" max="8192" width="48.7109375" customWidth="1"/>
    <col min="8193" max="8194" width="9.5703125" customWidth="1"/>
    <col min="8195" max="8196" width="10.85546875" bestFit="1" customWidth="1"/>
    <col min="8197" max="8197" width="10.140625" bestFit="1" customWidth="1"/>
    <col min="8198" max="8198" width="10.28515625" customWidth="1"/>
    <col min="8199" max="8199" width="14" bestFit="1" customWidth="1"/>
    <col min="8447" max="8447" width="7.7109375" bestFit="1" customWidth="1"/>
    <col min="8448" max="8448" width="48.7109375" customWidth="1"/>
    <col min="8449" max="8450" width="9.5703125" customWidth="1"/>
    <col min="8451" max="8452" width="10.85546875" bestFit="1" customWidth="1"/>
    <col min="8453" max="8453" width="10.140625" bestFit="1" customWidth="1"/>
    <col min="8454" max="8454" width="10.28515625" customWidth="1"/>
    <col min="8455" max="8455" width="14" bestFit="1" customWidth="1"/>
    <col min="8703" max="8703" width="7.7109375" bestFit="1" customWidth="1"/>
    <col min="8704" max="8704" width="48.7109375" customWidth="1"/>
    <col min="8705" max="8706" width="9.5703125" customWidth="1"/>
    <col min="8707" max="8708" width="10.85546875" bestFit="1" customWidth="1"/>
    <col min="8709" max="8709" width="10.140625" bestFit="1" customWidth="1"/>
    <col min="8710" max="8710" width="10.28515625" customWidth="1"/>
    <col min="8711" max="8711" width="14" bestFit="1" customWidth="1"/>
    <col min="8959" max="8959" width="7.7109375" bestFit="1" customWidth="1"/>
    <col min="8960" max="8960" width="48.7109375" customWidth="1"/>
    <col min="8961" max="8962" width="9.5703125" customWidth="1"/>
    <col min="8963" max="8964" width="10.85546875" bestFit="1" customWidth="1"/>
    <col min="8965" max="8965" width="10.140625" bestFit="1" customWidth="1"/>
    <col min="8966" max="8966" width="10.28515625" customWidth="1"/>
    <col min="8967" max="8967" width="14" bestFit="1" customWidth="1"/>
    <col min="9215" max="9215" width="7.7109375" bestFit="1" customWidth="1"/>
    <col min="9216" max="9216" width="48.7109375" customWidth="1"/>
    <col min="9217" max="9218" width="9.5703125" customWidth="1"/>
    <col min="9219" max="9220" width="10.85546875" bestFit="1" customWidth="1"/>
    <col min="9221" max="9221" width="10.140625" bestFit="1" customWidth="1"/>
    <col min="9222" max="9222" width="10.28515625" customWidth="1"/>
    <col min="9223" max="9223" width="14" bestFit="1" customWidth="1"/>
    <col min="9471" max="9471" width="7.7109375" bestFit="1" customWidth="1"/>
    <col min="9472" max="9472" width="48.7109375" customWidth="1"/>
    <col min="9473" max="9474" width="9.5703125" customWidth="1"/>
    <col min="9475" max="9476" width="10.85546875" bestFit="1" customWidth="1"/>
    <col min="9477" max="9477" width="10.140625" bestFit="1" customWidth="1"/>
    <col min="9478" max="9478" width="10.28515625" customWidth="1"/>
    <col min="9479" max="9479" width="14" bestFit="1" customWidth="1"/>
    <col min="9727" max="9727" width="7.7109375" bestFit="1" customWidth="1"/>
    <col min="9728" max="9728" width="48.7109375" customWidth="1"/>
    <col min="9729" max="9730" width="9.5703125" customWidth="1"/>
    <col min="9731" max="9732" width="10.85546875" bestFit="1" customWidth="1"/>
    <col min="9733" max="9733" width="10.140625" bestFit="1" customWidth="1"/>
    <col min="9734" max="9734" width="10.28515625" customWidth="1"/>
    <col min="9735" max="9735" width="14" bestFit="1" customWidth="1"/>
    <col min="9983" max="9983" width="7.7109375" bestFit="1" customWidth="1"/>
    <col min="9984" max="9984" width="48.7109375" customWidth="1"/>
    <col min="9985" max="9986" width="9.5703125" customWidth="1"/>
    <col min="9987" max="9988" width="10.85546875" bestFit="1" customWidth="1"/>
    <col min="9989" max="9989" width="10.140625" bestFit="1" customWidth="1"/>
    <col min="9990" max="9990" width="10.28515625" customWidth="1"/>
    <col min="9991" max="9991" width="14" bestFit="1" customWidth="1"/>
    <col min="10239" max="10239" width="7.7109375" bestFit="1" customWidth="1"/>
    <col min="10240" max="10240" width="48.7109375" customWidth="1"/>
    <col min="10241" max="10242" width="9.5703125" customWidth="1"/>
    <col min="10243" max="10244" width="10.85546875" bestFit="1" customWidth="1"/>
    <col min="10245" max="10245" width="10.140625" bestFit="1" customWidth="1"/>
    <col min="10246" max="10246" width="10.28515625" customWidth="1"/>
    <col min="10247" max="10247" width="14" bestFit="1" customWidth="1"/>
    <col min="10495" max="10495" width="7.7109375" bestFit="1" customWidth="1"/>
    <col min="10496" max="10496" width="48.7109375" customWidth="1"/>
    <col min="10497" max="10498" width="9.5703125" customWidth="1"/>
    <col min="10499" max="10500" width="10.85546875" bestFit="1" customWidth="1"/>
    <col min="10501" max="10501" width="10.140625" bestFit="1" customWidth="1"/>
    <col min="10502" max="10502" width="10.28515625" customWidth="1"/>
    <col min="10503" max="10503" width="14" bestFit="1" customWidth="1"/>
    <col min="10751" max="10751" width="7.7109375" bestFit="1" customWidth="1"/>
    <col min="10752" max="10752" width="48.7109375" customWidth="1"/>
    <col min="10753" max="10754" width="9.5703125" customWidth="1"/>
    <col min="10755" max="10756" width="10.85546875" bestFit="1" customWidth="1"/>
    <col min="10757" max="10757" width="10.140625" bestFit="1" customWidth="1"/>
    <col min="10758" max="10758" width="10.28515625" customWidth="1"/>
    <col min="10759" max="10759" width="14" bestFit="1" customWidth="1"/>
    <col min="11007" max="11007" width="7.7109375" bestFit="1" customWidth="1"/>
    <col min="11008" max="11008" width="48.7109375" customWidth="1"/>
    <col min="11009" max="11010" width="9.5703125" customWidth="1"/>
    <col min="11011" max="11012" width="10.85546875" bestFit="1" customWidth="1"/>
    <col min="11013" max="11013" width="10.140625" bestFit="1" customWidth="1"/>
    <col min="11014" max="11014" width="10.28515625" customWidth="1"/>
    <col min="11015" max="11015" width="14" bestFit="1" customWidth="1"/>
    <col min="11263" max="11263" width="7.7109375" bestFit="1" customWidth="1"/>
    <col min="11264" max="11264" width="48.7109375" customWidth="1"/>
    <col min="11265" max="11266" width="9.5703125" customWidth="1"/>
    <col min="11267" max="11268" width="10.85546875" bestFit="1" customWidth="1"/>
    <col min="11269" max="11269" width="10.140625" bestFit="1" customWidth="1"/>
    <col min="11270" max="11270" width="10.28515625" customWidth="1"/>
    <col min="11271" max="11271" width="14" bestFit="1" customWidth="1"/>
    <col min="11519" max="11519" width="7.7109375" bestFit="1" customWidth="1"/>
    <col min="11520" max="11520" width="48.7109375" customWidth="1"/>
    <col min="11521" max="11522" width="9.5703125" customWidth="1"/>
    <col min="11523" max="11524" width="10.85546875" bestFit="1" customWidth="1"/>
    <col min="11525" max="11525" width="10.140625" bestFit="1" customWidth="1"/>
    <col min="11526" max="11526" width="10.28515625" customWidth="1"/>
    <col min="11527" max="11527" width="14" bestFit="1" customWidth="1"/>
    <col min="11775" max="11775" width="7.7109375" bestFit="1" customWidth="1"/>
    <col min="11776" max="11776" width="48.7109375" customWidth="1"/>
    <col min="11777" max="11778" width="9.5703125" customWidth="1"/>
    <col min="11779" max="11780" width="10.85546875" bestFit="1" customWidth="1"/>
    <col min="11781" max="11781" width="10.140625" bestFit="1" customWidth="1"/>
    <col min="11782" max="11782" width="10.28515625" customWidth="1"/>
    <col min="11783" max="11783" width="14" bestFit="1" customWidth="1"/>
    <col min="12031" max="12031" width="7.7109375" bestFit="1" customWidth="1"/>
    <col min="12032" max="12032" width="48.7109375" customWidth="1"/>
    <col min="12033" max="12034" width="9.5703125" customWidth="1"/>
    <col min="12035" max="12036" width="10.85546875" bestFit="1" customWidth="1"/>
    <col min="12037" max="12037" width="10.140625" bestFit="1" customWidth="1"/>
    <col min="12038" max="12038" width="10.28515625" customWidth="1"/>
    <col min="12039" max="12039" width="14" bestFit="1" customWidth="1"/>
    <col min="12287" max="12287" width="7.7109375" bestFit="1" customWidth="1"/>
    <col min="12288" max="12288" width="48.7109375" customWidth="1"/>
    <col min="12289" max="12290" width="9.5703125" customWidth="1"/>
    <col min="12291" max="12292" width="10.85546875" bestFit="1" customWidth="1"/>
    <col min="12293" max="12293" width="10.140625" bestFit="1" customWidth="1"/>
    <col min="12294" max="12294" width="10.28515625" customWidth="1"/>
    <col min="12295" max="12295" width="14" bestFit="1" customWidth="1"/>
    <col min="12543" max="12543" width="7.7109375" bestFit="1" customWidth="1"/>
    <col min="12544" max="12544" width="48.7109375" customWidth="1"/>
    <col min="12545" max="12546" width="9.5703125" customWidth="1"/>
    <col min="12547" max="12548" width="10.85546875" bestFit="1" customWidth="1"/>
    <col min="12549" max="12549" width="10.140625" bestFit="1" customWidth="1"/>
    <col min="12550" max="12550" width="10.28515625" customWidth="1"/>
    <col min="12551" max="12551" width="14" bestFit="1" customWidth="1"/>
    <col min="12799" max="12799" width="7.7109375" bestFit="1" customWidth="1"/>
    <col min="12800" max="12800" width="48.7109375" customWidth="1"/>
    <col min="12801" max="12802" width="9.5703125" customWidth="1"/>
    <col min="12803" max="12804" width="10.85546875" bestFit="1" customWidth="1"/>
    <col min="12805" max="12805" width="10.140625" bestFit="1" customWidth="1"/>
    <col min="12806" max="12806" width="10.28515625" customWidth="1"/>
    <col min="12807" max="12807" width="14" bestFit="1" customWidth="1"/>
    <col min="13055" max="13055" width="7.7109375" bestFit="1" customWidth="1"/>
    <col min="13056" max="13056" width="48.7109375" customWidth="1"/>
    <col min="13057" max="13058" width="9.5703125" customWidth="1"/>
    <col min="13059" max="13060" width="10.85546875" bestFit="1" customWidth="1"/>
    <col min="13061" max="13061" width="10.140625" bestFit="1" customWidth="1"/>
    <col min="13062" max="13062" width="10.28515625" customWidth="1"/>
    <col min="13063" max="13063" width="14" bestFit="1" customWidth="1"/>
    <col min="13311" max="13311" width="7.7109375" bestFit="1" customWidth="1"/>
    <col min="13312" max="13312" width="48.7109375" customWidth="1"/>
    <col min="13313" max="13314" width="9.5703125" customWidth="1"/>
    <col min="13315" max="13316" width="10.85546875" bestFit="1" customWidth="1"/>
    <col min="13317" max="13317" width="10.140625" bestFit="1" customWidth="1"/>
    <col min="13318" max="13318" width="10.28515625" customWidth="1"/>
    <col min="13319" max="13319" width="14" bestFit="1" customWidth="1"/>
    <col min="13567" max="13567" width="7.7109375" bestFit="1" customWidth="1"/>
    <col min="13568" max="13568" width="48.7109375" customWidth="1"/>
    <col min="13569" max="13570" width="9.5703125" customWidth="1"/>
    <col min="13571" max="13572" width="10.85546875" bestFit="1" customWidth="1"/>
    <col min="13573" max="13573" width="10.140625" bestFit="1" customWidth="1"/>
    <col min="13574" max="13574" width="10.28515625" customWidth="1"/>
    <col min="13575" max="13575" width="14" bestFit="1" customWidth="1"/>
    <col min="13823" max="13823" width="7.7109375" bestFit="1" customWidth="1"/>
    <col min="13824" max="13824" width="48.7109375" customWidth="1"/>
    <col min="13825" max="13826" width="9.5703125" customWidth="1"/>
    <col min="13827" max="13828" width="10.85546875" bestFit="1" customWidth="1"/>
    <col min="13829" max="13829" width="10.140625" bestFit="1" customWidth="1"/>
    <col min="13830" max="13830" width="10.28515625" customWidth="1"/>
    <col min="13831" max="13831" width="14" bestFit="1" customWidth="1"/>
    <col min="14079" max="14079" width="7.7109375" bestFit="1" customWidth="1"/>
    <col min="14080" max="14080" width="48.7109375" customWidth="1"/>
    <col min="14081" max="14082" width="9.5703125" customWidth="1"/>
    <col min="14083" max="14084" width="10.85546875" bestFit="1" customWidth="1"/>
    <col min="14085" max="14085" width="10.140625" bestFit="1" customWidth="1"/>
    <col min="14086" max="14086" width="10.28515625" customWidth="1"/>
    <col min="14087" max="14087" width="14" bestFit="1" customWidth="1"/>
    <col min="14335" max="14335" width="7.7109375" bestFit="1" customWidth="1"/>
    <col min="14336" max="14336" width="48.7109375" customWidth="1"/>
    <col min="14337" max="14338" width="9.5703125" customWidth="1"/>
    <col min="14339" max="14340" width="10.85546875" bestFit="1" customWidth="1"/>
    <col min="14341" max="14341" width="10.140625" bestFit="1" customWidth="1"/>
    <col min="14342" max="14342" width="10.28515625" customWidth="1"/>
    <col min="14343" max="14343" width="14" bestFit="1" customWidth="1"/>
    <col min="14591" max="14591" width="7.7109375" bestFit="1" customWidth="1"/>
    <col min="14592" max="14592" width="48.7109375" customWidth="1"/>
    <col min="14593" max="14594" width="9.5703125" customWidth="1"/>
    <col min="14595" max="14596" width="10.85546875" bestFit="1" customWidth="1"/>
    <col min="14597" max="14597" width="10.140625" bestFit="1" customWidth="1"/>
    <col min="14598" max="14598" width="10.28515625" customWidth="1"/>
    <col min="14599" max="14599" width="14" bestFit="1" customWidth="1"/>
    <col min="14847" max="14847" width="7.7109375" bestFit="1" customWidth="1"/>
    <col min="14848" max="14848" width="48.7109375" customWidth="1"/>
    <col min="14849" max="14850" width="9.5703125" customWidth="1"/>
    <col min="14851" max="14852" width="10.85546875" bestFit="1" customWidth="1"/>
    <col min="14853" max="14853" width="10.140625" bestFit="1" customWidth="1"/>
    <col min="14854" max="14854" width="10.28515625" customWidth="1"/>
    <col min="14855" max="14855" width="14" bestFit="1" customWidth="1"/>
    <col min="15103" max="15103" width="7.7109375" bestFit="1" customWidth="1"/>
    <col min="15104" max="15104" width="48.7109375" customWidth="1"/>
    <col min="15105" max="15106" width="9.5703125" customWidth="1"/>
    <col min="15107" max="15108" width="10.85546875" bestFit="1" customWidth="1"/>
    <col min="15109" max="15109" width="10.140625" bestFit="1" customWidth="1"/>
    <col min="15110" max="15110" width="10.28515625" customWidth="1"/>
    <col min="15111" max="15111" width="14" bestFit="1" customWidth="1"/>
    <col min="15359" max="15359" width="7.7109375" bestFit="1" customWidth="1"/>
    <col min="15360" max="15360" width="48.7109375" customWidth="1"/>
    <col min="15361" max="15362" width="9.5703125" customWidth="1"/>
    <col min="15363" max="15364" width="10.85546875" bestFit="1" customWidth="1"/>
    <col min="15365" max="15365" width="10.140625" bestFit="1" customWidth="1"/>
    <col min="15366" max="15366" width="10.28515625" customWidth="1"/>
    <col min="15367" max="15367" width="14" bestFit="1" customWidth="1"/>
    <col min="15615" max="15615" width="7.7109375" bestFit="1" customWidth="1"/>
    <col min="15616" max="15616" width="48.7109375" customWidth="1"/>
    <col min="15617" max="15618" width="9.5703125" customWidth="1"/>
    <col min="15619" max="15620" width="10.85546875" bestFit="1" customWidth="1"/>
    <col min="15621" max="15621" width="10.140625" bestFit="1" customWidth="1"/>
    <col min="15622" max="15622" width="10.28515625" customWidth="1"/>
    <col min="15623" max="15623" width="14" bestFit="1" customWidth="1"/>
    <col min="15871" max="15871" width="7.7109375" bestFit="1" customWidth="1"/>
    <col min="15872" max="15872" width="48.7109375" customWidth="1"/>
    <col min="15873" max="15874" width="9.5703125" customWidth="1"/>
    <col min="15875" max="15876" width="10.85546875" bestFit="1" customWidth="1"/>
    <col min="15877" max="15877" width="10.140625" bestFit="1" customWidth="1"/>
    <col min="15878" max="15878" width="10.28515625" customWidth="1"/>
    <col min="15879" max="15879" width="14" bestFit="1" customWidth="1"/>
    <col min="16127" max="16127" width="7.7109375" bestFit="1" customWidth="1"/>
    <col min="16128" max="16128" width="48.7109375" customWidth="1"/>
    <col min="16129" max="16130" width="9.5703125" customWidth="1"/>
    <col min="16131" max="16132" width="10.85546875" bestFit="1" customWidth="1"/>
    <col min="16133" max="16133" width="10.140625" bestFit="1" customWidth="1"/>
    <col min="16134" max="16134" width="10.28515625" customWidth="1"/>
    <col min="16135" max="16135" width="14" bestFit="1" customWidth="1"/>
  </cols>
  <sheetData>
    <row r="1" spans="1:33" x14ac:dyDescent="0.25">
      <c r="A1" s="283" t="s">
        <v>1375</v>
      </c>
      <c r="B1" s="237" t="s">
        <v>1365</v>
      </c>
      <c r="C1" s="746"/>
      <c r="D1" s="753"/>
      <c r="E1" s="753"/>
      <c r="F1" s="746" t="s">
        <v>1366</v>
      </c>
      <c r="G1" s="753"/>
      <c r="H1" s="753"/>
      <c r="I1" s="746" t="s">
        <v>1376</v>
      </c>
      <c r="J1" s="741"/>
      <c r="K1" s="741"/>
      <c r="L1" s="746" t="s">
        <v>1377</v>
      </c>
      <c r="M1" s="741"/>
      <c r="N1" s="741"/>
      <c r="O1" s="746"/>
      <c r="P1" s="741"/>
      <c r="Q1" s="741"/>
      <c r="R1" s="746" t="s">
        <v>1377</v>
      </c>
      <c r="S1" s="746" t="s">
        <v>1366</v>
      </c>
      <c r="T1" s="746" t="s">
        <v>1376</v>
      </c>
      <c r="U1" s="746" t="s">
        <v>1377</v>
      </c>
      <c r="V1" s="746"/>
    </row>
    <row r="2" spans="1:33" ht="15" customHeight="1" x14ac:dyDescent="0.25">
      <c r="A2" s="939" t="s">
        <v>545</v>
      </c>
      <c r="B2" s="910" t="s">
        <v>306</v>
      </c>
      <c r="C2" s="906" t="s">
        <v>345</v>
      </c>
      <c r="D2" s="945" t="s">
        <v>1213</v>
      </c>
      <c r="E2" s="945" t="s">
        <v>1212</v>
      </c>
      <c r="F2" s="940" t="s">
        <v>345</v>
      </c>
      <c r="G2" s="941"/>
      <c r="H2" s="941"/>
      <c r="I2" s="941"/>
      <c r="J2" s="941"/>
      <c r="K2" s="941"/>
      <c r="L2" s="941"/>
      <c r="M2" s="941"/>
      <c r="N2" s="941"/>
      <c r="O2" s="941"/>
      <c r="P2" s="941"/>
      <c r="Q2" s="941"/>
      <c r="R2" s="941"/>
      <c r="S2" s="941"/>
      <c r="T2" s="941"/>
      <c r="U2" s="941"/>
      <c r="V2" s="941"/>
      <c r="W2" s="872"/>
      <c r="X2" s="872"/>
      <c r="Y2" s="872"/>
      <c r="Z2" s="872"/>
      <c r="AA2" s="872"/>
      <c r="AB2" s="872"/>
      <c r="AC2" s="872"/>
      <c r="AD2" s="872"/>
      <c r="AE2" s="872"/>
      <c r="AF2" s="872"/>
      <c r="AG2" s="872"/>
    </row>
    <row r="3" spans="1:33" s="31" customFormat="1" x14ac:dyDescent="0.25">
      <c r="A3" s="939"/>
      <c r="B3" s="910"/>
      <c r="C3" s="906"/>
      <c r="D3" s="945"/>
      <c r="E3" s="945"/>
      <c r="F3" s="943"/>
      <c r="G3" s="944"/>
      <c r="H3" s="944"/>
      <c r="I3" s="944"/>
      <c r="J3" s="944"/>
      <c r="K3" s="944"/>
      <c r="L3" s="944"/>
      <c r="M3" s="944"/>
      <c r="N3" s="944"/>
      <c r="O3" s="944"/>
      <c r="P3" s="944"/>
      <c r="Q3" s="944"/>
      <c r="R3" s="944"/>
      <c r="S3" s="944"/>
      <c r="T3" s="944"/>
      <c r="U3" s="944"/>
      <c r="V3" s="944"/>
      <c r="W3" s="872"/>
      <c r="X3" s="872"/>
      <c r="Y3" s="872"/>
      <c r="Z3" s="872"/>
      <c r="AA3" s="872"/>
      <c r="AB3" s="872"/>
      <c r="AC3" s="872"/>
      <c r="AD3" s="872"/>
      <c r="AE3" s="872"/>
      <c r="AF3" s="872"/>
      <c r="AG3" s="872"/>
    </row>
    <row r="4" spans="1:33" s="31" customFormat="1" ht="45" customHeight="1" x14ac:dyDescent="0.25">
      <c r="A4" s="907"/>
      <c r="B4" s="911"/>
      <c r="C4" s="591" t="s">
        <v>1187</v>
      </c>
      <c r="D4" s="946" t="s">
        <v>1368</v>
      </c>
      <c r="E4" s="946"/>
      <c r="F4" s="946"/>
      <c r="G4" s="946" t="s">
        <v>1398</v>
      </c>
      <c r="H4" s="946"/>
      <c r="I4" s="946"/>
      <c r="J4" s="946" t="s">
        <v>1399</v>
      </c>
      <c r="K4" s="946"/>
      <c r="L4" s="946"/>
      <c r="M4" s="946" t="s">
        <v>1246</v>
      </c>
      <c r="N4" s="946"/>
      <c r="O4" s="946"/>
      <c r="P4" s="946" t="s">
        <v>1387</v>
      </c>
      <c r="Q4" s="946"/>
      <c r="R4" s="946"/>
      <c r="S4" s="818" t="s">
        <v>1415</v>
      </c>
      <c r="T4" s="856" t="s">
        <v>1460</v>
      </c>
      <c r="U4" s="882" t="s">
        <v>1462</v>
      </c>
      <c r="V4" s="882" t="s">
        <v>1456</v>
      </c>
      <c r="X4" s="817"/>
      <c r="Y4" s="817"/>
      <c r="Z4" s="817"/>
      <c r="AA4" s="817"/>
    </row>
    <row r="5" spans="1:33" s="31" customFormat="1" x14ac:dyDescent="0.25">
      <c r="A5" s="636" t="s">
        <v>1266</v>
      </c>
      <c r="B5" s="637" t="s">
        <v>1296</v>
      </c>
      <c r="C5" s="638">
        <f>C6+C75</f>
        <v>948585</v>
      </c>
      <c r="D5" s="677">
        <f t="shared" ref="D5:Q5" si="0">D6+D75</f>
        <v>97</v>
      </c>
      <c r="E5" s="677">
        <f t="shared" si="0"/>
        <v>0</v>
      </c>
      <c r="F5" s="638">
        <f t="shared" si="0"/>
        <v>438102</v>
      </c>
      <c r="G5" s="638">
        <f t="shared" si="0"/>
        <v>5540</v>
      </c>
      <c r="H5" s="638">
        <f t="shared" si="0"/>
        <v>5468</v>
      </c>
      <c r="I5" s="638">
        <f t="shared" si="0"/>
        <v>516071</v>
      </c>
      <c r="J5" s="638">
        <f t="shared" si="0"/>
        <v>11097</v>
      </c>
      <c r="K5" s="638">
        <f t="shared" si="0"/>
        <v>11036</v>
      </c>
      <c r="L5" s="638">
        <f t="shared" si="0"/>
        <v>578803</v>
      </c>
      <c r="M5" s="638">
        <f t="shared" si="0"/>
        <v>11097</v>
      </c>
      <c r="N5" s="638">
        <f t="shared" si="0"/>
        <v>11036</v>
      </c>
      <c r="O5" s="638">
        <f t="shared" si="0"/>
        <v>793028</v>
      </c>
      <c r="P5" s="638">
        <f t="shared" si="0"/>
        <v>11036</v>
      </c>
      <c r="Q5" s="638">
        <f t="shared" si="0"/>
        <v>11036</v>
      </c>
      <c r="R5" s="638">
        <f>R6+R75</f>
        <v>173657</v>
      </c>
      <c r="S5" s="638">
        <f t="shared" ref="S5:T5" si="1">S6+S75</f>
        <v>475400</v>
      </c>
      <c r="T5" s="638">
        <f t="shared" si="1"/>
        <v>622363</v>
      </c>
      <c r="U5" s="638">
        <f t="shared" ref="U5:V5" si="2">U6+U75</f>
        <v>704107</v>
      </c>
      <c r="V5" s="638">
        <f t="shared" si="2"/>
        <v>336764</v>
      </c>
      <c r="X5" s="817"/>
      <c r="Y5" s="817"/>
      <c r="Z5" s="817"/>
      <c r="AA5" s="817"/>
    </row>
    <row r="6" spans="1:33" x14ac:dyDescent="0.25">
      <c r="A6" s="277" t="s">
        <v>309</v>
      </c>
      <c r="B6" s="278" t="s">
        <v>348</v>
      </c>
      <c r="C6" s="279">
        <f>C7+C12+C17+C20+C23+C27+C32+C37+C41+C45+C51+C55+C60+C65+C70</f>
        <v>948225</v>
      </c>
      <c r="D6" s="345">
        <f t="shared" ref="D6:Q6" si="3">D7+D12+D17+D20+D23+D27+D32+D37+D41+D45+D51+D55+D60+D65+D70</f>
        <v>97</v>
      </c>
      <c r="E6" s="345">
        <f t="shared" si="3"/>
        <v>0</v>
      </c>
      <c r="F6" s="279">
        <f t="shared" si="3"/>
        <v>438102</v>
      </c>
      <c r="G6" s="279">
        <f t="shared" si="3"/>
        <v>5540</v>
      </c>
      <c r="H6" s="279">
        <f t="shared" si="3"/>
        <v>5468</v>
      </c>
      <c r="I6" s="279">
        <f t="shared" si="3"/>
        <v>516071</v>
      </c>
      <c r="J6" s="279">
        <f t="shared" si="3"/>
        <v>11097</v>
      </c>
      <c r="K6" s="279">
        <f t="shared" si="3"/>
        <v>11036</v>
      </c>
      <c r="L6" s="279">
        <f t="shared" si="3"/>
        <v>578803</v>
      </c>
      <c r="M6" s="279">
        <f t="shared" si="3"/>
        <v>11097</v>
      </c>
      <c r="N6" s="279">
        <f t="shared" si="3"/>
        <v>11036</v>
      </c>
      <c r="O6" s="279">
        <f t="shared" si="3"/>
        <v>793028</v>
      </c>
      <c r="P6" s="279">
        <f t="shared" si="3"/>
        <v>11036</v>
      </c>
      <c r="Q6" s="279">
        <f t="shared" si="3"/>
        <v>11036</v>
      </c>
      <c r="R6" s="279">
        <f>R7+R12+R17+R20+R23+R27+R32+R37+R41+R45+R51+R55+R60+R65+R70</f>
        <v>173657</v>
      </c>
      <c r="S6" s="279">
        <f t="shared" ref="S6:T6" si="4">S7+S12+S17+S20+S23+S27+S32+S37+S41+S45+S51+S55+S60+S65+S70</f>
        <v>475400</v>
      </c>
      <c r="T6" s="279">
        <f t="shared" si="4"/>
        <v>622363</v>
      </c>
      <c r="U6" s="279">
        <f t="shared" ref="U6" si="5">U7+U12+U17+U20+U23+U27+U32+U37+U41+U45+U51+U55+U60+U65+U70</f>
        <v>704107</v>
      </c>
      <c r="V6" s="279">
        <f>V7+V12+V17+V20+V23+V27+V32+V37+V41+V45+V51+V55+V60+V65+V70+3717</f>
        <v>336764</v>
      </c>
    </row>
    <row r="7" spans="1:33" s="359" customFormat="1" x14ac:dyDescent="0.25">
      <c r="A7" s="363" t="s">
        <v>311</v>
      </c>
      <c r="B7" s="364" t="s">
        <v>1300</v>
      </c>
      <c r="C7" s="365">
        <f>SUM(C8:C11)</f>
        <v>65283</v>
      </c>
      <c r="D7" s="366">
        <v>5</v>
      </c>
      <c r="E7" s="366"/>
      <c r="F7" s="365">
        <f>SUM(F8:F11)</f>
        <v>155942</v>
      </c>
      <c r="G7" s="366">
        <v>5</v>
      </c>
      <c r="H7" s="366"/>
      <c r="I7" s="365">
        <f>SUM(I8:I11)</f>
        <v>156130</v>
      </c>
      <c r="J7" s="366">
        <v>5</v>
      </c>
      <c r="K7" s="366"/>
      <c r="L7" s="365">
        <f>SUM(L8:L11)</f>
        <v>182285</v>
      </c>
      <c r="M7" s="366">
        <v>5</v>
      </c>
      <c r="N7" s="366"/>
      <c r="O7" s="365">
        <f>SUM(O8:O11)</f>
        <v>155942</v>
      </c>
      <c r="P7" s="366">
        <v>0</v>
      </c>
      <c r="Q7" s="366"/>
      <c r="R7" s="365">
        <f>SUM(R8:R10)</f>
        <v>48359</v>
      </c>
      <c r="S7" s="365">
        <f>SUM(S8:S11)</f>
        <v>178965</v>
      </c>
      <c r="T7" s="365">
        <f>SUM(T8:T11)</f>
        <v>208635</v>
      </c>
      <c r="U7" s="365">
        <f>SUM(U8:U11)</f>
        <v>222850</v>
      </c>
      <c r="V7" s="365">
        <f>SUM(V8:V10)</f>
        <v>116115</v>
      </c>
    </row>
    <row r="8" spans="1:33" s="359" customFormat="1" x14ac:dyDescent="0.25">
      <c r="A8" s="367"/>
      <c r="B8" s="351" t="s">
        <v>286</v>
      </c>
      <c r="C8" s="368">
        <v>18161</v>
      </c>
      <c r="D8" s="369"/>
      <c r="E8" s="369"/>
      <c r="F8" s="368">
        <v>104847</v>
      </c>
      <c r="G8" s="368">
        <v>104847</v>
      </c>
      <c r="H8" s="368">
        <v>104847</v>
      </c>
      <c r="I8" s="368">
        <v>104847</v>
      </c>
      <c r="J8" s="368">
        <v>104847</v>
      </c>
      <c r="K8" s="368">
        <v>104847</v>
      </c>
      <c r="L8" s="368">
        <v>106130</v>
      </c>
      <c r="M8" s="368">
        <v>104847</v>
      </c>
      <c r="N8" s="368">
        <v>104847</v>
      </c>
      <c r="O8" s="368">
        <v>104847</v>
      </c>
      <c r="P8" s="368">
        <v>104847</v>
      </c>
      <c r="Q8" s="368">
        <v>104847</v>
      </c>
      <c r="R8" s="368">
        <v>35339</v>
      </c>
      <c r="S8" s="368">
        <v>107638</v>
      </c>
      <c r="T8" s="368">
        <v>107638</v>
      </c>
      <c r="U8" s="368">
        <v>114370</v>
      </c>
      <c r="V8" s="368">
        <v>53427</v>
      </c>
    </row>
    <row r="9" spans="1:33" s="359" customFormat="1" x14ac:dyDescent="0.25">
      <c r="A9" s="367"/>
      <c r="B9" s="351" t="s">
        <v>350</v>
      </c>
      <c r="C9" s="368">
        <v>4254</v>
      </c>
      <c r="D9" s="369"/>
      <c r="E9" s="369"/>
      <c r="F9" s="368">
        <v>22180</v>
      </c>
      <c r="G9" s="368">
        <v>22180</v>
      </c>
      <c r="H9" s="368">
        <v>22180</v>
      </c>
      <c r="I9" s="368">
        <v>23213</v>
      </c>
      <c r="J9" s="368">
        <v>22180</v>
      </c>
      <c r="K9" s="368">
        <v>22180</v>
      </c>
      <c r="L9" s="368">
        <v>22286</v>
      </c>
      <c r="M9" s="368">
        <v>22180</v>
      </c>
      <c r="N9" s="368">
        <v>22180</v>
      </c>
      <c r="O9" s="368">
        <v>22180</v>
      </c>
      <c r="P9" s="368">
        <v>22180</v>
      </c>
      <c r="Q9" s="368">
        <v>22180</v>
      </c>
      <c r="R9" s="368">
        <v>6970</v>
      </c>
      <c r="S9" s="368">
        <v>22412</v>
      </c>
      <c r="T9" s="368">
        <v>22412</v>
      </c>
      <c r="U9" s="368">
        <v>25073</v>
      </c>
      <c r="V9" s="368">
        <v>10211</v>
      </c>
    </row>
    <row r="10" spans="1:33" s="359" customFormat="1" x14ac:dyDescent="0.25">
      <c r="A10" s="367"/>
      <c r="B10" s="351" t="s">
        <v>292</v>
      </c>
      <c r="C10" s="368">
        <v>41280</v>
      </c>
      <c r="D10" s="369"/>
      <c r="E10" s="369"/>
      <c r="F10" s="368">
        <v>28915</v>
      </c>
      <c r="G10" s="368">
        <v>28915</v>
      </c>
      <c r="H10" s="368">
        <v>28915</v>
      </c>
      <c r="I10" s="368">
        <v>28070</v>
      </c>
      <c r="J10" s="368">
        <v>28915</v>
      </c>
      <c r="K10" s="368">
        <v>28915</v>
      </c>
      <c r="L10" s="368">
        <v>53869</v>
      </c>
      <c r="M10" s="368">
        <v>28915</v>
      </c>
      <c r="N10" s="368">
        <v>28915</v>
      </c>
      <c r="O10" s="368">
        <v>28915</v>
      </c>
      <c r="P10" s="368">
        <v>28915</v>
      </c>
      <c r="Q10" s="368">
        <v>28915</v>
      </c>
      <c r="R10" s="368">
        <v>6050</v>
      </c>
      <c r="S10" s="368">
        <v>48915</v>
      </c>
      <c r="T10" s="368">
        <v>78585</v>
      </c>
      <c r="U10" s="368">
        <v>80499</v>
      </c>
      <c r="V10" s="368">
        <v>52477</v>
      </c>
    </row>
    <row r="11" spans="1:33" s="359" customFormat="1" x14ac:dyDescent="0.25">
      <c r="A11" s="367"/>
      <c r="B11" s="351" t="s">
        <v>351</v>
      </c>
      <c r="C11" s="368">
        <v>1588</v>
      </c>
      <c r="D11" s="369"/>
      <c r="E11" s="369"/>
      <c r="F11" s="368">
        <v>0</v>
      </c>
      <c r="G11" s="368">
        <v>0</v>
      </c>
      <c r="H11" s="368">
        <v>0</v>
      </c>
      <c r="I11" s="368">
        <v>0</v>
      </c>
      <c r="J11" s="368">
        <v>0</v>
      </c>
      <c r="K11" s="368">
        <v>0</v>
      </c>
      <c r="L11" s="368">
        <v>0</v>
      </c>
      <c r="M11" s="368">
        <v>0</v>
      </c>
      <c r="N11" s="368">
        <v>0</v>
      </c>
      <c r="O11" s="368">
        <v>0</v>
      </c>
      <c r="P11" s="368">
        <v>0</v>
      </c>
      <c r="Q11" s="368">
        <v>0</v>
      </c>
      <c r="R11" s="368">
        <v>0</v>
      </c>
      <c r="S11" s="368"/>
      <c r="T11" s="368"/>
      <c r="U11" s="368">
        <v>2908</v>
      </c>
      <c r="V11" s="368">
        <v>0</v>
      </c>
    </row>
    <row r="12" spans="1:33" s="359" customFormat="1" x14ac:dyDescent="0.25">
      <c r="A12" s="363" t="s">
        <v>322</v>
      </c>
      <c r="B12" s="364" t="s">
        <v>548</v>
      </c>
      <c r="C12" s="365">
        <f>SUM(C13:C16)</f>
        <v>98721</v>
      </c>
      <c r="D12" s="366">
        <v>22</v>
      </c>
      <c r="E12" s="366"/>
      <c r="F12" s="365">
        <f>SUM(F13:F16)</f>
        <v>30186</v>
      </c>
      <c r="G12" s="366">
        <v>22</v>
      </c>
      <c r="H12" s="366"/>
      <c r="I12" s="365">
        <f>SUM(I13:I16)</f>
        <v>30186</v>
      </c>
      <c r="J12" s="366">
        <v>22</v>
      </c>
      <c r="K12" s="366"/>
      <c r="L12" s="365">
        <f>SUM(L13:L16)</f>
        <v>30186</v>
      </c>
      <c r="M12" s="366">
        <v>22</v>
      </c>
      <c r="N12" s="366"/>
      <c r="O12" s="365">
        <f>SUM(O13:O16)</f>
        <v>30186</v>
      </c>
      <c r="P12" s="366">
        <v>0</v>
      </c>
      <c r="Q12" s="366"/>
      <c r="R12" s="365">
        <f>SUM(R13:R15)</f>
        <v>9935</v>
      </c>
      <c r="S12" s="365">
        <f>SUM(S13:S16)</f>
        <v>39872</v>
      </c>
      <c r="T12" s="365">
        <f>SUM(T13:T16)</f>
        <v>39872</v>
      </c>
      <c r="U12" s="365">
        <f>SUM(U13:U16)</f>
        <v>46178</v>
      </c>
      <c r="V12" s="365">
        <f>SUM(V13:V15)</f>
        <v>13598</v>
      </c>
    </row>
    <row r="13" spans="1:33" s="359" customFormat="1" x14ac:dyDescent="0.25">
      <c r="A13" s="367"/>
      <c r="B13" s="351" t="s">
        <v>286</v>
      </c>
      <c r="C13" s="368">
        <v>57303</v>
      </c>
      <c r="D13" s="369"/>
      <c r="E13" s="369"/>
      <c r="F13" s="368">
        <v>17283</v>
      </c>
      <c r="G13" s="368">
        <v>17283</v>
      </c>
      <c r="H13" s="368">
        <v>17283</v>
      </c>
      <c r="I13" s="368">
        <v>17283</v>
      </c>
      <c r="J13" s="368">
        <v>17283</v>
      </c>
      <c r="K13" s="368">
        <v>17283</v>
      </c>
      <c r="L13" s="368">
        <v>17283</v>
      </c>
      <c r="M13" s="368">
        <v>17283</v>
      </c>
      <c r="N13" s="368">
        <v>17283</v>
      </c>
      <c r="O13" s="368">
        <v>17283</v>
      </c>
      <c r="P13" s="368">
        <v>17283</v>
      </c>
      <c r="Q13" s="368">
        <v>17283</v>
      </c>
      <c r="R13" s="368">
        <v>5121</v>
      </c>
      <c r="S13" s="368">
        <v>18667</v>
      </c>
      <c r="T13" s="368">
        <v>18667</v>
      </c>
      <c r="U13" s="368">
        <v>18667</v>
      </c>
      <c r="V13" s="368">
        <v>8129</v>
      </c>
    </row>
    <row r="14" spans="1:33" s="359" customFormat="1" x14ac:dyDescent="0.25">
      <c r="A14" s="367"/>
      <c r="B14" s="351" t="s">
        <v>350</v>
      </c>
      <c r="C14" s="368">
        <v>13718</v>
      </c>
      <c r="D14" s="369"/>
      <c r="E14" s="369"/>
      <c r="F14" s="368">
        <v>3403</v>
      </c>
      <c r="G14" s="368">
        <v>3403</v>
      </c>
      <c r="H14" s="368">
        <v>3403</v>
      </c>
      <c r="I14" s="368">
        <v>3403</v>
      </c>
      <c r="J14" s="368">
        <v>3403</v>
      </c>
      <c r="K14" s="368">
        <v>3403</v>
      </c>
      <c r="L14" s="368">
        <v>3403</v>
      </c>
      <c r="M14" s="368">
        <v>3403</v>
      </c>
      <c r="N14" s="368">
        <v>3403</v>
      </c>
      <c r="O14" s="368">
        <v>3403</v>
      </c>
      <c r="P14" s="368">
        <v>3403</v>
      </c>
      <c r="Q14" s="368">
        <v>3403</v>
      </c>
      <c r="R14" s="368">
        <v>1123</v>
      </c>
      <c r="S14" s="368">
        <v>3640</v>
      </c>
      <c r="T14" s="368">
        <v>3640</v>
      </c>
      <c r="U14" s="368">
        <v>3640</v>
      </c>
      <c r="V14" s="368">
        <v>1752</v>
      </c>
    </row>
    <row r="15" spans="1:33" s="359" customFormat="1" x14ac:dyDescent="0.25">
      <c r="A15" s="367"/>
      <c r="B15" s="351" t="s">
        <v>292</v>
      </c>
      <c r="C15" s="368">
        <v>26500</v>
      </c>
      <c r="D15" s="369"/>
      <c r="E15" s="369"/>
      <c r="F15" s="368">
        <v>9500</v>
      </c>
      <c r="G15" s="368">
        <v>9500</v>
      </c>
      <c r="H15" s="368">
        <v>9500</v>
      </c>
      <c r="I15" s="368">
        <v>9500</v>
      </c>
      <c r="J15" s="368">
        <v>9500</v>
      </c>
      <c r="K15" s="368">
        <v>9500</v>
      </c>
      <c r="L15" s="368">
        <v>9500</v>
      </c>
      <c r="M15" s="368">
        <v>9500</v>
      </c>
      <c r="N15" s="368">
        <v>9500</v>
      </c>
      <c r="O15" s="368">
        <v>9500</v>
      </c>
      <c r="P15" s="368">
        <v>9500</v>
      </c>
      <c r="Q15" s="368">
        <v>9500</v>
      </c>
      <c r="R15" s="368">
        <v>3691</v>
      </c>
      <c r="S15" s="368">
        <v>17565</v>
      </c>
      <c r="T15" s="368">
        <v>17565</v>
      </c>
      <c r="U15" s="368">
        <v>17565</v>
      </c>
      <c r="V15" s="368">
        <v>3717</v>
      </c>
    </row>
    <row r="16" spans="1:33" s="359" customFormat="1" x14ac:dyDescent="0.25">
      <c r="A16" s="367"/>
      <c r="B16" s="351" t="s">
        <v>342</v>
      </c>
      <c r="C16" s="368">
        <v>1200</v>
      </c>
      <c r="D16" s="369"/>
      <c r="E16" s="369"/>
      <c r="F16" s="368">
        <v>0</v>
      </c>
      <c r="G16" s="368">
        <v>0</v>
      </c>
      <c r="H16" s="368">
        <v>0</v>
      </c>
      <c r="I16" s="368">
        <v>0</v>
      </c>
      <c r="J16" s="368">
        <v>0</v>
      </c>
      <c r="K16" s="368">
        <v>0</v>
      </c>
      <c r="L16" s="368">
        <v>0</v>
      </c>
      <c r="M16" s="368">
        <v>0</v>
      </c>
      <c r="N16" s="368">
        <v>0</v>
      </c>
      <c r="O16" s="368">
        <v>0</v>
      </c>
      <c r="P16" s="368">
        <v>0</v>
      </c>
      <c r="Q16" s="368">
        <v>0</v>
      </c>
      <c r="R16" s="368">
        <v>0</v>
      </c>
      <c r="S16" s="368">
        <v>0</v>
      </c>
      <c r="T16" s="368">
        <v>0</v>
      </c>
      <c r="U16" s="368">
        <v>6306</v>
      </c>
      <c r="V16" s="368">
        <v>0</v>
      </c>
    </row>
    <row r="17" spans="1:22" s="359" customFormat="1" x14ac:dyDescent="0.25">
      <c r="A17" s="363" t="s">
        <v>315</v>
      </c>
      <c r="B17" s="364" t="s">
        <v>549</v>
      </c>
      <c r="C17" s="365">
        <f>SUM(C18:C19)</f>
        <v>49236</v>
      </c>
      <c r="D17" s="366"/>
      <c r="E17" s="366"/>
      <c r="F17" s="365">
        <f>SUM(F18:F19)</f>
        <v>43000</v>
      </c>
      <c r="G17" s="366"/>
      <c r="H17" s="366"/>
      <c r="I17" s="365">
        <f>SUM(I18:I19)</f>
        <v>43000</v>
      </c>
      <c r="J17" s="366"/>
      <c r="K17" s="366"/>
      <c r="L17" s="365">
        <f>SUM(L18:L19)</f>
        <v>43000</v>
      </c>
      <c r="M17" s="366"/>
      <c r="N17" s="366"/>
      <c r="O17" s="365">
        <f>SUM(O18:O19)</f>
        <v>44212</v>
      </c>
      <c r="P17" s="366"/>
      <c r="Q17" s="366"/>
      <c r="R17" s="365">
        <f>SUM(R18:R19)</f>
        <v>4646</v>
      </c>
      <c r="S17" s="365">
        <f>SUM(S18:S19)</f>
        <v>45000</v>
      </c>
      <c r="T17" s="365">
        <f>SUM(T18:T19)</f>
        <v>45000</v>
      </c>
      <c r="U17" s="365">
        <f>SUM(U18:U19)</f>
        <v>45000</v>
      </c>
      <c r="V17" s="365">
        <f>SUM(V18:V19)</f>
        <v>22500</v>
      </c>
    </row>
    <row r="18" spans="1:22" s="359" customFormat="1" x14ac:dyDescent="0.25">
      <c r="A18" s="367"/>
      <c r="B18" s="351" t="s">
        <v>292</v>
      </c>
      <c r="C18" s="368">
        <v>47648</v>
      </c>
      <c r="D18" s="369"/>
      <c r="E18" s="369"/>
      <c r="F18" s="368">
        <v>43000</v>
      </c>
      <c r="G18" s="368">
        <v>43000</v>
      </c>
      <c r="H18" s="368">
        <v>43000</v>
      </c>
      <c r="I18" s="368">
        <v>43000</v>
      </c>
      <c r="J18" s="368">
        <v>43000</v>
      </c>
      <c r="K18" s="368">
        <v>43000</v>
      </c>
      <c r="L18" s="368">
        <v>43000</v>
      </c>
      <c r="M18" s="368">
        <v>43000</v>
      </c>
      <c r="N18" s="368">
        <v>43000</v>
      </c>
      <c r="O18" s="368">
        <v>43000</v>
      </c>
      <c r="P18" s="368">
        <v>43000</v>
      </c>
      <c r="Q18" s="368">
        <v>43000</v>
      </c>
      <c r="R18" s="368">
        <v>4646</v>
      </c>
      <c r="S18" s="368">
        <v>45000</v>
      </c>
      <c r="T18" s="368">
        <v>45000</v>
      </c>
      <c r="U18" s="368">
        <v>45000</v>
      </c>
      <c r="V18" s="368">
        <v>22500</v>
      </c>
    </row>
    <row r="19" spans="1:22" s="359" customFormat="1" hidden="1" x14ac:dyDescent="0.25">
      <c r="A19" s="367"/>
      <c r="B19" s="351" t="s">
        <v>351</v>
      </c>
      <c r="C19" s="368">
        <v>1588</v>
      </c>
      <c r="D19" s="369"/>
      <c r="E19" s="369"/>
      <c r="F19" s="368">
        <v>0</v>
      </c>
      <c r="G19" s="369"/>
      <c r="H19" s="369"/>
      <c r="I19" s="368">
        <v>0</v>
      </c>
      <c r="J19" s="369"/>
      <c r="K19" s="369"/>
      <c r="L19" s="368"/>
      <c r="M19" s="369"/>
      <c r="N19" s="369"/>
      <c r="O19" s="368">
        <v>1212</v>
      </c>
      <c r="P19" s="369"/>
      <c r="Q19" s="369"/>
      <c r="R19" s="368">
        <v>0</v>
      </c>
      <c r="S19" s="368"/>
      <c r="T19" s="368"/>
      <c r="U19" s="368"/>
      <c r="V19" s="368">
        <v>0</v>
      </c>
    </row>
    <row r="20" spans="1:22" s="359" customFormat="1" x14ac:dyDescent="0.25">
      <c r="A20" s="363" t="s">
        <v>336</v>
      </c>
      <c r="B20" s="364" t="s">
        <v>550</v>
      </c>
      <c r="C20" s="365">
        <f>SUM(C21:C22)</f>
        <v>66838</v>
      </c>
      <c r="D20" s="366"/>
      <c r="E20" s="366"/>
      <c r="F20" s="365">
        <f>SUM(F21:F22)</f>
        <v>9500</v>
      </c>
      <c r="G20" s="366"/>
      <c r="H20" s="366"/>
      <c r="I20" s="365">
        <f>SUM(I21:I22)</f>
        <v>9500</v>
      </c>
      <c r="J20" s="366"/>
      <c r="K20" s="366"/>
      <c r="L20" s="365">
        <f>SUM(L21:L22)</f>
        <v>9500</v>
      </c>
      <c r="M20" s="366"/>
      <c r="N20" s="366"/>
      <c r="O20" s="365">
        <f>SUM(O21:O22)</f>
        <v>9828</v>
      </c>
      <c r="P20" s="366"/>
      <c r="Q20" s="366"/>
      <c r="R20" s="365">
        <f>SUM(R21:R22)</f>
        <v>0</v>
      </c>
      <c r="S20" s="365">
        <f>SUM(S21:S22)</f>
        <v>0</v>
      </c>
      <c r="T20" s="365">
        <v>0</v>
      </c>
      <c r="U20" s="365">
        <v>0</v>
      </c>
      <c r="V20" s="365">
        <f>SUM(V21:V22)</f>
        <v>2400</v>
      </c>
    </row>
    <row r="21" spans="1:22" s="359" customFormat="1" x14ac:dyDescent="0.25">
      <c r="A21" s="367"/>
      <c r="B21" s="351" t="s">
        <v>292</v>
      </c>
      <c r="C21" s="368">
        <v>65250</v>
      </c>
      <c r="D21" s="369"/>
      <c r="E21" s="369"/>
      <c r="F21" s="368">
        <v>9500</v>
      </c>
      <c r="G21" s="368">
        <v>9500</v>
      </c>
      <c r="H21" s="368">
        <v>9500</v>
      </c>
      <c r="I21" s="368">
        <v>9500</v>
      </c>
      <c r="J21" s="368">
        <v>9500</v>
      </c>
      <c r="K21" s="368">
        <v>9500</v>
      </c>
      <c r="L21" s="368">
        <v>9500</v>
      </c>
      <c r="M21" s="368">
        <v>9500</v>
      </c>
      <c r="N21" s="368">
        <v>9500</v>
      </c>
      <c r="O21" s="368">
        <v>9500</v>
      </c>
      <c r="P21" s="368">
        <v>9500</v>
      </c>
      <c r="Q21" s="368">
        <v>9500</v>
      </c>
      <c r="R21" s="368">
        <v>0</v>
      </c>
      <c r="S21" s="368"/>
      <c r="T21" s="368"/>
      <c r="U21" s="368"/>
      <c r="V21" s="368">
        <v>2400</v>
      </c>
    </row>
    <row r="22" spans="1:22" s="359" customFormat="1" hidden="1" x14ac:dyDescent="0.25">
      <c r="A22" s="367"/>
      <c r="B22" s="351" t="s">
        <v>351</v>
      </c>
      <c r="C22" s="368">
        <v>1588</v>
      </c>
      <c r="D22" s="369"/>
      <c r="E22" s="369"/>
      <c r="F22" s="368"/>
      <c r="G22" s="369"/>
      <c r="H22" s="369"/>
      <c r="I22" s="368"/>
      <c r="J22" s="369"/>
      <c r="K22" s="369"/>
      <c r="L22" s="368"/>
      <c r="M22" s="369"/>
      <c r="N22" s="369"/>
      <c r="O22" s="368">
        <v>328</v>
      </c>
      <c r="P22" s="369"/>
      <c r="Q22" s="369"/>
      <c r="R22" s="368">
        <v>0</v>
      </c>
      <c r="S22" s="368"/>
      <c r="T22" s="368"/>
      <c r="U22" s="368"/>
      <c r="V22" s="368">
        <v>0</v>
      </c>
    </row>
    <row r="23" spans="1:22" s="359" customFormat="1" x14ac:dyDescent="0.25">
      <c r="A23" s="363" t="s">
        <v>338</v>
      </c>
      <c r="B23" s="364" t="s">
        <v>551</v>
      </c>
      <c r="C23" s="365">
        <f>SUM(C24:C26)</f>
        <v>12430</v>
      </c>
      <c r="D23" s="366"/>
      <c r="E23" s="366"/>
      <c r="F23" s="365">
        <f>SUM(F24:F26)</f>
        <v>7638</v>
      </c>
      <c r="G23" s="366"/>
      <c r="H23" s="366"/>
      <c r="I23" s="365">
        <f>SUM(I24:I26)</f>
        <v>7638</v>
      </c>
      <c r="J23" s="366"/>
      <c r="K23" s="366"/>
      <c r="L23" s="365">
        <f>SUM(L24:L26)</f>
        <v>7638</v>
      </c>
      <c r="M23" s="366"/>
      <c r="N23" s="366"/>
      <c r="O23" s="365">
        <f>SUM(O24:O26)</f>
        <v>7638</v>
      </c>
      <c r="P23" s="366"/>
      <c r="Q23" s="366"/>
      <c r="R23" s="365">
        <f>SUM(R24:R26)</f>
        <v>0</v>
      </c>
      <c r="S23" s="365">
        <f>SUM(S24:S26)</f>
        <v>8056</v>
      </c>
      <c r="T23" s="365">
        <f>SUM(T24:T26)</f>
        <v>8056</v>
      </c>
      <c r="U23" s="365">
        <f>SUM(U24:U26)</f>
        <v>8056</v>
      </c>
      <c r="V23" s="365">
        <f>SUM(V24:V26)</f>
        <v>7</v>
      </c>
    </row>
    <row r="24" spans="1:22" s="359" customFormat="1" x14ac:dyDescent="0.25">
      <c r="A24" s="367"/>
      <c r="B24" s="370" t="s">
        <v>286</v>
      </c>
      <c r="C24" s="287">
        <v>11430</v>
      </c>
      <c r="D24" s="346"/>
      <c r="E24" s="346"/>
      <c r="F24" s="287">
        <v>4293</v>
      </c>
      <c r="G24" s="287">
        <v>4293</v>
      </c>
      <c r="H24" s="287">
        <v>4293</v>
      </c>
      <c r="I24" s="287">
        <v>4293</v>
      </c>
      <c r="J24" s="287">
        <v>4293</v>
      </c>
      <c r="K24" s="287">
        <v>4293</v>
      </c>
      <c r="L24" s="287">
        <v>4293</v>
      </c>
      <c r="M24" s="287">
        <v>4293</v>
      </c>
      <c r="N24" s="287">
        <v>4293</v>
      </c>
      <c r="O24" s="287">
        <v>4293</v>
      </c>
      <c r="P24" s="287">
        <v>4293</v>
      </c>
      <c r="Q24" s="287">
        <v>4293</v>
      </c>
      <c r="R24" s="287">
        <v>0</v>
      </c>
      <c r="S24" s="287">
        <v>4650</v>
      </c>
      <c r="T24" s="287">
        <v>4650</v>
      </c>
      <c r="U24" s="287">
        <v>4650</v>
      </c>
      <c r="V24" s="287">
        <v>0</v>
      </c>
    </row>
    <row r="25" spans="1:22" s="359" customFormat="1" x14ac:dyDescent="0.25">
      <c r="A25" s="367"/>
      <c r="B25" s="370" t="s">
        <v>350</v>
      </c>
      <c r="C25" s="287"/>
      <c r="D25" s="346"/>
      <c r="E25" s="346"/>
      <c r="F25" s="287">
        <v>845</v>
      </c>
      <c r="G25" s="287">
        <v>845</v>
      </c>
      <c r="H25" s="287">
        <v>845</v>
      </c>
      <c r="I25" s="287">
        <v>845</v>
      </c>
      <c r="J25" s="287">
        <v>845</v>
      </c>
      <c r="K25" s="287">
        <v>845</v>
      </c>
      <c r="L25" s="287">
        <v>845</v>
      </c>
      <c r="M25" s="287">
        <v>845</v>
      </c>
      <c r="N25" s="287">
        <v>845</v>
      </c>
      <c r="O25" s="287">
        <v>845</v>
      </c>
      <c r="P25" s="287">
        <v>845</v>
      </c>
      <c r="Q25" s="287">
        <v>845</v>
      </c>
      <c r="R25" s="287">
        <v>0</v>
      </c>
      <c r="S25" s="287">
        <v>906</v>
      </c>
      <c r="T25" s="287">
        <v>906</v>
      </c>
      <c r="U25" s="287">
        <v>906</v>
      </c>
      <c r="V25" s="287">
        <v>0</v>
      </c>
    </row>
    <row r="26" spans="1:22" s="359" customFormat="1" x14ac:dyDescent="0.25">
      <c r="A26" s="367"/>
      <c r="B26" s="370" t="s">
        <v>292</v>
      </c>
      <c r="C26" s="287">
        <v>1000</v>
      </c>
      <c r="D26" s="346"/>
      <c r="E26" s="346"/>
      <c r="F26" s="287">
        <v>2500</v>
      </c>
      <c r="G26" s="287">
        <v>2500</v>
      </c>
      <c r="H26" s="287">
        <v>2500</v>
      </c>
      <c r="I26" s="287">
        <v>2500</v>
      </c>
      <c r="J26" s="287">
        <v>2500</v>
      </c>
      <c r="K26" s="287">
        <v>2500</v>
      </c>
      <c r="L26" s="287">
        <v>2500</v>
      </c>
      <c r="M26" s="287">
        <v>2500</v>
      </c>
      <c r="N26" s="287">
        <v>2500</v>
      </c>
      <c r="O26" s="287">
        <v>2500</v>
      </c>
      <c r="P26" s="287">
        <v>2500</v>
      </c>
      <c r="Q26" s="287">
        <v>2500</v>
      </c>
      <c r="R26" s="287">
        <v>0</v>
      </c>
      <c r="S26" s="287">
        <v>2500</v>
      </c>
      <c r="T26" s="287">
        <v>2500</v>
      </c>
      <c r="U26" s="287">
        <v>2500</v>
      </c>
      <c r="V26" s="287">
        <v>7</v>
      </c>
    </row>
    <row r="27" spans="1:22" s="359" customFormat="1" x14ac:dyDescent="0.25">
      <c r="A27" s="363" t="s">
        <v>552</v>
      </c>
      <c r="B27" s="364" t="s">
        <v>555</v>
      </c>
      <c r="C27" s="365">
        <f>SUM(C28:C31)</f>
        <v>18850</v>
      </c>
      <c r="D27" s="366">
        <v>3</v>
      </c>
      <c r="E27" s="366"/>
      <c r="F27" s="365">
        <f>SUM(F28:F31)</f>
        <v>2500</v>
      </c>
      <c r="G27" s="366">
        <v>3</v>
      </c>
      <c r="H27" s="366"/>
      <c r="I27" s="365">
        <f>SUM(I28:I31)</f>
        <v>2500</v>
      </c>
      <c r="J27" s="366">
        <v>3</v>
      </c>
      <c r="K27" s="366"/>
      <c r="L27" s="365">
        <f>SUM(L28:L31)</f>
        <v>2500</v>
      </c>
      <c r="M27" s="366">
        <v>3</v>
      </c>
      <c r="N27" s="366"/>
      <c r="O27" s="365">
        <f>SUM(O28:O31)</f>
        <v>2500</v>
      </c>
      <c r="P27" s="366">
        <v>0</v>
      </c>
      <c r="Q27" s="366"/>
      <c r="R27" s="365">
        <f>SUM(R28:R31)</f>
        <v>87</v>
      </c>
      <c r="S27" s="365">
        <f>SUM(S28:S31)</f>
        <v>2500</v>
      </c>
      <c r="T27" s="365">
        <f>SUM(T28:T31)</f>
        <v>2500</v>
      </c>
      <c r="U27" s="365">
        <f>SUM(U28:U31)</f>
        <v>2500</v>
      </c>
      <c r="V27" s="365">
        <f>SUM(V28:V31)</f>
        <v>581</v>
      </c>
    </row>
    <row r="28" spans="1:22" s="359" customFormat="1" x14ac:dyDescent="0.25">
      <c r="A28" s="367"/>
      <c r="B28" s="351" t="s">
        <v>286</v>
      </c>
      <c r="C28" s="287">
        <v>6855</v>
      </c>
      <c r="D28" s="346"/>
      <c r="E28" s="346"/>
      <c r="F28" s="287">
        <v>0</v>
      </c>
      <c r="G28" s="287">
        <v>0</v>
      </c>
      <c r="H28" s="287">
        <v>0</v>
      </c>
      <c r="I28" s="287">
        <v>0</v>
      </c>
      <c r="J28" s="287">
        <v>0</v>
      </c>
      <c r="K28" s="287">
        <v>0</v>
      </c>
      <c r="L28" s="287">
        <v>0</v>
      </c>
      <c r="M28" s="287">
        <v>0</v>
      </c>
      <c r="N28" s="287">
        <v>0</v>
      </c>
      <c r="O28" s="287">
        <v>0</v>
      </c>
      <c r="P28" s="287">
        <v>0</v>
      </c>
      <c r="Q28" s="287">
        <v>0</v>
      </c>
      <c r="R28" s="287">
        <v>0</v>
      </c>
      <c r="S28" s="287">
        <v>0</v>
      </c>
      <c r="T28" s="287">
        <v>0</v>
      </c>
      <c r="U28" s="287">
        <v>0</v>
      </c>
      <c r="V28" s="287">
        <v>0</v>
      </c>
    </row>
    <row r="29" spans="1:22" s="359" customFormat="1" x14ac:dyDescent="0.25">
      <c r="A29" s="363"/>
      <c r="B29" s="351" t="s">
        <v>350</v>
      </c>
      <c r="C29" s="287">
        <v>1695</v>
      </c>
      <c r="D29" s="346"/>
      <c r="E29" s="346"/>
      <c r="F29" s="287">
        <v>0</v>
      </c>
      <c r="G29" s="287">
        <v>0</v>
      </c>
      <c r="H29" s="287">
        <v>0</v>
      </c>
      <c r="I29" s="287">
        <v>0</v>
      </c>
      <c r="J29" s="287">
        <v>0</v>
      </c>
      <c r="K29" s="287">
        <v>0</v>
      </c>
      <c r="L29" s="287">
        <v>0</v>
      </c>
      <c r="M29" s="287">
        <v>0</v>
      </c>
      <c r="N29" s="287">
        <v>0</v>
      </c>
      <c r="O29" s="287">
        <v>0</v>
      </c>
      <c r="P29" s="287">
        <v>0</v>
      </c>
      <c r="Q29" s="287">
        <v>0</v>
      </c>
      <c r="R29" s="287">
        <v>0</v>
      </c>
      <c r="S29" s="287">
        <v>0</v>
      </c>
      <c r="T29" s="287">
        <v>0</v>
      </c>
      <c r="U29" s="287">
        <v>0</v>
      </c>
      <c r="V29" s="287">
        <v>0</v>
      </c>
    </row>
    <row r="30" spans="1:22" s="359" customFormat="1" x14ac:dyDescent="0.25">
      <c r="A30" s="363"/>
      <c r="B30" s="351" t="s">
        <v>292</v>
      </c>
      <c r="C30" s="287">
        <v>9100</v>
      </c>
      <c r="D30" s="346"/>
      <c r="E30" s="346"/>
      <c r="F30" s="287">
        <v>2500</v>
      </c>
      <c r="G30" s="287">
        <v>2500</v>
      </c>
      <c r="H30" s="287">
        <v>2500</v>
      </c>
      <c r="I30" s="287">
        <v>2500</v>
      </c>
      <c r="J30" s="287">
        <v>2500</v>
      </c>
      <c r="K30" s="287">
        <v>2500</v>
      </c>
      <c r="L30" s="287">
        <v>2500</v>
      </c>
      <c r="M30" s="287">
        <v>2500</v>
      </c>
      <c r="N30" s="287">
        <v>2500</v>
      </c>
      <c r="O30" s="287">
        <v>2500</v>
      </c>
      <c r="P30" s="287">
        <v>2500</v>
      </c>
      <c r="Q30" s="287">
        <v>2500</v>
      </c>
      <c r="R30" s="287">
        <v>87</v>
      </c>
      <c r="S30" s="287">
        <v>2500</v>
      </c>
      <c r="T30" s="287">
        <v>2500</v>
      </c>
      <c r="U30" s="287">
        <v>2500</v>
      </c>
      <c r="V30" s="287">
        <v>581</v>
      </c>
    </row>
    <row r="31" spans="1:22" s="359" customFormat="1" x14ac:dyDescent="0.25">
      <c r="A31" s="363"/>
      <c r="B31" s="351" t="s">
        <v>351</v>
      </c>
      <c r="C31" s="287">
        <v>1200</v>
      </c>
      <c r="D31" s="346"/>
      <c r="E31" s="346"/>
      <c r="F31" s="287">
        <v>0</v>
      </c>
      <c r="G31" s="287">
        <v>0</v>
      </c>
      <c r="H31" s="287">
        <v>0</v>
      </c>
      <c r="I31" s="287">
        <v>0</v>
      </c>
      <c r="J31" s="287">
        <v>0</v>
      </c>
      <c r="K31" s="287">
        <v>0</v>
      </c>
      <c r="L31" s="287">
        <v>0</v>
      </c>
      <c r="M31" s="287">
        <v>0</v>
      </c>
      <c r="N31" s="287">
        <v>0</v>
      </c>
      <c r="O31" s="287">
        <v>0</v>
      </c>
      <c r="P31" s="287">
        <v>0</v>
      </c>
      <c r="Q31" s="287">
        <v>0</v>
      </c>
      <c r="R31" s="287">
        <v>0</v>
      </c>
      <c r="S31" s="287">
        <v>0</v>
      </c>
      <c r="T31" s="287">
        <v>0</v>
      </c>
      <c r="U31" s="287">
        <v>0</v>
      </c>
      <c r="V31" s="287">
        <v>0</v>
      </c>
    </row>
    <row r="32" spans="1:22" s="359" customFormat="1" x14ac:dyDescent="0.25">
      <c r="A32" s="363" t="s">
        <v>554</v>
      </c>
      <c r="B32" s="364" t="s">
        <v>1301</v>
      </c>
      <c r="C32" s="365">
        <f>SUM(C33:C36)</f>
        <v>18142</v>
      </c>
      <c r="D32" s="366">
        <v>2</v>
      </c>
      <c r="E32" s="366"/>
      <c r="F32" s="365">
        <f>SUM(F33:F36)</f>
        <v>28129</v>
      </c>
      <c r="G32" s="366">
        <v>2</v>
      </c>
      <c r="H32" s="366"/>
      <c r="I32" s="365">
        <f>SUM(I33:I36)</f>
        <v>28129</v>
      </c>
      <c r="J32" s="366">
        <v>2</v>
      </c>
      <c r="K32" s="366"/>
      <c r="L32" s="365">
        <f>SUM(L33:L36)</f>
        <v>28129</v>
      </c>
      <c r="M32" s="366">
        <v>2</v>
      </c>
      <c r="N32" s="366"/>
      <c r="O32" s="365">
        <f>SUM(O33:O36)</f>
        <v>28129</v>
      </c>
      <c r="P32" s="366">
        <v>0</v>
      </c>
      <c r="Q32" s="366"/>
      <c r="R32" s="365">
        <f>SUM(R33:R36)</f>
        <v>7633</v>
      </c>
      <c r="S32" s="365">
        <f>SUM(S33:S36)</f>
        <v>36454</v>
      </c>
      <c r="T32" s="365">
        <v>36454</v>
      </c>
      <c r="U32" s="365">
        <f>SUM(U33:U35)</f>
        <v>36454</v>
      </c>
      <c r="V32" s="365">
        <f>SUM(V33:V36)</f>
        <v>13998</v>
      </c>
    </row>
    <row r="33" spans="1:22" s="359" customFormat="1" x14ac:dyDescent="0.25">
      <c r="A33" s="363"/>
      <c r="B33" s="351" t="s">
        <v>286</v>
      </c>
      <c r="C33" s="368">
        <v>6095</v>
      </c>
      <c r="D33" s="369"/>
      <c r="E33" s="369"/>
      <c r="F33" s="368">
        <v>19742</v>
      </c>
      <c r="G33" s="368">
        <v>19742</v>
      </c>
      <c r="H33" s="368">
        <v>19742</v>
      </c>
      <c r="I33" s="368">
        <v>19742</v>
      </c>
      <c r="J33" s="368">
        <v>19742</v>
      </c>
      <c r="K33" s="368">
        <v>19742</v>
      </c>
      <c r="L33" s="368">
        <v>19742</v>
      </c>
      <c r="M33" s="368">
        <v>19742</v>
      </c>
      <c r="N33" s="368">
        <v>19742</v>
      </c>
      <c r="O33" s="368">
        <v>19742</v>
      </c>
      <c r="P33" s="368">
        <v>19742</v>
      </c>
      <c r="Q33" s="368">
        <v>19742</v>
      </c>
      <c r="R33" s="368">
        <v>5955</v>
      </c>
      <c r="S33" s="368">
        <v>26740</v>
      </c>
      <c r="T33" s="368">
        <v>26740</v>
      </c>
      <c r="U33" s="368">
        <v>26740</v>
      </c>
      <c r="V33" s="368">
        <v>8960</v>
      </c>
    </row>
    <row r="34" spans="1:22" s="359" customFormat="1" x14ac:dyDescent="0.25">
      <c r="A34" s="363"/>
      <c r="B34" s="351" t="s">
        <v>350</v>
      </c>
      <c r="C34" s="368">
        <v>1447</v>
      </c>
      <c r="D34" s="369"/>
      <c r="E34" s="369"/>
      <c r="F34" s="368">
        <v>3887</v>
      </c>
      <c r="G34" s="368">
        <v>3887</v>
      </c>
      <c r="H34" s="368">
        <v>3887</v>
      </c>
      <c r="I34" s="368">
        <v>3887</v>
      </c>
      <c r="J34" s="368">
        <v>3887</v>
      </c>
      <c r="K34" s="368">
        <v>3887</v>
      </c>
      <c r="L34" s="368">
        <v>3887</v>
      </c>
      <c r="M34" s="368">
        <v>3887</v>
      </c>
      <c r="N34" s="368">
        <v>3887</v>
      </c>
      <c r="O34" s="368">
        <v>3887</v>
      </c>
      <c r="P34" s="368">
        <v>3887</v>
      </c>
      <c r="Q34" s="368">
        <v>3887</v>
      </c>
      <c r="R34" s="368">
        <v>1232</v>
      </c>
      <c r="S34" s="368">
        <v>5214</v>
      </c>
      <c r="T34" s="368">
        <v>5214</v>
      </c>
      <c r="U34" s="368">
        <v>5214</v>
      </c>
      <c r="V34" s="368">
        <v>1817</v>
      </c>
    </row>
    <row r="35" spans="1:22" s="359" customFormat="1" x14ac:dyDescent="0.25">
      <c r="A35" s="363"/>
      <c r="B35" s="351" t="s">
        <v>292</v>
      </c>
      <c r="C35" s="368">
        <v>10300</v>
      </c>
      <c r="D35" s="369"/>
      <c r="E35" s="369"/>
      <c r="F35" s="368">
        <v>4500</v>
      </c>
      <c r="G35" s="368">
        <v>4500</v>
      </c>
      <c r="H35" s="368">
        <v>4500</v>
      </c>
      <c r="I35" s="368">
        <v>4500</v>
      </c>
      <c r="J35" s="368">
        <v>4500</v>
      </c>
      <c r="K35" s="368">
        <v>4500</v>
      </c>
      <c r="L35" s="368">
        <v>4500</v>
      </c>
      <c r="M35" s="368">
        <v>4500</v>
      </c>
      <c r="N35" s="368">
        <v>4500</v>
      </c>
      <c r="O35" s="368">
        <v>4500</v>
      </c>
      <c r="P35" s="368">
        <v>4500</v>
      </c>
      <c r="Q35" s="368">
        <v>4500</v>
      </c>
      <c r="R35" s="368">
        <v>446</v>
      </c>
      <c r="S35" s="368">
        <v>4500</v>
      </c>
      <c r="T35" s="368">
        <v>4500</v>
      </c>
      <c r="U35" s="368">
        <v>4500</v>
      </c>
      <c r="V35" s="368">
        <v>1655</v>
      </c>
    </row>
    <row r="36" spans="1:22" s="359" customFormat="1" x14ac:dyDescent="0.25">
      <c r="A36" s="363"/>
      <c r="B36" s="351" t="s">
        <v>351</v>
      </c>
      <c r="C36" s="368">
        <v>300</v>
      </c>
      <c r="D36" s="369"/>
      <c r="E36" s="369"/>
      <c r="F36" s="368">
        <v>0</v>
      </c>
      <c r="G36" s="368">
        <v>0</v>
      </c>
      <c r="H36" s="368">
        <v>0</v>
      </c>
      <c r="I36" s="368">
        <v>0</v>
      </c>
      <c r="J36" s="368">
        <v>0</v>
      </c>
      <c r="K36" s="368">
        <v>0</v>
      </c>
      <c r="L36" s="368">
        <v>0</v>
      </c>
      <c r="M36" s="368">
        <v>0</v>
      </c>
      <c r="N36" s="368">
        <v>0</v>
      </c>
      <c r="O36" s="368">
        <v>0</v>
      </c>
      <c r="P36" s="368">
        <v>0</v>
      </c>
      <c r="Q36" s="368">
        <v>0</v>
      </c>
      <c r="R36" s="368">
        <v>0</v>
      </c>
      <c r="S36" s="368">
        <v>0</v>
      </c>
      <c r="T36" s="368">
        <v>0</v>
      </c>
      <c r="U36" s="368">
        <v>0</v>
      </c>
      <c r="V36" s="368">
        <v>1566</v>
      </c>
    </row>
    <row r="37" spans="1:22" s="359" customFormat="1" x14ac:dyDescent="0.25">
      <c r="A37" s="363" t="s">
        <v>556</v>
      </c>
      <c r="B37" s="364" t="s">
        <v>1302</v>
      </c>
      <c r="C37" s="365">
        <f>SUM(C38:C39)</f>
        <v>0</v>
      </c>
      <c r="D37" s="366"/>
      <c r="E37" s="366"/>
      <c r="F37" s="365">
        <f t="shared" ref="F37:Q37" si="6">SUM(F38:F40)</f>
        <v>900</v>
      </c>
      <c r="G37" s="365">
        <f t="shared" si="6"/>
        <v>900</v>
      </c>
      <c r="H37" s="365">
        <f t="shared" si="6"/>
        <v>900</v>
      </c>
      <c r="I37" s="365">
        <f t="shared" si="6"/>
        <v>900</v>
      </c>
      <c r="J37" s="365">
        <f t="shared" si="6"/>
        <v>900</v>
      </c>
      <c r="K37" s="365">
        <f t="shared" si="6"/>
        <v>900</v>
      </c>
      <c r="L37" s="365">
        <f t="shared" si="6"/>
        <v>900</v>
      </c>
      <c r="M37" s="365">
        <f t="shared" si="6"/>
        <v>900</v>
      </c>
      <c r="N37" s="365">
        <f t="shared" si="6"/>
        <v>900</v>
      </c>
      <c r="O37" s="365">
        <f t="shared" si="6"/>
        <v>900</v>
      </c>
      <c r="P37" s="365">
        <f t="shared" si="6"/>
        <v>900</v>
      </c>
      <c r="Q37" s="365">
        <f t="shared" si="6"/>
        <v>900</v>
      </c>
      <c r="R37" s="365">
        <f>SUM(R38:R40)</f>
        <v>70</v>
      </c>
      <c r="S37" s="365">
        <f t="shared" ref="S37" si="7">SUM(S38:S40)</f>
        <v>900</v>
      </c>
      <c r="T37" s="365">
        <v>900</v>
      </c>
      <c r="U37" s="365">
        <f>SUM(U38:U40)</f>
        <v>900</v>
      </c>
      <c r="V37" s="365">
        <f>SUM(V38:V40)</f>
        <v>160</v>
      </c>
    </row>
    <row r="38" spans="1:22" s="359" customFormat="1" x14ac:dyDescent="0.25">
      <c r="A38" s="363"/>
      <c r="B38" s="351" t="s">
        <v>286</v>
      </c>
      <c r="C38" s="368">
        <v>0</v>
      </c>
      <c r="D38" s="369"/>
      <c r="E38" s="369"/>
      <c r="F38" s="368">
        <v>0</v>
      </c>
      <c r="G38" s="369"/>
      <c r="H38" s="369"/>
      <c r="I38" s="368">
        <v>0</v>
      </c>
      <c r="J38" s="369"/>
      <c r="K38" s="369"/>
      <c r="L38" s="368">
        <v>0</v>
      </c>
      <c r="M38" s="369"/>
      <c r="N38" s="369"/>
      <c r="O38" s="368">
        <v>0</v>
      </c>
      <c r="P38" s="369"/>
      <c r="Q38" s="369"/>
      <c r="R38" s="368">
        <v>0</v>
      </c>
      <c r="S38" s="368">
        <v>0</v>
      </c>
      <c r="T38" s="368">
        <v>0</v>
      </c>
      <c r="U38" s="368">
        <v>0</v>
      </c>
      <c r="V38" s="368">
        <v>0</v>
      </c>
    </row>
    <row r="39" spans="1:22" s="359" customFormat="1" x14ac:dyDescent="0.25">
      <c r="A39" s="363"/>
      <c r="B39" s="351" t="s">
        <v>350</v>
      </c>
      <c r="C39" s="368">
        <v>0</v>
      </c>
      <c r="D39" s="369"/>
      <c r="E39" s="369"/>
      <c r="F39" s="368">
        <v>0</v>
      </c>
      <c r="G39" s="369"/>
      <c r="H39" s="369"/>
      <c r="I39" s="368">
        <v>0</v>
      </c>
      <c r="J39" s="369"/>
      <c r="K39" s="369"/>
      <c r="L39" s="368">
        <v>0</v>
      </c>
      <c r="M39" s="369"/>
      <c r="N39" s="369"/>
      <c r="O39" s="368">
        <v>0</v>
      </c>
      <c r="P39" s="369"/>
      <c r="Q39" s="369"/>
      <c r="R39" s="368">
        <v>0</v>
      </c>
      <c r="S39" s="368">
        <v>0</v>
      </c>
      <c r="T39" s="368">
        <v>0</v>
      </c>
      <c r="U39" s="368">
        <v>0</v>
      </c>
      <c r="V39" s="368">
        <v>0</v>
      </c>
    </row>
    <row r="40" spans="1:22" s="359" customFormat="1" x14ac:dyDescent="0.25">
      <c r="A40" s="363"/>
      <c r="B40" s="351" t="s">
        <v>292</v>
      </c>
      <c r="C40" s="368"/>
      <c r="D40" s="369"/>
      <c r="E40" s="369"/>
      <c r="F40" s="368">
        <v>900</v>
      </c>
      <c r="G40" s="368">
        <v>900</v>
      </c>
      <c r="H40" s="368">
        <v>900</v>
      </c>
      <c r="I40" s="368">
        <v>900</v>
      </c>
      <c r="J40" s="368">
        <v>900</v>
      </c>
      <c r="K40" s="368">
        <v>900</v>
      </c>
      <c r="L40" s="368">
        <v>900</v>
      </c>
      <c r="M40" s="368">
        <v>900</v>
      </c>
      <c r="N40" s="368">
        <v>900</v>
      </c>
      <c r="O40" s="368">
        <v>900</v>
      </c>
      <c r="P40" s="368">
        <v>900</v>
      </c>
      <c r="Q40" s="368">
        <v>900</v>
      </c>
      <c r="R40" s="368">
        <v>70</v>
      </c>
      <c r="S40" s="368">
        <v>900</v>
      </c>
      <c r="T40" s="368">
        <v>900</v>
      </c>
      <c r="U40" s="368">
        <v>900</v>
      </c>
      <c r="V40" s="368">
        <v>160</v>
      </c>
    </row>
    <row r="41" spans="1:22" s="359" customFormat="1" x14ac:dyDescent="0.25">
      <c r="A41" s="363" t="s">
        <v>558</v>
      </c>
      <c r="B41" s="364" t="s">
        <v>1298</v>
      </c>
      <c r="C41" s="365">
        <f>SUM(C42:C44)</f>
        <v>12254</v>
      </c>
      <c r="D41" s="366"/>
      <c r="E41" s="366"/>
      <c r="F41" s="365">
        <f>SUM(F42:F44)</f>
        <v>200</v>
      </c>
      <c r="G41" s="366"/>
      <c r="H41" s="366"/>
      <c r="I41" s="365">
        <f>SUM(I42:I44)</f>
        <v>200</v>
      </c>
      <c r="J41" s="366"/>
      <c r="K41" s="366"/>
      <c r="L41" s="365">
        <f>SUM(L42:L44)</f>
        <v>200</v>
      </c>
      <c r="M41" s="366"/>
      <c r="N41" s="366"/>
      <c r="O41" s="365">
        <f>SUM(O42:O44)</f>
        <v>200</v>
      </c>
      <c r="P41" s="366"/>
      <c r="Q41" s="366"/>
      <c r="R41" s="365">
        <f>SUM(R42:R44)</f>
        <v>0</v>
      </c>
      <c r="S41" s="365">
        <f>SUM(S42:S44)</f>
        <v>200</v>
      </c>
      <c r="T41" s="365">
        <v>200</v>
      </c>
      <c r="U41" s="365">
        <f>SUM(U42:U43)</f>
        <v>200</v>
      </c>
      <c r="V41" s="365">
        <f>SUM(V42:V44)</f>
        <v>0</v>
      </c>
    </row>
    <row r="42" spans="1:22" s="359" customFormat="1" x14ac:dyDescent="0.25">
      <c r="A42" s="363"/>
      <c r="B42" s="351" t="s">
        <v>292</v>
      </c>
      <c r="C42" s="368">
        <v>12000</v>
      </c>
      <c r="D42" s="369"/>
      <c r="E42" s="369"/>
      <c r="F42" s="368">
        <v>200</v>
      </c>
      <c r="G42" s="368">
        <v>200</v>
      </c>
      <c r="H42" s="368">
        <v>200</v>
      </c>
      <c r="I42" s="368">
        <v>200</v>
      </c>
      <c r="J42" s="368">
        <v>200</v>
      </c>
      <c r="K42" s="368">
        <v>200</v>
      </c>
      <c r="L42" s="368">
        <v>200</v>
      </c>
      <c r="M42" s="368">
        <v>200</v>
      </c>
      <c r="N42" s="368">
        <v>200</v>
      </c>
      <c r="O42" s="368">
        <v>200</v>
      </c>
      <c r="P42" s="368">
        <v>200</v>
      </c>
      <c r="Q42" s="368">
        <v>200</v>
      </c>
      <c r="R42" s="368">
        <v>0</v>
      </c>
      <c r="S42" s="368">
        <v>200</v>
      </c>
      <c r="T42" s="368">
        <v>200</v>
      </c>
      <c r="U42" s="368">
        <v>200</v>
      </c>
      <c r="V42" s="368">
        <v>0</v>
      </c>
    </row>
    <row r="43" spans="1:22" s="359" customFormat="1" x14ac:dyDescent="0.25">
      <c r="A43" s="363"/>
      <c r="B43" s="351" t="s">
        <v>351</v>
      </c>
      <c r="C43" s="368">
        <v>254</v>
      </c>
      <c r="D43" s="369"/>
      <c r="E43" s="369"/>
      <c r="F43" s="368">
        <v>0</v>
      </c>
      <c r="G43" s="368">
        <v>0</v>
      </c>
      <c r="H43" s="368">
        <v>0</v>
      </c>
      <c r="I43" s="368">
        <v>0</v>
      </c>
      <c r="J43" s="368">
        <v>0</v>
      </c>
      <c r="K43" s="368">
        <v>0</v>
      </c>
      <c r="L43" s="368">
        <v>0</v>
      </c>
      <c r="M43" s="368">
        <v>0</v>
      </c>
      <c r="N43" s="368">
        <v>0</v>
      </c>
      <c r="O43" s="368">
        <v>0</v>
      </c>
      <c r="P43" s="368">
        <v>0</v>
      </c>
      <c r="Q43" s="368">
        <v>0</v>
      </c>
      <c r="R43" s="368">
        <v>0</v>
      </c>
      <c r="S43" s="368">
        <v>0</v>
      </c>
      <c r="T43" s="368">
        <v>0</v>
      </c>
      <c r="U43" s="368">
        <v>0</v>
      </c>
      <c r="V43" s="368">
        <v>0</v>
      </c>
    </row>
    <row r="44" spans="1:22" s="359" customFormat="1" hidden="1" x14ac:dyDescent="0.25">
      <c r="A44" s="363"/>
      <c r="B44" s="351" t="s">
        <v>342</v>
      </c>
      <c r="C44" s="368">
        <v>0</v>
      </c>
      <c r="D44" s="369"/>
      <c r="E44" s="369"/>
      <c r="F44" s="368">
        <v>0</v>
      </c>
      <c r="G44" s="369"/>
      <c r="H44" s="369"/>
      <c r="I44" s="368">
        <v>0</v>
      </c>
      <c r="J44" s="369"/>
      <c r="K44" s="369"/>
      <c r="L44" s="368">
        <v>0</v>
      </c>
      <c r="M44" s="369"/>
      <c r="N44" s="369"/>
      <c r="O44" s="368">
        <v>0</v>
      </c>
      <c r="P44" s="369"/>
      <c r="Q44" s="369"/>
      <c r="R44" s="368">
        <v>0</v>
      </c>
      <c r="S44" s="368">
        <v>0</v>
      </c>
      <c r="T44" s="368">
        <v>0</v>
      </c>
      <c r="U44" s="368">
        <v>0</v>
      </c>
      <c r="V44" s="368">
        <v>0</v>
      </c>
    </row>
    <row r="45" spans="1:22" s="359" customFormat="1" x14ac:dyDescent="0.25">
      <c r="A45" s="363" t="s">
        <v>559</v>
      </c>
      <c r="B45" s="376" t="s">
        <v>1303</v>
      </c>
      <c r="C45" s="365">
        <f>SUM(C46:C50)</f>
        <v>150171</v>
      </c>
      <c r="D45" s="366">
        <v>16</v>
      </c>
      <c r="E45" s="366"/>
      <c r="F45" s="365">
        <f>SUM(F46:F50)</f>
        <v>5568</v>
      </c>
      <c r="G45" s="366">
        <v>16</v>
      </c>
      <c r="H45" s="366"/>
      <c r="I45" s="365">
        <f t="shared" ref="I45:Q45" si="8">SUM(I46:I50)</f>
        <v>5568</v>
      </c>
      <c r="J45" s="365">
        <f t="shared" si="8"/>
        <v>5568</v>
      </c>
      <c r="K45" s="365">
        <f t="shared" si="8"/>
        <v>5568</v>
      </c>
      <c r="L45" s="365">
        <f t="shared" si="8"/>
        <v>5744</v>
      </c>
      <c r="M45" s="365">
        <f t="shared" si="8"/>
        <v>5568</v>
      </c>
      <c r="N45" s="365">
        <f t="shared" si="8"/>
        <v>5568</v>
      </c>
      <c r="O45" s="365">
        <f t="shared" si="8"/>
        <v>59492</v>
      </c>
      <c r="P45" s="365">
        <f t="shared" si="8"/>
        <v>5568</v>
      </c>
      <c r="Q45" s="365">
        <f t="shared" si="8"/>
        <v>5568</v>
      </c>
      <c r="R45" s="365">
        <f>SUM(R46:R50)</f>
        <v>950</v>
      </c>
      <c r="S45" s="365">
        <f t="shared" ref="S45" si="9">SUM(S46:S50)</f>
        <v>5778</v>
      </c>
      <c r="T45" s="365">
        <v>5778</v>
      </c>
      <c r="U45" s="365">
        <f>SUM(U46:U48)</f>
        <v>5778</v>
      </c>
      <c r="V45" s="365">
        <f>SUM(V46:V50)</f>
        <v>1942</v>
      </c>
    </row>
    <row r="46" spans="1:22" s="359" customFormat="1" x14ac:dyDescent="0.25">
      <c r="A46" s="363"/>
      <c r="B46" s="351" t="s">
        <v>286</v>
      </c>
      <c r="C46" s="368">
        <v>74728</v>
      </c>
      <c r="D46" s="369"/>
      <c r="E46" s="369"/>
      <c r="F46" s="368">
        <v>2146</v>
      </c>
      <c r="G46" s="368">
        <v>2146</v>
      </c>
      <c r="H46" s="368">
        <v>2146</v>
      </c>
      <c r="I46" s="368">
        <v>2146</v>
      </c>
      <c r="J46" s="368">
        <v>2146</v>
      </c>
      <c r="K46" s="368">
        <v>2146</v>
      </c>
      <c r="L46" s="368">
        <v>2296</v>
      </c>
      <c r="M46" s="368">
        <v>2146</v>
      </c>
      <c r="N46" s="368">
        <v>2146</v>
      </c>
      <c r="O46" s="368">
        <v>2146</v>
      </c>
      <c r="P46" s="368">
        <v>2146</v>
      </c>
      <c r="Q46" s="368">
        <v>2146</v>
      </c>
      <c r="R46" s="368">
        <v>703</v>
      </c>
      <c r="S46" s="368">
        <v>2325</v>
      </c>
      <c r="T46" s="368">
        <v>2325</v>
      </c>
      <c r="U46" s="368">
        <v>2325</v>
      </c>
      <c r="V46" s="368">
        <v>1164</v>
      </c>
    </row>
    <row r="47" spans="1:22" s="359" customFormat="1" x14ac:dyDescent="0.25">
      <c r="A47" s="367"/>
      <c r="B47" s="351" t="s">
        <v>350</v>
      </c>
      <c r="C47" s="368">
        <v>21080</v>
      </c>
      <c r="D47" s="369"/>
      <c r="E47" s="369"/>
      <c r="F47" s="368">
        <v>422</v>
      </c>
      <c r="G47" s="368">
        <v>422</v>
      </c>
      <c r="H47" s="368">
        <v>422</v>
      </c>
      <c r="I47" s="368">
        <v>422</v>
      </c>
      <c r="J47" s="368">
        <v>422</v>
      </c>
      <c r="K47" s="368">
        <v>422</v>
      </c>
      <c r="L47" s="368">
        <v>448</v>
      </c>
      <c r="M47" s="368">
        <v>422</v>
      </c>
      <c r="N47" s="368">
        <v>422</v>
      </c>
      <c r="O47" s="368">
        <v>422</v>
      </c>
      <c r="P47" s="368">
        <v>422</v>
      </c>
      <c r="Q47" s="368">
        <v>422</v>
      </c>
      <c r="R47" s="368">
        <v>151</v>
      </c>
      <c r="S47" s="368">
        <v>453</v>
      </c>
      <c r="T47" s="368">
        <v>453</v>
      </c>
      <c r="U47" s="368">
        <v>453</v>
      </c>
      <c r="V47" s="368">
        <v>239</v>
      </c>
    </row>
    <row r="48" spans="1:22" s="359" customFormat="1" x14ac:dyDescent="0.25">
      <c r="A48" s="363"/>
      <c r="B48" s="351" t="s">
        <v>292</v>
      </c>
      <c r="C48" s="368">
        <v>50720</v>
      </c>
      <c r="D48" s="369"/>
      <c r="E48" s="369"/>
      <c r="F48" s="368">
        <v>3000</v>
      </c>
      <c r="G48" s="368">
        <v>3000</v>
      </c>
      <c r="H48" s="368">
        <v>3000</v>
      </c>
      <c r="I48" s="368">
        <v>3000</v>
      </c>
      <c r="J48" s="368">
        <v>3000</v>
      </c>
      <c r="K48" s="368">
        <v>3000</v>
      </c>
      <c r="L48" s="368">
        <v>3000</v>
      </c>
      <c r="M48" s="368">
        <v>3000</v>
      </c>
      <c r="N48" s="368">
        <v>3000</v>
      </c>
      <c r="O48" s="368">
        <v>3000</v>
      </c>
      <c r="P48" s="368">
        <v>3000</v>
      </c>
      <c r="Q48" s="368">
        <v>3000</v>
      </c>
      <c r="R48" s="368">
        <v>96</v>
      </c>
      <c r="S48" s="368">
        <v>3000</v>
      </c>
      <c r="T48" s="368">
        <v>3000</v>
      </c>
      <c r="U48" s="368">
        <v>3000</v>
      </c>
      <c r="V48" s="368">
        <v>539</v>
      </c>
    </row>
    <row r="49" spans="1:22" s="359" customFormat="1" x14ac:dyDescent="0.25">
      <c r="A49" s="363"/>
      <c r="B49" s="351" t="s">
        <v>560</v>
      </c>
      <c r="C49" s="368">
        <v>0</v>
      </c>
      <c r="D49" s="369"/>
      <c r="E49" s="369"/>
      <c r="F49" s="368"/>
      <c r="G49" s="369"/>
      <c r="H49" s="369"/>
      <c r="I49" s="368"/>
      <c r="J49" s="369"/>
      <c r="K49" s="369"/>
      <c r="L49" s="368"/>
      <c r="M49" s="369"/>
      <c r="N49" s="369"/>
      <c r="O49" s="368">
        <v>32290</v>
      </c>
      <c r="P49" s="369"/>
      <c r="Q49" s="369"/>
      <c r="R49" s="368">
        <v>0</v>
      </c>
      <c r="S49" s="368"/>
      <c r="T49" s="368"/>
      <c r="U49" s="368"/>
      <c r="V49" s="368">
        <v>0</v>
      </c>
    </row>
    <row r="50" spans="1:22" s="359" customFormat="1" x14ac:dyDescent="0.25">
      <c r="A50" s="363"/>
      <c r="B50" s="351" t="s">
        <v>351</v>
      </c>
      <c r="C50" s="368">
        <v>3643</v>
      </c>
      <c r="D50" s="369"/>
      <c r="E50" s="369"/>
      <c r="F50" s="368"/>
      <c r="G50" s="369"/>
      <c r="H50" s="369"/>
      <c r="I50" s="368"/>
      <c r="J50" s="369"/>
      <c r="K50" s="369"/>
      <c r="L50" s="368"/>
      <c r="M50" s="369"/>
      <c r="N50" s="369"/>
      <c r="O50" s="368">
        <f>100+1234+(1153+284+6146+2424+8105+2188)</f>
        <v>21634</v>
      </c>
      <c r="P50" s="369"/>
      <c r="Q50" s="369"/>
      <c r="R50" s="368">
        <v>0</v>
      </c>
      <c r="S50" s="368"/>
      <c r="T50" s="368"/>
      <c r="U50" s="368"/>
      <c r="V50" s="368">
        <v>0</v>
      </c>
    </row>
    <row r="51" spans="1:22" s="359" customFormat="1" x14ac:dyDescent="0.25">
      <c r="A51" s="363" t="s">
        <v>561</v>
      </c>
      <c r="B51" s="364" t="s">
        <v>1299</v>
      </c>
      <c r="C51" s="365">
        <f>SUM(C52:C53)</f>
        <v>45720</v>
      </c>
      <c r="D51" s="366"/>
      <c r="E51" s="366"/>
      <c r="F51" s="365">
        <f t="shared" ref="F51" si="10">SUM(F52:F54)</f>
        <v>4568</v>
      </c>
      <c r="G51" s="365">
        <f t="shared" ref="G51" si="11">SUM(G52:G54)</f>
        <v>4568</v>
      </c>
      <c r="H51" s="365">
        <f t="shared" ref="H51" si="12">SUM(H52:H54)</f>
        <v>4568</v>
      </c>
      <c r="I51" s="365">
        <f t="shared" ref="I51:Q51" si="13">SUM(I52:I54)</f>
        <v>4568</v>
      </c>
      <c r="J51" s="365">
        <f t="shared" si="13"/>
        <v>4568</v>
      </c>
      <c r="K51" s="365">
        <f t="shared" si="13"/>
        <v>4568</v>
      </c>
      <c r="L51" s="365">
        <f t="shared" si="13"/>
        <v>4568</v>
      </c>
      <c r="M51" s="365">
        <f t="shared" si="13"/>
        <v>4568</v>
      </c>
      <c r="N51" s="365">
        <f t="shared" si="13"/>
        <v>4568</v>
      </c>
      <c r="O51" s="365">
        <f t="shared" si="13"/>
        <v>4568</v>
      </c>
      <c r="P51" s="365">
        <f t="shared" si="13"/>
        <v>4568</v>
      </c>
      <c r="Q51" s="365">
        <f t="shared" si="13"/>
        <v>4568</v>
      </c>
      <c r="R51" s="365">
        <f>SUM(R52:R54)</f>
        <v>1366</v>
      </c>
      <c r="S51" s="365">
        <f t="shared" ref="S51" si="14">SUM(S52:S54)</f>
        <v>4778</v>
      </c>
      <c r="T51" s="365">
        <v>4778</v>
      </c>
      <c r="U51" s="365">
        <f>SUM(U52:U54)</f>
        <v>4778</v>
      </c>
      <c r="V51" s="365">
        <f>SUM(V52:V54)</f>
        <v>2620</v>
      </c>
    </row>
    <row r="52" spans="1:22" s="359" customFormat="1" x14ac:dyDescent="0.25">
      <c r="A52" s="363"/>
      <c r="B52" s="351" t="s">
        <v>286</v>
      </c>
      <c r="C52" s="368">
        <v>45720</v>
      </c>
      <c r="D52" s="369"/>
      <c r="E52" s="369"/>
      <c r="F52" s="368">
        <v>2146</v>
      </c>
      <c r="G52" s="368">
        <v>2146</v>
      </c>
      <c r="H52" s="368">
        <v>2146</v>
      </c>
      <c r="I52" s="368">
        <v>2146</v>
      </c>
      <c r="J52" s="368">
        <v>2146</v>
      </c>
      <c r="K52" s="368">
        <v>2146</v>
      </c>
      <c r="L52" s="368">
        <v>2146</v>
      </c>
      <c r="M52" s="368">
        <v>2146</v>
      </c>
      <c r="N52" s="368">
        <v>2146</v>
      </c>
      <c r="O52" s="368">
        <v>2146</v>
      </c>
      <c r="P52" s="368">
        <v>2146</v>
      </c>
      <c r="Q52" s="368">
        <v>2146</v>
      </c>
      <c r="R52" s="368">
        <v>703</v>
      </c>
      <c r="S52" s="368">
        <v>2325</v>
      </c>
      <c r="T52" s="368">
        <v>2325</v>
      </c>
      <c r="U52" s="368">
        <v>2325</v>
      </c>
      <c r="V52" s="368">
        <v>1064</v>
      </c>
    </row>
    <row r="53" spans="1:22" s="359" customFormat="1" x14ac:dyDescent="0.25">
      <c r="A53" s="363"/>
      <c r="B53" s="351" t="s">
        <v>350</v>
      </c>
      <c r="C53" s="368">
        <v>0</v>
      </c>
      <c r="D53" s="369"/>
      <c r="E53" s="369"/>
      <c r="F53" s="368">
        <v>422</v>
      </c>
      <c r="G53" s="368">
        <v>422</v>
      </c>
      <c r="H53" s="368">
        <v>422</v>
      </c>
      <c r="I53" s="368">
        <v>422</v>
      </c>
      <c r="J53" s="368">
        <v>422</v>
      </c>
      <c r="K53" s="368">
        <v>422</v>
      </c>
      <c r="L53" s="368">
        <v>422</v>
      </c>
      <c r="M53" s="368">
        <v>422</v>
      </c>
      <c r="N53" s="368">
        <v>422</v>
      </c>
      <c r="O53" s="368">
        <v>422</v>
      </c>
      <c r="P53" s="368">
        <v>422</v>
      </c>
      <c r="Q53" s="368">
        <v>422</v>
      </c>
      <c r="R53" s="368">
        <v>141</v>
      </c>
      <c r="S53" s="368">
        <v>453</v>
      </c>
      <c r="T53" s="368">
        <v>453</v>
      </c>
      <c r="U53" s="368">
        <v>453</v>
      </c>
      <c r="V53" s="368">
        <v>211</v>
      </c>
    </row>
    <row r="54" spans="1:22" s="359" customFormat="1" x14ac:dyDescent="0.25">
      <c r="A54" s="363"/>
      <c r="B54" s="351" t="s">
        <v>292</v>
      </c>
      <c r="C54" s="368"/>
      <c r="D54" s="369"/>
      <c r="E54" s="369"/>
      <c r="F54" s="368">
        <v>2000</v>
      </c>
      <c r="G54" s="368">
        <v>2000</v>
      </c>
      <c r="H54" s="368">
        <v>2000</v>
      </c>
      <c r="I54" s="368">
        <v>2000</v>
      </c>
      <c r="J54" s="368">
        <v>2000</v>
      </c>
      <c r="K54" s="368">
        <v>2000</v>
      </c>
      <c r="L54" s="368">
        <v>2000</v>
      </c>
      <c r="M54" s="368">
        <v>2000</v>
      </c>
      <c r="N54" s="368">
        <v>2000</v>
      </c>
      <c r="O54" s="368">
        <v>2000</v>
      </c>
      <c r="P54" s="368">
        <v>2000</v>
      </c>
      <c r="Q54" s="368">
        <v>2000</v>
      </c>
      <c r="R54" s="368">
        <v>522</v>
      </c>
      <c r="S54" s="368">
        <v>2000</v>
      </c>
      <c r="T54" s="368">
        <v>2000</v>
      </c>
      <c r="U54" s="368">
        <v>2000</v>
      </c>
      <c r="V54" s="368">
        <v>1345</v>
      </c>
    </row>
    <row r="55" spans="1:22" s="373" customFormat="1" x14ac:dyDescent="0.25">
      <c r="A55" s="363" t="s">
        <v>562</v>
      </c>
      <c r="B55" s="364" t="s">
        <v>606</v>
      </c>
      <c r="C55" s="365">
        <f>SUM(C56:C59)</f>
        <v>29820</v>
      </c>
      <c r="D55" s="366">
        <v>8</v>
      </c>
      <c r="E55" s="366"/>
      <c r="F55" s="365">
        <f>SUM(F56:F59)</f>
        <v>0</v>
      </c>
      <c r="G55" s="366">
        <v>8</v>
      </c>
      <c r="H55" s="366"/>
      <c r="I55" s="365">
        <f>SUM(I56:I59)</f>
        <v>77781</v>
      </c>
      <c r="J55" s="366">
        <v>8</v>
      </c>
      <c r="K55" s="366"/>
      <c r="L55" s="365">
        <f>SUM(L56:L59)</f>
        <v>114182</v>
      </c>
      <c r="M55" s="366">
        <v>8</v>
      </c>
      <c r="N55" s="366"/>
      <c r="O55" s="365">
        <f>SUM(O56:O59)</f>
        <v>27</v>
      </c>
      <c r="P55" s="366">
        <v>0</v>
      </c>
      <c r="Q55" s="366"/>
      <c r="R55" s="365">
        <f>SUM(R56:R59)</f>
        <v>80226</v>
      </c>
      <c r="S55" s="365">
        <f>SUM(S56:S59)</f>
        <v>0</v>
      </c>
      <c r="T55" s="365">
        <f>SUM(T56:T59)</f>
        <v>117293</v>
      </c>
      <c r="U55" s="365">
        <f>SUM(U56:U59)</f>
        <v>178516</v>
      </c>
      <c r="V55" s="365">
        <f>SUM(V56:V59)</f>
        <v>124092</v>
      </c>
    </row>
    <row r="56" spans="1:22" s="359" customFormat="1" x14ac:dyDescent="0.25">
      <c r="A56" s="363"/>
      <c r="B56" s="351" t="s">
        <v>286</v>
      </c>
      <c r="C56" s="368">
        <v>18272</v>
      </c>
      <c r="D56" s="369"/>
      <c r="E56" s="369"/>
      <c r="F56" s="368">
        <v>0</v>
      </c>
      <c r="G56" s="368">
        <v>0</v>
      </c>
      <c r="H56" s="368">
        <v>0</v>
      </c>
      <c r="I56" s="368">
        <v>70871</v>
      </c>
      <c r="J56" s="368">
        <v>0</v>
      </c>
      <c r="K56" s="368">
        <v>0</v>
      </c>
      <c r="L56" s="368">
        <v>101554</v>
      </c>
      <c r="M56" s="368">
        <v>0</v>
      </c>
      <c r="N56" s="368">
        <v>0</v>
      </c>
      <c r="O56" s="368">
        <v>0</v>
      </c>
      <c r="P56" s="368">
        <v>0</v>
      </c>
      <c r="Q56" s="368">
        <v>0</v>
      </c>
      <c r="R56" s="368">
        <v>69615</v>
      </c>
      <c r="S56" s="368"/>
      <c r="T56" s="368">
        <v>86312</v>
      </c>
      <c r="U56" s="368">
        <v>143853</v>
      </c>
      <c r="V56" s="368">
        <v>97434</v>
      </c>
    </row>
    <row r="57" spans="1:22" s="359" customFormat="1" x14ac:dyDescent="0.25">
      <c r="A57" s="363"/>
      <c r="B57" s="351" t="s">
        <v>350</v>
      </c>
      <c r="C57" s="368">
        <v>4412</v>
      </c>
      <c r="D57" s="369"/>
      <c r="E57" s="369"/>
      <c r="F57" s="368">
        <v>0</v>
      </c>
      <c r="G57" s="368">
        <v>0</v>
      </c>
      <c r="H57" s="368">
        <v>0</v>
      </c>
      <c r="I57" s="368">
        <v>6910</v>
      </c>
      <c r="J57" s="368">
        <v>0</v>
      </c>
      <c r="K57" s="368">
        <v>0</v>
      </c>
      <c r="L57" s="368">
        <v>11038</v>
      </c>
      <c r="M57" s="368">
        <v>0</v>
      </c>
      <c r="N57" s="368">
        <v>0</v>
      </c>
      <c r="O57" s="368">
        <v>0</v>
      </c>
      <c r="P57" s="368">
        <v>0</v>
      </c>
      <c r="Q57" s="368">
        <v>0</v>
      </c>
      <c r="R57" s="368">
        <v>7380</v>
      </c>
      <c r="S57" s="368"/>
      <c r="T57" s="368">
        <v>8977</v>
      </c>
      <c r="U57" s="368">
        <v>12659</v>
      </c>
      <c r="V57" s="368">
        <v>11045</v>
      </c>
    </row>
    <row r="58" spans="1:22" s="359" customFormat="1" x14ac:dyDescent="0.25">
      <c r="A58" s="363"/>
      <c r="B58" s="351" t="s">
        <v>292</v>
      </c>
      <c r="C58" s="368">
        <v>5441</v>
      </c>
      <c r="D58" s="369"/>
      <c r="E58" s="369"/>
      <c r="F58" s="368">
        <v>0</v>
      </c>
      <c r="G58" s="368">
        <v>0</v>
      </c>
      <c r="H58" s="368">
        <v>0</v>
      </c>
      <c r="I58" s="368">
        <v>0</v>
      </c>
      <c r="J58" s="368">
        <v>0</v>
      </c>
      <c r="K58" s="368">
        <v>0</v>
      </c>
      <c r="L58" s="368">
        <v>50</v>
      </c>
      <c r="M58" s="368">
        <v>0</v>
      </c>
      <c r="N58" s="368">
        <v>0</v>
      </c>
      <c r="O58" s="368">
        <v>0</v>
      </c>
      <c r="P58" s="368">
        <v>0</v>
      </c>
      <c r="Q58" s="368">
        <v>0</v>
      </c>
      <c r="R58" s="368">
        <v>3231</v>
      </c>
      <c r="S58" s="368"/>
      <c r="T58" s="368">
        <v>15182</v>
      </c>
      <c r="U58" s="368">
        <v>15182</v>
      </c>
      <c r="V58" s="368">
        <v>14343</v>
      </c>
    </row>
    <row r="59" spans="1:22" s="359" customFormat="1" x14ac:dyDescent="0.25">
      <c r="A59" s="363"/>
      <c r="B59" s="351" t="s">
        <v>351</v>
      </c>
      <c r="C59" s="368">
        <v>1695</v>
      </c>
      <c r="D59" s="369"/>
      <c r="E59" s="369"/>
      <c r="F59" s="368"/>
      <c r="G59" s="369"/>
      <c r="H59" s="369"/>
      <c r="I59" s="368"/>
      <c r="J59" s="369"/>
      <c r="K59" s="369"/>
      <c r="L59" s="368">
        <v>1540</v>
      </c>
      <c r="M59" s="369"/>
      <c r="N59" s="369"/>
      <c r="O59" s="368">
        <v>27</v>
      </c>
      <c r="P59" s="369"/>
      <c r="Q59" s="369"/>
      <c r="R59" s="368">
        <v>0</v>
      </c>
      <c r="S59" s="368"/>
      <c r="T59" s="368">
        <v>6822</v>
      </c>
      <c r="U59" s="368">
        <v>6822</v>
      </c>
      <c r="V59" s="368">
        <v>1270</v>
      </c>
    </row>
    <row r="60" spans="1:22" s="373" customFormat="1" x14ac:dyDescent="0.25">
      <c r="A60" s="363" t="s">
        <v>563</v>
      </c>
      <c r="B60" s="364" t="s">
        <v>1304</v>
      </c>
      <c r="C60" s="365">
        <f>SUM(C61:C64)</f>
        <v>15177</v>
      </c>
      <c r="D60" s="366">
        <v>16</v>
      </c>
      <c r="E60" s="366"/>
      <c r="F60" s="365">
        <f>SUM(F61:F64)</f>
        <v>149971</v>
      </c>
      <c r="G60" s="366">
        <v>16</v>
      </c>
      <c r="H60" s="366"/>
      <c r="I60" s="365">
        <f>SUM(I61:I64)</f>
        <v>149971</v>
      </c>
      <c r="J60" s="366">
        <v>16</v>
      </c>
      <c r="K60" s="366"/>
      <c r="L60" s="365">
        <f>SUM(L61:L64)</f>
        <v>149971</v>
      </c>
      <c r="M60" s="366">
        <v>16</v>
      </c>
      <c r="N60" s="366"/>
      <c r="O60" s="365">
        <f>SUM(O61:O64)</f>
        <v>149971</v>
      </c>
      <c r="P60" s="366">
        <v>0</v>
      </c>
      <c r="Q60" s="366"/>
      <c r="R60" s="365">
        <f>SUM(R61:R64)</f>
        <v>20385</v>
      </c>
      <c r="S60" s="365">
        <f>SUM(S61:S64)</f>
        <v>152897</v>
      </c>
      <c r="T60" s="365">
        <f>SUM(T61:T64)</f>
        <v>152897</v>
      </c>
      <c r="U60" s="365">
        <f>SUM(U61:U64)</f>
        <v>152897</v>
      </c>
      <c r="V60" s="365">
        <f>SUM(V61:V64)</f>
        <v>35034</v>
      </c>
    </row>
    <row r="61" spans="1:22" s="359" customFormat="1" x14ac:dyDescent="0.25">
      <c r="A61" s="363"/>
      <c r="B61" s="351" t="s">
        <v>286</v>
      </c>
      <c r="C61" s="368">
        <f>19611-7352</f>
        <v>12259</v>
      </c>
      <c r="D61" s="369"/>
      <c r="E61" s="369"/>
      <c r="F61" s="368">
        <v>32242</v>
      </c>
      <c r="G61" s="368">
        <v>32242</v>
      </c>
      <c r="H61" s="368">
        <v>32242</v>
      </c>
      <c r="I61" s="368">
        <v>32242</v>
      </c>
      <c r="J61" s="368">
        <v>32242</v>
      </c>
      <c r="K61" s="368">
        <v>32242</v>
      </c>
      <c r="L61" s="368">
        <v>32242</v>
      </c>
      <c r="M61" s="368">
        <v>32242</v>
      </c>
      <c r="N61" s="368">
        <v>32242</v>
      </c>
      <c r="O61" s="368">
        <v>32242</v>
      </c>
      <c r="P61" s="368">
        <v>32242</v>
      </c>
      <c r="Q61" s="368">
        <v>32242</v>
      </c>
      <c r="R61" s="368">
        <v>8610</v>
      </c>
      <c r="S61" s="368">
        <v>34642</v>
      </c>
      <c r="T61" s="368">
        <v>34642</v>
      </c>
      <c r="U61" s="368">
        <v>34642</v>
      </c>
      <c r="V61" s="368">
        <v>14509</v>
      </c>
    </row>
    <row r="62" spans="1:22" s="359" customFormat="1" x14ac:dyDescent="0.25">
      <c r="A62" s="363"/>
      <c r="B62" s="351" t="s">
        <v>350</v>
      </c>
      <c r="C62" s="368">
        <f>4846-1928</f>
        <v>2918</v>
      </c>
      <c r="D62" s="369"/>
      <c r="E62" s="369"/>
      <c r="F62" s="368">
        <v>6307</v>
      </c>
      <c r="G62" s="368">
        <v>6307</v>
      </c>
      <c r="H62" s="368">
        <v>6307</v>
      </c>
      <c r="I62" s="368">
        <v>6307</v>
      </c>
      <c r="J62" s="368">
        <v>6307</v>
      </c>
      <c r="K62" s="368">
        <v>6307</v>
      </c>
      <c r="L62" s="368">
        <v>6307</v>
      </c>
      <c r="M62" s="368">
        <v>6307</v>
      </c>
      <c r="N62" s="368">
        <v>6307</v>
      </c>
      <c r="O62" s="368">
        <v>6307</v>
      </c>
      <c r="P62" s="368">
        <v>6307</v>
      </c>
      <c r="Q62" s="368">
        <v>6307</v>
      </c>
      <c r="R62" s="368">
        <v>1778</v>
      </c>
      <c r="S62" s="368">
        <v>6833</v>
      </c>
      <c r="T62" s="368">
        <v>6833</v>
      </c>
      <c r="U62" s="368">
        <v>6833</v>
      </c>
      <c r="V62" s="368">
        <v>2964</v>
      </c>
    </row>
    <row r="63" spans="1:22" s="359" customFormat="1" x14ac:dyDescent="0.25">
      <c r="A63" s="363"/>
      <c r="B63" s="351" t="s">
        <v>292</v>
      </c>
      <c r="C63" s="368">
        <v>0</v>
      </c>
      <c r="D63" s="369"/>
      <c r="E63" s="369"/>
      <c r="F63" s="368">
        <v>111422</v>
      </c>
      <c r="G63" s="368">
        <v>111422</v>
      </c>
      <c r="H63" s="368">
        <v>111422</v>
      </c>
      <c r="I63" s="368">
        <v>111422</v>
      </c>
      <c r="J63" s="368">
        <v>111422</v>
      </c>
      <c r="K63" s="368">
        <v>111422</v>
      </c>
      <c r="L63" s="368">
        <v>111422</v>
      </c>
      <c r="M63" s="368">
        <v>111422</v>
      </c>
      <c r="N63" s="368">
        <v>111422</v>
      </c>
      <c r="O63" s="368">
        <v>111422</v>
      </c>
      <c r="P63" s="368">
        <v>111422</v>
      </c>
      <c r="Q63" s="368">
        <v>111422</v>
      </c>
      <c r="R63" s="368">
        <v>9997</v>
      </c>
      <c r="S63" s="368">
        <v>111422</v>
      </c>
      <c r="T63" s="368">
        <v>111422</v>
      </c>
      <c r="U63" s="368">
        <v>111422</v>
      </c>
      <c r="V63" s="368">
        <v>17561</v>
      </c>
    </row>
    <row r="64" spans="1:22" s="523" customFormat="1" x14ac:dyDescent="0.25">
      <c r="A64" s="518"/>
      <c r="B64" s="525" t="s">
        <v>351</v>
      </c>
      <c r="C64" s="526">
        <v>0</v>
      </c>
      <c r="D64" s="527"/>
      <c r="E64" s="527"/>
      <c r="F64" s="526">
        <v>0</v>
      </c>
      <c r="G64" s="526">
        <v>0</v>
      </c>
      <c r="H64" s="526">
        <v>0</v>
      </c>
      <c r="I64" s="526">
        <v>0</v>
      </c>
      <c r="J64" s="526">
        <v>0</v>
      </c>
      <c r="K64" s="526">
        <v>0</v>
      </c>
      <c r="L64" s="526"/>
      <c r="M64" s="526">
        <v>0</v>
      </c>
      <c r="N64" s="526">
        <v>0</v>
      </c>
      <c r="O64" s="526">
        <v>0</v>
      </c>
      <c r="P64" s="526">
        <v>0</v>
      </c>
      <c r="Q64" s="526">
        <v>0</v>
      </c>
      <c r="R64" s="526">
        <v>0</v>
      </c>
      <c r="S64" s="526"/>
      <c r="T64" s="526"/>
      <c r="U64" s="526"/>
      <c r="V64" s="368">
        <v>0</v>
      </c>
    </row>
    <row r="65" spans="1:22" s="373" customFormat="1" hidden="1" x14ac:dyDescent="0.25">
      <c r="A65" s="363" t="s">
        <v>564</v>
      </c>
      <c r="B65" s="364" t="s">
        <v>1276</v>
      </c>
      <c r="C65" s="365">
        <f>SUM(C66:C69)</f>
        <v>32360</v>
      </c>
      <c r="D65" s="366">
        <v>25</v>
      </c>
      <c r="E65" s="366"/>
      <c r="F65" s="365"/>
      <c r="G65" s="366"/>
      <c r="H65" s="366"/>
      <c r="I65" s="365"/>
      <c r="J65" s="366">
        <f>25-20</f>
        <v>5</v>
      </c>
      <c r="K65" s="366"/>
      <c r="L65" s="365">
        <f>SUM(L66:L69)</f>
        <v>0</v>
      </c>
      <c r="M65" s="366">
        <f>25-20</f>
        <v>5</v>
      </c>
      <c r="N65" s="366"/>
      <c r="O65" s="365">
        <f>SUM(O66:O69)</f>
        <v>50591</v>
      </c>
      <c r="P65" s="366">
        <v>0</v>
      </c>
      <c r="Q65" s="366"/>
      <c r="R65" s="365">
        <f>SUM(R66:R69)</f>
        <v>0</v>
      </c>
      <c r="S65" s="365">
        <f>SUM(S66:S69)</f>
        <v>0</v>
      </c>
      <c r="T65" s="365">
        <v>0</v>
      </c>
      <c r="U65" s="365">
        <v>0</v>
      </c>
      <c r="V65" s="365">
        <v>0</v>
      </c>
    </row>
    <row r="66" spans="1:22" s="359" customFormat="1" hidden="1" x14ac:dyDescent="0.25">
      <c r="A66" s="363"/>
      <c r="B66" s="351" t="s">
        <v>286</v>
      </c>
      <c r="C66" s="368">
        <f>39618-13313</f>
        <v>26305</v>
      </c>
      <c r="D66" s="369"/>
      <c r="E66" s="369"/>
      <c r="F66" s="368"/>
      <c r="G66" s="369"/>
      <c r="H66" s="369"/>
      <c r="I66" s="368"/>
      <c r="J66" s="369"/>
      <c r="K66" s="369"/>
      <c r="L66" s="368"/>
      <c r="M66" s="369"/>
      <c r="N66" s="369"/>
      <c r="O66" s="368">
        <f>23467+1200+1600+200</f>
        <v>26467</v>
      </c>
      <c r="P66" s="369"/>
      <c r="Q66" s="369"/>
      <c r="R66" s="368">
        <v>0</v>
      </c>
      <c r="S66" s="368"/>
      <c r="T66" s="368"/>
      <c r="U66" s="368"/>
      <c r="V66" s="368"/>
    </row>
    <row r="67" spans="1:22" s="359" customFormat="1" hidden="1" x14ac:dyDescent="0.25">
      <c r="A67" s="363"/>
      <c r="B67" s="351" t="s">
        <v>350</v>
      </c>
      <c r="C67" s="368">
        <f>3539+6068-3552</f>
        <v>6055</v>
      </c>
      <c r="D67" s="369"/>
      <c r="E67" s="369"/>
      <c r="F67" s="368"/>
      <c r="G67" s="369"/>
      <c r="H67" s="369"/>
      <c r="I67" s="368"/>
      <c r="J67" s="369"/>
      <c r="K67" s="369"/>
      <c r="L67" s="368"/>
      <c r="M67" s="369"/>
      <c r="N67" s="369"/>
      <c r="O67" s="368">
        <f>5388+800</f>
        <v>6188</v>
      </c>
      <c r="P67" s="369"/>
      <c r="Q67" s="369"/>
      <c r="R67" s="368">
        <v>0</v>
      </c>
      <c r="S67" s="368"/>
      <c r="T67" s="368"/>
      <c r="U67" s="368"/>
      <c r="V67" s="368"/>
    </row>
    <row r="68" spans="1:22" s="359" customFormat="1" hidden="1" x14ac:dyDescent="0.25">
      <c r="A68" s="363"/>
      <c r="B68" s="351" t="s">
        <v>292</v>
      </c>
      <c r="C68" s="368">
        <v>0</v>
      </c>
      <c r="D68" s="369"/>
      <c r="E68" s="369"/>
      <c r="F68" s="368"/>
      <c r="G68" s="369"/>
      <c r="H68" s="369"/>
      <c r="I68" s="368"/>
      <c r="J68" s="369"/>
      <c r="K68" s="369"/>
      <c r="L68" s="368"/>
      <c r="M68" s="369"/>
      <c r="N68" s="369"/>
      <c r="O68" s="368">
        <f>130+(163+3883+13069)</f>
        <v>17245</v>
      </c>
      <c r="P68" s="369"/>
      <c r="Q68" s="369"/>
      <c r="R68" s="368">
        <v>0</v>
      </c>
      <c r="S68" s="368"/>
      <c r="T68" s="368"/>
      <c r="U68" s="368"/>
      <c r="V68" s="368"/>
    </row>
    <row r="69" spans="1:22" s="359" customFormat="1" hidden="1" x14ac:dyDescent="0.25">
      <c r="A69" s="363"/>
      <c r="B69" s="351" t="s">
        <v>351</v>
      </c>
      <c r="C69" s="368">
        <v>0</v>
      </c>
      <c r="D69" s="369"/>
      <c r="E69" s="369"/>
      <c r="F69" s="368"/>
      <c r="G69" s="369"/>
      <c r="H69" s="369"/>
      <c r="I69" s="368"/>
      <c r="J69" s="369"/>
      <c r="K69" s="369"/>
      <c r="L69" s="368">
        <v>0</v>
      </c>
      <c r="M69" s="369"/>
      <c r="N69" s="369"/>
      <c r="O69" s="368">
        <f>544+147</f>
        <v>691</v>
      </c>
      <c r="P69" s="369"/>
      <c r="Q69" s="369"/>
      <c r="R69" s="368">
        <v>0</v>
      </c>
      <c r="S69" s="368">
        <v>0</v>
      </c>
      <c r="T69" s="368">
        <v>0</v>
      </c>
      <c r="U69" s="368">
        <v>0</v>
      </c>
      <c r="V69" s="368">
        <v>0</v>
      </c>
    </row>
    <row r="70" spans="1:22" s="373" customFormat="1" hidden="1" x14ac:dyDescent="0.25">
      <c r="A70" s="363" t="s">
        <v>565</v>
      </c>
      <c r="B70" s="364" t="s">
        <v>566</v>
      </c>
      <c r="C70" s="365">
        <f>SUM(C71:C74)</f>
        <v>333223</v>
      </c>
      <c r="D70" s="366"/>
      <c r="E70" s="366"/>
      <c r="F70" s="365"/>
      <c r="G70" s="366"/>
      <c r="H70" s="366"/>
      <c r="I70" s="365"/>
      <c r="J70" s="366"/>
      <c r="K70" s="366"/>
      <c r="L70" s="365">
        <f>SUM(L71:L74)</f>
        <v>0</v>
      </c>
      <c r="M70" s="366"/>
      <c r="N70" s="366"/>
      <c r="O70" s="365">
        <f>SUM(O71:O74)</f>
        <v>248844</v>
      </c>
      <c r="P70" s="366"/>
      <c r="Q70" s="366"/>
      <c r="R70" s="365">
        <f>SUM(R71:R74)</f>
        <v>0</v>
      </c>
      <c r="S70" s="365">
        <f>SUM(S71:S74)</f>
        <v>0</v>
      </c>
      <c r="T70" s="365">
        <v>0</v>
      </c>
      <c r="U70" s="365">
        <v>0</v>
      </c>
      <c r="V70" s="365">
        <v>0</v>
      </c>
    </row>
    <row r="71" spans="1:22" s="359" customFormat="1" hidden="1" x14ac:dyDescent="0.25">
      <c r="A71" s="363"/>
      <c r="B71" s="351" t="s">
        <v>286</v>
      </c>
      <c r="C71" s="368">
        <v>32167</v>
      </c>
      <c r="D71" s="369"/>
      <c r="E71" s="369"/>
      <c r="F71" s="368"/>
      <c r="G71" s="369"/>
      <c r="H71" s="369"/>
      <c r="I71" s="368"/>
      <c r="J71" s="369"/>
      <c r="K71" s="369"/>
      <c r="L71" s="368"/>
      <c r="M71" s="369"/>
      <c r="N71" s="369"/>
      <c r="O71" s="368">
        <v>40636</v>
      </c>
      <c r="P71" s="369"/>
      <c r="Q71" s="369"/>
      <c r="R71" s="368"/>
      <c r="S71" s="368"/>
      <c r="T71" s="368"/>
      <c r="U71" s="368"/>
      <c r="V71" s="368"/>
    </row>
    <row r="72" spans="1:22" s="359" customFormat="1" hidden="1" x14ac:dyDescent="0.25">
      <c r="A72" s="363"/>
      <c r="B72" s="351" t="s">
        <v>350</v>
      </c>
      <c r="C72" s="368">
        <v>8423</v>
      </c>
      <c r="D72" s="369"/>
      <c r="E72" s="369"/>
      <c r="F72" s="368"/>
      <c r="G72" s="369"/>
      <c r="H72" s="369"/>
      <c r="I72" s="368"/>
      <c r="J72" s="369"/>
      <c r="K72" s="369"/>
      <c r="L72" s="368"/>
      <c r="M72" s="369"/>
      <c r="N72" s="369"/>
      <c r="O72" s="368">
        <v>9380</v>
      </c>
      <c r="P72" s="369"/>
      <c r="Q72" s="369"/>
      <c r="R72" s="368"/>
      <c r="S72" s="368"/>
      <c r="T72" s="368"/>
      <c r="U72" s="368"/>
      <c r="V72" s="368"/>
    </row>
    <row r="73" spans="1:22" s="359" customFormat="1" hidden="1" x14ac:dyDescent="0.25">
      <c r="A73" s="363"/>
      <c r="B73" s="351" t="s">
        <v>292</v>
      </c>
      <c r="C73" s="368">
        <v>289814</v>
      </c>
      <c r="D73" s="369"/>
      <c r="E73" s="369"/>
      <c r="F73" s="368"/>
      <c r="G73" s="369"/>
      <c r="H73" s="369"/>
      <c r="I73" s="368"/>
      <c r="J73" s="369"/>
      <c r="K73" s="369"/>
      <c r="L73" s="368"/>
      <c r="M73" s="369"/>
      <c r="N73" s="369"/>
      <c r="O73" s="368">
        <f>190413+8415</f>
        <v>198828</v>
      </c>
      <c r="P73" s="369"/>
      <c r="Q73" s="369"/>
      <c r="R73" s="368"/>
      <c r="S73" s="368"/>
      <c r="T73" s="368"/>
      <c r="U73" s="368"/>
      <c r="V73" s="368"/>
    </row>
    <row r="74" spans="1:22" s="359" customFormat="1" hidden="1" x14ac:dyDescent="0.25">
      <c r="A74" s="363"/>
      <c r="B74" s="351" t="s">
        <v>351</v>
      </c>
      <c r="C74" s="368">
        <v>2819</v>
      </c>
      <c r="D74" s="369"/>
      <c r="E74" s="369"/>
      <c r="F74" s="368"/>
      <c r="G74" s="369"/>
      <c r="H74" s="369"/>
      <c r="I74" s="368"/>
      <c r="J74" s="369"/>
      <c r="K74" s="369"/>
      <c r="L74" s="368"/>
      <c r="M74" s="369"/>
      <c r="N74" s="369"/>
      <c r="O74" s="368">
        <v>0</v>
      </c>
      <c r="P74" s="369"/>
      <c r="Q74" s="369"/>
      <c r="R74" s="368"/>
      <c r="S74" s="368"/>
      <c r="T74" s="368"/>
      <c r="U74" s="368"/>
      <c r="V74" s="368"/>
    </row>
    <row r="75" spans="1:22" s="359" customFormat="1" x14ac:dyDescent="0.25">
      <c r="A75" s="307" t="s">
        <v>318</v>
      </c>
      <c r="B75" s="360" t="s">
        <v>353</v>
      </c>
      <c r="C75" s="361">
        <f>C76+C81+C86+C91</f>
        <v>360</v>
      </c>
      <c r="D75" s="362">
        <f>D76+D81+D86+D91</f>
        <v>0</v>
      </c>
      <c r="E75" s="362">
        <f>E76+E81+E86+E91</f>
        <v>0</v>
      </c>
      <c r="F75" s="361"/>
      <c r="G75" s="362"/>
      <c r="H75" s="362"/>
      <c r="I75" s="361"/>
      <c r="J75" s="362">
        <f t="shared" ref="J75:R75" si="15">J76+J81+J86+J91</f>
        <v>0</v>
      </c>
      <c r="K75" s="362">
        <f t="shared" si="15"/>
        <v>0</v>
      </c>
      <c r="L75" s="361">
        <f t="shared" si="15"/>
        <v>0</v>
      </c>
      <c r="M75" s="362">
        <f t="shared" si="15"/>
        <v>0</v>
      </c>
      <c r="N75" s="362">
        <f t="shared" si="15"/>
        <v>0</v>
      </c>
      <c r="O75" s="361">
        <f t="shared" si="15"/>
        <v>0</v>
      </c>
      <c r="P75" s="362">
        <f t="shared" si="15"/>
        <v>0</v>
      </c>
      <c r="Q75" s="362">
        <f t="shared" si="15"/>
        <v>0</v>
      </c>
      <c r="R75" s="361">
        <f t="shared" si="15"/>
        <v>0</v>
      </c>
      <c r="S75" s="361">
        <f t="shared" ref="S75" si="16">S76+S81+S86+S91</f>
        <v>0</v>
      </c>
      <c r="T75" s="361">
        <v>0</v>
      </c>
      <c r="U75" s="361">
        <v>0</v>
      </c>
      <c r="V75" s="361">
        <v>0</v>
      </c>
    </row>
    <row r="76" spans="1:22" s="373" customFormat="1" hidden="1" x14ac:dyDescent="0.25">
      <c r="A76" s="363" t="s">
        <v>311</v>
      </c>
      <c r="B76" s="364" t="s">
        <v>567</v>
      </c>
      <c r="C76" s="365">
        <f>SUM(C77:C80)</f>
        <v>0</v>
      </c>
      <c r="D76" s="366"/>
      <c r="E76" s="366"/>
      <c r="F76" s="365"/>
      <c r="G76" s="366"/>
      <c r="H76" s="366"/>
      <c r="I76" s="365"/>
      <c r="J76" s="366"/>
      <c r="K76" s="366"/>
      <c r="L76" s="365"/>
      <c r="M76" s="366"/>
      <c r="N76" s="366"/>
      <c r="O76" s="365">
        <f>SUM(O77:O80)</f>
        <v>0</v>
      </c>
      <c r="P76" s="366"/>
      <c r="Q76" s="366"/>
      <c r="R76" s="365">
        <f>SUM(R77:R80)</f>
        <v>0</v>
      </c>
      <c r="S76" s="365"/>
      <c r="T76" s="365"/>
    </row>
    <row r="77" spans="1:22" s="373" customFormat="1" hidden="1" x14ac:dyDescent="0.25">
      <c r="A77" s="367"/>
      <c r="B77" s="351" t="s">
        <v>286</v>
      </c>
      <c r="C77" s="368">
        <v>0</v>
      </c>
      <c r="D77" s="369"/>
      <c r="E77" s="369"/>
      <c r="F77" s="368"/>
      <c r="G77" s="369"/>
      <c r="H77" s="369"/>
      <c r="I77" s="368"/>
      <c r="J77" s="369"/>
      <c r="K77" s="369"/>
      <c r="L77" s="368"/>
      <c r="M77" s="369"/>
      <c r="N77" s="369"/>
      <c r="O77" s="368">
        <v>0</v>
      </c>
      <c r="P77" s="369"/>
      <c r="Q77" s="369"/>
      <c r="R77" s="368">
        <v>0</v>
      </c>
      <c r="S77" s="368"/>
      <c r="T77" s="368"/>
    </row>
    <row r="78" spans="1:22" s="373" customFormat="1" hidden="1" x14ac:dyDescent="0.25">
      <c r="A78" s="367"/>
      <c r="B78" s="351" t="s">
        <v>350</v>
      </c>
      <c r="C78" s="368">
        <v>0</v>
      </c>
      <c r="D78" s="369"/>
      <c r="E78" s="369"/>
      <c r="F78" s="368"/>
      <c r="G78" s="369"/>
      <c r="H78" s="369"/>
      <c r="I78" s="368"/>
      <c r="J78" s="369"/>
      <c r="K78" s="369"/>
      <c r="L78" s="368"/>
      <c r="M78" s="369"/>
      <c r="N78" s="369"/>
      <c r="O78" s="368">
        <v>0</v>
      </c>
      <c r="P78" s="369"/>
      <c r="Q78" s="369"/>
      <c r="R78" s="368">
        <v>0</v>
      </c>
      <c r="S78" s="368"/>
      <c r="T78" s="368"/>
    </row>
    <row r="79" spans="1:22" s="359" customFormat="1" hidden="1" x14ac:dyDescent="0.25">
      <c r="A79" s="367"/>
      <c r="B79" s="351" t="s">
        <v>292</v>
      </c>
      <c r="C79" s="368">
        <v>0</v>
      </c>
      <c r="D79" s="369"/>
      <c r="E79" s="369"/>
      <c r="F79" s="368"/>
      <c r="G79" s="369"/>
      <c r="H79" s="369"/>
      <c r="I79" s="368"/>
      <c r="J79" s="369"/>
      <c r="K79" s="369"/>
      <c r="L79" s="368"/>
      <c r="M79" s="369"/>
      <c r="N79" s="369"/>
      <c r="O79" s="368">
        <v>0</v>
      </c>
      <c r="P79" s="369"/>
      <c r="Q79" s="369"/>
      <c r="R79" s="368">
        <v>0</v>
      </c>
      <c r="S79" s="368"/>
      <c r="T79" s="368"/>
    </row>
    <row r="80" spans="1:22" s="359" customFormat="1" hidden="1" x14ac:dyDescent="0.25">
      <c r="A80" s="367"/>
      <c r="B80" s="351" t="s">
        <v>351</v>
      </c>
      <c r="C80" s="368">
        <v>0</v>
      </c>
      <c r="D80" s="369"/>
      <c r="E80" s="369"/>
      <c r="F80" s="368"/>
      <c r="G80" s="369"/>
      <c r="H80" s="369"/>
      <c r="I80" s="368"/>
      <c r="J80" s="369"/>
      <c r="K80" s="369"/>
      <c r="L80" s="368"/>
      <c r="M80" s="369"/>
      <c r="N80" s="369"/>
      <c r="O80" s="368">
        <v>0</v>
      </c>
      <c r="P80" s="369"/>
      <c r="Q80" s="369"/>
      <c r="R80" s="368">
        <v>0</v>
      </c>
      <c r="S80" s="368"/>
      <c r="T80" s="368"/>
    </row>
    <row r="81" spans="1:21" s="373" customFormat="1" hidden="1" x14ac:dyDescent="0.25">
      <c r="A81" s="363" t="s">
        <v>322</v>
      </c>
      <c r="B81" s="364" t="s">
        <v>568</v>
      </c>
      <c r="C81" s="365">
        <f>SUM(C82:C85)</f>
        <v>360</v>
      </c>
      <c r="D81" s="366"/>
      <c r="E81" s="366"/>
      <c r="F81" s="365"/>
      <c r="G81" s="366"/>
      <c r="H81" s="366"/>
      <c r="I81" s="365"/>
      <c r="J81" s="366"/>
      <c r="K81" s="366"/>
      <c r="L81" s="365"/>
      <c r="M81" s="366"/>
      <c r="N81" s="366"/>
      <c r="O81" s="365">
        <f>SUM(O82:O85)</f>
        <v>0</v>
      </c>
      <c r="P81" s="366"/>
      <c r="Q81" s="366"/>
      <c r="R81" s="365">
        <f>SUM(R82:R85)</f>
        <v>0</v>
      </c>
      <c r="S81" s="365"/>
      <c r="T81" s="365"/>
    </row>
    <row r="82" spans="1:21" s="373" customFormat="1" hidden="1" x14ac:dyDescent="0.25">
      <c r="A82" s="367"/>
      <c r="B82" s="351" t="s">
        <v>286</v>
      </c>
      <c r="C82" s="368">
        <v>0</v>
      </c>
      <c r="D82" s="369"/>
      <c r="E82" s="369"/>
      <c r="F82" s="368"/>
      <c r="G82" s="369"/>
      <c r="H82" s="369"/>
      <c r="I82" s="368"/>
      <c r="J82" s="369"/>
      <c r="K82" s="369"/>
      <c r="L82" s="368"/>
      <c r="M82" s="369"/>
      <c r="N82" s="369"/>
      <c r="O82" s="368">
        <v>0</v>
      </c>
      <c r="P82" s="369"/>
      <c r="Q82" s="369"/>
      <c r="R82" s="368">
        <v>0</v>
      </c>
      <c r="S82" s="368"/>
      <c r="T82" s="368"/>
    </row>
    <row r="83" spans="1:21" s="373" customFormat="1" hidden="1" x14ac:dyDescent="0.25">
      <c r="A83" s="367"/>
      <c r="B83" s="351" t="s">
        <v>350</v>
      </c>
      <c r="C83" s="368">
        <v>0</v>
      </c>
      <c r="D83" s="369"/>
      <c r="E83" s="369"/>
      <c r="F83" s="368"/>
      <c r="G83" s="369"/>
      <c r="H83" s="369"/>
      <c r="I83" s="368"/>
      <c r="J83" s="369"/>
      <c r="K83" s="369"/>
      <c r="L83" s="368"/>
      <c r="M83" s="369"/>
      <c r="N83" s="369"/>
      <c r="O83" s="368">
        <v>0</v>
      </c>
      <c r="P83" s="369"/>
      <c r="Q83" s="369"/>
      <c r="R83" s="368">
        <v>0</v>
      </c>
      <c r="S83" s="368"/>
      <c r="T83" s="368"/>
    </row>
    <row r="84" spans="1:21" s="359" customFormat="1" hidden="1" x14ac:dyDescent="0.25">
      <c r="A84" s="367"/>
      <c r="B84" s="351" t="s">
        <v>292</v>
      </c>
      <c r="C84" s="368">
        <v>360</v>
      </c>
      <c r="D84" s="369"/>
      <c r="E84" s="369"/>
      <c r="F84" s="368"/>
      <c r="G84" s="369"/>
      <c r="H84" s="369"/>
      <c r="I84" s="368"/>
      <c r="J84" s="369"/>
      <c r="K84" s="369"/>
      <c r="L84" s="368"/>
      <c r="M84" s="369"/>
      <c r="N84" s="369"/>
      <c r="O84" s="368">
        <v>0</v>
      </c>
      <c r="P84" s="369"/>
      <c r="Q84" s="369"/>
      <c r="R84" s="368">
        <v>0</v>
      </c>
      <c r="S84" s="368"/>
      <c r="T84" s="368"/>
    </row>
    <row r="85" spans="1:21" s="359" customFormat="1" hidden="1" x14ac:dyDescent="0.25">
      <c r="A85" s="400"/>
      <c r="B85" s="401" t="s">
        <v>351</v>
      </c>
      <c r="C85" s="402">
        <v>0</v>
      </c>
      <c r="D85" s="403"/>
      <c r="E85" s="403"/>
      <c r="F85" s="402"/>
      <c r="G85" s="403"/>
      <c r="H85" s="403"/>
      <c r="I85" s="402"/>
      <c r="J85" s="403"/>
      <c r="K85" s="403"/>
      <c r="L85" s="402"/>
      <c r="M85" s="403"/>
      <c r="N85" s="403"/>
      <c r="O85" s="402">
        <v>0</v>
      </c>
      <c r="P85" s="403"/>
      <c r="Q85" s="403"/>
      <c r="R85" s="402">
        <v>0</v>
      </c>
      <c r="S85" s="402"/>
      <c r="T85" s="402"/>
    </row>
    <row r="86" spans="1:21" s="359" customFormat="1" hidden="1" x14ac:dyDescent="0.25">
      <c r="A86" s="766" t="s">
        <v>315</v>
      </c>
      <c r="B86" s="767" t="s">
        <v>569</v>
      </c>
      <c r="C86" s="768"/>
      <c r="D86" s="769"/>
      <c r="E86" s="769"/>
      <c r="F86" s="768"/>
      <c r="G86" s="769"/>
      <c r="H86" s="769"/>
      <c r="I86" s="768"/>
      <c r="J86" s="769"/>
      <c r="K86" s="769"/>
      <c r="L86" s="768"/>
      <c r="M86" s="764"/>
      <c r="N86" s="405"/>
      <c r="O86" s="404"/>
      <c r="P86" s="405"/>
      <c r="Q86" s="405"/>
      <c r="R86" s="404"/>
      <c r="S86" s="768"/>
      <c r="T86" s="768"/>
    </row>
    <row r="87" spans="1:21" hidden="1" x14ac:dyDescent="0.25">
      <c r="A87" s="770"/>
      <c r="B87" s="771" t="s">
        <v>286</v>
      </c>
      <c r="C87" s="772"/>
      <c r="D87" s="773"/>
      <c r="E87" s="773"/>
      <c r="F87" s="772"/>
      <c r="G87" s="772"/>
      <c r="H87" s="772"/>
      <c r="I87" s="774"/>
      <c r="J87" s="774"/>
      <c r="K87" s="774"/>
      <c r="L87" s="774"/>
      <c r="S87" s="774"/>
      <c r="T87" s="774"/>
    </row>
    <row r="88" spans="1:21" hidden="1" x14ac:dyDescent="0.25">
      <c r="A88" s="770"/>
      <c r="B88" s="771" t="s">
        <v>350</v>
      </c>
      <c r="C88" s="772"/>
      <c r="D88" s="773"/>
      <c r="E88" s="773"/>
      <c r="F88" s="772"/>
      <c r="G88" s="772"/>
      <c r="H88" s="772"/>
      <c r="I88" s="774"/>
      <c r="J88" s="774"/>
      <c r="K88" s="774"/>
      <c r="L88" s="774"/>
      <c r="S88" s="774"/>
      <c r="T88" s="774"/>
    </row>
    <row r="89" spans="1:21" hidden="1" x14ac:dyDescent="0.25">
      <c r="A89" s="775"/>
      <c r="B89" s="771" t="s">
        <v>292</v>
      </c>
      <c r="C89" s="776"/>
      <c r="D89" s="773"/>
      <c r="E89" s="773"/>
      <c r="F89" s="776"/>
      <c r="G89" s="776"/>
      <c r="H89" s="776"/>
      <c r="I89" s="774"/>
      <c r="J89" s="774"/>
      <c r="K89" s="774"/>
      <c r="L89" s="774"/>
      <c r="S89" s="774"/>
      <c r="T89" s="774"/>
    </row>
    <row r="90" spans="1:21" hidden="1" x14ac:dyDescent="0.25">
      <c r="A90" s="777"/>
      <c r="B90" s="771" t="s">
        <v>351</v>
      </c>
      <c r="C90" s="776"/>
      <c r="D90" s="773"/>
      <c r="E90" s="773"/>
      <c r="F90" s="776"/>
      <c r="G90" s="776"/>
      <c r="H90" s="776"/>
      <c r="I90" s="774"/>
      <c r="J90" s="774"/>
      <c r="K90" s="774"/>
      <c r="L90" s="774"/>
      <c r="S90" s="774"/>
      <c r="T90" s="774"/>
    </row>
    <row r="91" spans="1:21" hidden="1" x14ac:dyDescent="0.25">
      <c r="A91" s="775" t="s">
        <v>336</v>
      </c>
      <c r="B91" s="778" t="s">
        <v>570</v>
      </c>
      <c r="C91" s="779"/>
      <c r="D91" s="780"/>
      <c r="E91" s="780"/>
      <c r="F91" s="779"/>
      <c r="G91" s="779"/>
      <c r="H91" s="779"/>
      <c r="I91" s="774"/>
      <c r="J91" s="774"/>
      <c r="K91" s="774"/>
      <c r="L91" s="774"/>
      <c r="S91" s="774"/>
      <c r="T91" s="774"/>
    </row>
    <row r="92" spans="1:21" hidden="1" x14ac:dyDescent="0.25">
      <c r="A92" s="770"/>
      <c r="B92" s="771" t="s">
        <v>351</v>
      </c>
      <c r="C92" s="772"/>
      <c r="D92" s="773"/>
      <c r="E92" s="773"/>
      <c r="F92" s="772"/>
      <c r="G92" s="772"/>
      <c r="H92" s="772"/>
      <c r="I92" s="774"/>
      <c r="J92" s="774"/>
      <c r="K92" s="774"/>
      <c r="L92" s="774"/>
      <c r="S92" s="774"/>
      <c r="T92" s="774"/>
    </row>
    <row r="93" spans="1:21" hidden="1" x14ac:dyDescent="0.25">
      <c r="A93" s="770"/>
      <c r="B93" s="771" t="s">
        <v>342</v>
      </c>
      <c r="C93" s="772"/>
      <c r="D93" s="773"/>
      <c r="E93" s="773"/>
      <c r="F93" s="772"/>
      <c r="G93" s="772"/>
      <c r="H93" s="772"/>
      <c r="I93" s="774"/>
      <c r="J93" s="774"/>
      <c r="K93" s="774"/>
      <c r="L93" s="774"/>
      <c r="S93" s="774"/>
      <c r="T93" s="774"/>
    </row>
    <row r="94" spans="1:21" hidden="1" x14ac:dyDescent="0.25">
      <c r="B94" s="349"/>
      <c r="C94" s="765"/>
      <c r="D94" s="350"/>
      <c r="E94" s="350"/>
      <c r="F94" s="765"/>
      <c r="G94" s="765"/>
      <c r="H94" s="765"/>
    </row>
    <row r="95" spans="1:21" hidden="1" x14ac:dyDescent="0.25">
      <c r="B95" s="42" t="s">
        <v>571</v>
      </c>
      <c r="C95" s="40">
        <f>C8+C13+C28+C33+C38+C46+C56+C61+C66+C71+C77+C82</f>
        <v>252145</v>
      </c>
      <c r="F95" s="40">
        <f t="shared" ref="F95:R95" si="17">F8+F13+F28+F33+F38+F46+F56+F61+F66+F71+F77+F82+F52+F24</f>
        <v>182699</v>
      </c>
      <c r="G95" s="40">
        <f t="shared" si="17"/>
        <v>182699</v>
      </c>
      <c r="H95" s="40">
        <f t="shared" si="17"/>
        <v>182699</v>
      </c>
      <c r="I95" s="40">
        <f t="shared" si="17"/>
        <v>253570</v>
      </c>
      <c r="J95" s="40">
        <f t="shared" si="17"/>
        <v>182699</v>
      </c>
      <c r="K95" s="40">
        <f t="shared" si="17"/>
        <v>182699</v>
      </c>
      <c r="L95" s="40">
        <f t="shared" si="17"/>
        <v>285686</v>
      </c>
      <c r="M95" s="40">
        <f t="shared" si="17"/>
        <v>182699</v>
      </c>
      <c r="N95" s="40">
        <f t="shared" si="17"/>
        <v>182699</v>
      </c>
      <c r="O95" s="40">
        <f t="shared" si="17"/>
        <v>249802</v>
      </c>
      <c r="P95" s="40">
        <f t="shared" si="17"/>
        <v>182699</v>
      </c>
      <c r="Q95" s="40">
        <f t="shared" si="17"/>
        <v>182699</v>
      </c>
      <c r="R95" s="40">
        <f t="shared" si="17"/>
        <v>126046</v>
      </c>
      <c r="S95" s="40">
        <f t="shared" ref="S95:T95" si="18">S8+S13+S28+S33+S38+S46+S56+S61+S66+S71+S77+S82+S52+S24</f>
        <v>196987</v>
      </c>
      <c r="T95" s="40">
        <f t="shared" si="18"/>
        <v>283299</v>
      </c>
      <c r="U95" s="40">
        <f t="shared" ref="U95" si="19">U8+U13+U28+U33+U38+U46+U56+U61+U66+U71+U77+U82+U52+U24</f>
        <v>347572</v>
      </c>
    </row>
    <row r="96" spans="1:21" hidden="1" x14ac:dyDescent="0.25">
      <c r="B96" s="42" t="s">
        <v>572</v>
      </c>
      <c r="C96" s="40">
        <f>C9+C14+C29+C34+C39+C47+C57+C62+C67+C72+C78+C83</f>
        <v>64002</v>
      </c>
      <c r="F96" s="40">
        <f t="shared" ref="F96:R96" si="20">F9+F14+F29+F34+F39+F47+F57+F62+F67+F72+F78+F83+F53+F25</f>
        <v>37466</v>
      </c>
      <c r="G96" s="40">
        <f t="shared" si="20"/>
        <v>37466</v>
      </c>
      <c r="H96" s="40">
        <f t="shared" si="20"/>
        <v>37466</v>
      </c>
      <c r="I96" s="40">
        <f t="shared" si="20"/>
        <v>45409</v>
      </c>
      <c r="J96" s="40">
        <f t="shared" si="20"/>
        <v>37466</v>
      </c>
      <c r="K96" s="40">
        <f t="shared" si="20"/>
        <v>37466</v>
      </c>
      <c r="L96" s="40">
        <f t="shared" si="20"/>
        <v>48636</v>
      </c>
      <c r="M96" s="40">
        <f t="shared" si="20"/>
        <v>37466</v>
      </c>
      <c r="N96" s="40">
        <f t="shared" si="20"/>
        <v>37466</v>
      </c>
      <c r="O96" s="40">
        <f t="shared" si="20"/>
        <v>53034</v>
      </c>
      <c r="P96" s="40">
        <f t="shared" si="20"/>
        <v>37466</v>
      </c>
      <c r="Q96" s="40">
        <f t="shared" si="20"/>
        <v>37466</v>
      </c>
      <c r="R96" s="40">
        <f t="shared" si="20"/>
        <v>18775</v>
      </c>
      <c r="S96" s="40">
        <f t="shared" ref="S96:T96" si="21">S9+S14+S29+S34+S39+S47+S57+S62+S67+S72+S78+S83+S53+S25</f>
        <v>39911</v>
      </c>
      <c r="T96" s="40">
        <f t="shared" si="21"/>
        <v>48888</v>
      </c>
      <c r="U96" s="40">
        <f t="shared" ref="U96" si="22">U9+U14+U29+U34+U39+U47+U57+U62+U67+U72+U78+U83+U53+U25</f>
        <v>55231</v>
      </c>
    </row>
    <row r="97" spans="2:22" hidden="1" x14ac:dyDescent="0.25">
      <c r="B97" s="42" t="s">
        <v>573</v>
      </c>
      <c r="C97" s="40">
        <f>C10+C15+C18+C21+C24+C30+C35+C42+C48+C52+C58+C63+C68+C73+C79+C84</f>
        <v>615563</v>
      </c>
      <c r="F97" s="40">
        <f t="shared" ref="F97:R97" si="23">F10+F15+F18+F21+F30+F35+F42+F48+F58+F63+F68+F73+F79+F84+F26+F40+F54</f>
        <v>217937</v>
      </c>
      <c r="G97" s="40">
        <f t="shared" si="23"/>
        <v>217937</v>
      </c>
      <c r="H97" s="40">
        <f t="shared" si="23"/>
        <v>217937</v>
      </c>
      <c r="I97" s="40">
        <f t="shared" si="23"/>
        <v>217092</v>
      </c>
      <c r="J97" s="40">
        <f t="shared" si="23"/>
        <v>217937</v>
      </c>
      <c r="K97" s="40">
        <f t="shared" si="23"/>
        <v>217937</v>
      </c>
      <c r="L97" s="40">
        <f t="shared" si="23"/>
        <v>242941</v>
      </c>
      <c r="M97" s="40">
        <f t="shared" si="23"/>
        <v>217937</v>
      </c>
      <c r="N97" s="40">
        <f t="shared" si="23"/>
        <v>217937</v>
      </c>
      <c r="O97" s="40">
        <f t="shared" si="23"/>
        <v>434010</v>
      </c>
      <c r="P97" s="40">
        <f t="shared" si="23"/>
        <v>217937</v>
      </c>
      <c r="Q97" s="40">
        <f t="shared" si="23"/>
        <v>217937</v>
      </c>
      <c r="R97" s="40">
        <f t="shared" si="23"/>
        <v>28836</v>
      </c>
      <c r="S97" s="40">
        <f t="shared" ref="S97:T97" si="24">S10+S15+S18+S21+S30+S35+S42+S48+S58+S63+S68+S73+S79+S84+S26+S40+S54</f>
        <v>238502</v>
      </c>
      <c r="T97" s="40">
        <f t="shared" si="24"/>
        <v>283354</v>
      </c>
      <c r="U97" s="40">
        <f t="shared" ref="U97" si="25">U10+U15+U18+U21+U30+U35+U42+U48+U58+U63+U68+U73+U79+U84+U26+U40+U54</f>
        <v>285268</v>
      </c>
    </row>
    <row r="98" spans="2:22" hidden="1" x14ac:dyDescent="0.25">
      <c r="B98" s="42" t="s">
        <v>574</v>
      </c>
      <c r="C98" s="40">
        <f>C11+C16+C19+C22+C26+C31+C36+C43+C50+C53+C59+C64+C69+C80+C85+C74</f>
        <v>16875</v>
      </c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>
        <f>T59</f>
        <v>6822</v>
      </c>
      <c r="U98" s="40">
        <f>U59+U11</f>
        <v>9730</v>
      </c>
    </row>
    <row r="99" spans="2:22" hidden="1" x14ac:dyDescent="0.25">
      <c r="B99" s="42" t="s">
        <v>575</v>
      </c>
      <c r="C99" s="40">
        <f>C44</f>
        <v>0</v>
      </c>
      <c r="F99" s="40">
        <f t="shared" ref="F99:Q99" si="26">F44</f>
        <v>0</v>
      </c>
      <c r="G99" s="40">
        <f t="shared" si="26"/>
        <v>0</v>
      </c>
      <c r="H99" s="40">
        <f t="shared" si="26"/>
        <v>0</v>
      </c>
      <c r="I99" s="40">
        <f t="shared" si="26"/>
        <v>0</v>
      </c>
      <c r="J99" s="40">
        <f t="shared" si="26"/>
        <v>0</v>
      </c>
      <c r="K99" s="40">
        <f t="shared" si="26"/>
        <v>0</v>
      </c>
      <c r="L99" s="40">
        <f t="shared" si="26"/>
        <v>0</v>
      </c>
      <c r="M99" s="40">
        <f t="shared" si="26"/>
        <v>0</v>
      </c>
      <c r="N99" s="40">
        <f t="shared" si="26"/>
        <v>0</v>
      </c>
      <c r="O99" s="40">
        <f t="shared" si="26"/>
        <v>0</v>
      </c>
      <c r="P99" s="40">
        <f t="shared" si="26"/>
        <v>0</v>
      </c>
      <c r="Q99" s="40">
        <f t="shared" si="26"/>
        <v>0</v>
      </c>
      <c r="R99" s="40">
        <f>R44</f>
        <v>0</v>
      </c>
      <c r="S99" s="40">
        <f t="shared" ref="S99:T99" si="27">S44</f>
        <v>0</v>
      </c>
      <c r="T99" s="40">
        <f t="shared" si="27"/>
        <v>0</v>
      </c>
      <c r="U99" s="40">
        <f>U16</f>
        <v>6306</v>
      </c>
    </row>
    <row r="100" spans="2:22" hidden="1" x14ac:dyDescent="0.25">
      <c r="B100" s="42" t="s">
        <v>576</v>
      </c>
      <c r="C100" s="40">
        <f>C95+C96+C97+C98+C99</f>
        <v>948585</v>
      </c>
      <c r="F100" s="40">
        <f>F95+F96+F97+F98+F99</f>
        <v>438102</v>
      </c>
      <c r="I100" s="40">
        <f>I95+I96+I97+I98+I99</f>
        <v>516071</v>
      </c>
      <c r="L100" s="40">
        <f>L95+L96+L97+L98+L99</f>
        <v>577263</v>
      </c>
      <c r="O100" s="40">
        <f>O95+O96+O97+O98+O99</f>
        <v>736846</v>
      </c>
      <c r="R100" s="40">
        <f>R95+R96+R97+R98+R99</f>
        <v>173657</v>
      </c>
      <c r="S100" s="40">
        <f>S95+S96+S97+S98+S99</f>
        <v>475400</v>
      </c>
      <c r="T100" s="40">
        <f>T95+T96+T97+T98+T99</f>
        <v>622363</v>
      </c>
      <c r="U100" s="40">
        <f>U95+U96+U97+U98+U99</f>
        <v>704107</v>
      </c>
    </row>
    <row r="101" spans="2:22" hidden="1" x14ac:dyDescent="0.25">
      <c r="I101">
        <v>32290</v>
      </c>
      <c r="L101">
        <v>32290</v>
      </c>
      <c r="O101">
        <v>32290</v>
      </c>
      <c r="S101">
        <v>32290</v>
      </c>
    </row>
    <row r="107" spans="2:22" hidden="1" x14ac:dyDescent="0.25">
      <c r="B107" s="42" t="s">
        <v>571</v>
      </c>
      <c r="C107" s="40">
        <f>C20+C25+C40+C45+C50+C58+C68+C73+C78+C83+C89+C94</f>
        <v>515907</v>
      </c>
      <c r="F107" s="40">
        <f t="shared" ref="F107:Q108" si="28">F20+F25+F40+F45+F50+F58+F68+F73+F78+F83+F89+F94+F64+F36</f>
        <v>16813</v>
      </c>
      <c r="G107" s="40">
        <f t="shared" si="28"/>
        <v>1761</v>
      </c>
      <c r="H107" s="40">
        <f t="shared" si="28"/>
        <v>1745</v>
      </c>
      <c r="I107" s="40">
        <f t="shared" si="28"/>
        <v>16813</v>
      </c>
      <c r="J107" s="40">
        <f t="shared" si="28"/>
        <v>7313</v>
      </c>
      <c r="K107" s="40">
        <f t="shared" si="28"/>
        <v>7313</v>
      </c>
      <c r="L107" s="40">
        <f t="shared" si="28"/>
        <v>17039</v>
      </c>
      <c r="M107" s="40">
        <f t="shared" si="28"/>
        <v>7313</v>
      </c>
      <c r="N107" s="40">
        <f t="shared" si="28"/>
        <v>7313</v>
      </c>
      <c r="O107" s="40">
        <f t="shared" si="28"/>
        <v>308772</v>
      </c>
      <c r="P107" s="40">
        <f t="shared" si="28"/>
        <v>7313</v>
      </c>
      <c r="Q107" s="40">
        <f t="shared" si="28"/>
        <v>7313</v>
      </c>
      <c r="R107" s="40">
        <f>R20+R25+R40+R45+R50+R58+R68+R73+R78+R83+R89+R94+R64+R36</f>
        <v>4251</v>
      </c>
      <c r="V107" s="40">
        <f>SUM(V8+V13+V24+V28+V33+V38+V46+V52+V56+V61)</f>
        <v>184687</v>
      </c>
    </row>
    <row r="108" spans="2:22" hidden="1" x14ac:dyDescent="0.25">
      <c r="B108" s="42" t="s">
        <v>572</v>
      </c>
      <c r="C108" s="40">
        <f>C21+C26+C41+C46+C51+C59+C69+C74+C79+C84+C90+C95</f>
        <v>455971</v>
      </c>
      <c r="F108" s="40">
        <f t="shared" si="28"/>
        <v>202513</v>
      </c>
      <c r="G108" s="40">
        <f t="shared" si="28"/>
        <v>202313</v>
      </c>
      <c r="H108" s="40">
        <f t="shared" si="28"/>
        <v>202313</v>
      </c>
      <c r="I108" s="40">
        <f t="shared" si="28"/>
        <v>273384</v>
      </c>
      <c r="J108" s="40">
        <f t="shared" si="28"/>
        <v>202318</v>
      </c>
      <c r="K108" s="40">
        <f t="shared" si="28"/>
        <v>202313</v>
      </c>
      <c r="L108" s="40">
        <f t="shared" si="28"/>
        <v>307190</v>
      </c>
      <c r="M108" s="40">
        <f t="shared" si="28"/>
        <v>202318</v>
      </c>
      <c r="N108" s="40">
        <f t="shared" si="28"/>
        <v>202313</v>
      </c>
      <c r="O108" s="40">
        <f t="shared" si="28"/>
        <v>320925</v>
      </c>
      <c r="P108" s="40">
        <f t="shared" si="28"/>
        <v>202313</v>
      </c>
      <c r="Q108" s="40">
        <f t="shared" si="28"/>
        <v>202313</v>
      </c>
      <c r="R108" s="40">
        <f>R21+R26+R41+R46+R51+R59+R69+R74+R79+R84+R90+R95+R65+R37</f>
        <v>128185</v>
      </c>
      <c r="V108" s="40">
        <f>SUM(V9+V14+V25+V29+V34+V39+V47+V53+V57+V62)</f>
        <v>28239</v>
      </c>
    </row>
    <row r="109" spans="2:22" hidden="1" x14ac:dyDescent="0.25">
      <c r="B109" s="42" t="s">
        <v>573</v>
      </c>
      <c r="C109" s="40">
        <f>C22+C27+C30+C33+C36+C42+C47+C54+C60+C64+C70+C75+C80+C85+C91+C96</f>
        <v>481775</v>
      </c>
      <c r="F109" s="40">
        <f t="shared" ref="F109:Q109" si="29">F22+F27+F30+F33+F42+F47+F54+F60+F70+F75+F80+F85+F91+F96+F38+F52+F66</f>
        <v>216947</v>
      </c>
      <c r="G109" s="40">
        <f t="shared" si="29"/>
        <v>64495</v>
      </c>
      <c r="H109" s="40">
        <f t="shared" si="29"/>
        <v>64476</v>
      </c>
      <c r="I109" s="40">
        <f t="shared" si="29"/>
        <v>224890</v>
      </c>
      <c r="J109" s="40">
        <f t="shared" si="29"/>
        <v>64495</v>
      </c>
      <c r="K109" s="40">
        <f t="shared" si="29"/>
        <v>64476</v>
      </c>
      <c r="L109" s="40">
        <f t="shared" si="29"/>
        <v>228143</v>
      </c>
      <c r="M109" s="40">
        <f t="shared" si="29"/>
        <v>64495</v>
      </c>
      <c r="N109" s="40">
        <f t="shared" si="29"/>
        <v>64476</v>
      </c>
      <c r="O109" s="40">
        <f t="shared" si="29"/>
        <v>508154</v>
      </c>
      <c r="P109" s="40">
        <f t="shared" si="29"/>
        <v>64476</v>
      </c>
      <c r="Q109" s="40">
        <f t="shared" si="29"/>
        <v>64476</v>
      </c>
      <c r="R109" s="40">
        <f>R22+R27+R30+R33+R42+R47+R54+R60+R70+R75+R80+R85+R91+R96+R38+R52+R66</f>
        <v>46665</v>
      </c>
      <c r="V109" s="40">
        <f>SUM(V10+V15+V26+V30+V35+V40+V48+V54+V58+V63+V18+V21)</f>
        <v>117285</v>
      </c>
    </row>
    <row r="110" spans="2:22" hidden="1" x14ac:dyDescent="0.25">
      <c r="B110" s="42" t="s">
        <v>574</v>
      </c>
      <c r="C110" s="40">
        <f>C23+C28+C31+C34+C38+C43+C48+C55+C62+C65+C71+C76+C81+C92+C97+C86</f>
        <v>786094</v>
      </c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V110" s="40">
        <f>SUM(V15+V36+V59)</f>
        <v>6553</v>
      </c>
    </row>
    <row r="111" spans="2:22" hidden="1" x14ac:dyDescent="0.25">
      <c r="B111" s="42" t="s">
        <v>575</v>
      </c>
      <c r="C111" s="40">
        <f>C56</f>
        <v>18272</v>
      </c>
      <c r="F111" s="40">
        <f t="shared" ref="F111:Q111" si="30">F56</f>
        <v>0</v>
      </c>
      <c r="G111" s="40">
        <f t="shared" si="30"/>
        <v>0</v>
      </c>
      <c r="H111" s="40">
        <f t="shared" si="30"/>
        <v>0</v>
      </c>
      <c r="I111" s="40">
        <f t="shared" si="30"/>
        <v>70871</v>
      </c>
      <c r="J111" s="40">
        <f t="shared" si="30"/>
        <v>0</v>
      </c>
      <c r="K111" s="40">
        <f t="shared" si="30"/>
        <v>0</v>
      </c>
      <c r="L111" s="40">
        <f t="shared" si="30"/>
        <v>101554</v>
      </c>
      <c r="M111" s="40">
        <f t="shared" si="30"/>
        <v>0</v>
      </c>
      <c r="N111" s="40">
        <f t="shared" si="30"/>
        <v>0</v>
      </c>
      <c r="O111" s="40">
        <f t="shared" si="30"/>
        <v>0</v>
      </c>
      <c r="P111" s="40">
        <f t="shared" si="30"/>
        <v>0</v>
      </c>
      <c r="Q111" s="40">
        <f t="shared" si="30"/>
        <v>0</v>
      </c>
      <c r="R111" s="40">
        <f>R56</f>
        <v>69615</v>
      </c>
      <c r="V111" s="40"/>
    </row>
    <row r="112" spans="2:22" hidden="1" x14ac:dyDescent="0.25">
      <c r="B112" s="42" t="s">
        <v>576</v>
      </c>
      <c r="C112" s="40">
        <f>C107+C108+C109+C110+C111</f>
        <v>2258019</v>
      </c>
      <c r="F112" s="40">
        <f>F107+F108+F109+F110+F111</f>
        <v>436273</v>
      </c>
      <c r="I112" s="40">
        <f>I107+I108+I109+I110+I111</f>
        <v>585958</v>
      </c>
      <c r="L112" s="40">
        <f>L107+L108+L109+L110+L111</f>
        <v>653926</v>
      </c>
      <c r="O112" s="40">
        <f>O107+O108+O109+O110+O111</f>
        <v>1137851</v>
      </c>
      <c r="R112" s="40">
        <f>R107+R108+R109+R110+R111</f>
        <v>248716</v>
      </c>
      <c r="V112" s="40">
        <f>SUM(V107:V111)</f>
        <v>336764</v>
      </c>
    </row>
    <row r="113" spans="9:15" x14ac:dyDescent="0.25">
      <c r="I113">
        <v>32290</v>
      </c>
      <c r="L113">
        <v>32290</v>
      </c>
      <c r="O113">
        <v>32290</v>
      </c>
    </row>
  </sheetData>
  <customSheetViews>
    <customSheetView guid="{7F1DC213-A29D-4C8C-BAC3-F1BD898020FD}" scale="75" showPageBreaks="1" printArea="1" hiddenRows="1" hiddenColumns="1" view="pageBreakPreview">
      <selection activeCell="U56" sqref="T56:U59"/>
      <rowBreaks count="1" manualBreakCount="1">
        <brk id="75" max="17" man="1"/>
      </rowBreaks>
      <pageMargins left="0.19685039370078741" right="0.19685039370078741" top="1.1023622047244095" bottom="0.19685039370078741" header="0.31496062992125984" footer="0.31496062992125984"/>
      <printOptions horizontalCentered="1"/>
      <pageSetup paperSize="9" scale="75" fitToWidth="0" fitToHeight="0" pageOrder="overThenDown" orientation="portrait" copies="4" r:id="rId1"/>
      <headerFooter>
        <oddHeader>&amp;L4.2. melléklet a ...../2019. (.....) önkormányzati rendelethez&amp;C&amp;"-,Félkövér"&amp;16Sátoraljaújhelyi Városellátó Szervezet 2019. évi kiadásai feladatonként részletes bontásban&amp;RAdatok ezer forintban</oddHeader>
      </headerFooter>
    </customSheetView>
    <customSheetView guid="{4DCB1349-1166-4B69-AE14-D6B08F9FCE74}" scale="75" showPageBreaks="1" printArea="1" hiddenRows="1" hiddenColumns="1" view="pageBreakPreview">
      <selection activeCell="U56" sqref="T56:U59"/>
      <rowBreaks count="1" manualBreakCount="1">
        <brk id="75" max="17" man="1"/>
      </rowBreaks>
      <pageMargins left="0.19685039370078741" right="0.19685039370078741" top="1.1023622047244095" bottom="0.19685039370078741" header="0.31496062992125984" footer="0.31496062992125984"/>
      <printOptions horizontalCentered="1"/>
      <pageSetup paperSize="9" scale="75" fitToWidth="0" fitToHeight="0" pageOrder="overThenDown" orientation="portrait" copies="4" r:id="rId2"/>
      <headerFooter>
        <oddHeader>&amp;L4.2. melléklet a ...../2019. (.....) önkormányzati rendelethez&amp;C&amp;"-,Félkövér"&amp;16Sátoraljaújhelyi Városellátó Szervezet 2019. évi kiadásai feladatonként részletes bontásban&amp;RAdatok ezer forintban</oddHeader>
      </headerFooter>
    </customSheetView>
  </customSheetViews>
  <mergeCells count="11">
    <mergeCell ref="F2:V3"/>
    <mergeCell ref="A2:A4"/>
    <mergeCell ref="B2:B4"/>
    <mergeCell ref="C2:C3"/>
    <mergeCell ref="D2:D3"/>
    <mergeCell ref="E2:E3"/>
    <mergeCell ref="P4:R4"/>
    <mergeCell ref="M4:O4"/>
    <mergeCell ref="J4:L4"/>
    <mergeCell ref="G4:I4"/>
    <mergeCell ref="D4:F4"/>
  </mergeCells>
  <printOptions horizontalCentered="1"/>
  <pageMargins left="0.19685039370078741" right="0.19685039370078741" top="1.1023622047244095" bottom="0.19685039370078741" header="0.31496062992125984" footer="0.31496062992125984"/>
  <pageSetup paperSize="9" scale="75" fitToWidth="0" fitToHeight="0" pageOrder="overThenDown" orientation="portrait" copies="4" r:id="rId3"/>
  <headerFooter>
    <oddHeader>&amp;L4.2. melléklet a 3/2019. (II.20.) önkormányzati rendelethez&amp;C&amp;"-,Félkövér"&amp;16
&amp;14Sátoraljaújhelyi Városellátó Szervezet 2019. évi kiadásai feladatonként részletes bontásban&amp;RAdatok ezer forintban</oddHeader>
  </headerFooter>
  <rowBreaks count="1" manualBreakCount="1">
    <brk id="75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AM46"/>
  <sheetViews>
    <sheetView view="pageLayout" zoomScaleNormal="84" zoomScaleSheetLayoutView="75" workbookViewId="0"/>
  </sheetViews>
  <sheetFormatPr defaultRowHeight="15" x14ac:dyDescent="0.25"/>
  <cols>
    <col min="1" max="1" width="7.140625" style="31" customWidth="1"/>
    <col min="2" max="2" width="50" customWidth="1"/>
    <col min="3" max="3" width="12.5703125" style="40" hidden="1" customWidth="1"/>
    <col min="4" max="4" width="10.7109375" hidden="1" customWidth="1"/>
    <col min="5" max="5" width="9.140625" hidden="1" customWidth="1"/>
    <col min="6" max="6" width="9.85546875" hidden="1" customWidth="1"/>
    <col min="7" max="7" width="10.7109375" hidden="1" customWidth="1"/>
    <col min="8" max="8" width="11.140625" hidden="1" customWidth="1"/>
    <col min="9" max="9" width="10.7109375" hidden="1" customWidth="1"/>
    <col min="10" max="10" width="10.42578125" hidden="1" customWidth="1"/>
    <col min="11" max="13" width="9.140625" hidden="1" customWidth="1"/>
    <col min="14" max="14" width="10.7109375" hidden="1" customWidth="1"/>
    <col min="15" max="15" width="11" hidden="1" customWidth="1"/>
    <col min="16" max="17" width="9.140625" hidden="1" customWidth="1"/>
    <col min="18" max="18" width="10.7109375" hidden="1" customWidth="1"/>
    <col min="19" max="19" width="10.42578125" hidden="1" customWidth="1"/>
    <col min="20" max="20" width="11.28515625" hidden="1" customWidth="1"/>
    <col min="21" max="21" width="11.85546875" hidden="1" customWidth="1"/>
    <col min="22" max="22" width="10.7109375" hidden="1" customWidth="1"/>
    <col min="23" max="23" width="11.42578125" hidden="1" customWidth="1"/>
    <col min="24" max="25" width="14.42578125" customWidth="1"/>
    <col min="26" max="26" width="14.85546875" customWidth="1"/>
    <col min="27" max="27" width="14.7109375" customWidth="1"/>
    <col min="28" max="28" width="13.42578125" customWidth="1"/>
    <col min="29" max="29" width="13" customWidth="1"/>
    <col min="30" max="30" width="15" customWidth="1"/>
    <col min="31" max="31" width="13.42578125" customWidth="1"/>
    <col min="32" max="32" width="13.5703125" customWidth="1"/>
    <col min="33" max="33" width="13.42578125" customWidth="1"/>
    <col min="34" max="34" width="12.85546875" customWidth="1"/>
    <col min="35" max="35" width="12.7109375" customWidth="1"/>
    <col min="36" max="36" width="12.85546875" hidden="1" customWidth="1"/>
    <col min="37" max="37" width="12.5703125" hidden="1" customWidth="1"/>
    <col min="38" max="38" width="13" hidden="1" customWidth="1"/>
    <col min="39" max="39" width="12.85546875" hidden="1" customWidth="1"/>
  </cols>
  <sheetData>
    <row r="1" spans="1:39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X1" s="742" t="s">
        <v>1366</v>
      </c>
      <c r="Y1" s="742" t="s">
        <v>1376</v>
      </c>
      <c r="Z1" s="742" t="s">
        <v>1377</v>
      </c>
      <c r="AA1" s="745" t="s">
        <v>1378</v>
      </c>
      <c r="AB1" s="745" t="s">
        <v>1379</v>
      </c>
      <c r="AC1" s="745" t="s">
        <v>1380</v>
      </c>
      <c r="AD1" s="745" t="s">
        <v>1381</v>
      </c>
      <c r="AE1" s="745" t="s">
        <v>1382</v>
      </c>
      <c r="AF1" s="745" t="s">
        <v>1383</v>
      </c>
      <c r="AG1" s="745" t="s">
        <v>1384</v>
      </c>
      <c r="AH1" s="745" t="s">
        <v>1385</v>
      </c>
      <c r="AI1" s="745" t="s">
        <v>1386</v>
      </c>
      <c r="AJ1" s="745"/>
      <c r="AK1" s="745"/>
      <c r="AL1" s="745"/>
      <c r="AM1" s="745"/>
    </row>
    <row r="2" spans="1:39" ht="30" x14ac:dyDescent="0.25">
      <c r="A2" s="646" t="s">
        <v>303</v>
      </c>
      <c r="B2" s="646" t="s">
        <v>1295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873"/>
      <c r="AB2" s="874"/>
      <c r="AC2" s="874"/>
      <c r="AD2" s="874"/>
      <c r="AE2" s="874"/>
      <c r="AF2" s="874"/>
      <c r="AG2" s="874"/>
      <c r="AH2" s="874"/>
      <c r="AI2" s="874"/>
      <c r="AJ2" s="874"/>
      <c r="AK2" s="874"/>
      <c r="AL2" s="874"/>
      <c r="AM2" s="874"/>
    </row>
    <row r="3" spans="1:39" x14ac:dyDescent="0.25">
      <c r="A3" s="646" t="s">
        <v>304</v>
      </c>
      <c r="B3" s="646" t="s">
        <v>1305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873"/>
      <c r="AB3" s="874"/>
      <c r="AC3" s="874"/>
      <c r="AD3" s="874"/>
      <c r="AE3" s="874"/>
      <c r="AF3" s="874"/>
      <c r="AG3" s="874"/>
      <c r="AH3" s="874"/>
      <c r="AI3" s="874"/>
      <c r="AJ3" s="874"/>
      <c r="AK3" s="874"/>
      <c r="AL3" s="874"/>
      <c r="AM3" s="874"/>
    </row>
    <row r="4" spans="1:39" ht="60.75" customHeight="1" x14ac:dyDescent="0.25">
      <c r="A4" s="897" t="s">
        <v>305</v>
      </c>
      <c r="B4" s="942" t="s">
        <v>306</v>
      </c>
      <c r="C4" s="591" t="s">
        <v>1193</v>
      </c>
      <c r="D4" s="898" t="s">
        <v>1279</v>
      </c>
      <c r="E4" s="918"/>
      <c r="F4" s="918"/>
      <c r="G4" s="919"/>
      <c r="H4" s="898" t="s">
        <v>1395</v>
      </c>
      <c r="I4" s="918"/>
      <c r="J4" s="918"/>
      <c r="K4" s="919"/>
      <c r="L4" s="898" t="s">
        <v>1394</v>
      </c>
      <c r="M4" s="918"/>
      <c r="N4" s="918"/>
      <c r="O4" s="919"/>
      <c r="P4" s="898" t="s">
        <v>1246</v>
      </c>
      <c r="Q4" s="901"/>
      <c r="R4" s="901"/>
      <c r="S4" s="902"/>
      <c r="T4" s="898" t="s">
        <v>1387</v>
      </c>
      <c r="U4" s="901"/>
      <c r="V4" s="901"/>
      <c r="W4" s="902"/>
      <c r="X4" s="898" t="s">
        <v>1414</v>
      </c>
      <c r="Y4" s="918"/>
      <c r="Z4" s="918"/>
      <c r="AA4" s="919"/>
      <c r="AB4" s="898" t="s">
        <v>1455</v>
      </c>
      <c r="AC4" s="918"/>
      <c r="AD4" s="918"/>
      <c r="AE4" s="919"/>
      <c r="AF4" s="898" t="s">
        <v>1445</v>
      </c>
      <c r="AG4" s="918"/>
      <c r="AH4" s="918"/>
      <c r="AI4" s="919"/>
      <c r="AJ4" s="898" t="s">
        <v>1456</v>
      </c>
      <c r="AK4" s="918"/>
      <c r="AL4" s="918"/>
      <c r="AM4" s="919"/>
    </row>
    <row r="5" spans="1:39" ht="60" x14ac:dyDescent="0.25">
      <c r="A5" s="897"/>
      <c r="B5" s="942"/>
      <c r="C5" s="591" t="s">
        <v>546</v>
      </c>
      <c r="D5" s="591" t="s">
        <v>1209</v>
      </c>
      <c r="E5" s="591" t="s">
        <v>1210</v>
      </c>
      <c r="F5" s="591" t="s">
        <v>1211</v>
      </c>
      <c r="G5" s="591" t="s">
        <v>546</v>
      </c>
      <c r="H5" s="591" t="s">
        <v>1209</v>
      </c>
      <c r="I5" s="591" t="s">
        <v>1210</v>
      </c>
      <c r="J5" s="591" t="s">
        <v>1211</v>
      </c>
      <c r="K5" s="591" t="s">
        <v>546</v>
      </c>
      <c r="L5" s="591" t="s">
        <v>1209</v>
      </c>
      <c r="M5" s="591" t="s">
        <v>1210</v>
      </c>
      <c r="N5" s="591" t="s">
        <v>1211</v>
      </c>
      <c r="O5" s="591" t="s">
        <v>546</v>
      </c>
      <c r="P5" s="591" t="s">
        <v>1209</v>
      </c>
      <c r="Q5" s="591" t="s">
        <v>1210</v>
      </c>
      <c r="R5" s="591" t="s">
        <v>1211</v>
      </c>
      <c r="S5" s="591" t="s">
        <v>546</v>
      </c>
      <c r="T5" s="591" t="s">
        <v>1209</v>
      </c>
      <c r="U5" s="591" t="s">
        <v>1210</v>
      </c>
      <c r="V5" s="591" t="s">
        <v>1211</v>
      </c>
      <c r="W5" s="591" t="s">
        <v>546</v>
      </c>
      <c r="X5" s="809" t="s">
        <v>1209</v>
      </c>
      <c r="Y5" s="809" t="s">
        <v>1210</v>
      </c>
      <c r="Z5" s="809" t="s">
        <v>1211</v>
      </c>
      <c r="AA5" s="809" t="s">
        <v>546</v>
      </c>
      <c r="AB5" s="857" t="s">
        <v>1209</v>
      </c>
      <c r="AC5" s="857" t="s">
        <v>1210</v>
      </c>
      <c r="AD5" s="857" t="s">
        <v>1211</v>
      </c>
      <c r="AE5" s="857" t="s">
        <v>546</v>
      </c>
      <c r="AF5" s="883" t="s">
        <v>1209</v>
      </c>
      <c r="AG5" s="883" t="s">
        <v>1210</v>
      </c>
      <c r="AH5" s="883" t="s">
        <v>1211</v>
      </c>
      <c r="AI5" s="883" t="s">
        <v>546</v>
      </c>
      <c r="AJ5" s="883" t="s">
        <v>1209</v>
      </c>
      <c r="AK5" s="883" t="s">
        <v>1210</v>
      </c>
      <c r="AL5" s="883" t="s">
        <v>1211</v>
      </c>
      <c r="AM5" s="883" t="s">
        <v>546</v>
      </c>
    </row>
    <row r="6" spans="1:39" hidden="1" x14ac:dyDescent="0.25">
      <c r="A6" s="290"/>
      <c r="B6" s="291" t="s">
        <v>307</v>
      </c>
      <c r="C6" s="292"/>
      <c r="D6" s="292">
        <v>12.5</v>
      </c>
      <c r="E6" s="292"/>
      <c r="F6" s="292"/>
      <c r="G6" s="292">
        <f>SUM(D6:F6)</f>
        <v>12.5</v>
      </c>
      <c r="H6" s="292">
        <v>12.5</v>
      </c>
      <c r="I6" s="292"/>
      <c r="J6" s="292"/>
      <c r="K6" s="292">
        <f>SUM(H6:J6)</f>
        <v>12.5</v>
      </c>
      <c r="L6" s="292">
        <v>12.5</v>
      </c>
      <c r="M6" s="292"/>
      <c r="N6" s="292"/>
      <c r="O6" s="292">
        <f>SUM(L6:N6)</f>
        <v>12.5</v>
      </c>
      <c r="P6" s="292">
        <v>12.5</v>
      </c>
      <c r="Q6" s="292"/>
      <c r="R6" s="292"/>
      <c r="S6" s="292">
        <f>SUM(P6:R6)</f>
        <v>12.5</v>
      </c>
      <c r="T6" s="292">
        <v>0</v>
      </c>
      <c r="U6" s="292"/>
      <c r="V6" s="292"/>
      <c r="W6" s="292">
        <f>SUM(T6:V6)</f>
        <v>0</v>
      </c>
      <c r="X6" s="292">
        <v>12.5</v>
      </c>
      <c r="Y6" s="292"/>
      <c r="Z6" s="292"/>
      <c r="AA6" s="292">
        <f>SUM(X6:Z6)</f>
        <v>12.5</v>
      </c>
      <c r="AB6" s="292">
        <v>12.5</v>
      </c>
      <c r="AC6" s="292"/>
      <c r="AD6" s="292"/>
      <c r="AE6" s="292">
        <v>12.5</v>
      </c>
      <c r="AF6" s="292">
        <v>12.5</v>
      </c>
      <c r="AG6" s="292"/>
      <c r="AH6" s="292"/>
      <c r="AI6" s="292">
        <v>12.5</v>
      </c>
      <c r="AJ6" s="292">
        <v>12.5</v>
      </c>
      <c r="AK6" s="292"/>
      <c r="AL6" s="292"/>
      <c r="AM6" s="292">
        <v>12.5</v>
      </c>
    </row>
    <row r="7" spans="1:39" hidden="1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36" si="2">SUM(L7:N7)</f>
        <v>0</v>
      </c>
      <c r="P7" s="292"/>
      <c r="Q7" s="292"/>
      <c r="R7" s="292"/>
      <c r="S7" s="292">
        <f t="shared" ref="S7:S36" si="3">SUM(P7:R7)</f>
        <v>0</v>
      </c>
      <c r="T7" s="292"/>
      <c r="U7" s="292"/>
      <c r="V7" s="292"/>
      <c r="W7" s="292">
        <f t="shared" ref="W7:W36" si="4">SUM(T7:V7)</f>
        <v>0</v>
      </c>
      <c r="X7" s="292"/>
      <c r="Y7" s="292"/>
      <c r="Z7" s="292"/>
      <c r="AA7" s="292">
        <f t="shared" ref="AA7:AA34" si="5">SUM(X7:Z7)</f>
        <v>0</v>
      </c>
      <c r="AB7" s="292"/>
      <c r="AC7" s="292"/>
      <c r="AD7" s="292"/>
      <c r="AE7" s="292">
        <v>0</v>
      </c>
      <c r="AF7" s="292"/>
      <c r="AG7" s="292"/>
      <c r="AH7" s="292"/>
      <c r="AI7" s="292">
        <v>0</v>
      </c>
      <c r="AJ7" s="292"/>
      <c r="AK7" s="292"/>
      <c r="AL7" s="292"/>
      <c r="AM7" s="292">
        <v>0</v>
      </c>
    </row>
    <row r="8" spans="1:39" x14ac:dyDescent="0.25">
      <c r="A8" s="293" t="s">
        <v>309</v>
      </c>
      <c r="B8" s="294" t="s">
        <v>310</v>
      </c>
      <c r="C8" s="295">
        <f t="shared" ref="C8:F8" si="6">C9+C11+C20</f>
        <v>572</v>
      </c>
      <c r="D8" s="295">
        <f t="shared" si="6"/>
        <v>110284</v>
      </c>
      <c r="E8" s="295">
        <f t="shared" si="6"/>
        <v>0</v>
      </c>
      <c r="F8" s="295">
        <f t="shared" si="6"/>
        <v>0</v>
      </c>
      <c r="G8" s="295">
        <f t="shared" si="0"/>
        <v>110284</v>
      </c>
      <c r="H8" s="295">
        <f t="shared" ref="H8:J8" si="7">H9+H11+H20</f>
        <v>114569</v>
      </c>
      <c r="I8" s="295">
        <f t="shared" si="7"/>
        <v>0</v>
      </c>
      <c r="J8" s="295">
        <f t="shared" si="7"/>
        <v>0</v>
      </c>
      <c r="K8" s="295">
        <f t="shared" si="1"/>
        <v>114569</v>
      </c>
      <c r="L8" s="295">
        <f t="shared" ref="L8:N8" si="8">L9+L11+L20</f>
        <v>116690</v>
      </c>
      <c r="M8" s="295">
        <f t="shared" si="8"/>
        <v>0</v>
      </c>
      <c r="N8" s="295">
        <f t="shared" si="8"/>
        <v>0</v>
      </c>
      <c r="O8" s="295">
        <f t="shared" si="2"/>
        <v>116690</v>
      </c>
      <c r="P8" s="295">
        <f t="shared" ref="P8:R8" si="9">P9+P11+P20</f>
        <v>722</v>
      </c>
      <c r="Q8" s="295">
        <f t="shared" si="9"/>
        <v>0</v>
      </c>
      <c r="R8" s="295">
        <f t="shared" si="9"/>
        <v>0</v>
      </c>
      <c r="S8" s="295">
        <f t="shared" si="3"/>
        <v>722</v>
      </c>
      <c r="T8" s="295">
        <f t="shared" ref="T8:V8" si="10">T9+T11+T20</f>
        <v>38432</v>
      </c>
      <c r="U8" s="295">
        <f t="shared" si="10"/>
        <v>0</v>
      </c>
      <c r="V8" s="295">
        <f t="shared" si="10"/>
        <v>0</v>
      </c>
      <c r="W8" s="295">
        <f t="shared" si="4"/>
        <v>38432</v>
      </c>
      <c r="X8" s="295">
        <f t="shared" ref="X8:AD8" si="11">X9+X11+X20</f>
        <v>112818</v>
      </c>
      <c r="Y8" s="295">
        <f t="shared" si="11"/>
        <v>0</v>
      </c>
      <c r="Z8" s="295">
        <f t="shared" si="11"/>
        <v>0</v>
      </c>
      <c r="AA8" s="295">
        <f t="shared" si="5"/>
        <v>112818</v>
      </c>
      <c r="AB8" s="295">
        <f t="shared" si="11"/>
        <v>123409</v>
      </c>
      <c r="AC8" s="295">
        <f t="shared" si="11"/>
        <v>0</v>
      </c>
      <c r="AD8" s="295">
        <f t="shared" si="11"/>
        <v>0</v>
      </c>
      <c r="AE8" s="295">
        <f>SUM(AB8:AD8)</f>
        <v>123409</v>
      </c>
      <c r="AF8" s="295">
        <f t="shared" ref="AF8:AH8" si="12">AF9+AF11+AF20</f>
        <v>129790</v>
      </c>
      <c r="AG8" s="295">
        <f t="shared" si="12"/>
        <v>0</v>
      </c>
      <c r="AH8" s="295">
        <f t="shared" si="12"/>
        <v>0</v>
      </c>
      <c r="AI8" s="295">
        <f>SUM(AF8:AH8)</f>
        <v>129790</v>
      </c>
      <c r="AJ8" s="295">
        <f t="shared" ref="AJ8:AL8" si="13">AJ9+AJ11+AJ20</f>
        <v>61862</v>
      </c>
      <c r="AK8" s="295">
        <f t="shared" si="13"/>
        <v>0</v>
      </c>
      <c r="AL8" s="295">
        <f t="shared" si="13"/>
        <v>0</v>
      </c>
      <c r="AM8" s="295">
        <f>SUM(AJ8:AL8)</f>
        <v>61862</v>
      </c>
    </row>
    <row r="9" spans="1:39" x14ac:dyDescent="0.25">
      <c r="A9" s="296" t="s">
        <v>311</v>
      </c>
      <c r="B9" s="297" t="s">
        <v>312</v>
      </c>
      <c r="C9" s="298">
        <f>C10</f>
        <v>0</v>
      </c>
      <c r="D9" s="298">
        <f t="shared" ref="D9:Z9" si="14">D10</f>
        <v>0</v>
      </c>
      <c r="E9" s="298">
        <f t="shared" si="14"/>
        <v>0</v>
      </c>
      <c r="F9" s="298">
        <f t="shared" si="14"/>
        <v>0</v>
      </c>
      <c r="G9" s="298">
        <f t="shared" si="0"/>
        <v>0</v>
      </c>
      <c r="H9" s="298">
        <f t="shared" si="14"/>
        <v>4285</v>
      </c>
      <c r="I9" s="298">
        <f t="shared" si="14"/>
        <v>0</v>
      </c>
      <c r="J9" s="298">
        <f t="shared" si="14"/>
        <v>0</v>
      </c>
      <c r="K9" s="298">
        <f t="shared" si="1"/>
        <v>4285</v>
      </c>
      <c r="L9" s="298">
        <f t="shared" si="14"/>
        <v>6177</v>
      </c>
      <c r="M9" s="298">
        <f t="shared" si="14"/>
        <v>0</v>
      </c>
      <c r="N9" s="298">
        <f t="shared" si="14"/>
        <v>0</v>
      </c>
      <c r="O9" s="298">
        <f t="shared" si="2"/>
        <v>6177</v>
      </c>
      <c r="P9" s="298">
        <f t="shared" si="14"/>
        <v>0</v>
      </c>
      <c r="Q9" s="298">
        <f t="shared" si="14"/>
        <v>0</v>
      </c>
      <c r="R9" s="298">
        <f t="shared" si="14"/>
        <v>0</v>
      </c>
      <c r="S9" s="298">
        <f t="shared" si="3"/>
        <v>0</v>
      </c>
      <c r="T9" s="298">
        <f t="shared" si="14"/>
        <v>4285</v>
      </c>
      <c r="U9" s="298">
        <f t="shared" si="14"/>
        <v>0</v>
      </c>
      <c r="V9" s="298">
        <f t="shared" si="14"/>
        <v>0</v>
      </c>
      <c r="W9" s="298">
        <f t="shared" si="4"/>
        <v>4285</v>
      </c>
      <c r="X9" s="298">
        <f t="shared" si="14"/>
        <v>0</v>
      </c>
      <c r="Y9" s="298">
        <f t="shared" si="14"/>
        <v>0</v>
      </c>
      <c r="Z9" s="298">
        <f t="shared" si="14"/>
        <v>0</v>
      </c>
      <c r="AA9" s="298">
        <f t="shared" si="5"/>
        <v>0</v>
      </c>
      <c r="AB9" s="298">
        <f>SUM(AB10)</f>
        <v>7195</v>
      </c>
      <c r="AC9" s="298">
        <v>0</v>
      </c>
      <c r="AD9" s="298">
        <v>0</v>
      </c>
      <c r="AE9" s="298">
        <v>0</v>
      </c>
      <c r="AF9" s="298">
        <f>SUM(AF10)</f>
        <v>11576</v>
      </c>
      <c r="AG9" s="298">
        <v>0</v>
      </c>
      <c r="AH9" s="298">
        <v>0</v>
      </c>
      <c r="AI9" s="298">
        <v>0</v>
      </c>
      <c r="AJ9" s="298">
        <f>SUM(AJ10)</f>
        <v>6734</v>
      </c>
      <c r="AK9" s="298">
        <v>0</v>
      </c>
      <c r="AL9" s="298">
        <v>0</v>
      </c>
      <c r="AM9" s="298">
        <v>0</v>
      </c>
    </row>
    <row r="10" spans="1:39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4285</v>
      </c>
      <c r="I10" s="239">
        <v>0</v>
      </c>
      <c r="J10" s="239">
        <v>0</v>
      </c>
      <c r="K10" s="239">
        <f t="shared" si="1"/>
        <v>4285</v>
      </c>
      <c r="L10" s="239">
        <v>6177</v>
      </c>
      <c r="M10" s="239">
        <v>0</v>
      </c>
      <c r="N10" s="239">
        <v>0</v>
      </c>
      <c r="O10" s="239">
        <f t="shared" si="2"/>
        <v>6177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4285</v>
      </c>
      <c r="U10" s="239">
        <v>0</v>
      </c>
      <c r="V10" s="239">
        <v>0</v>
      </c>
      <c r="W10" s="239">
        <f t="shared" si="4"/>
        <v>4285</v>
      </c>
      <c r="X10" s="239"/>
      <c r="Y10" s="239">
        <v>0</v>
      </c>
      <c r="Z10" s="239">
        <v>0</v>
      </c>
      <c r="AA10" s="239">
        <f t="shared" si="5"/>
        <v>0</v>
      </c>
      <c r="AB10" s="239">
        <v>7195</v>
      </c>
      <c r="AC10" s="239">
        <v>0</v>
      </c>
      <c r="AD10" s="239">
        <v>0</v>
      </c>
      <c r="AE10" s="239">
        <f>SUM(AB10:AD10)</f>
        <v>7195</v>
      </c>
      <c r="AF10" s="239">
        <v>11576</v>
      </c>
      <c r="AG10" s="239"/>
      <c r="AH10" s="239"/>
      <c r="AI10" s="239">
        <f>SUM(AF10:AH10)</f>
        <v>11576</v>
      </c>
      <c r="AJ10" s="239">
        <v>6734</v>
      </c>
      <c r="AK10" s="239"/>
      <c r="AL10" s="239"/>
      <c r="AM10" s="239">
        <f>SUM(AJ10:AL10)</f>
        <v>6734</v>
      </c>
    </row>
    <row r="11" spans="1:39" x14ac:dyDescent="0.25">
      <c r="A11" s="296" t="s">
        <v>322</v>
      </c>
      <c r="B11" s="297" t="s">
        <v>314</v>
      </c>
      <c r="C11" s="298">
        <f>SUM(C12:C19)</f>
        <v>572</v>
      </c>
      <c r="D11" s="298">
        <f t="shared" ref="D11:F11" si="15">SUM(D12:D19)</f>
        <v>109784</v>
      </c>
      <c r="E11" s="298">
        <f t="shared" si="15"/>
        <v>0</v>
      </c>
      <c r="F11" s="298">
        <f t="shared" si="15"/>
        <v>0</v>
      </c>
      <c r="G11" s="298">
        <f t="shared" si="0"/>
        <v>109784</v>
      </c>
      <c r="H11" s="298">
        <f t="shared" ref="H11:J11" si="16">SUM(H12:H19)</f>
        <v>109784</v>
      </c>
      <c r="I11" s="298">
        <f t="shared" si="16"/>
        <v>0</v>
      </c>
      <c r="J11" s="298">
        <f t="shared" si="16"/>
        <v>0</v>
      </c>
      <c r="K11" s="298">
        <f t="shared" si="1"/>
        <v>109784</v>
      </c>
      <c r="L11" s="298">
        <f t="shared" ref="L11:N11" si="17">SUM(L12:L19)</f>
        <v>110013</v>
      </c>
      <c r="M11" s="298">
        <f t="shared" si="17"/>
        <v>0</v>
      </c>
      <c r="N11" s="298">
        <f t="shared" si="17"/>
        <v>0</v>
      </c>
      <c r="O11" s="298">
        <f t="shared" si="2"/>
        <v>110013</v>
      </c>
      <c r="P11" s="298">
        <f t="shared" ref="P11:R11" si="18">SUM(P12:P19)</f>
        <v>722</v>
      </c>
      <c r="Q11" s="298">
        <f t="shared" si="18"/>
        <v>0</v>
      </c>
      <c r="R11" s="298">
        <f t="shared" si="18"/>
        <v>0</v>
      </c>
      <c r="S11" s="298">
        <f t="shared" si="3"/>
        <v>722</v>
      </c>
      <c r="T11" s="298">
        <f t="shared" ref="T11:V11" si="19">SUM(T12:T19)</f>
        <v>34147</v>
      </c>
      <c r="U11" s="298">
        <f t="shared" si="19"/>
        <v>0</v>
      </c>
      <c r="V11" s="298">
        <f t="shared" si="19"/>
        <v>0</v>
      </c>
      <c r="W11" s="298">
        <f t="shared" si="4"/>
        <v>34147</v>
      </c>
      <c r="X11" s="298">
        <f t="shared" ref="X11:Z11" si="20">SUM(X12:X19)</f>
        <v>112448</v>
      </c>
      <c r="Y11" s="298">
        <f t="shared" si="20"/>
        <v>0</v>
      </c>
      <c r="Z11" s="298">
        <f t="shared" si="20"/>
        <v>0</v>
      </c>
      <c r="AA11" s="298">
        <f t="shared" si="5"/>
        <v>112448</v>
      </c>
      <c r="AB11" s="298">
        <f>SUM(AB12:AB19)</f>
        <v>115844</v>
      </c>
      <c r="AC11" s="298">
        <f t="shared" ref="AC11:AD11" si="21">SUM(AC12:AC19)</f>
        <v>0</v>
      </c>
      <c r="AD11" s="298">
        <f t="shared" si="21"/>
        <v>0</v>
      </c>
      <c r="AE11" s="298">
        <f>SUM(AB11:AD11)</f>
        <v>115844</v>
      </c>
      <c r="AF11" s="298">
        <f>SUM(AF12:AF19)</f>
        <v>117844</v>
      </c>
      <c r="AG11" s="298">
        <f t="shared" ref="AG11:AH11" si="22">SUM(AG12:AG19)</f>
        <v>0</v>
      </c>
      <c r="AH11" s="298">
        <f t="shared" si="22"/>
        <v>0</v>
      </c>
      <c r="AI11" s="298">
        <f>SUM(AF11:AH11)</f>
        <v>117844</v>
      </c>
      <c r="AJ11" s="298">
        <f>SUM(AJ12:AJ19)</f>
        <v>55128</v>
      </c>
      <c r="AK11" s="298">
        <f t="shared" ref="AK11:AL11" si="23">SUM(AK12:AK19)</f>
        <v>0</v>
      </c>
      <c r="AL11" s="298">
        <f t="shared" si="23"/>
        <v>0</v>
      </c>
      <c r="AM11" s="298">
        <f>SUM(AJ11:AL11)</f>
        <v>55128</v>
      </c>
    </row>
    <row r="12" spans="1:39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X12" s="239">
        <v>0</v>
      </c>
      <c r="Y12" s="239">
        <v>0</v>
      </c>
      <c r="Z12" s="239">
        <v>0</v>
      </c>
      <c r="AA12" s="239">
        <f t="shared" si="5"/>
        <v>0</v>
      </c>
      <c r="AB12" s="239">
        <v>0</v>
      </c>
      <c r="AC12" s="239">
        <v>0</v>
      </c>
      <c r="AD12" s="239">
        <v>0</v>
      </c>
      <c r="AE12" s="239">
        <f>SUM(AB12:AD12)</f>
        <v>0</v>
      </c>
      <c r="AF12" s="239">
        <v>0</v>
      </c>
      <c r="AG12" s="239"/>
      <c r="AH12" s="239"/>
      <c r="AI12" s="239">
        <f>SUM(AF12:AH12)</f>
        <v>0</v>
      </c>
      <c r="AJ12" s="239">
        <v>0</v>
      </c>
      <c r="AK12" s="239"/>
      <c r="AL12" s="239"/>
      <c r="AM12" s="239">
        <f>SUM(AJ12:AL12)</f>
        <v>0</v>
      </c>
    </row>
    <row r="13" spans="1:39" x14ac:dyDescent="0.25">
      <c r="A13" s="328"/>
      <c r="B13" s="299" t="s">
        <v>650</v>
      </c>
      <c r="C13" s="239">
        <v>0</v>
      </c>
      <c r="D13" s="239">
        <v>500</v>
      </c>
      <c r="E13" s="239">
        <v>0</v>
      </c>
      <c r="F13" s="239">
        <v>0</v>
      </c>
      <c r="G13" s="239">
        <f t="shared" si="0"/>
        <v>500</v>
      </c>
      <c r="H13" s="239">
        <v>500</v>
      </c>
      <c r="I13" s="239">
        <v>0</v>
      </c>
      <c r="J13" s="239">
        <v>0</v>
      </c>
      <c r="K13" s="239">
        <f t="shared" si="1"/>
        <v>500</v>
      </c>
      <c r="L13" s="239">
        <v>729</v>
      </c>
      <c r="M13" s="239">
        <v>0</v>
      </c>
      <c r="N13" s="239">
        <v>0</v>
      </c>
      <c r="O13" s="239">
        <f t="shared" si="2"/>
        <v>729</v>
      </c>
      <c r="P13" s="239">
        <v>0</v>
      </c>
      <c r="Q13" s="239">
        <v>0</v>
      </c>
      <c r="R13" s="239">
        <v>0</v>
      </c>
      <c r="S13" s="239">
        <f t="shared" si="3"/>
        <v>0</v>
      </c>
      <c r="T13" s="239">
        <v>16</v>
      </c>
      <c r="U13" s="239">
        <v>0</v>
      </c>
      <c r="V13" s="239">
        <v>0</v>
      </c>
      <c r="W13" s="239">
        <f t="shared" si="4"/>
        <v>16</v>
      </c>
      <c r="X13" s="239">
        <v>500</v>
      </c>
      <c r="Y13" s="239">
        <v>0</v>
      </c>
      <c r="Z13" s="239">
        <v>0</v>
      </c>
      <c r="AA13" s="239">
        <f t="shared" si="5"/>
        <v>500</v>
      </c>
      <c r="AB13" s="239">
        <v>500</v>
      </c>
      <c r="AC13" s="239">
        <v>0</v>
      </c>
      <c r="AD13" s="239">
        <v>0</v>
      </c>
      <c r="AE13" s="239">
        <f t="shared" ref="AE13:AE19" si="24">SUM(AB13:AD13)</f>
        <v>500</v>
      </c>
      <c r="AF13" s="239">
        <v>500</v>
      </c>
      <c r="AG13" s="239"/>
      <c r="AH13" s="239"/>
      <c r="AI13" s="239">
        <f t="shared" ref="AI13:AI19" si="25">SUM(AF13:AH13)</f>
        <v>500</v>
      </c>
      <c r="AJ13" s="239">
        <v>16</v>
      </c>
      <c r="AK13" s="239"/>
      <c r="AL13" s="239"/>
      <c r="AM13" s="239">
        <f t="shared" ref="AM13:AM19" si="26">SUM(AJ13:AL13)</f>
        <v>16</v>
      </c>
    </row>
    <row r="14" spans="1:39" x14ac:dyDescent="0.25">
      <c r="A14" s="328"/>
      <c r="B14" s="299" t="s">
        <v>659</v>
      </c>
      <c r="C14" s="239">
        <v>0</v>
      </c>
      <c r="D14" s="239">
        <v>0</v>
      </c>
      <c r="E14" s="239">
        <v>0</v>
      </c>
      <c r="F14" s="239">
        <v>0</v>
      </c>
      <c r="G14" s="239">
        <f t="shared" si="0"/>
        <v>0</v>
      </c>
      <c r="H14" s="239">
        <v>0</v>
      </c>
      <c r="I14" s="239">
        <v>0</v>
      </c>
      <c r="J14" s="239">
        <v>0</v>
      </c>
      <c r="K14" s="239">
        <f t="shared" si="1"/>
        <v>0</v>
      </c>
      <c r="L14" s="239"/>
      <c r="M14" s="239">
        <v>0</v>
      </c>
      <c r="N14" s="239">
        <v>0</v>
      </c>
      <c r="O14" s="239">
        <f t="shared" si="2"/>
        <v>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  <c r="X14" s="239">
        <v>0</v>
      </c>
      <c r="Y14" s="239">
        <v>0</v>
      </c>
      <c r="Z14" s="239">
        <v>0</v>
      </c>
      <c r="AA14" s="239">
        <f t="shared" si="5"/>
        <v>0</v>
      </c>
      <c r="AB14" s="239">
        <v>0</v>
      </c>
      <c r="AC14" s="239">
        <v>0</v>
      </c>
      <c r="AD14" s="239">
        <v>0</v>
      </c>
      <c r="AE14" s="239">
        <f t="shared" si="24"/>
        <v>0</v>
      </c>
      <c r="AF14" s="239">
        <v>0</v>
      </c>
      <c r="AG14" s="239"/>
      <c r="AH14" s="239"/>
      <c r="AI14" s="239">
        <f t="shared" si="25"/>
        <v>0</v>
      </c>
      <c r="AJ14" s="239">
        <v>0</v>
      </c>
      <c r="AK14" s="239"/>
      <c r="AL14" s="239"/>
      <c r="AM14" s="239">
        <f t="shared" si="26"/>
        <v>0</v>
      </c>
    </row>
    <row r="15" spans="1:39" x14ac:dyDescent="0.25">
      <c r="A15" s="328"/>
      <c r="B15" s="299" t="s">
        <v>660</v>
      </c>
      <c r="C15" s="239">
        <v>450</v>
      </c>
      <c r="D15" s="239">
        <v>99700</v>
      </c>
      <c r="E15" s="239">
        <v>0</v>
      </c>
      <c r="F15" s="239">
        <v>0</v>
      </c>
      <c r="G15" s="239">
        <f t="shared" si="0"/>
        <v>99700</v>
      </c>
      <c r="H15" s="239">
        <v>99700</v>
      </c>
      <c r="I15" s="239">
        <v>0</v>
      </c>
      <c r="J15" s="239">
        <v>0</v>
      </c>
      <c r="K15" s="239">
        <f t="shared" si="1"/>
        <v>99700</v>
      </c>
      <c r="L15" s="239">
        <v>99700</v>
      </c>
      <c r="M15" s="239">
        <v>0</v>
      </c>
      <c r="N15" s="239">
        <v>0</v>
      </c>
      <c r="O15" s="239">
        <f t="shared" si="2"/>
        <v>99700</v>
      </c>
      <c r="P15" s="239">
        <v>500</v>
      </c>
      <c r="Q15" s="239">
        <v>0</v>
      </c>
      <c r="R15" s="239">
        <v>0</v>
      </c>
      <c r="S15" s="239">
        <f t="shared" si="3"/>
        <v>500</v>
      </c>
      <c r="T15" s="239">
        <v>30834</v>
      </c>
      <c r="U15" s="239">
        <v>0</v>
      </c>
      <c r="V15" s="239">
        <v>0</v>
      </c>
      <c r="W15" s="239">
        <f t="shared" si="4"/>
        <v>30834</v>
      </c>
      <c r="X15" s="239">
        <v>101562</v>
      </c>
      <c r="Y15" s="239">
        <v>0</v>
      </c>
      <c r="Z15" s="239">
        <v>0</v>
      </c>
      <c r="AA15" s="239">
        <f t="shared" si="5"/>
        <v>101562</v>
      </c>
      <c r="AB15" s="239">
        <v>101562</v>
      </c>
      <c r="AC15" s="239">
        <v>0</v>
      </c>
      <c r="AD15" s="239">
        <v>0</v>
      </c>
      <c r="AE15" s="239">
        <f t="shared" si="24"/>
        <v>101562</v>
      </c>
      <c r="AF15" s="239">
        <v>101562</v>
      </c>
      <c r="AG15" s="239"/>
      <c r="AH15" s="239"/>
      <c r="AI15" s="239">
        <f t="shared" si="25"/>
        <v>101562</v>
      </c>
      <c r="AJ15" s="239">
        <v>48356</v>
      </c>
      <c r="AK15" s="239"/>
      <c r="AL15" s="239"/>
      <c r="AM15" s="239">
        <f t="shared" si="26"/>
        <v>48356</v>
      </c>
    </row>
    <row r="16" spans="1:39" x14ac:dyDescent="0.25">
      <c r="A16" s="328"/>
      <c r="B16" s="299" t="s">
        <v>661</v>
      </c>
      <c r="C16" s="239">
        <v>122</v>
      </c>
      <c r="D16" s="239">
        <v>6534</v>
      </c>
      <c r="E16" s="239">
        <v>0</v>
      </c>
      <c r="F16" s="239">
        <v>0</v>
      </c>
      <c r="G16" s="239">
        <f t="shared" si="0"/>
        <v>6534</v>
      </c>
      <c r="H16" s="239">
        <v>6534</v>
      </c>
      <c r="I16" s="239">
        <v>0</v>
      </c>
      <c r="J16" s="239">
        <v>0</v>
      </c>
      <c r="K16" s="239">
        <f t="shared" si="1"/>
        <v>6534</v>
      </c>
      <c r="L16" s="239">
        <v>6534</v>
      </c>
      <c r="M16" s="239">
        <v>0</v>
      </c>
      <c r="N16" s="239">
        <v>0</v>
      </c>
      <c r="O16" s="239">
        <f t="shared" si="2"/>
        <v>6534</v>
      </c>
      <c r="P16" s="239">
        <v>135</v>
      </c>
      <c r="Q16" s="239">
        <v>0</v>
      </c>
      <c r="R16" s="239">
        <v>0</v>
      </c>
      <c r="S16" s="239">
        <f t="shared" si="3"/>
        <v>135</v>
      </c>
      <c r="T16" s="239">
        <v>1976</v>
      </c>
      <c r="U16" s="239">
        <v>0</v>
      </c>
      <c r="V16" s="239">
        <v>0</v>
      </c>
      <c r="W16" s="239">
        <f t="shared" si="4"/>
        <v>1976</v>
      </c>
      <c r="X16" s="239">
        <v>7141</v>
      </c>
      <c r="Y16" s="239">
        <v>0</v>
      </c>
      <c r="Z16" s="239">
        <v>0</v>
      </c>
      <c r="AA16" s="239">
        <f t="shared" si="5"/>
        <v>7141</v>
      </c>
      <c r="AB16" s="239">
        <v>7141</v>
      </c>
      <c r="AC16" s="239">
        <v>0</v>
      </c>
      <c r="AD16" s="239">
        <v>0</v>
      </c>
      <c r="AE16" s="239">
        <f t="shared" si="24"/>
        <v>7141</v>
      </c>
      <c r="AF16" s="239">
        <v>7141</v>
      </c>
      <c r="AG16" s="239"/>
      <c r="AH16" s="239"/>
      <c r="AI16" s="239">
        <f t="shared" si="25"/>
        <v>7141</v>
      </c>
      <c r="AJ16" s="239">
        <v>3157</v>
      </c>
      <c r="AK16" s="239"/>
      <c r="AL16" s="239"/>
      <c r="AM16" s="239">
        <f t="shared" si="26"/>
        <v>3157</v>
      </c>
    </row>
    <row r="17" spans="1:39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87</v>
      </c>
      <c r="Q17" s="239">
        <v>0</v>
      </c>
      <c r="R17" s="239">
        <v>0</v>
      </c>
      <c r="S17" s="239">
        <f t="shared" si="3"/>
        <v>87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>
        <v>0</v>
      </c>
      <c r="Y17" s="239">
        <v>0</v>
      </c>
      <c r="Z17" s="239">
        <v>0</v>
      </c>
      <c r="AA17" s="239">
        <f t="shared" si="5"/>
        <v>0</v>
      </c>
      <c r="AB17" s="239">
        <v>3056</v>
      </c>
      <c r="AC17" s="239">
        <v>0</v>
      </c>
      <c r="AD17" s="239">
        <v>0</v>
      </c>
      <c r="AE17" s="239">
        <f t="shared" si="24"/>
        <v>3056</v>
      </c>
      <c r="AF17" s="239">
        <v>5056</v>
      </c>
      <c r="AG17" s="239"/>
      <c r="AH17" s="239"/>
      <c r="AI17" s="239">
        <f t="shared" si="25"/>
        <v>5056</v>
      </c>
      <c r="AJ17" s="239">
        <v>1724</v>
      </c>
      <c r="AK17" s="239"/>
      <c r="AL17" s="239"/>
      <c r="AM17" s="239">
        <f t="shared" si="26"/>
        <v>1724</v>
      </c>
    </row>
    <row r="18" spans="1:39" x14ac:dyDescent="0.25">
      <c r="A18" s="328"/>
      <c r="B18" s="299" t="s">
        <v>663</v>
      </c>
      <c r="C18" s="239">
        <v>0</v>
      </c>
      <c r="D18" s="239">
        <v>50</v>
      </c>
      <c r="E18" s="239">
        <v>0</v>
      </c>
      <c r="F18" s="239">
        <v>0</v>
      </c>
      <c r="G18" s="239">
        <f t="shared" si="0"/>
        <v>50</v>
      </c>
      <c r="H18" s="239">
        <v>50</v>
      </c>
      <c r="I18" s="239">
        <v>0</v>
      </c>
      <c r="J18" s="239">
        <v>0</v>
      </c>
      <c r="K18" s="239">
        <f t="shared" si="1"/>
        <v>50</v>
      </c>
      <c r="L18" s="239">
        <v>50</v>
      </c>
      <c r="M18" s="239">
        <v>0</v>
      </c>
      <c r="N18" s="239">
        <v>0</v>
      </c>
      <c r="O18" s="239">
        <f t="shared" si="2"/>
        <v>50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/>
      <c r="Y18" s="239">
        <v>0</v>
      </c>
      <c r="Z18" s="239">
        <v>0</v>
      </c>
      <c r="AA18" s="239">
        <f t="shared" si="5"/>
        <v>0</v>
      </c>
      <c r="AB18" s="239"/>
      <c r="AC18" s="239">
        <v>0</v>
      </c>
      <c r="AD18" s="239">
        <v>0</v>
      </c>
      <c r="AE18" s="239">
        <f t="shared" si="24"/>
        <v>0</v>
      </c>
      <c r="AF18" s="239"/>
      <c r="AG18" s="239"/>
      <c r="AH18" s="239"/>
      <c r="AI18" s="239">
        <f t="shared" si="25"/>
        <v>0</v>
      </c>
      <c r="AJ18" s="239">
        <v>0</v>
      </c>
      <c r="AK18" s="239"/>
      <c r="AL18" s="239"/>
      <c r="AM18" s="239">
        <f t="shared" si="26"/>
        <v>0</v>
      </c>
    </row>
    <row r="19" spans="1:39" x14ac:dyDescent="0.25">
      <c r="A19" s="328"/>
      <c r="B19" s="299" t="s">
        <v>664</v>
      </c>
      <c r="C19" s="239">
        <v>0</v>
      </c>
      <c r="D19" s="239">
        <v>3000</v>
      </c>
      <c r="E19" s="239">
        <v>0</v>
      </c>
      <c r="F19" s="239">
        <v>0</v>
      </c>
      <c r="G19" s="239">
        <f t="shared" si="0"/>
        <v>3000</v>
      </c>
      <c r="H19" s="239">
        <v>3000</v>
      </c>
      <c r="I19" s="239">
        <v>0</v>
      </c>
      <c r="J19" s="239">
        <v>0</v>
      </c>
      <c r="K19" s="239">
        <f t="shared" si="1"/>
        <v>3000</v>
      </c>
      <c r="L19" s="239">
        <v>3000</v>
      </c>
      <c r="M19" s="239">
        <v>0</v>
      </c>
      <c r="N19" s="239">
        <v>0</v>
      </c>
      <c r="O19" s="239">
        <f t="shared" si="2"/>
        <v>3000</v>
      </c>
      <c r="P19" s="239">
        <v>0</v>
      </c>
      <c r="Q19" s="239">
        <v>0</v>
      </c>
      <c r="R19" s="239">
        <v>0</v>
      </c>
      <c r="S19" s="239">
        <f t="shared" si="3"/>
        <v>0</v>
      </c>
      <c r="T19" s="239">
        <v>1321</v>
      </c>
      <c r="U19" s="239">
        <v>0</v>
      </c>
      <c r="V19" s="239">
        <v>0</v>
      </c>
      <c r="W19" s="239">
        <f t="shared" si="4"/>
        <v>1321</v>
      </c>
      <c r="X19" s="239">
        <v>3245</v>
      </c>
      <c r="Y19" s="239">
        <v>0</v>
      </c>
      <c r="Z19" s="239">
        <v>0</v>
      </c>
      <c r="AA19" s="239">
        <f t="shared" si="5"/>
        <v>3245</v>
      </c>
      <c r="AB19" s="239">
        <v>3585</v>
      </c>
      <c r="AC19" s="239">
        <v>0</v>
      </c>
      <c r="AD19" s="239">
        <v>0</v>
      </c>
      <c r="AE19" s="239">
        <f t="shared" si="24"/>
        <v>3585</v>
      </c>
      <c r="AF19" s="239">
        <v>3585</v>
      </c>
      <c r="AG19" s="239"/>
      <c r="AH19" s="239"/>
      <c r="AI19" s="239">
        <f t="shared" si="25"/>
        <v>3585</v>
      </c>
      <c r="AJ19" s="239">
        <v>1875</v>
      </c>
      <c r="AK19" s="239"/>
      <c r="AL19" s="239"/>
      <c r="AM19" s="239">
        <f t="shared" si="26"/>
        <v>1875</v>
      </c>
    </row>
    <row r="20" spans="1:39" x14ac:dyDescent="0.25">
      <c r="A20" s="296" t="s">
        <v>315</v>
      </c>
      <c r="B20" s="297" t="s">
        <v>316</v>
      </c>
      <c r="C20" s="298">
        <f>C21</f>
        <v>0</v>
      </c>
      <c r="D20" s="298">
        <f t="shared" ref="D20:Z20" si="27">D21</f>
        <v>500</v>
      </c>
      <c r="E20" s="298">
        <f t="shared" si="27"/>
        <v>0</v>
      </c>
      <c r="F20" s="298">
        <f t="shared" si="27"/>
        <v>0</v>
      </c>
      <c r="G20" s="298">
        <f t="shared" si="0"/>
        <v>500</v>
      </c>
      <c r="H20" s="298">
        <f t="shared" si="27"/>
        <v>500</v>
      </c>
      <c r="I20" s="298">
        <f t="shared" si="27"/>
        <v>0</v>
      </c>
      <c r="J20" s="298">
        <f t="shared" si="27"/>
        <v>0</v>
      </c>
      <c r="K20" s="298">
        <f t="shared" si="1"/>
        <v>500</v>
      </c>
      <c r="L20" s="298">
        <f t="shared" si="27"/>
        <v>500</v>
      </c>
      <c r="M20" s="298">
        <f t="shared" si="27"/>
        <v>0</v>
      </c>
      <c r="N20" s="298">
        <f t="shared" si="27"/>
        <v>0</v>
      </c>
      <c r="O20" s="298">
        <f t="shared" si="2"/>
        <v>500</v>
      </c>
      <c r="P20" s="298">
        <f t="shared" si="27"/>
        <v>0</v>
      </c>
      <c r="Q20" s="298">
        <f t="shared" si="27"/>
        <v>0</v>
      </c>
      <c r="R20" s="298">
        <f t="shared" si="27"/>
        <v>0</v>
      </c>
      <c r="S20" s="298">
        <f t="shared" si="3"/>
        <v>0</v>
      </c>
      <c r="T20" s="298">
        <f t="shared" si="27"/>
        <v>0</v>
      </c>
      <c r="U20" s="298">
        <f t="shared" si="27"/>
        <v>0</v>
      </c>
      <c r="V20" s="298">
        <f t="shared" si="27"/>
        <v>0</v>
      </c>
      <c r="W20" s="298">
        <f t="shared" si="4"/>
        <v>0</v>
      </c>
      <c r="X20" s="298">
        <f t="shared" si="27"/>
        <v>370</v>
      </c>
      <c r="Y20" s="298">
        <f t="shared" si="27"/>
        <v>0</v>
      </c>
      <c r="Z20" s="298">
        <f t="shared" si="27"/>
        <v>0</v>
      </c>
      <c r="AA20" s="298">
        <f t="shared" si="5"/>
        <v>370</v>
      </c>
      <c r="AB20" s="298">
        <v>370</v>
      </c>
      <c r="AC20" s="298">
        <v>0</v>
      </c>
      <c r="AD20" s="298">
        <v>0</v>
      </c>
      <c r="AE20" s="298">
        <v>370</v>
      </c>
      <c r="AF20" s="298">
        <f>AF21</f>
        <v>370</v>
      </c>
      <c r="AG20" s="298">
        <f t="shared" ref="AG20:AH20" si="28">AG21</f>
        <v>0</v>
      </c>
      <c r="AH20" s="298">
        <f t="shared" si="28"/>
        <v>0</v>
      </c>
      <c r="AI20" s="298">
        <f>SUM(AF20:AH20)</f>
        <v>370</v>
      </c>
      <c r="AJ20" s="298">
        <f>AJ21</f>
        <v>0</v>
      </c>
      <c r="AK20" s="298">
        <f t="shared" ref="AK20:AL20" si="29">AK21</f>
        <v>0</v>
      </c>
      <c r="AL20" s="298">
        <f t="shared" si="29"/>
        <v>0</v>
      </c>
      <c r="AM20" s="298">
        <f>SUM(AJ20:AL20)</f>
        <v>0</v>
      </c>
    </row>
    <row r="21" spans="1:39" x14ac:dyDescent="0.25">
      <c r="A21" s="328"/>
      <c r="B21" s="299" t="s">
        <v>317</v>
      </c>
      <c r="C21" s="239">
        <v>0</v>
      </c>
      <c r="D21" s="239">
        <v>500</v>
      </c>
      <c r="E21" s="239">
        <v>0</v>
      </c>
      <c r="F21" s="239">
        <v>0</v>
      </c>
      <c r="G21" s="239">
        <f t="shared" si="0"/>
        <v>500</v>
      </c>
      <c r="H21" s="239">
        <v>500</v>
      </c>
      <c r="I21" s="239">
        <v>0</v>
      </c>
      <c r="J21" s="239">
        <v>0</v>
      </c>
      <c r="K21" s="239">
        <f t="shared" si="1"/>
        <v>500</v>
      </c>
      <c r="L21" s="239">
        <v>500</v>
      </c>
      <c r="M21" s="239">
        <v>0</v>
      </c>
      <c r="N21" s="239">
        <v>0</v>
      </c>
      <c r="O21" s="239">
        <f t="shared" si="2"/>
        <v>500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  <c r="X21" s="239">
        <v>370</v>
      </c>
      <c r="Y21" s="239">
        <v>0</v>
      </c>
      <c r="Z21" s="239">
        <v>0</v>
      </c>
      <c r="AA21" s="239">
        <f t="shared" si="5"/>
        <v>370</v>
      </c>
      <c r="AB21" s="239">
        <v>370</v>
      </c>
      <c r="AC21" s="239">
        <v>0</v>
      </c>
      <c r="AD21" s="239">
        <v>0</v>
      </c>
      <c r="AE21" s="239">
        <v>370</v>
      </c>
      <c r="AF21" s="239">
        <v>370</v>
      </c>
      <c r="AG21" s="239"/>
      <c r="AH21" s="239"/>
      <c r="AI21" s="239">
        <f>SUM(AF21:AH21)</f>
        <v>370</v>
      </c>
      <c r="AJ21" s="239">
        <v>0</v>
      </c>
      <c r="AK21" s="239"/>
      <c r="AL21" s="239"/>
      <c r="AM21" s="239">
        <f>SUM(AJ21:AL21)</f>
        <v>0</v>
      </c>
    </row>
    <row r="22" spans="1:39" x14ac:dyDescent="0.25">
      <c r="A22" s="293" t="s">
        <v>318</v>
      </c>
      <c r="B22" s="294" t="s">
        <v>319</v>
      </c>
      <c r="C22" s="295">
        <f>C23+C25+C28</f>
        <v>0</v>
      </c>
      <c r="D22" s="295">
        <f t="shared" ref="D22:F22" si="30">D23+D25+D28</f>
        <v>0</v>
      </c>
      <c r="E22" s="295">
        <f t="shared" si="30"/>
        <v>0</v>
      </c>
      <c r="F22" s="295">
        <f t="shared" si="30"/>
        <v>0</v>
      </c>
      <c r="G22" s="295">
        <f t="shared" si="0"/>
        <v>0</v>
      </c>
      <c r="H22" s="295">
        <f t="shared" ref="H22:J22" si="31">H23+H25+H28</f>
        <v>0</v>
      </c>
      <c r="I22" s="295">
        <f t="shared" si="31"/>
        <v>0</v>
      </c>
      <c r="J22" s="295">
        <f t="shared" si="31"/>
        <v>0</v>
      </c>
      <c r="K22" s="295">
        <f t="shared" si="1"/>
        <v>0</v>
      </c>
      <c r="L22" s="295">
        <f t="shared" ref="L22:N22" si="32">L23+L25+L28</f>
        <v>0</v>
      </c>
      <c r="M22" s="295">
        <f t="shared" si="32"/>
        <v>0</v>
      </c>
      <c r="N22" s="295">
        <f t="shared" si="32"/>
        <v>0</v>
      </c>
      <c r="O22" s="295">
        <f t="shared" si="2"/>
        <v>0</v>
      </c>
      <c r="P22" s="295">
        <f t="shared" ref="P22:R22" si="33">P23+P25+P28</f>
        <v>0</v>
      </c>
      <c r="Q22" s="295">
        <f t="shared" si="33"/>
        <v>0</v>
      </c>
      <c r="R22" s="295">
        <f t="shared" si="33"/>
        <v>0</v>
      </c>
      <c r="S22" s="295">
        <f t="shared" si="3"/>
        <v>0</v>
      </c>
      <c r="T22" s="295">
        <f t="shared" ref="T22:V22" si="34">T23+T25+T28</f>
        <v>0</v>
      </c>
      <c r="U22" s="295">
        <f t="shared" si="34"/>
        <v>0</v>
      </c>
      <c r="V22" s="295">
        <f t="shared" si="34"/>
        <v>0</v>
      </c>
      <c r="W22" s="295">
        <f t="shared" si="4"/>
        <v>0</v>
      </c>
      <c r="X22" s="295">
        <f t="shared" ref="X22:Z22" si="35">X23+X25+X28</f>
        <v>0</v>
      </c>
      <c r="Y22" s="295">
        <f t="shared" si="35"/>
        <v>0</v>
      </c>
      <c r="Z22" s="295">
        <f t="shared" si="35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v>0</v>
      </c>
      <c r="AK22" s="295">
        <v>0</v>
      </c>
      <c r="AL22" s="295">
        <v>0</v>
      </c>
      <c r="AM22" s="295">
        <v>0</v>
      </c>
    </row>
    <row r="23" spans="1:39" x14ac:dyDescent="0.25">
      <c r="A23" s="296" t="s">
        <v>311</v>
      </c>
      <c r="B23" s="297" t="s">
        <v>320</v>
      </c>
      <c r="C23" s="298">
        <f>C24</f>
        <v>0</v>
      </c>
      <c r="D23" s="298">
        <f t="shared" ref="D23:Z23" si="36">D24</f>
        <v>0</v>
      </c>
      <c r="E23" s="298">
        <f t="shared" si="36"/>
        <v>0</v>
      </c>
      <c r="F23" s="298">
        <f t="shared" si="36"/>
        <v>0</v>
      </c>
      <c r="G23" s="298">
        <f t="shared" si="0"/>
        <v>0</v>
      </c>
      <c r="H23" s="298">
        <f t="shared" si="36"/>
        <v>0</v>
      </c>
      <c r="I23" s="298">
        <f t="shared" si="36"/>
        <v>0</v>
      </c>
      <c r="J23" s="298">
        <f t="shared" si="36"/>
        <v>0</v>
      </c>
      <c r="K23" s="298">
        <f t="shared" si="1"/>
        <v>0</v>
      </c>
      <c r="L23" s="298">
        <f t="shared" si="36"/>
        <v>0</v>
      </c>
      <c r="M23" s="298">
        <f t="shared" si="36"/>
        <v>0</v>
      </c>
      <c r="N23" s="298">
        <f t="shared" si="36"/>
        <v>0</v>
      </c>
      <c r="O23" s="298">
        <f t="shared" si="2"/>
        <v>0</v>
      </c>
      <c r="P23" s="298">
        <f t="shared" si="36"/>
        <v>0</v>
      </c>
      <c r="Q23" s="298">
        <f t="shared" si="36"/>
        <v>0</v>
      </c>
      <c r="R23" s="298">
        <f t="shared" si="36"/>
        <v>0</v>
      </c>
      <c r="S23" s="298">
        <f t="shared" si="3"/>
        <v>0</v>
      </c>
      <c r="T23" s="298">
        <f t="shared" si="36"/>
        <v>0</v>
      </c>
      <c r="U23" s="298">
        <f t="shared" si="36"/>
        <v>0</v>
      </c>
      <c r="V23" s="298">
        <f t="shared" si="36"/>
        <v>0</v>
      </c>
      <c r="W23" s="298">
        <f t="shared" si="4"/>
        <v>0</v>
      </c>
      <c r="X23" s="298">
        <f t="shared" si="36"/>
        <v>0</v>
      </c>
      <c r="Y23" s="298">
        <f t="shared" si="36"/>
        <v>0</v>
      </c>
      <c r="Z23" s="298">
        <f t="shared" si="36"/>
        <v>0</v>
      </c>
      <c r="AA23" s="298">
        <f t="shared" si="5"/>
        <v>0</v>
      </c>
      <c r="AB23" s="298">
        <v>0</v>
      </c>
      <c r="AC23" s="298">
        <v>0</v>
      </c>
      <c r="AD23" s="298">
        <v>0</v>
      </c>
      <c r="AE23" s="298">
        <v>0</v>
      </c>
      <c r="AF23" s="298">
        <v>0</v>
      </c>
      <c r="AG23" s="298">
        <v>0</v>
      </c>
      <c r="AH23" s="298">
        <v>0</v>
      </c>
      <c r="AI23" s="298">
        <v>0</v>
      </c>
      <c r="AJ23" s="298">
        <v>0</v>
      </c>
      <c r="AK23" s="298">
        <v>0</v>
      </c>
      <c r="AL23" s="298">
        <v>0</v>
      </c>
      <c r="AM23" s="298">
        <v>0</v>
      </c>
    </row>
    <row r="24" spans="1:39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X24" s="239">
        <v>0</v>
      </c>
      <c r="Y24" s="239">
        <v>0</v>
      </c>
      <c r="Z24" s="239">
        <v>0</v>
      </c>
      <c r="AA24" s="239">
        <f t="shared" si="5"/>
        <v>0</v>
      </c>
      <c r="AB24" s="239">
        <v>0</v>
      </c>
      <c r="AC24" s="239">
        <v>0</v>
      </c>
      <c r="AD24" s="239">
        <v>0</v>
      </c>
      <c r="AE24" s="239">
        <v>0</v>
      </c>
      <c r="AF24" s="239">
        <v>0</v>
      </c>
      <c r="AG24" s="239">
        <v>0</v>
      </c>
      <c r="AH24" s="239">
        <v>0</v>
      </c>
      <c r="AI24" s="239">
        <v>0</v>
      </c>
      <c r="AJ24" s="239">
        <v>0</v>
      </c>
      <c r="AK24" s="239">
        <v>0</v>
      </c>
      <c r="AL24" s="239">
        <v>0</v>
      </c>
      <c r="AM24" s="239">
        <v>0</v>
      </c>
    </row>
    <row r="25" spans="1:39" x14ac:dyDescent="0.25">
      <c r="A25" s="296" t="s">
        <v>322</v>
      </c>
      <c r="B25" s="297" t="s">
        <v>257</v>
      </c>
      <c r="C25" s="298">
        <f t="shared" ref="C25" si="37">SUM(C26:C27)</f>
        <v>0</v>
      </c>
      <c r="D25" s="298">
        <f t="shared" ref="D25:F25" si="38">SUM(D26:D27)</f>
        <v>0</v>
      </c>
      <c r="E25" s="298">
        <f t="shared" si="38"/>
        <v>0</v>
      </c>
      <c r="F25" s="298">
        <f t="shared" si="38"/>
        <v>0</v>
      </c>
      <c r="G25" s="298">
        <f t="shared" si="0"/>
        <v>0</v>
      </c>
      <c r="H25" s="298">
        <f t="shared" ref="H25:J25" si="39">SUM(H26:H27)</f>
        <v>0</v>
      </c>
      <c r="I25" s="298">
        <f t="shared" si="39"/>
        <v>0</v>
      </c>
      <c r="J25" s="298">
        <f t="shared" si="39"/>
        <v>0</v>
      </c>
      <c r="K25" s="298">
        <f t="shared" si="1"/>
        <v>0</v>
      </c>
      <c r="L25" s="298">
        <f t="shared" ref="L25:N25" si="40">SUM(L26:L27)</f>
        <v>0</v>
      </c>
      <c r="M25" s="298">
        <f t="shared" si="40"/>
        <v>0</v>
      </c>
      <c r="N25" s="298">
        <f t="shared" si="40"/>
        <v>0</v>
      </c>
      <c r="O25" s="298">
        <f t="shared" si="2"/>
        <v>0</v>
      </c>
      <c r="P25" s="298">
        <f t="shared" ref="P25:R25" si="41">SUM(P26:P27)</f>
        <v>0</v>
      </c>
      <c r="Q25" s="298">
        <f t="shared" si="41"/>
        <v>0</v>
      </c>
      <c r="R25" s="298">
        <f t="shared" si="41"/>
        <v>0</v>
      </c>
      <c r="S25" s="298">
        <f t="shared" si="3"/>
        <v>0</v>
      </c>
      <c r="T25" s="298">
        <f t="shared" ref="T25:V25" si="42">SUM(T26:T27)</f>
        <v>0</v>
      </c>
      <c r="U25" s="298">
        <f t="shared" si="42"/>
        <v>0</v>
      </c>
      <c r="V25" s="298">
        <f t="shared" si="42"/>
        <v>0</v>
      </c>
      <c r="W25" s="298">
        <f t="shared" si="4"/>
        <v>0</v>
      </c>
      <c r="X25" s="298">
        <f t="shared" ref="X25:Z25" si="43">SUM(X26:X27)</f>
        <v>0</v>
      </c>
      <c r="Y25" s="298">
        <f t="shared" si="43"/>
        <v>0</v>
      </c>
      <c r="Z25" s="298">
        <f t="shared" si="43"/>
        <v>0</v>
      </c>
      <c r="AA25" s="298">
        <f t="shared" si="5"/>
        <v>0</v>
      </c>
      <c r="AB25" s="298">
        <v>0</v>
      </c>
      <c r="AC25" s="298">
        <v>0</v>
      </c>
      <c r="AD25" s="298">
        <v>0</v>
      </c>
      <c r="AE25" s="298">
        <v>0</v>
      </c>
      <c r="AF25" s="298">
        <v>0</v>
      </c>
      <c r="AG25" s="298">
        <v>0</v>
      </c>
      <c r="AH25" s="298">
        <v>0</v>
      </c>
      <c r="AI25" s="298">
        <v>0</v>
      </c>
      <c r="AJ25" s="298">
        <v>0</v>
      </c>
      <c r="AK25" s="298">
        <v>0</v>
      </c>
      <c r="AL25" s="298">
        <v>0</v>
      </c>
      <c r="AM25" s="298">
        <v>0</v>
      </c>
    </row>
    <row r="26" spans="1:39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>
        <v>0</v>
      </c>
      <c r="Y26" s="239">
        <v>0</v>
      </c>
      <c r="Z26" s="239">
        <v>0</v>
      </c>
      <c r="AA26" s="239">
        <f t="shared" si="5"/>
        <v>0</v>
      </c>
      <c r="AB26" s="239">
        <v>0</v>
      </c>
      <c r="AC26" s="239">
        <v>0</v>
      </c>
      <c r="AD26" s="239">
        <v>0</v>
      </c>
      <c r="AE26" s="239">
        <v>0</v>
      </c>
      <c r="AF26" s="239">
        <v>0</v>
      </c>
      <c r="AG26" s="239">
        <v>0</v>
      </c>
      <c r="AH26" s="239">
        <v>0</v>
      </c>
      <c r="AI26" s="239">
        <v>0</v>
      </c>
      <c r="AJ26" s="239">
        <v>0</v>
      </c>
      <c r="AK26" s="239">
        <v>0</v>
      </c>
      <c r="AL26" s="239">
        <v>0</v>
      </c>
      <c r="AM26" s="239">
        <v>0</v>
      </c>
    </row>
    <row r="27" spans="1:39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0</v>
      </c>
      <c r="AK27" s="239">
        <v>0</v>
      </c>
      <c r="AL27" s="239">
        <v>0</v>
      </c>
      <c r="AM27" s="239">
        <v>0</v>
      </c>
    </row>
    <row r="28" spans="1:39" x14ac:dyDescent="0.25">
      <c r="A28" s="296" t="s">
        <v>315</v>
      </c>
      <c r="B28" s="297" t="s">
        <v>325</v>
      </c>
      <c r="C28" s="298">
        <f>C29</f>
        <v>0</v>
      </c>
      <c r="D28" s="298">
        <f t="shared" ref="D28:Z28" si="44">D29</f>
        <v>0</v>
      </c>
      <c r="E28" s="298">
        <f t="shared" si="44"/>
        <v>0</v>
      </c>
      <c r="F28" s="298">
        <f t="shared" si="44"/>
        <v>0</v>
      </c>
      <c r="G28" s="298">
        <f t="shared" si="0"/>
        <v>0</v>
      </c>
      <c r="H28" s="298">
        <f t="shared" si="44"/>
        <v>0</v>
      </c>
      <c r="I28" s="298">
        <f t="shared" si="44"/>
        <v>0</v>
      </c>
      <c r="J28" s="298">
        <f t="shared" si="44"/>
        <v>0</v>
      </c>
      <c r="K28" s="298">
        <f t="shared" si="1"/>
        <v>0</v>
      </c>
      <c r="L28" s="298">
        <f t="shared" si="44"/>
        <v>0</v>
      </c>
      <c r="M28" s="298">
        <f t="shared" si="44"/>
        <v>0</v>
      </c>
      <c r="N28" s="298">
        <f t="shared" si="44"/>
        <v>0</v>
      </c>
      <c r="O28" s="298">
        <f t="shared" si="2"/>
        <v>0</v>
      </c>
      <c r="P28" s="298">
        <f t="shared" si="44"/>
        <v>0</v>
      </c>
      <c r="Q28" s="298">
        <f t="shared" si="44"/>
        <v>0</v>
      </c>
      <c r="R28" s="298">
        <f t="shared" si="44"/>
        <v>0</v>
      </c>
      <c r="S28" s="298">
        <f t="shared" si="3"/>
        <v>0</v>
      </c>
      <c r="T28" s="298">
        <f t="shared" si="44"/>
        <v>0</v>
      </c>
      <c r="U28" s="298">
        <f t="shared" si="44"/>
        <v>0</v>
      </c>
      <c r="V28" s="298">
        <f t="shared" si="44"/>
        <v>0</v>
      </c>
      <c r="W28" s="298">
        <f t="shared" si="4"/>
        <v>0</v>
      </c>
      <c r="X28" s="298">
        <f t="shared" si="44"/>
        <v>0</v>
      </c>
      <c r="Y28" s="298">
        <f t="shared" si="44"/>
        <v>0</v>
      </c>
      <c r="Z28" s="298">
        <f t="shared" si="44"/>
        <v>0</v>
      </c>
      <c r="AA28" s="298">
        <f t="shared" si="5"/>
        <v>0</v>
      </c>
      <c r="AB28" s="298">
        <v>0</v>
      </c>
      <c r="AC28" s="298">
        <v>0</v>
      </c>
      <c r="AD28" s="298">
        <v>0</v>
      </c>
      <c r="AE28" s="298">
        <v>0</v>
      </c>
      <c r="AF28" s="298">
        <v>0</v>
      </c>
      <c r="AG28" s="298">
        <v>0</v>
      </c>
      <c r="AH28" s="298">
        <v>0</v>
      </c>
      <c r="AI28" s="298">
        <v>0</v>
      </c>
      <c r="AJ28" s="298">
        <v>0</v>
      </c>
      <c r="AK28" s="298">
        <v>0</v>
      </c>
      <c r="AL28" s="298">
        <v>0</v>
      </c>
      <c r="AM28" s="298">
        <v>0</v>
      </c>
    </row>
    <row r="29" spans="1:39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>
        <v>0</v>
      </c>
      <c r="Y29" s="239">
        <v>0</v>
      </c>
      <c r="Z29" s="239">
        <v>0</v>
      </c>
      <c r="AA29" s="239">
        <f t="shared" si="5"/>
        <v>0</v>
      </c>
      <c r="AB29" s="239">
        <v>0</v>
      </c>
      <c r="AC29" s="239">
        <v>0</v>
      </c>
      <c r="AD29" s="239">
        <v>0</v>
      </c>
      <c r="AE29" s="239">
        <v>0</v>
      </c>
      <c r="AF29" s="239">
        <v>0</v>
      </c>
      <c r="AG29" s="239">
        <v>0</v>
      </c>
      <c r="AH29" s="239">
        <v>0</v>
      </c>
      <c r="AI29" s="239">
        <v>0</v>
      </c>
      <c r="AJ29" s="239">
        <v>0</v>
      </c>
      <c r="AK29" s="239">
        <v>0</v>
      </c>
      <c r="AL29" s="239">
        <v>0</v>
      </c>
      <c r="AM29" s="239">
        <v>0</v>
      </c>
    </row>
    <row r="30" spans="1:39" x14ac:dyDescent="0.25">
      <c r="A30" s="595"/>
      <c r="B30" s="590" t="s">
        <v>327</v>
      </c>
      <c r="C30" s="622">
        <f>C8+C22</f>
        <v>572</v>
      </c>
      <c r="D30" s="622">
        <f t="shared" ref="D30:F30" si="45">D8+D22</f>
        <v>110284</v>
      </c>
      <c r="E30" s="622">
        <f t="shared" si="45"/>
        <v>0</v>
      </c>
      <c r="F30" s="622">
        <f t="shared" si="45"/>
        <v>0</v>
      </c>
      <c r="G30" s="622">
        <f t="shared" si="0"/>
        <v>110284</v>
      </c>
      <c r="H30" s="622">
        <f t="shared" ref="H30:J30" si="46">H8+H22</f>
        <v>114569</v>
      </c>
      <c r="I30" s="622">
        <f t="shared" si="46"/>
        <v>0</v>
      </c>
      <c r="J30" s="622">
        <f t="shared" si="46"/>
        <v>0</v>
      </c>
      <c r="K30" s="622">
        <f t="shared" si="1"/>
        <v>114569</v>
      </c>
      <c r="L30" s="622">
        <f t="shared" ref="L30:N30" si="47">L8+L22</f>
        <v>116690</v>
      </c>
      <c r="M30" s="622">
        <f t="shared" si="47"/>
        <v>0</v>
      </c>
      <c r="N30" s="622">
        <f t="shared" si="47"/>
        <v>0</v>
      </c>
      <c r="O30" s="622">
        <f t="shared" si="2"/>
        <v>116690</v>
      </c>
      <c r="P30" s="622">
        <f t="shared" ref="P30:R30" si="48">P8+P22</f>
        <v>722</v>
      </c>
      <c r="Q30" s="622">
        <f t="shared" si="48"/>
        <v>0</v>
      </c>
      <c r="R30" s="622">
        <f t="shared" si="48"/>
        <v>0</v>
      </c>
      <c r="S30" s="622">
        <f t="shared" si="3"/>
        <v>722</v>
      </c>
      <c r="T30" s="622">
        <f t="shared" ref="T30:V30" si="49">T8+T22</f>
        <v>38432</v>
      </c>
      <c r="U30" s="622">
        <f t="shared" si="49"/>
        <v>0</v>
      </c>
      <c r="V30" s="622">
        <f t="shared" si="49"/>
        <v>0</v>
      </c>
      <c r="W30" s="622">
        <f t="shared" si="4"/>
        <v>38432</v>
      </c>
      <c r="X30" s="622">
        <f t="shared" ref="X30:AD30" si="50">X8+X22</f>
        <v>112818</v>
      </c>
      <c r="Y30" s="622">
        <f t="shared" si="50"/>
        <v>0</v>
      </c>
      <c r="Z30" s="622">
        <f t="shared" si="50"/>
        <v>0</v>
      </c>
      <c r="AA30" s="622">
        <f t="shared" si="5"/>
        <v>112818</v>
      </c>
      <c r="AB30" s="622">
        <f t="shared" si="50"/>
        <v>123409</v>
      </c>
      <c r="AC30" s="622">
        <f t="shared" si="50"/>
        <v>0</v>
      </c>
      <c r="AD30" s="622">
        <f t="shared" si="50"/>
        <v>0</v>
      </c>
      <c r="AE30" s="622">
        <f>SUM(AB30:AD30)</f>
        <v>123409</v>
      </c>
      <c r="AF30" s="622">
        <f t="shared" ref="AF30:AH30" si="51">AF8+AF22</f>
        <v>129790</v>
      </c>
      <c r="AG30" s="622">
        <f t="shared" si="51"/>
        <v>0</v>
      </c>
      <c r="AH30" s="622">
        <f t="shared" si="51"/>
        <v>0</v>
      </c>
      <c r="AI30" s="622">
        <f>SUM(AF30:AH30)</f>
        <v>129790</v>
      </c>
      <c r="AJ30" s="622">
        <f t="shared" ref="AJ30:AL30" si="52">AJ8+AJ22</f>
        <v>61862</v>
      </c>
      <c r="AK30" s="622">
        <f t="shared" si="52"/>
        <v>0</v>
      </c>
      <c r="AL30" s="622">
        <f t="shared" si="52"/>
        <v>0</v>
      </c>
      <c r="AM30" s="622">
        <f>SUM(AJ30:AL30)</f>
        <v>61862</v>
      </c>
    </row>
    <row r="31" spans="1:39" x14ac:dyDescent="0.25">
      <c r="A31" s="293" t="s">
        <v>328</v>
      </c>
      <c r="B31" s="294" t="s">
        <v>329</v>
      </c>
      <c r="C31" s="295">
        <f>C32</f>
        <v>75095</v>
      </c>
      <c r="D31" s="295">
        <f t="shared" ref="D31:AM31" si="53">D32</f>
        <v>238592</v>
      </c>
      <c r="E31" s="295">
        <f t="shared" si="53"/>
        <v>0</v>
      </c>
      <c r="F31" s="295">
        <f t="shared" si="53"/>
        <v>0</v>
      </c>
      <c r="G31" s="295">
        <f t="shared" si="0"/>
        <v>238592</v>
      </c>
      <c r="H31" s="295">
        <f t="shared" si="53"/>
        <v>309822</v>
      </c>
      <c r="I31" s="295">
        <f t="shared" si="53"/>
        <v>0</v>
      </c>
      <c r="J31" s="295">
        <f t="shared" si="53"/>
        <v>0</v>
      </c>
      <c r="K31" s="295">
        <f t="shared" si="1"/>
        <v>309822</v>
      </c>
      <c r="L31" s="295">
        <f t="shared" si="53"/>
        <v>315010</v>
      </c>
      <c r="M31" s="295">
        <f t="shared" si="53"/>
        <v>0</v>
      </c>
      <c r="N31" s="295">
        <f t="shared" si="53"/>
        <v>0</v>
      </c>
      <c r="O31" s="295">
        <f t="shared" si="2"/>
        <v>315010</v>
      </c>
      <c r="P31" s="295">
        <f t="shared" si="53"/>
        <v>74023</v>
      </c>
      <c r="Q31" s="295">
        <f t="shared" si="53"/>
        <v>0</v>
      </c>
      <c r="R31" s="295">
        <f t="shared" si="53"/>
        <v>0</v>
      </c>
      <c r="S31" s="295">
        <f t="shared" si="3"/>
        <v>74023</v>
      </c>
      <c r="T31" s="295">
        <f t="shared" si="53"/>
        <v>93054</v>
      </c>
      <c r="U31" s="295">
        <f t="shared" si="53"/>
        <v>0</v>
      </c>
      <c r="V31" s="295">
        <f t="shared" si="53"/>
        <v>0</v>
      </c>
      <c r="W31" s="295">
        <f t="shared" si="4"/>
        <v>93054</v>
      </c>
      <c r="X31" s="295">
        <f t="shared" si="53"/>
        <v>274006</v>
      </c>
      <c r="Y31" s="295">
        <f t="shared" si="53"/>
        <v>0</v>
      </c>
      <c r="Z31" s="295">
        <f t="shared" si="53"/>
        <v>0</v>
      </c>
      <c r="AA31" s="295">
        <f t="shared" si="5"/>
        <v>274006</v>
      </c>
      <c r="AB31" s="295">
        <f t="shared" si="53"/>
        <v>320669</v>
      </c>
      <c r="AC31" s="295">
        <f t="shared" si="53"/>
        <v>0</v>
      </c>
      <c r="AD31" s="295">
        <f t="shared" si="53"/>
        <v>0</v>
      </c>
      <c r="AE31" s="295">
        <f t="shared" si="53"/>
        <v>320669</v>
      </c>
      <c r="AF31" s="295">
        <f t="shared" si="53"/>
        <v>331058</v>
      </c>
      <c r="AG31" s="295">
        <f t="shared" si="53"/>
        <v>0</v>
      </c>
      <c r="AH31" s="295">
        <f t="shared" si="53"/>
        <v>0</v>
      </c>
      <c r="AI31" s="295">
        <f t="shared" si="53"/>
        <v>331058</v>
      </c>
      <c r="AJ31" s="295">
        <f t="shared" si="53"/>
        <v>177495</v>
      </c>
      <c r="AK31" s="295">
        <f t="shared" si="53"/>
        <v>0</v>
      </c>
      <c r="AL31" s="295">
        <f t="shared" si="53"/>
        <v>0</v>
      </c>
      <c r="AM31" s="295">
        <f t="shared" si="53"/>
        <v>177495</v>
      </c>
    </row>
    <row r="32" spans="1:39" x14ac:dyDescent="0.25">
      <c r="A32" s="296" t="s">
        <v>311</v>
      </c>
      <c r="B32" s="297" t="s">
        <v>330</v>
      </c>
      <c r="C32" s="298">
        <f>SUM(C33:C34)</f>
        <v>75095</v>
      </c>
      <c r="D32" s="298">
        <f t="shared" ref="D32:F32" si="54">SUM(D33:D34)</f>
        <v>238592</v>
      </c>
      <c r="E32" s="298">
        <f t="shared" si="54"/>
        <v>0</v>
      </c>
      <c r="F32" s="298">
        <f t="shared" si="54"/>
        <v>0</v>
      </c>
      <c r="G32" s="298">
        <f t="shared" si="0"/>
        <v>238592</v>
      </c>
      <c r="H32" s="298">
        <f t="shared" ref="H32:J32" si="55">SUM(H33:H34)</f>
        <v>309822</v>
      </c>
      <c r="I32" s="298">
        <f t="shared" si="55"/>
        <v>0</v>
      </c>
      <c r="J32" s="298">
        <f t="shared" si="55"/>
        <v>0</v>
      </c>
      <c r="K32" s="298">
        <f t="shared" si="1"/>
        <v>309822</v>
      </c>
      <c r="L32" s="298">
        <f t="shared" ref="L32:N32" si="56">SUM(L33:L34)</f>
        <v>315010</v>
      </c>
      <c r="M32" s="298">
        <f t="shared" si="56"/>
        <v>0</v>
      </c>
      <c r="N32" s="298">
        <f t="shared" si="56"/>
        <v>0</v>
      </c>
      <c r="O32" s="298">
        <f t="shared" si="2"/>
        <v>315010</v>
      </c>
      <c r="P32" s="298">
        <f t="shared" ref="P32:R32" si="57">SUM(P33:P34)</f>
        <v>74023</v>
      </c>
      <c r="Q32" s="298">
        <f t="shared" si="57"/>
        <v>0</v>
      </c>
      <c r="R32" s="298">
        <f t="shared" si="57"/>
        <v>0</v>
      </c>
      <c r="S32" s="298">
        <f t="shared" si="3"/>
        <v>74023</v>
      </c>
      <c r="T32" s="298">
        <f t="shared" ref="T32:V32" si="58">SUM(T33:T34)</f>
        <v>93054</v>
      </c>
      <c r="U32" s="298">
        <f t="shared" si="58"/>
        <v>0</v>
      </c>
      <c r="V32" s="298">
        <f t="shared" si="58"/>
        <v>0</v>
      </c>
      <c r="W32" s="298">
        <f t="shared" si="4"/>
        <v>93054</v>
      </c>
      <c r="X32" s="298">
        <f t="shared" ref="X32:AD32" si="59">SUM(X33:X34)</f>
        <v>274006</v>
      </c>
      <c r="Y32" s="298">
        <f t="shared" si="59"/>
        <v>0</v>
      </c>
      <c r="Z32" s="298">
        <f t="shared" si="59"/>
        <v>0</v>
      </c>
      <c r="AA32" s="298">
        <f t="shared" si="5"/>
        <v>274006</v>
      </c>
      <c r="AB32" s="298">
        <f t="shared" si="59"/>
        <v>320669</v>
      </c>
      <c r="AC32" s="298">
        <f t="shared" si="59"/>
        <v>0</v>
      </c>
      <c r="AD32" s="298">
        <f t="shared" si="59"/>
        <v>0</v>
      </c>
      <c r="AE32" s="298">
        <f>SUM(AB32:AD32)</f>
        <v>320669</v>
      </c>
      <c r="AF32" s="298">
        <f t="shared" ref="AF32:AI32" si="60">SUM(AF33:AF34)</f>
        <v>331058</v>
      </c>
      <c r="AG32" s="298">
        <f t="shared" si="60"/>
        <v>0</v>
      </c>
      <c r="AH32" s="298">
        <f t="shared" si="60"/>
        <v>0</v>
      </c>
      <c r="AI32" s="298">
        <f t="shared" si="60"/>
        <v>331058</v>
      </c>
      <c r="AJ32" s="298">
        <f t="shared" ref="AJ32:AM32" si="61">SUM(AJ33:AJ34)</f>
        <v>177495</v>
      </c>
      <c r="AK32" s="298">
        <f t="shared" si="61"/>
        <v>0</v>
      </c>
      <c r="AL32" s="298">
        <f t="shared" si="61"/>
        <v>0</v>
      </c>
      <c r="AM32" s="298">
        <f t="shared" si="61"/>
        <v>177495</v>
      </c>
    </row>
    <row r="33" spans="1:39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60656</v>
      </c>
      <c r="I33" s="239">
        <v>0</v>
      </c>
      <c r="J33" s="239">
        <v>0</v>
      </c>
      <c r="K33" s="239">
        <f t="shared" si="1"/>
        <v>60656</v>
      </c>
      <c r="L33" s="239">
        <v>60656</v>
      </c>
      <c r="M33" s="239">
        <v>0</v>
      </c>
      <c r="N33" s="239">
        <v>0</v>
      </c>
      <c r="O33" s="239">
        <f t="shared" si="2"/>
        <v>60656</v>
      </c>
      <c r="P33" s="239">
        <v>377</v>
      </c>
      <c r="Q33" s="239">
        <v>0</v>
      </c>
      <c r="R33" s="239">
        <v>0</v>
      </c>
      <c r="S33" s="239">
        <f t="shared" si="3"/>
        <v>377</v>
      </c>
      <c r="T33" s="239">
        <v>0</v>
      </c>
      <c r="U33" s="239">
        <v>0</v>
      </c>
      <c r="V33" s="239">
        <v>0</v>
      </c>
      <c r="W33" s="239">
        <f t="shared" si="4"/>
        <v>0</v>
      </c>
      <c r="X33" s="239"/>
      <c r="Y33" s="239">
        <v>0</v>
      </c>
      <c r="Z33" s="239">
        <v>0</v>
      </c>
      <c r="AA33" s="239">
        <f t="shared" si="5"/>
        <v>0</v>
      </c>
      <c r="AB33" s="239">
        <v>31378</v>
      </c>
      <c r="AC33" s="239">
        <v>0</v>
      </c>
      <c r="AD33" s="239">
        <v>0</v>
      </c>
      <c r="AE33" s="881">
        <f t="shared" ref="AE33:AE34" si="62">SUM(AB33:AD33)</f>
        <v>31378</v>
      </c>
      <c r="AF33" s="239">
        <v>31378</v>
      </c>
      <c r="AG33" s="239">
        <v>0</v>
      </c>
      <c r="AH33" s="239">
        <v>0</v>
      </c>
      <c r="AI33" s="239">
        <f>SUM(AF33:AH33)</f>
        <v>31378</v>
      </c>
      <c r="AJ33" s="239">
        <v>31378</v>
      </c>
      <c r="AK33" s="239"/>
      <c r="AL33" s="239"/>
      <c r="AM33" s="239">
        <f>SUM(AJ33:AL33)</f>
        <v>31378</v>
      </c>
    </row>
    <row r="34" spans="1:39" x14ac:dyDescent="0.25">
      <c r="A34" s="328"/>
      <c r="B34" s="301" t="s">
        <v>332</v>
      </c>
      <c r="C34" s="239">
        <f>C46-C30-C33</f>
        <v>75095</v>
      </c>
      <c r="D34" s="239">
        <f t="shared" ref="D34:F34" si="63">D46-D30-D33</f>
        <v>238592</v>
      </c>
      <c r="E34" s="239">
        <f t="shared" si="63"/>
        <v>0</v>
      </c>
      <c r="F34" s="239">
        <f t="shared" si="63"/>
        <v>0</v>
      </c>
      <c r="G34" s="239">
        <f t="shared" si="0"/>
        <v>238592</v>
      </c>
      <c r="H34" s="239">
        <f t="shared" ref="H34:J34" si="64">H46-H30-H33</f>
        <v>249166</v>
      </c>
      <c r="I34" s="239">
        <f t="shared" si="64"/>
        <v>0</v>
      </c>
      <c r="J34" s="239">
        <f t="shared" si="64"/>
        <v>0</v>
      </c>
      <c r="K34" s="239">
        <f t="shared" si="1"/>
        <v>249166</v>
      </c>
      <c r="L34" s="239">
        <v>254354</v>
      </c>
      <c r="M34" s="239">
        <f t="shared" ref="M34:N34" si="65">M46-M30-M33</f>
        <v>0</v>
      </c>
      <c r="N34" s="239">
        <f t="shared" si="65"/>
        <v>0</v>
      </c>
      <c r="O34" s="239">
        <f t="shared" si="2"/>
        <v>254354</v>
      </c>
      <c r="P34" s="239">
        <f t="shared" ref="P34:R34" si="66">P46-P30-P33</f>
        <v>73646</v>
      </c>
      <c r="Q34" s="239">
        <f t="shared" si="66"/>
        <v>0</v>
      </c>
      <c r="R34" s="239">
        <f t="shared" si="66"/>
        <v>0</v>
      </c>
      <c r="S34" s="239">
        <f t="shared" si="3"/>
        <v>73646</v>
      </c>
      <c r="T34" s="239">
        <v>93054</v>
      </c>
      <c r="U34" s="239">
        <f t="shared" ref="U34:V34" si="67">U46-U30-U33</f>
        <v>0</v>
      </c>
      <c r="V34" s="239">
        <f t="shared" si="67"/>
        <v>0</v>
      </c>
      <c r="W34" s="239">
        <f t="shared" si="4"/>
        <v>93054</v>
      </c>
      <c r="X34" s="239">
        <f t="shared" ref="X34" si="68">X46-X30-X33</f>
        <v>274006</v>
      </c>
      <c r="Y34" s="239">
        <f t="shared" ref="Y34:Z34" si="69">Y46-Y30-Y33</f>
        <v>0</v>
      </c>
      <c r="Z34" s="239">
        <f t="shared" si="69"/>
        <v>0</v>
      </c>
      <c r="AA34" s="239">
        <f t="shared" si="5"/>
        <v>274006</v>
      </c>
      <c r="AB34" s="239">
        <f t="shared" ref="AB34:AD34" si="70">AB46-AB30-AB33</f>
        <v>289291</v>
      </c>
      <c r="AC34" s="239">
        <f t="shared" si="70"/>
        <v>0</v>
      </c>
      <c r="AD34" s="239">
        <f t="shared" si="70"/>
        <v>0</v>
      </c>
      <c r="AE34" s="881">
        <f t="shared" si="62"/>
        <v>289291</v>
      </c>
      <c r="AF34" s="239">
        <v>299680</v>
      </c>
      <c r="AG34" s="239"/>
      <c r="AH34" s="239"/>
      <c r="AI34" s="239">
        <f>SUM(AF34:AH34)</f>
        <v>299680</v>
      </c>
      <c r="AJ34" s="239">
        <v>146117</v>
      </c>
      <c r="AK34" s="239"/>
      <c r="AL34" s="239"/>
      <c r="AM34" s="239">
        <f>SUM(AJ34:AL34)</f>
        <v>146117</v>
      </c>
    </row>
    <row r="35" spans="1:39" x14ac:dyDescent="0.25">
      <c r="A35" s="649"/>
      <c r="B35" s="650" t="s">
        <v>333</v>
      </c>
      <c r="C35" s="638">
        <f>C30+C31</f>
        <v>75667</v>
      </c>
      <c r="D35" s="638">
        <f t="shared" ref="D35:S35" si="71">D30+D31</f>
        <v>348876</v>
      </c>
      <c r="E35" s="638">
        <f t="shared" si="71"/>
        <v>0</v>
      </c>
      <c r="F35" s="638">
        <f t="shared" si="71"/>
        <v>0</v>
      </c>
      <c r="G35" s="638">
        <f t="shared" si="71"/>
        <v>348876</v>
      </c>
      <c r="H35" s="638">
        <f t="shared" si="71"/>
        <v>424391</v>
      </c>
      <c r="I35" s="638">
        <f t="shared" si="71"/>
        <v>0</v>
      </c>
      <c r="J35" s="638">
        <f t="shared" si="71"/>
        <v>0</v>
      </c>
      <c r="K35" s="638">
        <f t="shared" si="71"/>
        <v>424391</v>
      </c>
      <c r="L35" s="638">
        <f t="shared" si="71"/>
        <v>431700</v>
      </c>
      <c r="M35" s="638">
        <f t="shared" si="71"/>
        <v>0</v>
      </c>
      <c r="N35" s="638">
        <f t="shared" si="71"/>
        <v>0</v>
      </c>
      <c r="O35" s="638">
        <f t="shared" si="71"/>
        <v>431700</v>
      </c>
      <c r="P35" s="638">
        <f t="shared" si="71"/>
        <v>74745</v>
      </c>
      <c r="Q35" s="638">
        <f t="shared" si="71"/>
        <v>0</v>
      </c>
      <c r="R35" s="638">
        <f t="shared" si="71"/>
        <v>0</v>
      </c>
      <c r="S35" s="638">
        <f t="shared" si="71"/>
        <v>74745</v>
      </c>
      <c r="T35" s="638">
        <f t="shared" ref="T35:V35" si="72">T30+T31</f>
        <v>131486</v>
      </c>
      <c r="U35" s="638">
        <f t="shared" si="72"/>
        <v>0</v>
      </c>
      <c r="V35" s="638">
        <f t="shared" si="72"/>
        <v>0</v>
      </c>
      <c r="W35" s="638">
        <f t="shared" si="4"/>
        <v>131486</v>
      </c>
      <c r="X35" s="638">
        <f t="shared" ref="X35:AE35" si="73">X30+X31</f>
        <v>386824</v>
      </c>
      <c r="Y35" s="638">
        <f t="shared" si="73"/>
        <v>0</v>
      </c>
      <c r="Z35" s="638">
        <f t="shared" si="73"/>
        <v>0</v>
      </c>
      <c r="AA35" s="638">
        <f t="shared" si="73"/>
        <v>386824</v>
      </c>
      <c r="AB35" s="638">
        <f t="shared" si="73"/>
        <v>444078</v>
      </c>
      <c r="AC35" s="638">
        <f t="shared" si="73"/>
        <v>0</v>
      </c>
      <c r="AD35" s="638">
        <f t="shared" si="73"/>
        <v>0</v>
      </c>
      <c r="AE35" s="638">
        <f t="shared" si="73"/>
        <v>444078</v>
      </c>
      <c r="AF35" s="638">
        <f t="shared" ref="AF35:AI35" si="74">AF30+AF31</f>
        <v>460848</v>
      </c>
      <c r="AG35" s="638">
        <f t="shared" si="74"/>
        <v>0</v>
      </c>
      <c r="AH35" s="638">
        <f t="shared" si="74"/>
        <v>0</v>
      </c>
      <c r="AI35" s="638">
        <f t="shared" si="74"/>
        <v>460848</v>
      </c>
      <c r="AJ35" s="638">
        <f t="shared" ref="AJ35:AM35" si="75">AJ30+AJ31</f>
        <v>239357</v>
      </c>
      <c r="AK35" s="638">
        <f t="shared" si="75"/>
        <v>0</v>
      </c>
      <c r="AL35" s="638">
        <f t="shared" si="75"/>
        <v>0</v>
      </c>
      <c r="AM35" s="638">
        <f t="shared" si="75"/>
        <v>239357</v>
      </c>
    </row>
    <row r="36" spans="1:39" x14ac:dyDescent="0.25">
      <c r="A36" s="293" t="s">
        <v>309</v>
      </c>
      <c r="B36" s="294" t="s">
        <v>334</v>
      </c>
      <c r="C36" s="295">
        <f>SUM(C37:C41)</f>
        <v>74822</v>
      </c>
      <c r="D36" s="295">
        <f t="shared" ref="D36:E36" si="76">SUM(D37:D41)</f>
        <v>348876</v>
      </c>
      <c r="E36" s="295">
        <f t="shared" si="76"/>
        <v>0</v>
      </c>
      <c r="F36" s="295">
        <f>SUM(F37:F41)</f>
        <v>0</v>
      </c>
      <c r="G36" s="295">
        <f t="shared" si="0"/>
        <v>348876</v>
      </c>
      <c r="H36" s="295">
        <f>SUM(H37:H41)</f>
        <v>416079</v>
      </c>
      <c r="I36" s="295">
        <f t="shared" ref="I36" si="77">SUM(I37:I41)</f>
        <v>0</v>
      </c>
      <c r="J36" s="295">
        <f>SUM(J37:J41)</f>
        <v>0</v>
      </c>
      <c r="K36" s="295">
        <f t="shared" si="1"/>
        <v>416079</v>
      </c>
      <c r="L36" s="295">
        <f>SUM(L37:L41)</f>
        <v>423388</v>
      </c>
      <c r="M36" s="295">
        <f t="shared" ref="M36" si="78">SUM(M37:M41)</f>
        <v>0</v>
      </c>
      <c r="N36" s="295">
        <f>SUM(N37:N41)</f>
        <v>0</v>
      </c>
      <c r="O36" s="295">
        <f t="shared" si="2"/>
        <v>423388</v>
      </c>
      <c r="P36" s="295">
        <f>SUM(P37:P41)</f>
        <v>73882</v>
      </c>
      <c r="Q36" s="295">
        <f t="shared" ref="Q36" si="79">SUM(Q37:Q41)</f>
        <v>0</v>
      </c>
      <c r="R36" s="295">
        <f>SUM(R37:R41)</f>
        <v>0</v>
      </c>
      <c r="S36" s="295">
        <f t="shared" si="3"/>
        <v>73882</v>
      </c>
      <c r="T36" s="295">
        <f>SUM(T37:T41)</f>
        <v>128218</v>
      </c>
      <c r="U36" s="295">
        <f t="shared" ref="U36" si="80">SUM(U37:U41)</f>
        <v>0</v>
      </c>
      <c r="V36" s="295">
        <f>SUM(V37:V41)</f>
        <v>0</v>
      </c>
      <c r="W36" s="295">
        <f t="shared" si="4"/>
        <v>128218</v>
      </c>
      <c r="X36" s="295">
        <f>SUM(X37:X41)</f>
        <v>386824</v>
      </c>
      <c r="Y36" s="295">
        <f t="shared" ref="Y36" si="81">SUM(Y37:Y41)</f>
        <v>0</v>
      </c>
      <c r="Z36" s="295">
        <f>SUM(Z37:Z41)</f>
        <v>0</v>
      </c>
      <c r="AA36" s="295">
        <f t="shared" ref="AA36" si="82">SUM(X36:Z36)</f>
        <v>386824</v>
      </c>
      <c r="AB36" s="295">
        <f>SUM(AB37:AB41)</f>
        <v>435167</v>
      </c>
      <c r="AC36" s="295">
        <f t="shared" ref="AC36:AD36" si="83">SUM(AC37:AC41)</f>
        <v>0</v>
      </c>
      <c r="AD36" s="295">
        <f t="shared" si="83"/>
        <v>0</v>
      </c>
      <c r="AE36" s="295">
        <f>SUM(AB36:AD36)</f>
        <v>435167</v>
      </c>
      <c r="AF36" s="295">
        <f>SUM(AF37:AF41)</f>
        <v>451911</v>
      </c>
      <c r="AG36" s="295">
        <f t="shared" ref="AG36:AH36" si="84">SUM(AG37:AG41)</f>
        <v>0</v>
      </c>
      <c r="AH36" s="295">
        <f t="shared" si="84"/>
        <v>0</v>
      </c>
      <c r="AI36" s="295">
        <f>SUM(AF36:AH36)</f>
        <v>451911</v>
      </c>
      <c r="AJ36" s="295">
        <f>SUM(AJ37:AJ41)</f>
        <v>216152</v>
      </c>
      <c r="AK36" s="295">
        <f t="shared" ref="AK36:AL36" si="85">SUM(AK37:AK41)</f>
        <v>0</v>
      </c>
      <c r="AL36" s="295">
        <f t="shared" si="85"/>
        <v>0</v>
      </c>
      <c r="AM36" s="295">
        <f>SUM(AJ36:AL36)</f>
        <v>216152</v>
      </c>
    </row>
    <row r="37" spans="1:39" x14ac:dyDescent="0.25">
      <c r="A37" s="678" t="s">
        <v>311</v>
      </c>
      <c r="B37" s="679" t="s">
        <v>286</v>
      </c>
      <c r="C37" s="680">
        <f>'5H GSZNR fel'!C9+'5H GSZNR fel'!C15</f>
        <v>49362</v>
      </c>
      <c r="D37" s="680">
        <v>225362</v>
      </c>
      <c r="E37" s="680">
        <v>0</v>
      </c>
      <c r="F37" s="680">
        <v>0</v>
      </c>
      <c r="G37" s="680">
        <f t="shared" si="0"/>
        <v>225362</v>
      </c>
      <c r="H37" s="680">
        <v>242595</v>
      </c>
      <c r="I37" s="680">
        <v>0</v>
      </c>
      <c r="J37" s="680">
        <v>0</v>
      </c>
      <c r="K37" s="680">
        <f>SUM(H37:J37)</f>
        <v>242595</v>
      </c>
      <c r="L37" s="680">
        <v>251575</v>
      </c>
      <c r="M37" s="680">
        <f>'5H GSZNR fel'!M9+'5H GSZNR fel'!M15</f>
        <v>0</v>
      </c>
      <c r="N37" s="680">
        <v>0</v>
      </c>
      <c r="O37" s="680">
        <f>SUM(L37:N37)</f>
        <v>251575</v>
      </c>
      <c r="P37" s="680">
        <f>'5H GSZNR fel'!O9+'5H GSZNR fel'!O15</f>
        <v>48554</v>
      </c>
      <c r="Q37" s="680">
        <f>'5H GSZNR fel'!M9+'5H GSZNR fel'!M15</f>
        <v>0</v>
      </c>
      <c r="R37" s="680">
        <v>0</v>
      </c>
      <c r="S37" s="680">
        <f>SUM(P37:R37)</f>
        <v>48554</v>
      </c>
      <c r="T37" s="680">
        <v>84522</v>
      </c>
      <c r="U37" s="680">
        <f>'5H GSZNR fel'!Q9+'5H GSZNR fel'!Q15</f>
        <v>0</v>
      </c>
      <c r="V37" s="680">
        <v>0</v>
      </c>
      <c r="W37" s="680">
        <f>SUM(T37:V37)</f>
        <v>84522</v>
      </c>
      <c r="X37" s="680">
        <v>252483</v>
      </c>
      <c r="Y37" s="680">
        <f>'5H GSZNR fel'!Y9+'5H GSZNR fel'!Y15</f>
        <v>0</v>
      </c>
      <c r="Z37" s="680">
        <v>0</v>
      </c>
      <c r="AA37" s="680">
        <f>SUM(X37:Z37)</f>
        <v>252483</v>
      </c>
      <c r="AB37" s="680">
        <v>276265</v>
      </c>
      <c r="AC37" s="680">
        <v>0</v>
      </c>
      <c r="AD37" s="680">
        <v>0</v>
      </c>
      <c r="AE37" s="680">
        <f>SUM(AB37:AD37)</f>
        <v>276265</v>
      </c>
      <c r="AF37" s="680">
        <v>287863</v>
      </c>
      <c r="AG37" s="680"/>
      <c r="AH37" s="680"/>
      <c r="AI37" s="680">
        <f>SUM(AF37:AH37)</f>
        <v>287863</v>
      </c>
      <c r="AJ37" s="680">
        <v>135779</v>
      </c>
      <c r="AK37" s="680"/>
      <c r="AL37" s="680"/>
      <c r="AM37" s="680">
        <f>SUM(AJ37:AL37)</f>
        <v>135779</v>
      </c>
    </row>
    <row r="38" spans="1:39" x14ac:dyDescent="0.25">
      <c r="A38" s="678" t="s">
        <v>322</v>
      </c>
      <c r="B38" s="679" t="s">
        <v>335</v>
      </c>
      <c r="C38" s="680">
        <f>'5H GSZNR fel'!C10+'5H GSZNR fel'!C16</f>
        <v>10768</v>
      </c>
      <c r="D38" s="680">
        <v>43933</v>
      </c>
      <c r="E38" s="680">
        <v>0</v>
      </c>
      <c r="F38" s="680">
        <v>0</v>
      </c>
      <c r="G38" s="680">
        <f t="shared" si="0"/>
        <v>43933</v>
      </c>
      <c r="H38" s="680">
        <v>46903</v>
      </c>
      <c r="I38" s="680">
        <v>0</v>
      </c>
      <c r="J38" s="680">
        <v>0</v>
      </c>
      <c r="K38" s="680">
        <f>SUM(H38:J38)</f>
        <v>46903</v>
      </c>
      <c r="L38" s="680">
        <v>48555</v>
      </c>
      <c r="M38" s="680">
        <f>'5H GSZNR fel'!M10+'5H GSZNR fel'!M16</f>
        <v>0</v>
      </c>
      <c r="N38" s="680">
        <v>0</v>
      </c>
      <c r="O38" s="680">
        <f>SUM(L38:N38)</f>
        <v>48555</v>
      </c>
      <c r="P38" s="680">
        <f>'5H GSZNR fel'!O10+'5H GSZNR fel'!O16</f>
        <v>10987</v>
      </c>
      <c r="Q38" s="680">
        <f>'5H GSZNR fel'!M10+'5H GSZNR fel'!M16</f>
        <v>0</v>
      </c>
      <c r="R38" s="680">
        <v>0</v>
      </c>
      <c r="S38" s="680">
        <f>SUM(P38:R38)</f>
        <v>10987</v>
      </c>
      <c r="T38" s="680">
        <v>17047</v>
      </c>
      <c r="U38" s="680">
        <f>'5H GSZNR fel'!Q10+'5H GSZNR fel'!Q16</f>
        <v>0</v>
      </c>
      <c r="V38" s="680">
        <v>0</v>
      </c>
      <c r="W38" s="680">
        <f>SUM(T38:V38)</f>
        <v>17047</v>
      </c>
      <c r="X38" s="680">
        <v>48652</v>
      </c>
      <c r="Y38" s="680">
        <f>'5H GSZNR fel'!Y10+'5H GSZNR fel'!Y16</f>
        <v>0</v>
      </c>
      <c r="Z38" s="680">
        <v>0</v>
      </c>
      <c r="AA38" s="680">
        <f>SUM(X38:Z38)</f>
        <v>48652</v>
      </c>
      <c r="AB38" s="680">
        <v>53428</v>
      </c>
      <c r="AC38" s="680">
        <v>0</v>
      </c>
      <c r="AD38" s="680">
        <v>0</v>
      </c>
      <c r="AE38" s="680">
        <f t="shared" ref="AE38:AE41" si="86">SUM(AB38:AD38)</f>
        <v>53428</v>
      </c>
      <c r="AF38" s="680">
        <v>55502</v>
      </c>
      <c r="AG38" s="680"/>
      <c r="AH38" s="680"/>
      <c r="AI38" s="680">
        <f t="shared" ref="AI38:AI41" si="87">SUM(AF38:AH38)</f>
        <v>55502</v>
      </c>
      <c r="AJ38" s="680">
        <v>26883</v>
      </c>
      <c r="AK38" s="680"/>
      <c r="AL38" s="680"/>
      <c r="AM38" s="680">
        <f t="shared" ref="AM38:AM41" si="88">SUM(AJ38:AL38)</f>
        <v>26883</v>
      </c>
    </row>
    <row r="39" spans="1:39" x14ac:dyDescent="0.25">
      <c r="A39" s="678" t="s">
        <v>315</v>
      </c>
      <c r="B39" s="679" t="s">
        <v>292</v>
      </c>
      <c r="C39" s="680">
        <f>'5H GSZNR fel'!C11+'5H GSZNR fel'!C17</f>
        <v>14692</v>
      </c>
      <c r="D39" s="680">
        <v>79381</v>
      </c>
      <c r="E39" s="680">
        <v>0</v>
      </c>
      <c r="F39" s="680">
        <v>0</v>
      </c>
      <c r="G39" s="680">
        <f t="shared" si="0"/>
        <v>79381</v>
      </c>
      <c r="H39" s="680">
        <v>126381</v>
      </c>
      <c r="I39" s="680">
        <v>0</v>
      </c>
      <c r="J39" s="680">
        <v>0</v>
      </c>
      <c r="K39" s="680">
        <f>SUM(H39:J39)</f>
        <v>126381</v>
      </c>
      <c r="L39" s="680">
        <v>123058</v>
      </c>
      <c r="M39" s="680">
        <f>'5H GSZNR fel'!M11+'5H GSZNR fel'!M17</f>
        <v>0</v>
      </c>
      <c r="N39" s="680">
        <v>0</v>
      </c>
      <c r="O39" s="680">
        <f>SUM(L39:N39)</f>
        <v>123058</v>
      </c>
      <c r="P39" s="680">
        <f>'5H GSZNR fel'!O11+'5H GSZNR fel'!O17</f>
        <v>13964</v>
      </c>
      <c r="Q39" s="680">
        <f>'5H GSZNR fel'!M11+'5H GSZNR fel'!M17</f>
        <v>0</v>
      </c>
      <c r="R39" s="680">
        <v>0</v>
      </c>
      <c r="S39" s="680">
        <f>SUM(P39:R39)</f>
        <v>13964</v>
      </c>
      <c r="T39" s="680">
        <v>26649</v>
      </c>
      <c r="U39" s="680">
        <f>'5H GSZNR fel'!Q11+'5H GSZNR fel'!Q17</f>
        <v>0</v>
      </c>
      <c r="V39" s="680">
        <v>0</v>
      </c>
      <c r="W39" s="680">
        <f>SUM(T39:V39)</f>
        <v>26649</v>
      </c>
      <c r="X39" s="680">
        <v>85489</v>
      </c>
      <c r="Y39" s="680">
        <f>'5H GSZNR fel'!Y11+'5H GSZNR fel'!Y17</f>
        <v>0</v>
      </c>
      <c r="Z39" s="680">
        <v>0</v>
      </c>
      <c r="AA39" s="680">
        <f>SUM(X39:Z39)</f>
        <v>85489</v>
      </c>
      <c r="AB39" s="680">
        <v>104544</v>
      </c>
      <c r="AC39" s="680">
        <v>0</v>
      </c>
      <c r="AD39" s="680">
        <v>0</v>
      </c>
      <c r="AE39" s="680">
        <f t="shared" si="86"/>
        <v>104544</v>
      </c>
      <c r="AF39" s="680">
        <v>107616</v>
      </c>
      <c r="AG39" s="680"/>
      <c r="AH39" s="680"/>
      <c r="AI39" s="680">
        <f t="shared" si="87"/>
        <v>107616</v>
      </c>
      <c r="AJ39" s="680">
        <v>52755</v>
      </c>
      <c r="AK39" s="680"/>
      <c r="AL39" s="680"/>
      <c r="AM39" s="680">
        <f t="shared" si="88"/>
        <v>52755</v>
      </c>
    </row>
    <row r="40" spans="1:39" x14ac:dyDescent="0.25">
      <c r="A40" s="678" t="s">
        <v>336</v>
      </c>
      <c r="B40" s="679" t="s">
        <v>337</v>
      </c>
      <c r="C40" s="680">
        <v>0</v>
      </c>
      <c r="D40" s="680">
        <v>200</v>
      </c>
      <c r="E40" s="680">
        <v>0</v>
      </c>
      <c r="F40" s="680">
        <v>0</v>
      </c>
      <c r="G40" s="680">
        <f t="shared" si="0"/>
        <v>200</v>
      </c>
      <c r="H40" s="680">
        <v>200</v>
      </c>
      <c r="I40" s="680">
        <v>0</v>
      </c>
      <c r="J40" s="680">
        <v>0</v>
      </c>
      <c r="K40" s="680">
        <f t="shared" si="1"/>
        <v>200</v>
      </c>
      <c r="L40" s="680">
        <v>200</v>
      </c>
      <c r="M40" s="680">
        <v>0</v>
      </c>
      <c r="N40" s="680">
        <v>0</v>
      </c>
      <c r="O40" s="680">
        <f t="shared" ref="O40:O42" si="89">SUM(L40:N40)</f>
        <v>200</v>
      </c>
      <c r="P40" s="680">
        <v>0</v>
      </c>
      <c r="Q40" s="680">
        <v>0</v>
      </c>
      <c r="R40" s="680">
        <v>0</v>
      </c>
      <c r="S40" s="680">
        <f t="shared" ref="S40:S42" si="90">SUM(P40:R40)</f>
        <v>0</v>
      </c>
      <c r="T40" s="680">
        <v>0</v>
      </c>
      <c r="U40" s="680">
        <v>0</v>
      </c>
      <c r="V40" s="680">
        <v>0</v>
      </c>
      <c r="W40" s="680">
        <f t="shared" ref="W40:W42" si="91">SUM(T40:V40)</f>
        <v>0</v>
      </c>
      <c r="X40" s="680">
        <v>200</v>
      </c>
      <c r="Y40" s="680">
        <v>0</v>
      </c>
      <c r="Z40" s="680">
        <v>0</v>
      </c>
      <c r="AA40" s="680">
        <f t="shared" ref="AA40:AA42" si="92">SUM(X40:Z40)</f>
        <v>200</v>
      </c>
      <c r="AB40" s="680">
        <v>200</v>
      </c>
      <c r="AC40" s="680">
        <v>0</v>
      </c>
      <c r="AD40" s="680">
        <v>0</v>
      </c>
      <c r="AE40" s="680">
        <f t="shared" si="86"/>
        <v>200</v>
      </c>
      <c r="AF40" s="680">
        <v>200</v>
      </c>
      <c r="AG40" s="680"/>
      <c r="AH40" s="680"/>
      <c r="AI40" s="680">
        <f t="shared" si="87"/>
        <v>200</v>
      </c>
      <c r="AJ40" s="680">
        <v>5</v>
      </c>
      <c r="AK40" s="680"/>
      <c r="AL40" s="680"/>
      <c r="AM40" s="680">
        <f t="shared" si="88"/>
        <v>5</v>
      </c>
    </row>
    <row r="41" spans="1:39" x14ac:dyDescent="0.25">
      <c r="A41" s="678" t="s">
        <v>338</v>
      </c>
      <c r="B41" s="679" t="s">
        <v>339</v>
      </c>
      <c r="C41" s="680">
        <v>0</v>
      </c>
      <c r="D41" s="680">
        <v>0</v>
      </c>
      <c r="E41" s="680">
        <v>0</v>
      </c>
      <c r="F41" s="680">
        <v>0</v>
      </c>
      <c r="G41" s="680">
        <f t="shared" si="0"/>
        <v>0</v>
      </c>
      <c r="H41" s="680">
        <v>0</v>
      </c>
      <c r="I41" s="680">
        <v>0</v>
      </c>
      <c r="J41" s="680">
        <v>0</v>
      </c>
      <c r="K41" s="680">
        <f t="shared" si="1"/>
        <v>0</v>
      </c>
      <c r="L41" s="680">
        <v>0</v>
      </c>
      <c r="M41" s="680">
        <v>0</v>
      </c>
      <c r="N41" s="680">
        <v>0</v>
      </c>
      <c r="O41" s="680">
        <f t="shared" si="89"/>
        <v>0</v>
      </c>
      <c r="P41" s="680">
        <f>+'5H GSZNR fel'!O12</f>
        <v>377</v>
      </c>
      <c r="Q41" s="680">
        <f>+'5H GSZNR fel'!M12</f>
        <v>0</v>
      </c>
      <c r="R41" s="680">
        <v>0</v>
      </c>
      <c r="S41" s="680">
        <f t="shared" si="90"/>
        <v>377</v>
      </c>
      <c r="T41" s="680">
        <f>+'5H GSZNR fel'!R12</f>
        <v>0</v>
      </c>
      <c r="U41" s="680">
        <f>+'5H GSZNR fel'!Q12</f>
        <v>0</v>
      </c>
      <c r="V41" s="680">
        <v>0</v>
      </c>
      <c r="W41" s="680">
        <f t="shared" si="91"/>
        <v>0</v>
      </c>
      <c r="X41" s="680">
        <v>0</v>
      </c>
      <c r="Y41" s="680">
        <v>0</v>
      </c>
      <c r="Z41" s="680">
        <v>0</v>
      </c>
      <c r="AA41" s="680">
        <f t="shared" si="92"/>
        <v>0</v>
      </c>
      <c r="AB41" s="680">
        <v>730</v>
      </c>
      <c r="AC41" s="680">
        <v>0</v>
      </c>
      <c r="AD41" s="680">
        <v>0</v>
      </c>
      <c r="AE41" s="680">
        <f t="shared" si="86"/>
        <v>730</v>
      </c>
      <c r="AF41" s="680">
        <v>730</v>
      </c>
      <c r="AG41" s="680">
        <v>0</v>
      </c>
      <c r="AH41" s="680">
        <v>0</v>
      </c>
      <c r="AI41" s="680">
        <f t="shared" si="87"/>
        <v>730</v>
      </c>
      <c r="AJ41" s="680">
        <v>730</v>
      </c>
      <c r="AK41" s="680"/>
      <c r="AL41" s="680"/>
      <c r="AM41" s="680">
        <f t="shared" si="88"/>
        <v>730</v>
      </c>
    </row>
    <row r="42" spans="1:39" x14ac:dyDescent="0.25">
      <c r="A42" s="293" t="s">
        <v>318</v>
      </c>
      <c r="B42" s="294" t="s">
        <v>340</v>
      </c>
      <c r="C42" s="295">
        <f>SUM(C43:C45)</f>
        <v>845</v>
      </c>
      <c r="D42" s="295">
        <f t="shared" ref="D42:F42" si="93">SUM(D43:D45)</f>
        <v>0</v>
      </c>
      <c r="E42" s="295">
        <f t="shared" si="93"/>
        <v>0</v>
      </c>
      <c r="F42" s="295">
        <f t="shared" si="93"/>
        <v>0</v>
      </c>
      <c r="G42" s="295">
        <f t="shared" si="0"/>
        <v>0</v>
      </c>
      <c r="H42" s="295">
        <f>SUM(H43:H45)</f>
        <v>8312</v>
      </c>
      <c r="I42" s="295">
        <f t="shared" ref="I42:J42" si="94">SUM(I43:I45)</f>
        <v>0</v>
      </c>
      <c r="J42" s="295">
        <f t="shared" si="94"/>
        <v>0</v>
      </c>
      <c r="K42" s="295">
        <f t="shared" si="1"/>
        <v>8312</v>
      </c>
      <c r="L42" s="295">
        <f>SUM(L43:L45)</f>
        <v>8312</v>
      </c>
      <c r="M42" s="295">
        <f t="shared" ref="M42" si="95">SUM(M43:M45)</f>
        <v>0</v>
      </c>
      <c r="N42" s="295">
        <f t="shared" ref="N42" si="96">SUM(N43:N45)</f>
        <v>0</v>
      </c>
      <c r="O42" s="295">
        <f t="shared" si="89"/>
        <v>8312</v>
      </c>
      <c r="P42" s="295">
        <f>SUM(P43:P45)</f>
        <v>863</v>
      </c>
      <c r="Q42" s="295">
        <f t="shared" ref="Q42:R42" si="97">SUM(Q43:Q45)</f>
        <v>0</v>
      </c>
      <c r="R42" s="295">
        <f t="shared" si="97"/>
        <v>0</v>
      </c>
      <c r="S42" s="295">
        <f t="shared" si="90"/>
        <v>863</v>
      </c>
      <c r="T42" s="295">
        <f>SUM(T43:T45)</f>
        <v>5082</v>
      </c>
      <c r="U42" s="295">
        <f t="shared" ref="U42:V42" si="98">SUM(U43:U45)</f>
        <v>0</v>
      </c>
      <c r="V42" s="295">
        <f t="shared" si="98"/>
        <v>0</v>
      </c>
      <c r="W42" s="295">
        <f t="shared" si="91"/>
        <v>5082</v>
      </c>
      <c r="X42" s="295">
        <f>SUM(X43:X45)</f>
        <v>0</v>
      </c>
      <c r="Y42" s="295">
        <f t="shared" ref="Y42:Z42" si="99">SUM(Y43:Y45)</f>
        <v>0</v>
      </c>
      <c r="Z42" s="295">
        <f t="shared" si="99"/>
        <v>0</v>
      </c>
      <c r="AA42" s="295">
        <f t="shared" si="92"/>
        <v>0</v>
      </c>
      <c r="AB42" s="295">
        <f>SUM(AB43:AB45)</f>
        <v>8911</v>
      </c>
      <c r="AC42" s="295">
        <f t="shared" ref="AC42:AD42" si="100">SUM(AC43:AC45)</f>
        <v>0</v>
      </c>
      <c r="AD42" s="295">
        <f t="shared" si="100"/>
        <v>0</v>
      </c>
      <c r="AE42" s="295">
        <f>SUM(AB42:AD42)</f>
        <v>8911</v>
      </c>
      <c r="AF42" s="295">
        <f>SUM(AF43:AF45)</f>
        <v>8937</v>
      </c>
      <c r="AG42" s="295">
        <f t="shared" ref="AG42:AH42" si="101">SUM(AG43:AG45)</f>
        <v>0</v>
      </c>
      <c r="AH42" s="295">
        <f t="shared" si="101"/>
        <v>0</v>
      </c>
      <c r="AI42" s="295">
        <f>SUM(AF42:AH42)</f>
        <v>8937</v>
      </c>
      <c r="AJ42" s="295">
        <f>SUM(AJ43:AJ45)</f>
        <v>8797</v>
      </c>
      <c r="AK42" s="295">
        <f t="shared" ref="AK42:AL42" si="102">SUM(AK43:AK45)</f>
        <v>0</v>
      </c>
      <c r="AL42" s="295">
        <f t="shared" si="102"/>
        <v>0</v>
      </c>
      <c r="AM42" s="295">
        <f>SUM(AJ42:AL42)</f>
        <v>8797</v>
      </c>
    </row>
    <row r="43" spans="1:39" x14ac:dyDescent="0.25">
      <c r="A43" s="678" t="s">
        <v>311</v>
      </c>
      <c r="B43" s="679" t="s">
        <v>341</v>
      </c>
      <c r="C43" s="680">
        <f>'5H GSZNR fel'!C13+'5H GSZNR fel'!C18</f>
        <v>845</v>
      </c>
      <c r="D43" s="680">
        <v>0</v>
      </c>
      <c r="E43" s="680">
        <v>0</v>
      </c>
      <c r="F43" s="680">
        <v>0</v>
      </c>
      <c r="G43" s="680">
        <f t="shared" si="0"/>
        <v>0</v>
      </c>
      <c r="H43" s="680">
        <v>8312</v>
      </c>
      <c r="I43" s="680">
        <v>0</v>
      </c>
      <c r="J43" s="680">
        <v>0</v>
      </c>
      <c r="K43" s="680">
        <f>SUM(H43:J43)</f>
        <v>8312</v>
      </c>
      <c r="L43" s="680">
        <v>8312</v>
      </c>
      <c r="M43" s="680">
        <v>0</v>
      </c>
      <c r="N43" s="680">
        <v>0</v>
      </c>
      <c r="O43" s="680">
        <f>SUM(L43:N43)</f>
        <v>8312</v>
      </c>
      <c r="P43" s="680">
        <f>'5H GSZNR fel'!O13+'5H GSZNR fel'!O18</f>
        <v>863</v>
      </c>
      <c r="Q43" s="680">
        <f>'5H GSZNR fel'!M13+'5H GSZNR fel'!M18</f>
        <v>0</v>
      </c>
      <c r="R43" s="680">
        <v>0</v>
      </c>
      <c r="S43" s="680">
        <f>SUM(P43:R43)</f>
        <v>863</v>
      </c>
      <c r="T43" s="680">
        <v>5082</v>
      </c>
      <c r="U43" s="680">
        <f>'5H GSZNR fel'!Q13+'5H GSZNR fel'!Q18</f>
        <v>0</v>
      </c>
      <c r="V43" s="680">
        <v>0</v>
      </c>
      <c r="W43" s="680">
        <f>SUM(T43:V43)</f>
        <v>5082</v>
      </c>
      <c r="X43" s="680"/>
      <c r="Y43" s="680">
        <v>0</v>
      </c>
      <c r="Z43" s="680">
        <v>0</v>
      </c>
      <c r="AA43" s="680">
        <f>SUM(X43:Z43)</f>
        <v>0</v>
      </c>
      <c r="AB43" s="680">
        <v>848</v>
      </c>
      <c r="AC43" s="680">
        <v>0</v>
      </c>
      <c r="AD43" s="680">
        <v>0</v>
      </c>
      <c r="AE43" s="680">
        <f>SUM(AB43:AD43)</f>
        <v>848</v>
      </c>
      <c r="AF43" s="680">
        <v>874</v>
      </c>
      <c r="AG43" s="680"/>
      <c r="AH43" s="680"/>
      <c r="AI43" s="680">
        <f>SUM(AF43:AH43)</f>
        <v>874</v>
      </c>
      <c r="AJ43" s="680">
        <v>734</v>
      </c>
      <c r="AK43" s="680"/>
      <c r="AL43" s="680"/>
      <c r="AM43" s="680">
        <f>SUM(AJ43:AL43)</f>
        <v>734</v>
      </c>
    </row>
    <row r="44" spans="1:39" x14ac:dyDescent="0.25">
      <c r="A44" s="678" t="s">
        <v>322</v>
      </c>
      <c r="B44" s="679" t="s">
        <v>342</v>
      </c>
      <c r="C44" s="680">
        <v>0</v>
      </c>
      <c r="D44" s="680">
        <v>0</v>
      </c>
      <c r="E44" s="680">
        <v>0</v>
      </c>
      <c r="F44" s="680">
        <v>0</v>
      </c>
      <c r="G44" s="680">
        <f t="shared" si="0"/>
        <v>0</v>
      </c>
      <c r="H44" s="680">
        <v>0</v>
      </c>
      <c r="I44" s="680">
        <v>0</v>
      </c>
      <c r="J44" s="680">
        <v>0</v>
      </c>
      <c r="K44" s="680">
        <f t="shared" si="1"/>
        <v>0</v>
      </c>
      <c r="L44" s="680">
        <v>0</v>
      </c>
      <c r="M44" s="680">
        <v>0</v>
      </c>
      <c r="N44" s="680">
        <v>0</v>
      </c>
      <c r="O44" s="680">
        <f t="shared" ref="O44:O46" si="103">SUM(L44:N44)</f>
        <v>0</v>
      </c>
      <c r="P44" s="680">
        <v>0</v>
      </c>
      <c r="Q44" s="680">
        <v>0</v>
      </c>
      <c r="R44" s="680">
        <v>0</v>
      </c>
      <c r="S44" s="680">
        <f t="shared" ref="S44:S46" si="104">SUM(P44:R44)</f>
        <v>0</v>
      </c>
      <c r="T44" s="680">
        <v>0</v>
      </c>
      <c r="U44" s="680">
        <v>0</v>
      </c>
      <c r="V44" s="680">
        <v>0</v>
      </c>
      <c r="W44" s="680">
        <f t="shared" ref="W44:W46" si="105">SUM(T44:V44)</f>
        <v>0</v>
      </c>
      <c r="X44" s="680">
        <v>0</v>
      </c>
      <c r="Y44" s="680">
        <v>0</v>
      </c>
      <c r="Z44" s="680">
        <v>0</v>
      </c>
      <c r="AA44" s="680">
        <f t="shared" ref="AA44:AA46" si="106">SUM(X44:Z44)</f>
        <v>0</v>
      </c>
      <c r="AB44" s="680">
        <v>8063</v>
      </c>
      <c r="AC44" s="680">
        <v>0</v>
      </c>
      <c r="AD44" s="680">
        <v>0</v>
      </c>
      <c r="AE44" s="680">
        <f t="shared" ref="AE44:AE45" si="107">SUM(AB44:AD44)</f>
        <v>8063</v>
      </c>
      <c r="AF44" s="680">
        <v>8063</v>
      </c>
      <c r="AG44" s="680"/>
      <c r="AH44" s="680"/>
      <c r="AI44" s="680">
        <f t="shared" ref="AI44:AI45" si="108">SUM(AF44:AH44)</f>
        <v>8063</v>
      </c>
      <c r="AJ44" s="680">
        <v>8063</v>
      </c>
      <c r="AK44" s="680"/>
      <c r="AL44" s="680"/>
      <c r="AM44" s="680">
        <f t="shared" ref="AM44:AM45" si="109">SUM(AJ44:AL44)</f>
        <v>8063</v>
      </c>
    </row>
    <row r="45" spans="1:39" x14ac:dyDescent="0.25">
      <c r="A45" s="678" t="s">
        <v>315</v>
      </c>
      <c r="B45" s="679" t="s">
        <v>343</v>
      </c>
      <c r="C45" s="680">
        <v>0</v>
      </c>
      <c r="D45" s="680">
        <v>0</v>
      </c>
      <c r="E45" s="680">
        <v>0</v>
      </c>
      <c r="F45" s="680">
        <v>0</v>
      </c>
      <c r="G45" s="680">
        <f t="shared" si="0"/>
        <v>0</v>
      </c>
      <c r="H45" s="680">
        <v>0</v>
      </c>
      <c r="I45" s="680">
        <v>0</v>
      </c>
      <c r="J45" s="680">
        <v>0</v>
      </c>
      <c r="K45" s="680">
        <f t="shared" si="1"/>
        <v>0</v>
      </c>
      <c r="L45" s="680">
        <v>0</v>
      </c>
      <c r="M45" s="680">
        <v>0</v>
      </c>
      <c r="N45" s="680">
        <v>0</v>
      </c>
      <c r="O45" s="680">
        <f t="shared" si="103"/>
        <v>0</v>
      </c>
      <c r="P45" s="680">
        <v>0</v>
      </c>
      <c r="Q45" s="680">
        <v>0</v>
      </c>
      <c r="R45" s="680">
        <v>0</v>
      </c>
      <c r="S45" s="680">
        <f t="shared" si="104"/>
        <v>0</v>
      </c>
      <c r="T45" s="680">
        <v>0</v>
      </c>
      <c r="U45" s="680">
        <v>0</v>
      </c>
      <c r="V45" s="680">
        <v>0</v>
      </c>
      <c r="W45" s="680">
        <f t="shared" si="105"/>
        <v>0</v>
      </c>
      <c r="X45" s="680">
        <v>0</v>
      </c>
      <c r="Y45" s="680">
        <v>0</v>
      </c>
      <c r="Z45" s="680">
        <v>0</v>
      </c>
      <c r="AA45" s="680">
        <f t="shared" si="106"/>
        <v>0</v>
      </c>
      <c r="AB45" s="680">
        <v>0</v>
      </c>
      <c r="AC45" s="680">
        <v>0</v>
      </c>
      <c r="AD45" s="680">
        <v>0</v>
      </c>
      <c r="AE45" s="680">
        <f t="shared" si="107"/>
        <v>0</v>
      </c>
      <c r="AF45" s="680"/>
      <c r="AG45" s="680"/>
      <c r="AH45" s="680"/>
      <c r="AI45" s="680">
        <f t="shared" si="108"/>
        <v>0</v>
      </c>
      <c r="AJ45" s="680"/>
      <c r="AK45" s="680"/>
      <c r="AL45" s="680"/>
      <c r="AM45" s="680">
        <f t="shared" si="109"/>
        <v>0</v>
      </c>
    </row>
    <row r="46" spans="1:39" x14ac:dyDescent="0.25">
      <c r="A46" s="649"/>
      <c r="B46" s="650" t="s">
        <v>344</v>
      </c>
      <c r="C46" s="638">
        <f>C36+C42</f>
        <v>75667</v>
      </c>
      <c r="D46" s="638">
        <f t="shared" ref="D46:F46" si="110">D36+D42</f>
        <v>348876</v>
      </c>
      <c r="E46" s="638">
        <f t="shared" si="110"/>
        <v>0</v>
      </c>
      <c r="F46" s="638">
        <f t="shared" si="110"/>
        <v>0</v>
      </c>
      <c r="G46" s="638">
        <f t="shared" si="0"/>
        <v>348876</v>
      </c>
      <c r="H46" s="638">
        <f t="shared" ref="H46:J46" si="111">H36+H42</f>
        <v>424391</v>
      </c>
      <c r="I46" s="638">
        <f t="shared" si="111"/>
        <v>0</v>
      </c>
      <c r="J46" s="638">
        <f t="shared" si="111"/>
        <v>0</v>
      </c>
      <c r="K46" s="638">
        <f t="shared" si="1"/>
        <v>424391</v>
      </c>
      <c r="L46" s="638">
        <f t="shared" ref="L46:N46" si="112">L36+L42</f>
        <v>431700</v>
      </c>
      <c r="M46" s="638">
        <f t="shared" si="112"/>
        <v>0</v>
      </c>
      <c r="N46" s="638">
        <f t="shared" si="112"/>
        <v>0</v>
      </c>
      <c r="O46" s="638">
        <f t="shared" si="103"/>
        <v>431700</v>
      </c>
      <c r="P46" s="638">
        <f t="shared" ref="P46:R46" si="113">P36+P42</f>
        <v>74745</v>
      </c>
      <c r="Q46" s="638">
        <f t="shared" si="113"/>
        <v>0</v>
      </c>
      <c r="R46" s="638">
        <f t="shared" si="113"/>
        <v>0</v>
      </c>
      <c r="S46" s="638">
        <f t="shared" si="104"/>
        <v>74745</v>
      </c>
      <c r="T46" s="638">
        <f t="shared" ref="T46:V46" si="114">T36+T42</f>
        <v>133300</v>
      </c>
      <c r="U46" s="638">
        <f t="shared" si="114"/>
        <v>0</v>
      </c>
      <c r="V46" s="638">
        <f t="shared" si="114"/>
        <v>0</v>
      </c>
      <c r="W46" s="638">
        <f t="shared" si="105"/>
        <v>133300</v>
      </c>
      <c r="X46" s="638">
        <f t="shared" ref="X46:AD46" si="115">X36+X42</f>
        <v>386824</v>
      </c>
      <c r="Y46" s="638">
        <f t="shared" si="115"/>
        <v>0</v>
      </c>
      <c r="Z46" s="638">
        <f t="shared" si="115"/>
        <v>0</v>
      </c>
      <c r="AA46" s="638">
        <f t="shared" si="106"/>
        <v>386824</v>
      </c>
      <c r="AB46" s="638">
        <f t="shared" si="115"/>
        <v>444078</v>
      </c>
      <c r="AC46" s="638">
        <f t="shared" si="115"/>
        <v>0</v>
      </c>
      <c r="AD46" s="638">
        <f t="shared" si="115"/>
        <v>0</v>
      </c>
      <c r="AE46" s="638">
        <f>SUM(AB46:AD46)</f>
        <v>444078</v>
      </c>
      <c r="AF46" s="638">
        <f t="shared" ref="AF46:AH46" si="116">AF36+AF42</f>
        <v>460848</v>
      </c>
      <c r="AG46" s="638">
        <f t="shared" si="116"/>
        <v>0</v>
      </c>
      <c r="AH46" s="638">
        <f t="shared" si="116"/>
        <v>0</v>
      </c>
      <c r="AI46" s="638">
        <f>SUM(AF46:AH46)</f>
        <v>460848</v>
      </c>
      <c r="AJ46" s="638">
        <f t="shared" ref="AJ46:AL46" si="117">AJ36+AJ42</f>
        <v>224949</v>
      </c>
      <c r="AK46" s="638">
        <f t="shared" si="117"/>
        <v>0</v>
      </c>
      <c r="AL46" s="638">
        <f t="shared" si="117"/>
        <v>0</v>
      </c>
      <c r="AM46" s="638">
        <f>SUM(AJ46:AL46)</f>
        <v>224949</v>
      </c>
    </row>
  </sheetData>
  <customSheetViews>
    <customSheetView guid="{7F1DC213-A29D-4C8C-BAC3-F1BD898020FD}" scale="84" hiddenRows="1" hiddenColumns="1" topLeftCell="A2">
      <selection activeCell="AF44" sqref="AF44"/>
      <pageMargins left="0.19685039370078741" right="0.19685039370078741" top="1.2204724409448819" bottom="0.19685039370078741" header="0.31496062992125984" footer="0.31496062992125984"/>
      <printOptions horizontalCentered="1"/>
      <pageSetup paperSize="9" scale="55" fitToWidth="0" fitToHeight="0" orientation="landscape" copies="2" r:id="rId1"/>
      <headerFooter>
        <oddHeader>&amp;L5. melléklet a ...../2019. (.....) önkormányzati rendelethez&amp;C&amp;"-,Félkövér"&amp;16Sátoraljaújhelyi Egyesített Szociális Intézmény 2019. évi bevételei és kiadásai jogcímenként és feladatonként&amp;RAdatok ezer forintban</oddHeader>
      </headerFooter>
    </customSheetView>
    <customSheetView guid="{4DCB1349-1166-4B69-AE14-D6B08F9FCE74}" scale="84" hiddenRows="1" hiddenColumns="1">
      <selection activeCell="AF18" sqref="AF18"/>
      <pageMargins left="0.19685039370078741" right="0.19685039370078741" top="1.2204724409448819" bottom="0.19685039370078741" header="0.31496062992125984" footer="0.31496062992125984"/>
      <printOptions horizontalCentered="1"/>
      <pageSetup paperSize="9" scale="55" fitToWidth="0" fitToHeight="0" orientation="landscape" copies="2" r:id="rId2"/>
      <headerFooter>
        <oddHeader>&amp;L5. melléklet a ...../2019. (.....) önkormányzati rendelethez&amp;C&amp;"-,Félkövér"&amp;16Sátoraljaújhelyi Egyesített Szociális Intézmény 2019. évi bevételei és kiadásai jogcímenként és feladatonként&amp;RAdatok ezer forintban</oddHeader>
      </headerFooter>
    </customSheetView>
  </customSheetViews>
  <mergeCells count="11">
    <mergeCell ref="AF4:AI4"/>
    <mergeCell ref="AJ4:AM4"/>
    <mergeCell ref="AB4:AE4"/>
    <mergeCell ref="A4:A5"/>
    <mergeCell ref="H4:K4"/>
    <mergeCell ref="D4:G4"/>
    <mergeCell ref="X4:AA4"/>
    <mergeCell ref="P4:S4"/>
    <mergeCell ref="T4:W4"/>
    <mergeCell ref="L4:O4"/>
    <mergeCell ref="B4:B5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5" fitToWidth="0" fitToHeight="0" orientation="landscape" copies="2" r:id="rId3"/>
  <headerFooter>
    <oddHeader>&amp;L5. melléklet a 3/2019. (II.20.) önkormányzati rendelethez&amp;C&amp;"-,Félkövér"&amp;16Sátoraljaújhelyi Egyesített Szociális Intézmény 2019. évi bevételei és kiadásai jogcímenként és feladatonként&amp;RAdatok ezer forintban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AM46"/>
  <sheetViews>
    <sheetView view="pageLayout" zoomScaleNormal="80" zoomScaleSheetLayoutView="75" workbookViewId="0"/>
  </sheetViews>
  <sheetFormatPr defaultRowHeight="15" x14ac:dyDescent="0.25"/>
  <cols>
    <col min="1" max="1" width="7.140625" style="31" customWidth="1"/>
    <col min="2" max="2" width="56.28515625" customWidth="1"/>
    <col min="3" max="3" width="12.5703125" style="40" hidden="1" customWidth="1"/>
    <col min="4" max="4" width="10" hidden="1" customWidth="1"/>
    <col min="5" max="5" width="9.140625" hidden="1" customWidth="1"/>
    <col min="6" max="6" width="10.42578125" hidden="1" customWidth="1"/>
    <col min="7" max="7" width="12.140625" hidden="1" customWidth="1"/>
    <col min="8" max="9" width="9.140625" hidden="1" customWidth="1"/>
    <col min="10" max="10" width="9.7109375" hidden="1" customWidth="1"/>
    <col min="11" max="13" width="9.140625" hidden="1" customWidth="1"/>
    <col min="14" max="14" width="9.7109375" hidden="1" customWidth="1"/>
    <col min="15" max="15" width="10.7109375" hidden="1" customWidth="1"/>
    <col min="16" max="17" width="9.140625" hidden="1" customWidth="1"/>
    <col min="18" max="18" width="9.7109375" hidden="1" customWidth="1"/>
    <col min="19" max="19" width="9.140625" hidden="1" customWidth="1"/>
    <col min="20" max="20" width="11.28515625" hidden="1" customWidth="1"/>
    <col min="21" max="21" width="11.85546875" hidden="1" customWidth="1"/>
    <col min="22" max="22" width="10.5703125" hidden="1" customWidth="1"/>
    <col min="23" max="23" width="10.7109375" hidden="1" customWidth="1"/>
    <col min="24" max="25" width="14.7109375" customWidth="1"/>
    <col min="26" max="26" width="14.85546875" customWidth="1"/>
    <col min="27" max="27" width="14.7109375" customWidth="1"/>
    <col min="28" max="28" width="15" customWidth="1"/>
    <col min="29" max="30" width="15.5703125" customWidth="1"/>
    <col min="31" max="31" width="13.28515625" customWidth="1"/>
    <col min="32" max="32" width="13" customWidth="1"/>
    <col min="33" max="33" width="14.5703125" customWidth="1"/>
    <col min="34" max="34" width="15.7109375" customWidth="1"/>
    <col min="35" max="35" width="11.7109375" customWidth="1"/>
    <col min="36" max="36" width="15" hidden="1" customWidth="1"/>
    <col min="37" max="37" width="13.85546875" hidden="1" customWidth="1"/>
    <col min="38" max="38" width="15" hidden="1" customWidth="1"/>
    <col min="39" max="39" width="13.42578125" hidden="1" customWidth="1"/>
  </cols>
  <sheetData>
    <row r="1" spans="1:39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X1" s="742" t="s">
        <v>1366</v>
      </c>
      <c r="Y1" s="742" t="s">
        <v>1376</v>
      </c>
      <c r="Z1" s="742" t="s">
        <v>1377</v>
      </c>
      <c r="AA1" s="745" t="s">
        <v>1378</v>
      </c>
      <c r="AB1" s="745" t="s">
        <v>1379</v>
      </c>
      <c r="AC1" s="745" t="s">
        <v>1380</v>
      </c>
      <c r="AD1" s="745" t="s">
        <v>1381</v>
      </c>
      <c r="AE1" s="745" t="s">
        <v>1382</v>
      </c>
      <c r="AF1" s="745" t="s">
        <v>1450</v>
      </c>
      <c r="AG1" s="745" t="s">
        <v>1384</v>
      </c>
      <c r="AH1" s="745" t="s">
        <v>1385</v>
      </c>
      <c r="AI1" s="745" t="s">
        <v>1386</v>
      </c>
      <c r="AJ1" s="745"/>
      <c r="AK1" s="745"/>
      <c r="AL1" s="745"/>
      <c r="AM1" s="745"/>
    </row>
    <row r="2" spans="1:39" ht="30.75" customHeight="1" x14ac:dyDescent="0.25">
      <c r="A2" s="646" t="s">
        <v>303</v>
      </c>
      <c r="B2" s="646" t="s">
        <v>1306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D2" s="674"/>
      <c r="AE2" s="674"/>
      <c r="AF2" s="674"/>
      <c r="AG2" s="674"/>
      <c r="AH2" s="674"/>
      <c r="AI2" s="674"/>
      <c r="AJ2" s="674"/>
      <c r="AK2" s="674"/>
      <c r="AL2" s="674"/>
      <c r="AM2" s="674"/>
    </row>
    <row r="3" spans="1:39" ht="30" x14ac:dyDescent="0.25">
      <c r="A3" s="646" t="s">
        <v>304</v>
      </c>
      <c r="B3" s="646" t="s">
        <v>1327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674"/>
    </row>
    <row r="4" spans="1:39" ht="29.25" customHeight="1" x14ac:dyDescent="0.25">
      <c r="A4" s="897" t="s">
        <v>305</v>
      </c>
      <c r="B4" s="942" t="s">
        <v>306</v>
      </c>
      <c r="C4" s="591" t="s">
        <v>1193</v>
      </c>
      <c r="D4" s="898" t="s">
        <v>1279</v>
      </c>
      <c r="E4" s="918"/>
      <c r="F4" s="918"/>
      <c r="G4" s="919"/>
      <c r="H4" s="898" t="s">
        <v>1391</v>
      </c>
      <c r="I4" s="918"/>
      <c r="J4" s="918"/>
      <c r="K4" s="919"/>
      <c r="L4" s="898" t="s">
        <v>1392</v>
      </c>
      <c r="M4" s="918"/>
      <c r="N4" s="918"/>
      <c r="O4" s="919"/>
      <c r="P4" s="898" t="s">
        <v>1246</v>
      </c>
      <c r="Q4" s="901"/>
      <c r="R4" s="901"/>
      <c r="S4" s="902"/>
      <c r="T4" s="898" t="s">
        <v>1387</v>
      </c>
      <c r="U4" s="901"/>
      <c r="V4" s="901"/>
      <c r="W4" s="902"/>
      <c r="X4" s="898" t="s">
        <v>1414</v>
      </c>
      <c r="Y4" s="918"/>
      <c r="Z4" s="918"/>
      <c r="AA4" s="919"/>
      <c r="AB4" s="898" t="s">
        <v>1455</v>
      </c>
      <c r="AC4" s="918"/>
      <c r="AD4" s="918"/>
      <c r="AE4" s="919"/>
      <c r="AF4" s="898" t="s">
        <v>1445</v>
      </c>
      <c r="AG4" s="918"/>
      <c r="AH4" s="918"/>
      <c r="AI4" s="919"/>
      <c r="AJ4" s="898" t="s">
        <v>1456</v>
      </c>
      <c r="AK4" s="918"/>
      <c r="AL4" s="918"/>
      <c r="AM4" s="919"/>
    </row>
    <row r="5" spans="1:39" ht="60" x14ac:dyDescent="0.25">
      <c r="A5" s="897"/>
      <c r="B5" s="942"/>
      <c r="C5" s="591" t="s">
        <v>546</v>
      </c>
      <c r="D5" s="591" t="s">
        <v>1209</v>
      </c>
      <c r="E5" s="591" t="s">
        <v>1210</v>
      </c>
      <c r="F5" s="591" t="s">
        <v>1211</v>
      </c>
      <c r="G5" s="591" t="s">
        <v>546</v>
      </c>
      <c r="H5" s="591" t="s">
        <v>1209</v>
      </c>
      <c r="I5" s="591" t="s">
        <v>1210</v>
      </c>
      <c r="J5" s="591" t="s">
        <v>1211</v>
      </c>
      <c r="K5" s="591" t="s">
        <v>546</v>
      </c>
      <c r="L5" s="591" t="s">
        <v>1209</v>
      </c>
      <c r="M5" s="591" t="s">
        <v>1210</v>
      </c>
      <c r="N5" s="591" t="s">
        <v>1211</v>
      </c>
      <c r="O5" s="591" t="s">
        <v>546</v>
      </c>
      <c r="P5" s="591" t="s">
        <v>1209</v>
      </c>
      <c r="Q5" s="591" t="s">
        <v>1210</v>
      </c>
      <c r="R5" s="591" t="s">
        <v>1211</v>
      </c>
      <c r="S5" s="591" t="s">
        <v>546</v>
      </c>
      <c r="T5" s="591" t="s">
        <v>1209</v>
      </c>
      <c r="U5" s="591" t="s">
        <v>1210</v>
      </c>
      <c r="V5" s="591" t="s">
        <v>1211</v>
      </c>
      <c r="W5" s="591" t="s">
        <v>546</v>
      </c>
      <c r="X5" s="809" t="s">
        <v>1209</v>
      </c>
      <c r="Y5" s="809" t="s">
        <v>1210</v>
      </c>
      <c r="Z5" s="809" t="s">
        <v>1211</v>
      </c>
      <c r="AA5" s="809" t="s">
        <v>546</v>
      </c>
      <c r="AB5" s="857" t="s">
        <v>1209</v>
      </c>
      <c r="AC5" s="857" t="s">
        <v>1210</v>
      </c>
      <c r="AD5" s="857" t="s">
        <v>1297</v>
      </c>
      <c r="AE5" s="857" t="s">
        <v>546</v>
      </c>
      <c r="AF5" s="883" t="s">
        <v>1209</v>
      </c>
      <c r="AG5" s="883" t="s">
        <v>1210</v>
      </c>
      <c r="AH5" s="883" t="s">
        <v>1297</v>
      </c>
      <c r="AI5" s="883" t="s">
        <v>546</v>
      </c>
      <c r="AJ5" s="883" t="s">
        <v>1209</v>
      </c>
      <c r="AK5" s="883" t="s">
        <v>1210</v>
      </c>
      <c r="AL5" s="883" t="s">
        <v>1297</v>
      </c>
      <c r="AM5" s="883" t="s">
        <v>546</v>
      </c>
    </row>
    <row r="6" spans="1:39" hidden="1" x14ac:dyDescent="0.25">
      <c r="A6" s="290"/>
      <c r="B6" s="291" t="s">
        <v>307</v>
      </c>
      <c r="C6" s="292"/>
      <c r="D6" s="292">
        <v>32</v>
      </c>
      <c r="E6" s="292"/>
      <c r="F6" s="292"/>
      <c r="G6" s="292">
        <f>SUM(D6:F6)</f>
        <v>32</v>
      </c>
      <c r="H6" s="292">
        <v>32</v>
      </c>
      <c r="I6" s="292"/>
      <c r="J6" s="292"/>
      <c r="K6" s="292">
        <f>SUM(H6:J6)</f>
        <v>32</v>
      </c>
      <c r="L6" s="292">
        <v>32</v>
      </c>
      <c r="M6" s="292"/>
      <c r="N6" s="292"/>
      <c r="O6" s="292">
        <f>SUM(L6:N6)</f>
        <v>32</v>
      </c>
      <c r="P6" s="292">
        <v>32</v>
      </c>
      <c r="Q6" s="292"/>
      <c r="R6" s="292"/>
      <c r="S6" s="292">
        <f>SUM(P6:R6)</f>
        <v>32</v>
      </c>
      <c r="T6" s="292">
        <v>0</v>
      </c>
      <c r="U6" s="292"/>
      <c r="V6" s="292"/>
      <c r="W6" s="292">
        <f>SUM(T6:V6)</f>
        <v>0</v>
      </c>
      <c r="X6" s="292">
        <v>32</v>
      </c>
      <c r="Y6" s="292"/>
      <c r="Z6" s="292"/>
      <c r="AA6" s="292">
        <f>SUM(X6:Z6)</f>
        <v>32</v>
      </c>
      <c r="AB6" s="292">
        <v>32</v>
      </c>
      <c r="AC6" s="292"/>
      <c r="AD6" s="292"/>
      <c r="AE6" s="292">
        <v>32</v>
      </c>
      <c r="AF6" s="292">
        <v>32</v>
      </c>
      <c r="AG6" s="292"/>
      <c r="AH6" s="292"/>
      <c r="AI6" s="292">
        <v>32</v>
      </c>
      <c r="AJ6" s="292">
        <v>32</v>
      </c>
      <c r="AK6" s="292"/>
      <c r="AL6" s="292"/>
      <c r="AM6" s="292">
        <v>32</v>
      </c>
    </row>
    <row r="7" spans="1:39" hidden="1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36" si="2">SUM(L7:N7)</f>
        <v>0</v>
      </c>
      <c r="P7" s="292"/>
      <c r="Q7" s="292"/>
      <c r="R7" s="292"/>
      <c r="S7" s="292">
        <f t="shared" ref="S7:S36" si="3">SUM(P7:R7)</f>
        <v>0</v>
      </c>
      <c r="T7" s="292"/>
      <c r="U7" s="292"/>
      <c r="V7" s="292"/>
      <c r="W7" s="292">
        <f t="shared" ref="W7:W36" si="4">SUM(T7:V7)</f>
        <v>0</v>
      </c>
      <c r="X7" s="292"/>
      <c r="Y7" s="292"/>
      <c r="Z7" s="292"/>
      <c r="AA7" s="292">
        <f t="shared" ref="AA7:AA36" si="5">SUM(X7:Z7)</f>
        <v>0</v>
      </c>
      <c r="AB7" s="292"/>
      <c r="AC7" s="292"/>
      <c r="AD7" s="292"/>
      <c r="AE7" s="292">
        <v>0</v>
      </c>
      <c r="AF7" s="292"/>
      <c r="AG7" s="292"/>
      <c r="AH7" s="292"/>
      <c r="AI7" s="292">
        <v>0</v>
      </c>
      <c r="AJ7" s="292"/>
      <c r="AK7" s="292"/>
      <c r="AL7" s="292"/>
      <c r="AM7" s="292">
        <v>0</v>
      </c>
    </row>
    <row r="8" spans="1:39" x14ac:dyDescent="0.25">
      <c r="A8" s="293" t="s">
        <v>309</v>
      </c>
      <c r="B8" s="294" t="s">
        <v>310</v>
      </c>
      <c r="C8" s="295">
        <f>C9+C11+C20</f>
        <v>3759</v>
      </c>
      <c r="D8" s="295">
        <f t="shared" ref="D8:F8" si="6">D9+D11+D20</f>
        <v>7830</v>
      </c>
      <c r="E8" s="295">
        <f t="shared" si="6"/>
        <v>0</v>
      </c>
      <c r="F8" s="295">
        <f t="shared" si="6"/>
        <v>0</v>
      </c>
      <c r="G8" s="295">
        <f t="shared" si="0"/>
        <v>7830</v>
      </c>
      <c r="H8" s="295">
        <f t="shared" ref="H8:J8" si="7">H9+H11+H20</f>
        <v>12695</v>
      </c>
      <c r="I8" s="295">
        <f t="shared" si="7"/>
        <v>0</v>
      </c>
      <c r="J8" s="295">
        <f t="shared" si="7"/>
        <v>0</v>
      </c>
      <c r="K8" s="295">
        <f t="shared" si="1"/>
        <v>12695</v>
      </c>
      <c r="L8" s="295">
        <f t="shared" ref="L8:N8" si="8">L9+L11+L20</f>
        <v>14869</v>
      </c>
      <c r="M8" s="295">
        <f t="shared" si="8"/>
        <v>0</v>
      </c>
      <c r="N8" s="295">
        <f t="shared" si="8"/>
        <v>0</v>
      </c>
      <c r="O8" s="295">
        <f t="shared" si="2"/>
        <v>14869</v>
      </c>
      <c r="P8" s="295">
        <f t="shared" ref="P8:R8" si="9">P9+P11+P20</f>
        <v>5996</v>
      </c>
      <c r="Q8" s="295">
        <f t="shared" si="9"/>
        <v>0</v>
      </c>
      <c r="R8" s="295">
        <f t="shared" si="9"/>
        <v>0</v>
      </c>
      <c r="S8" s="295">
        <f t="shared" si="3"/>
        <v>5996</v>
      </c>
      <c r="T8" s="295">
        <f t="shared" ref="T8:V8" si="10">T9+T11+T20</f>
        <v>3607</v>
      </c>
      <c r="U8" s="295">
        <f t="shared" si="10"/>
        <v>0</v>
      </c>
      <c r="V8" s="295">
        <f t="shared" si="10"/>
        <v>0</v>
      </c>
      <c r="W8" s="295">
        <f t="shared" si="4"/>
        <v>3607</v>
      </c>
      <c r="X8" s="295">
        <f t="shared" ref="X8:AE8" si="11">X9+X11+X20</f>
        <v>5492</v>
      </c>
      <c r="Y8" s="295">
        <f t="shared" si="11"/>
        <v>0</v>
      </c>
      <c r="Z8" s="295">
        <f t="shared" si="11"/>
        <v>0</v>
      </c>
      <c r="AA8" s="295">
        <f t="shared" si="5"/>
        <v>5492</v>
      </c>
      <c r="AB8" s="295">
        <f t="shared" si="11"/>
        <v>14067</v>
      </c>
      <c r="AC8" s="295">
        <f t="shared" si="11"/>
        <v>0</v>
      </c>
      <c r="AD8" s="295">
        <f t="shared" si="11"/>
        <v>0</v>
      </c>
      <c r="AE8" s="295">
        <f t="shared" si="11"/>
        <v>10944</v>
      </c>
      <c r="AF8" s="295">
        <f t="shared" ref="AF8:AI8" si="12">AF9+AF11+AF20</f>
        <v>24122</v>
      </c>
      <c r="AG8" s="295">
        <f t="shared" si="12"/>
        <v>0</v>
      </c>
      <c r="AH8" s="295">
        <f t="shared" si="12"/>
        <v>0</v>
      </c>
      <c r="AI8" s="295">
        <f t="shared" si="12"/>
        <v>24122</v>
      </c>
      <c r="AJ8" s="295">
        <f t="shared" ref="AJ8:AM8" si="13">AJ9+AJ11+AJ20</f>
        <v>16227</v>
      </c>
      <c r="AK8" s="295">
        <f t="shared" si="13"/>
        <v>0</v>
      </c>
      <c r="AL8" s="295">
        <f t="shared" si="13"/>
        <v>0</v>
      </c>
      <c r="AM8" s="295">
        <f t="shared" si="13"/>
        <v>16227</v>
      </c>
    </row>
    <row r="9" spans="1:39" x14ac:dyDescent="0.25">
      <c r="A9" s="649" t="s">
        <v>311</v>
      </c>
      <c r="B9" s="681" t="s">
        <v>312</v>
      </c>
      <c r="C9" s="682">
        <f>C10</f>
        <v>0</v>
      </c>
      <c r="D9" s="682">
        <f t="shared" ref="D9:Z9" si="14">D10</f>
        <v>0</v>
      </c>
      <c r="E9" s="682">
        <f t="shared" si="14"/>
        <v>0</v>
      </c>
      <c r="F9" s="682">
        <f t="shared" si="14"/>
        <v>0</v>
      </c>
      <c r="G9" s="682">
        <f t="shared" si="0"/>
        <v>0</v>
      </c>
      <c r="H9" s="682">
        <f t="shared" si="14"/>
        <v>3686</v>
      </c>
      <c r="I9" s="682">
        <f t="shared" si="14"/>
        <v>0</v>
      </c>
      <c r="J9" s="682">
        <f t="shared" si="14"/>
        <v>0</v>
      </c>
      <c r="K9" s="682">
        <f t="shared" si="1"/>
        <v>3686</v>
      </c>
      <c r="L9" s="682">
        <f t="shared" si="14"/>
        <v>5861</v>
      </c>
      <c r="M9" s="682">
        <f t="shared" si="14"/>
        <v>0</v>
      </c>
      <c r="N9" s="682">
        <f t="shared" si="14"/>
        <v>0</v>
      </c>
      <c r="O9" s="682">
        <f t="shared" si="2"/>
        <v>5861</v>
      </c>
      <c r="P9" s="682">
        <f t="shared" si="14"/>
        <v>0</v>
      </c>
      <c r="Q9" s="682">
        <f t="shared" si="14"/>
        <v>0</v>
      </c>
      <c r="R9" s="682">
        <f t="shared" si="14"/>
        <v>0</v>
      </c>
      <c r="S9" s="682">
        <f t="shared" si="3"/>
        <v>0</v>
      </c>
      <c r="T9" s="682">
        <f t="shared" si="14"/>
        <v>3607</v>
      </c>
      <c r="U9" s="682">
        <f t="shared" si="14"/>
        <v>0</v>
      </c>
      <c r="V9" s="682">
        <f t="shared" si="14"/>
        <v>0</v>
      </c>
      <c r="W9" s="682">
        <f t="shared" si="4"/>
        <v>3607</v>
      </c>
      <c r="X9" s="682">
        <f t="shared" si="14"/>
        <v>0</v>
      </c>
      <c r="Y9" s="682">
        <f t="shared" si="14"/>
        <v>0</v>
      </c>
      <c r="Z9" s="682">
        <f t="shared" si="14"/>
        <v>0</v>
      </c>
      <c r="AA9" s="682">
        <f t="shared" si="5"/>
        <v>0</v>
      </c>
      <c r="AB9" s="682">
        <f>SUM(AB10)</f>
        <v>8475</v>
      </c>
      <c r="AC9" s="682">
        <v>0</v>
      </c>
      <c r="AD9" s="682">
        <v>0</v>
      </c>
      <c r="AE9" s="682">
        <v>5352</v>
      </c>
      <c r="AF9" s="682">
        <f>SUM(AF10)</f>
        <v>18530</v>
      </c>
      <c r="AG9" s="682">
        <f t="shared" ref="AG9:AH9" si="15">SUM(AG10)</f>
        <v>0</v>
      </c>
      <c r="AH9" s="682">
        <f t="shared" si="15"/>
        <v>0</v>
      </c>
      <c r="AI9" s="682">
        <f>SUM(AF9:AH9)</f>
        <v>18530</v>
      </c>
      <c r="AJ9" s="682">
        <f>SUM(AJ10)</f>
        <v>13563</v>
      </c>
      <c r="AK9" s="682">
        <f t="shared" ref="AK9" si="16">SUM(AK10)</f>
        <v>0</v>
      </c>
      <c r="AL9" s="682">
        <f t="shared" ref="AL9" si="17">SUM(AL10)</f>
        <v>0</v>
      </c>
      <c r="AM9" s="682">
        <f>SUM(AJ9:AL9)</f>
        <v>13563</v>
      </c>
    </row>
    <row r="10" spans="1:39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3686</v>
      </c>
      <c r="I10" s="239">
        <v>0</v>
      </c>
      <c r="J10" s="239">
        <v>0</v>
      </c>
      <c r="K10" s="239">
        <f t="shared" si="1"/>
        <v>3686</v>
      </c>
      <c r="L10" s="239">
        <v>5861</v>
      </c>
      <c r="M10" s="239">
        <v>0</v>
      </c>
      <c r="N10" s="239">
        <v>0</v>
      </c>
      <c r="O10" s="239">
        <f t="shared" si="2"/>
        <v>5861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3607</v>
      </c>
      <c r="U10" s="239">
        <v>0</v>
      </c>
      <c r="V10" s="239">
        <v>0</v>
      </c>
      <c r="W10" s="239">
        <f t="shared" si="4"/>
        <v>3607</v>
      </c>
      <c r="X10" s="239"/>
      <c r="Y10" s="239">
        <v>0</v>
      </c>
      <c r="Z10" s="239">
        <v>0</v>
      </c>
      <c r="AA10" s="239">
        <f t="shared" si="5"/>
        <v>0</v>
      </c>
      <c r="AB10" s="239">
        <v>8475</v>
      </c>
      <c r="AC10" s="239"/>
      <c r="AD10" s="239"/>
      <c r="AE10" s="239">
        <f>SUM(AB10:AD10)</f>
        <v>8475</v>
      </c>
      <c r="AF10" s="239">
        <v>18530</v>
      </c>
      <c r="AG10" s="239"/>
      <c r="AH10" s="239"/>
      <c r="AI10" s="239">
        <f>SUM(AF10:AH10)</f>
        <v>18530</v>
      </c>
      <c r="AJ10" s="239">
        <v>13563</v>
      </c>
      <c r="AK10" s="239"/>
      <c r="AL10" s="239"/>
      <c r="AM10" s="239">
        <f>SUM(AJ10:AL10)</f>
        <v>13563</v>
      </c>
    </row>
    <row r="11" spans="1:39" x14ac:dyDescent="0.25">
      <c r="A11" s="649" t="s">
        <v>322</v>
      </c>
      <c r="B11" s="681" t="s">
        <v>314</v>
      </c>
      <c r="C11" s="682">
        <f t="shared" ref="C11:F11" si="18">C12+C13+C14+C15+C16+C17+C18+C19</f>
        <v>3759</v>
      </c>
      <c r="D11" s="682">
        <f t="shared" si="18"/>
        <v>7830</v>
      </c>
      <c r="E11" s="682">
        <f t="shared" si="18"/>
        <v>0</v>
      </c>
      <c r="F11" s="682">
        <f t="shared" si="18"/>
        <v>0</v>
      </c>
      <c r="G11" s="682">
        <f t="shared" si="0"/>
        <v>7830</v>
      </c>
      <c r="H11" s="682">
        <f t="shared" ref="H11:J11" si="19">H12+H13+H14+H15+H16+H17+H18+H19</f>
        <v>7830</v>
      </c>
      <c r="I11" s="682">
        <f t="shared" si="19"/>
        <v>0</v>
      </c>
      <c r="J11" s="682">
        <f t="shared" si="19"/>
        <v>0</v>
      </c>
      <c r="K11" s="682">
        <f t="shared" si="1"/>
        <v>7830</v>
      </c>
      <c r="L11" s="682">
        <f t="shared" ref="L11:N11" si="20">L12+L13+L14+L15+L16+L17+L18+L19</f>
        <v>7830</v>
      </c>
      <c r="M11" s="682">
        <f t="shared" si="20"/>
        <v>0</v>
      </c>
      <c r="N11" s="682">
        <f t="shared" si="20"/>
        <v>0</v>
      </c>
      <c r="O11" s="682">
        <f t="shared" si="2"/>
        <v>7830</v>
      </c>
      <c r="P11" s="682">
        <f t="shared" ref="P11:R11" si="21">P12+P13+P14+P15+P16+P17+P18+P19</f>
        <v>5996</v>
      </c>
      <c r="Q11" s="682">
        <f t="shared" si="21"/>
        <v>0</v>
      </c>
      <c r="R11" s="682">
        <f t="shared" si="21"/>
        <v>0</v>
      </c>
      <c r="S11" s="682">
        <f t="shared" si="3"/>
        <v>5996</v>
      </c>
      <c r="T11" s="682">
        <f t="shared" ref="T11:V11" si="22">T12+T13+T14+T15+T16+T17+T18+T19</f>
        <v>0</v>
      </c>
      <c r="U11" s="682">
        <f t="shared" si="22"/>
        <v>0</v>
      </c>
      <c r="V11" s="682">
        <f t="shared" si="22"/>
        <v>0</v>
      </c>
      <c r="W11" s="682">
        <f t="shared" si="4"/>
        <v>0</v>
      </c>
      <c r="X11" s="682">
        <f t="shared" ref="X11:Z11" si="23">X12+X13+X14+X15+X16+X17+X18+X19</f>
        <v>5492</v>
      </c>
      <c r="Y11" s="682">
        <f t="shared" si="23"/>
        <v>0</v>
      </c>
      <c r="Z11" s="682">
        <f t="shared" si="23"/>
        <v>0</v>
      </c>
      <c r="AA11" s="682">
        <f t="shared" si="5"/>
        <v>5492</v>
      </c>
      <c r="AB11" s="682">
        <v>5492</v>
      </c>
      <c r="AC11" s="682">
        <v>0</v>
      </c>
      <c r="AD11" s="682">
        <v>0</v>
      </c>
      <c r="AE11" s="682">
        <v>5492</v>
      </c>
      <c r="AF11" s="682">
        <f>SUM(AF12:AF19)</f>
        <v>5492</v>
      </c>
      <c r="AG11" s="682">
        <f t="shared" ref="AG11:AH11" si="24">SUM(AG12:AG19)</f>
        <v>0</v>
      </c>
      <c r="AH11" s="682">
        <f t="shared" si="24"/>
        <v>0</v>
      </c>
      <c r="AI11" s="682">
        <f>SUM(AI12:AI19)</f>
        <v>5492</v>
      </c>
      <c r="AJ11" s="682">
        <f>SUM(AJ12:AJ19)</f>
        <v>2564</v>
      </c>
      <c r="AK11" s="682">
        <f t="shared" ref="AK11" si="25">SUM(AK12:AK19)</f>
        <v>0</v>
      </c>
      <c r="AL11" s="682">
        <f t="shared" ref="AL11" si="26">SUM(AL12:AL19)</f>
        <v>0</v>
      </c>
      <c r="AM11" s="682">
        <f>SUM(AM12:AM19)</f>
        <v>2564</v>
      </c>
    </row>
    <row r="12" spans="1:39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X12" s="239"/>
      <c r="Y12" s="239">
        <v>0</v>
      </c>
      <c r="Z12" s="239">
        <v>0</v>
      </c>
      <c r="AA12" s="239">
        <f t="shared" si="5"/>
        <v>0</v>
      </c>
      <c r="AB12" s="239">
        <v>0</v>
      </c>
      <c r="AC12" s="239">
        <v>0</v>
      </c>
      <c r="AD12" s="239">
        <v>0</v>
      </c>
      <c r="AE12" s="239">
        <v>0</v>
      </c>
      <c r="AF12" s="239">
        <v>0</v>
      </c>
      <c r="AG12" s="239"/>
      <c r="AH12" s="239"/>
      <c r="AI12" s="239">
        <f>SUM(AF12:AH12)</f>
        <v>0</v>
      </c>
      <c r="AJ12" s="239">
        <v>0</v>
      </c>
      <c r="AK12" s="239"/>
      <c r="AL12" s="239"/>
      <c r="AM12" s="239">
        <f>SUM(AJ12:AL12)</f>
        <v>0</v>
      </c>
    </row>
    <row r="13" spans="1:39" x14ac:dyDescent="0.25">
      <c r="A13" s="328"/>
      <c r="B13" s="299" t="s">
        <v>650</v>
      </c>
      <c r="C13" s="300">
        <v>0</v>
      </c>
      <c r="D13" s="300">
        <v>6180</v>
      </c>
      <c r="E13" s="300">
        <v>0</v>
      </c>
      <c r="F13" s="300">
        <v>0</v>
      </c>
      <c r="G13" s="300">
        <f t="shared" si="0"/>
        <v>6180</v>
      </c>
      <c r="H13" s="300">
        <v>3298</v>
      </c>
      <c r="I13" s="300">
        <v>0</v>
      </c>
      <c r="J13" s="300">
        <v>0</v>
      </c>
      <c r="K13" s="300">
        <f t="shared" si="1"/>
        <v>3298</v>
      </c>
      <c r="L13" s="300">
        <v>3298</v>
      </c>
      <c r="M13" s="300">
        <v>0</v>
      </c>
      <c r="N13" s="300">
        <v>0</v>
      </c>
      <c r="O13" s="300">
        <f t="shared" si="2"/>
        <v>3298</v>
      </c>
      <c r="P13" s="300">
        <v>0</v>
      </c>
      <c r="Q13" s="300">
        <v>0</v>
      </c>
      <c r="R13" s="300">
        <v>0</v>
      </c>
      <c r="S13" s="300">
        <f t="shared" si="3"/>
        <v>0</v>
      </c>
      <c r="T13" s="239">
        <v>0</v>
      </c>
      <c r="U13" s="300">
        <v>0</v>
      </c>
      <c r="V13" s="300">
        <v>0</v>
      </c>
      <c r="W13" s="300">
        <f t="shared" si="4"/>
        <v>0</v>
      </c>
      <c r="X13" s="300">
        <v>4325</v>
      </c>
      <c r="Y13" s="300">
        <v>0</v>
      </c>
      <c r="Z13" s="300">
        <v>0</v>
      </c>
      <c r="AA13" s="300">
        <f t="shared" si="5"/>
        <v>4325</v>
      </c>
      <c r="AB13" s="300">
        <v>4325</v>
      </c>
      <c r="AC13" s="300">
        <v>0</v>
      </c>
      <c r="AD13" s="300">
        <v>0</v>
      </c>
      <c r="AE13" s="300">
        <v>4325</v>
      </c>
      <c r="AF13" s="300">
        <v>2825</v>
      </c>
      <c r="AG13" s="300"/>
      <c r="AH13" s="300"/>
      <c r="AI13" s="239">
        <f t="shared" ref="AI13:AI19" si="27">SUM(AF13:AH13)</f>
        <v>2825</v>
      </c>
      <c r="AJ13" s="300">
        <v>1162</v>
      </c>
      <c r="AK13" s="300"/>
      <c r="AL13" s="300"/>
      <c r="AM13" s="239">
        <f t="shared" ref="AM13:AM19" si="28">SUM(AJ13:AL13)</f>
        <v>1162</v>
      </c>
    </row>
    <row r="14" spans="1:39" x14ac:dyDescent="0.25">
      <c r="A14" s="328"/>
      <c r="B14" s="299" t="s">
        <v>659</v>
      </c>
      <c r="C14" s="300">
        <v>0</v>
      </c>
      <c r="D14" s="300">
        <v>0</v>
      </c>
      <c r="E14" s="300">
        <v>0</v>
      </c>
      <c r="F14" s="300">
        <v>0</v>
      </c>
      <c r="G14" s="300">
        <f t="shared" si="0"/>
        <v>0</v>
      </c>
      <c r="H14" s="300">
        <v>0</v>
      </c>
      <c r="I14" s="300">
        <v>0</v>
      </c>
      <c r="J14" s="300">
        <v>0</v>
      </c>
      <c r="K14" s="300">
        <f t="shared" si="1"/>
        <v>0</v>
      </c>
      <c r="L14" s="300">
        <v>0</v>
      </c>
      <c r="M14" s="300">
        <v>0</v>
      </c>
      <c r="N14" s="300">
        <v>0</v>
      </c>
      <c r="O14" s="300">
        <f t="shared" si="2"/>
        <v>0</v>
      </c>
      <c r="P14" s="300">
        <v>0</v>
      </c>
      <c r="Q14" s="300">
        <v>0</v>
      </c>
      <c r="R14" s="300">
        <v>0</v>
      </c>
      <c r="S14" s="300">
        <f t="shared" si="3"/>
        <v>0</v>
      </c>
      <c r="T14" s="239">
        <v>0</v>
      </c>
      <c r="U14" s="300">
        <v>0</v>
      </c>
      <c r="V14" s="300">
        <v>0</v>
      </c>
      <c r="W14" s="300">
        <f t="shared" si="4"/>
        <v>0</v>
      </c>
      <c r="X14" s="300"/>
      <c r="Y14" s="300">
        <v>0</v>
      </c>
      <c r="Z14" s="300">
        <v>0</v>
      </c>
      <c r="AA14" s="300">
        <f t="shared" si="5"/>
        <v>0</v>
      </c>
      <c r="AB14" s="300">
        <v>0</v>
      </c>
      <c r="AC14" s="300">
        <v>0</v>
      </c>
      <c r="AD14" s="300">
        <v>0</v>
      </c>
      <c r="AE14" s="300">
        <v>0</v>
      </c>
      <c r="AF14" s="300">
        <v>0</v>
      </c>
      <c r="AG14" s="300"/>
      <c r="AH14" s="300"/>
      <c r="AI14" s="239">
        <f t="shared" si="27"/>
        <v>0</v>
      </c>
      <c r="AJ14" s="300">
        <v>0</v>
      </c>
      <c r="AK14" s="300"/>
      <c r="AL14" s="300"/>
      <c r="AM14" s="239">
        <f t="shared" si="28"/>
        <v>0</v>
      </c>
    </row>
    <row r="15" spans="1:39" x14ac:dyDescent="0.25">
      <c r="A15" s="328"/>
      <c r="B15" s="299" t="s">
        <v>660</v>
      </c>
      <c r="C15" s="239">
        <v>2960</v>
      </c>
      <c r="D15" s="239">
        <v>0</v>
      </c>
      <c r="E15" s="239">
        <v>0</v>
      </c>
      <c r="F15" s="239">
        <v>0</v>
      </c>
      <c r="G15" s="239">
        <f t="shared" si="0"/>
        <v>0</v>
      </c>
      <c r="H15" s="239">
        <v>2500</v>
      </c>
      <c r="I15" s="239">
        <v>0</v>
      </c>
      <c r="J15" s="239">
        <v>0</v>
      </c>
      <c r="K15" s="239">
        <f t="shared" si="1"/>
        <v>2500</v>
      </c>
      <c r="L15" s="239">
        <v>2500</v>
      </c>
      <c r="M15" s="239">
        <v>0</v>
      </c>
      <c r="N15" s="239">
        <v>0</v>
      </c>
      <c r="O15" s="239">
        <f t="shared" si="2"/>
        <v>2500</v>
      </c>
      <c r="P15" s="239">
        <v>3789</v>
      </c>
      <c r="Q15" s="239">
        <v>0</v>
      </c>
      <c r="R15" s="239">
        <v>0</v>
      </c>
      <c r="S15" s="239">
        <f t="shared" si="3"/>
        <v>3789</v>
      </c>
      <c r="T15" s="239">
        <v>0</v>
      </c>
      <c r="U15" s="239">
        <v>0</v>
      </c>
      <c r="V15" s="239">
        <v>0</v>
      </c>
      <c r="W15" s="239">
        <f t="shared" si="4"/>
        <v>0</v>
      </c>
      <c r="X15" s="239"/>
      <c r="Y15" s="239">
        <v>0</v>
      </c>
      <c r="Z15" s="239">
        <v>0</v>
      </c>
      <c r="AA15" s="239">
        <f t="shared" si="5"/>
        <v>0</v>
      </c>
      <c r="AB15" s="239">
        <v>0</v>
      </c>
      <c r="AC15" s="239">
        <v>0</v>
      </c>
      <c r="AD15" s="239">
        <v>0</v>
      </c>
      <c r="AE15" s="239">
        <v>0</v>
      </c>
      <c r="AF15" s="239">
        <v>1500</v>
      </c>
      <c r="AG15" s="239"/>
      <c r="AH15" s="239"/>
      <c r="AI15" s="239">
        <f t="shared" si="27"/>
        <v>1500</v>
      </c>
      <c r="AJ15" s="239">
        <v>780</v>
      </c>
      <c r="AK15" s="239"/>
      <c r="AL15" s="239"/>
      <c r="AM15" s="239">
        <f t="shared" si="28"/>
        <v>780</v>
      </c>
    </row>
    <row r="16" spans="1:39" x14ac:dyDescent="0.25">
      <c r="A16" s="328"/>
      <c r="B16" s="299" t="s">
        <v>661</v>
      </c>
      <c r="C16" s="239">
        <v>799</v>
      </c>
      <c r="D16" s="239">
        <v>1650</v>
      </c>
      <c r="E16" s="239">
        <v>0</v>
      </c>
      <c r="F16" s="239">
        <v>0</v>
      </c>
      <c r="G16" s="239">
        <f t="shared" si="0"/>
        <v>1650</v>
      </c>
      <c r="H16" s="239">
        <v>1650</v>
      </c>
      <c r="I16" s="239">
        <v>0</v>
      </c>
      <c r="J16" s="239">
        <v>0</v>
      </c>
      <c r="K16" s="239">
        <f t="shared" si="1"/>
        <v>1650</v>
      </c>
      <c r="L16" s="239">
        <v>1650</v>
      </c>
      <c r="M16" s="239">
        <v>0</v>
      </c>
      <c r="N16" s="239">
        <v>0</v>
      </c>
      <c r="O16" s="239">
        <f t="shared" si="2"/>
        <v>1650</v>
      </c>
      <c r="P16" s="239">
        <v>1023</v>
      </c>
      <c r="Q16" s="239">
        <v>0</v>
      </c>
      <c r="R16" s="239">
        <v>0</v>
      </c>
      <c r="S16" s="239">
        <f t="shared" si="3"/>
        <v>1023</v>
      </c>
      <c r="T16" s="239">
        <v>0</v>
      </c>
      <c r="U16" s="239">
        <v>0</v>
      </c>
      <c r="V16" s="239">
        <v>0</v>
      </c>
      <c r="W16" s="239">
        <f t="shared" si="4"/>
        <v>0</v>
      </c>
      <c r="X16" s="239">
        <v>1167</v>
      </c>
      <c r="Y16" s="239">
        <v>0</v>
      </c>
      <c r="Z16" s="239">
        <v>0</v>
      </c>
      <c r="AA16" s="239">
        <f t="shared" si="5"/>
        <v>1167</v>
      </c>
      <c r="AB16" s="239">
        <v>1167</v>
      </c>
      <c r="AC16" s="239">
        <v>0</v>
      </c>
      <c r="AD16" s="239">
        <v>0</v>
      </c>
      <c r="AE16" s="239">
        <v>1167</v>
      </c>
      <c r="AF16" s="239">
        <v>1167</v>
      </c>
      <c r="AG16" s="239"/>
      <c r="AH16" s="239"/>
      <c r="AI16" s="239">
        <f t="shared" si="27"/>
        <v>1167</v>
      </c>
      <c r="AJ16" s="239">
        <v>541</v>
      </c>
      <c r="AK16" s="239"/>
      <c r="AL16" s="239"/>
      <c r="AM16" s="239">
        <f t="shared" si="28"/>
        <v>541</v>
      </c>
    </row>
    <row r="17" spans="1:39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1184</v>
      </c>
      <c r="Q17" s="239">
        <v>0</v>
      </c>
      <c r="R17" s="239">
        <v>0</v>
      </c>
      <c r="S17" s="239">
        <f t="shared" si="3"/>
        <v>1184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/>
      <c r="Y17" s="239">
        <v>0</v>
      </c>
      <c r="Z17" s="239">
        <v>0</v>
      </c>
      <c r="AA17" s="239">
        <f t="shared" si="5"/>
        <v>0</v>
      </c>
      <c r="AB17" s="239">
        <v>0</v>
      </c>
      <c r="AC17" s="239">
        <v>0</v>
      </c>
      <c r="AD17" s="239">
        <v>0</v>
      </c>
      <c r="AE17" s="239">
        <v>0</v>
      </c>
      <c r="AF17" s="239">
        <v>0</v>
      </c>
      <c r="AG17" s="239"/>
      <c r="AH17" s="239"/>
      <c r="AI17" s="239">
        <f t="shared" si="27"/>
        <v>0</v>
      </c>
      <c r="AJ17" s="239">
        <v>0</v>
      </c>
      <c r="AK17" s="239"/>
      <c r="AL17" s="239"/>
      <c r="AM17" s="239">
        <f t="shared" si="28"/>
        <v>0</v>
      </c>
    </row>
    <row r="18" spans="1:39" x14ac:dyDescent="0.25">
      <c r="A18" s="328"/>
      <c r="B18" s="299" t="s">
        <v>663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/>
      <c r="Y18" s="239">
        <v>0</v>
      </c>
      <c r="Z18" s="239">
        <v>0</v>
      </c>
      <c r="AA18" s="239">
        <f t="shared" si="5"/>
        <v>0</v>
      </c>
      <c r="AB18" s="239">
        <v>0</v>
      </c>
      <c r="AC18" s="239">
        <v>0</v>
      </c>
      <c r="AD18" s="239">
        <v>0</v>
      </c>
      <c r="AE18" s="239">
        <v>0</v>
      </c>
      <c r="AF18" s="239">
        <v>0</v>
      </c>
      <c r="AG18" s="239"/>
      <c r="AH18" s="239"/>
      <c r="AI18" s="239">
        <f t="shared" si="27"/>
        <v>0</v>
      </c>
      <c r="AJ18" s="239">
        <v>0</v>
      </c>
      <c r="AK18" s="239"/>
      <c r="AL18" s="239"/>
      <c r="AM18" s="239">
        <f t="shared" si="28"/>
        <v>0</v>
      </c>
    </row>
    <row r="19" spans="1:39" x14ac:dyDescent="0.25">
      <c r="A19" s="328"/>
      <c r="B19" s="299" t="s">
        <v>664</v>
      </c>
      <c r="C19" s="239">
        <v>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382</v>
      </c>
      <c r="I19" s="239">
        <v>0</v>
      </c>
      <c r="J19" s="239">
        <v>0</v>
      </c>
      <c r="K19" s="239">
        <f t="shared" si="1"/>
        <v>382</v>
      </c>
      <c r="L19" s="239">
        <v>382</v>
      </c>
      <c r="M19" s="239">
        <v>0</v>
      </c>
      <c r="N19" s="239">
        <v>0</v>
      </c>
      <c r="O19" s="239">
        <f t="shared" si="2"/>
        <v>382</v>
      </c>
      <c r="P19" s="239">
        <v>0</v>
      </c>
      <c r="Q19" s="239">
        <v>0</v>
      </c>
      <c r="R19" s="239">
        <v>0</v>
      </c>
      <c r="S19" s="239">
        <f t="shared" si="3"/>
        <v>0</v>
      </c>
      <c r="T19" s="239">
        <v>0</v>
      </c>
      <c r="U19" s="239">
        <v>0</v>
      </c>
      <c r="V19" s="239">
        <v>0</v>
      </c>
      <c r="W19" s="239">
        <f t="shared" si="4"/>
        <v>0</v>
      </c>
      <c r="X19" s="239"/>
      <c r="Y19" s="239">
        <v>0</v>
      </c>
      <c r="Z19" s="239">
        <v>0</v>
      </c>
      <c r="AA19" s="239">
        <f t="shared" si="5"/>
        <v>0</v>
      </c>
      <c r="AB19" s="239">
        <v>0</v>
      </c>
      <c r="AC19" s="239">
        <v>0</v>
      </c>
      <c r="AD19" s="239">
        <v>0</v>
      </c>
      <c r="AE19" s="239">
        <v>0</v>
      </c>
      <c r="AF19" s="239">
        <v>0</v>
      </c>
      <c r="AG19" s="239"/>
      <c r="AH19" s="239"/>
      <c r="AI19" s="239">
        <f t="shared" si="27"/>
        <v>0</v>
      </c>
      <c r="AJ19" s="239">
        <v>81</v>
      </c>
      <c r="AK19" s="239"/>
      <c r="AL19" s="239"/>
      <c r="AM19" s="239">
        <f t="shared" si="28"/>
        <v>81</v>
      </c>
    </row>
    <row r="20" spans="1:39" x14ac:dyDescent="0.25">
      <c r="A20" s="649" t="s">
        <v>315</v>
      </c>
      <c r="B20" s="681" t="s">
        <v>316</v>
      </c>
      <c r="C20" s="682">
        <f t="shared" ref="C20:Z20" si="29">SUM(C21:C21)</f>
        <v>0</v>
      </c>
      <c r="D20" s="682">
        <f t="shared" si="29"/>
        <v>0</v>
      </c>
      <c r="E20" s="682">
        <f t="shared" si="29"/>
        <v>0</v>
      </c>
      <c r="F20" s="682">
        <f t="shared" si="29"/>
        <v>0</v>
      </c>
      <c r="G20" s="682">
        <f t="shared" si="0"/>
        <v>0</v>
      </c>
      <c r="H20" s="682">
        <f t="shared" si="29"/>
        <v>1179</v>
      </c>
      <c r="I20" s="682">
        <f t="shared" si="29"/>
        <v>0</v>
      </c>
      <c r="J20" s="682">
        <f t="shared" si="29"/>
        <v>0</v>
      </c>
      <c r="K20" s="682">
        <f t="shared" si="1"/>
        <v>1179</v>
      </c>
      <c r="L20" s="682">
        <f t="shared" si="29"/>
        <v>1178</v>
      </c>
      <c r="M20" s="682">
        <f t="shared" si="29"/>
        <v>0</v>
      </c>
      <c r="N20" s="682">
        <f t="shared" si="29"/>
        <v>0</v>
      </c>
      <c r="O20" s="682">
        <f t="shared" si="2"/>
        <v>1178</v>
      </c>
      <c r="P20" s="682">
        <f t="shared" si="29"/>
        <v>0</v>
      </c>
      <c r="Q20" s="682">
        <f t="shared" si="29"/>
        <v>0</v>
      </c>
      <c r="R20" s="682">
        <f t="shared" si="29"/>
        <v>0</v>
      </c>
      <c r="S20" s="682">
        <f t="shared" si="3"/>
        <v>0</v>
      </c>
      <c r="T20" s="682">
        <f t="shared" si="29"/>
        <v>0</v>
      </c>
      <c r="U20" s="682">
        <f t="shared" si="29"/>
        <v>0</v>
      </c>
      <c r="V20" s="682">
        <f t="shared" si="29"/>
        <v>0</v>
      </c>
      <c r="W20" s="682">
        <f t="shared" si="4"/>
        <v>0</v>
      </c>
      <c r="X20" s="682">
        <f t="shared" si="29"/>
        <v>0</v>
      </c>
      <c r="Y20" s="682">
        <f t="shared" si="29"/>
        <v>0</v>
      </c>
      <c r="Z20" s="682">
        <f t="shared" si="29"/>
        <v>0</v>
      </c>
      <c r="AA20" s="682">
        <f t="shared" si="5"/>
        <v>0</v>
      </c>
      <c r="AB20" s="682">
        <v>100</v>
      </c>
      <c r="AC20" s="682">
        <v>0</v>
      </c>
      <c r="AD20" s="682">
        <v>0</v>
      </c>
      <c r="AE20" s="682">
        <f>SUM(AB20:AD20)</f>
        <v>100</v>
      </c>
      <c r="AF20" s="682">
        <f>AF21</f>
        <v>100</v>
      </c>
      <c r="AG20" s="682">
        <f t="shared" ref="AG20:AH20" si="30">AG21</f>
        <v>0</v>
      </c>
      <c r="AH20" s="682">
        <f t="shared" si="30"/>
        <v>0</v>
      </c>
      <c r="AI20" s="682">
        <f>SUM(AF20:AH20)</f>
        <v>100</v>
      </c>
      <c r="AJ20" s="682">
        <f>AJ21</f>
        <v>100</v>
      </c>
      <c r="AK20" s="682">
        <f t="shared" ref="AK20" si="31">AK21</f>
        <v>0</v>
      </c>
      <c r="AL20" s="682">
        <f t="shared" ref="AL20" si="32">AL21</f>
        <v>0</v>
      </c>
      <c r="AM20" s="682">
        <f>SUM(AJ20:AL20)</f>
        <v>100</v>
      </c>
    </row>
    <row r="21" spans="1:39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1179</v>
      </c>
      <c r="I21" s="239">
        <v>0</v>
      </c>
      <c r="J21" s="239">
        <v>0</v>
      </c>
      <c r="K21" s="239">
        <f t="shared" si="1"/>
        <v>1179</v>
      </c>
      <c r="L21" s="239">
        <v>1178</v>
      </c>
      <c r="M21" s="239">
        <v>0</v>
      </c>
      <c r="N21" s="239">
        <v>0</v>
      </c>
      <c r="O21" s="239">
        <f t="shared" si="2"/>
        <v>1178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  <c r="X21" s="239"/>
      <c r="Y21" s="239">
        <v>0</v>
      </c>
      <c r="Z21" s="239">
        <v>0</v>
      </c>
      <c r="AA21" s="239">
        <f t="shared" si="5"/>
        <v>0</v>
      </c>
      <c r="AB21" s="239">
        <v>100</v>
      </c>
      <c r="AC21" s="239">
        <v>0</v>
      </c>
      <c r="AD21" s="239">
        <v>0</v>
      </c>
      <c r="AE21" s="239">
        <v>100</v>
      </c>
      <c r="AF21" s="239">
        <v>100</v>
      </c>
      <c r="AG21" s="239"/>
      <c r="AH21" s="239"/>
      <c r="AI21" s="239">
        <f>SUM(AF21:AH21)</f>
        <v>100</v>
      </c>
      <c r="AJ21" s="239">
        <v>100</v>
      </c>
      <c r="AK21" s="239"/>
      <c r="AL21" s="239"/>
      <c r="AM21" s="239">
        <f>SUM(AJ21:AL21)</f>
        <v>100</v>
      </c>
    </row>
    <row r="22" spans="1:39" x14ac:dyDescent="0.25">
      <c r="A22" s="293" t="s">
        <v>318</v>
      </c>
      <c r="B22" s="294" t="s">
        <v>319</v>
      </c>
      <c r="C22" s="295">
        <f t="shared" ref="C22:F22" si="33">C23+C25+C28</f>
        <v>0</v>
      </c>
      <c r="D22" s="295">
        <f t="shared" si="33"/>
        <v>0</v>
      </c>
      <c r="E22" s="295">
        <f t="shared" si="33"/>
        <v>0</v>
      </c>
      <c r="F22" s="295">
        <f t="shared" si="33"/>
        <v>0</v>
      </c>
      <c r="G22" s="295">
        <f t="shared" si="0"/>
        <v>0</v>
      </c>
      <c r="H22" s="295">
        <f t="shared" ref="H22:J22" si="34">H23+H25+H28</f>
        <v>0</v>
      </c>
      <c r="I22" s="295">
        <f t="shared" si="34"/>
        <v>0</v>
      </c>
      <c r="J22" s="295">
        <f t="shared" si="34"/>
        <v>0</v>
      </c>
      <c r="K22" s="295">
        <f t="shared" si="1"/>
        <v>0</v>
      </c>
      <c r="L22" s="295">
        <f t="shared" ref="L22:N22" si="35">L23+L25+L28</f>
        <v>0</v>
      </c>
      <c r="M22" s="295">
        <f t="shared" si="35"/>
        <v>0</v>
      </c>
      <c r="N22" s="295">
        <f t="shared" si="35"/>
        <v>0</v>
      </c>
      <c r="O22" s="295">
        <f t="shared" si="2"/>
        <v>0</v>
      </c>
      <c r="P22" s="295">
        <f t="shared" ref="P22:R22" si="36">P23+P25+P28</f>
        <v>0</v>
      </c>
      <c r="Q22" s="295">
        <f t="shared" si="36"/>
        <v>0</v>
      </c>
      <c r="R22" s="295">
        <f t="shared" si="36"/>
        <v>0</v>
      </c>
      <c r="S22" s="295">
        <f t="shared" si="3"/>
        <v>0</v>
      </c>
      <c r="T22" s="295">
        <f t="shared" ref="T22:V22" si="37">T23+T25+T28</f>
        <v>0</v>
      </c>
      <c r="U22" s="295">
        <f t="shared" si="37"/>
        <v>0</v>
      </c>
      <c r="V22" s="295">
        <f t="shared" si="37"/>
        <v>0</v>
      </c>
      <c r="W22" s="295">
        <f t="shared" si="4"/>
        <v>0</v>
      </c>
      <c r="X22" s="295">
        <f t="shared" ref="X22:Z22" si="38">X23+X25+X28</f>
        <v>0</v>
      </c>
      <c r="Y22" s="295">
        <f t="shared" si="38"/>
        <v>0</v>
      </c>
      <c r="Z22" s="295">
        <f t="shared" si="38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f t="shared" ref="AJ22:AL22" si="39">AJ23+AJ25+AJ28</f>
        <v>63</v>
      </c>
      <c r="AK22" s="295">
        <f t="shared" si="39"/>
        <v>0</v>
      </c>
      <c r="AL22" s="295">
        <f t="shared" si="39"/>
        <v>0</v>
      </c>
      <c r="AM22" s="295">
        <f>SUM(AJ22:AL22)</f>
        <v>63</v>
      </c>
    </row>
    <row r="23" spans="1:39" x14ac:dyDescent="0.25">
      <c r="A23" s="649" t="s">
        <v>311</v>
      </c>
      <c r="B23" s="681" t="s">
        <v>320</v>
      </c>
      <c r="C23" s="682">
        <f t="shared" ref="C23:Z23" si="40">SUM(C24:C24)</f>
        <v>0</v>
      </c>
      <c r="D23" s="682">
        <f t="shared" si="40"/>
        <v>0</v>
      </c>
      <c r="E23" s="682">
        <f t="shared" si="40"/>
        <v>0</v>
      </c>
      <c r="F23" s="682">
        <f t="shared" si="40"/>
        <v>0</v>
      </c>
      <c r="G23" s="682">
        <f t="shared" si="0"/>
        <v>0</v>
      </c>
      <c r="H23" s="682">
        <f t="shared" si="40"/>
        <v>0</v>
      </c>
      <c r="I23" s="682">
        <f t="shared" si="40"/>
        <v>0</v>
      </c>
      <c r="J23" s="682">
        <f t="shared" si="40"/>
        <v>0</v>
      </c>
      <c r="K23" s="682">
        <f t="shared" si="1"/>
        <v>0</v>
      </c>
      <c r="L23" s="682">
        <f t="shared" si="40"/>
        <v>0</v>
      </c>
      <c r="M23" s="682">
        <f t="shared" si="40"/>
        <v>0</v>
      </c>
      <c r="N23" s="682">
        <f t="shared" si="40"/>
        <v>0</v>
      </c>
      <c r="O23" s="682">
        <f t="shared" si="2"/>
        <v>0</v>
      </c>
      <c r="P23" s="682">
        <f t="shared" si="40"/>
        <v>0</v>
      </c>
      <c r="Q23" s="682">
        <f t="shared" si="40"/>
        <v>0</v>
      </c>
      <c r="R23" s="682">
        <f t="shared" si="40"/>
        <v>0</v>
      </c>
      <c r="S23" s="682">
        <f t="shared" si="3"/>
        <v>0</v>
      </c>
      <c r="T23" s="682">
        <f t="shared" si="40"/>
        <v>0</v>
      </c>
      <c r="U23" s="682">
        <f t="shared" si="40"/>
        <v>0</v>
      </c>
      <c r="V23" s="682">
        <f t="shared" si="40"/>
        <v>0</v>
      </c>
      <c r="W23" s="682">
        <f t="shared" si="4"/>
        <v>0</v>
      </c>
      <c r="X23" s="682">
        <f t="shared" si="40"/>
        <v>0</v>
      </c>
      <c r="Y23" s="682">
        <f t="shared" si="40"/>
        <v>0</v>
      </c>
      <c r="Z23" s="682">
        <f t="shared" si="40"/>
        <v>0</v>
      </c>
      <c r="AA23" s="682">
        <f t="shared" si="5"/>
        <v>0</v>
      </c>
      <c r="AB23" s="682">
        <v>0</v>
      </c>
      <c r="AC23" s="682">
        <v>0</v>
      </c>
      <c r="AD23" s="682">
        <v>0</v>
      </c>
      <c r="AE23" s="682">
        <v>0</v>
      </c>
      <c r="AF23" s="682">
        <v>0</v>
      </c>
      <c r="AG23" s="682">
        <v>0</v>
      </c>
      <c r="AH23" s="682">
        <v>0</v>
      </c>
      <c r="AI23" s="682">
        <v>0</v>
      </c>
      <c r="AJ23" s="682">
        <v>0</v>
      </c>
      <c r="AK23" s="682">
        <v>0</v>
      </c>
      <c r="AL23" s="682">
        <v>0</v>
      </c>
      <c r="AM23" s="682">
        <v>0</v>
      </c>
    </row>
    <row r="24" spans="1:39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X24" s="239">
        <v>0</v>
      </c>
      <c r="Y24" s="239">
        <v>0</v>
      </c>
      <c r="Z24" s="239">
        <v>0</v>
      </c>
      <c r="AA24" s="239">
        <f t="shared" si="5"/>
        <v>0</v>
      </c>
      <c r="AB24" s="239">
        <v>0</v>
      </c>
      <c r="AC24" s="239">
        <v>0</v>
      </c>
      <c r="AD24" s="239">
        <v>0</v>
      </c>
      <c r="AE24" s="239">
        <v>0</v>
      </c>
      <c r="AF24" s="239">
        <v>0</v>
      </c>
      <c r="AG24" s="239">
        <v>0</v>
      </c>
      <c r="AH24" s="239">
        <v>0</v>
      </c>
      <c r="AI24" s="239">
        <v>0</v>
      </c>
      <c r="AJ24" s="239">
        <v>0</v>
      </c>
      <c r="AK24" s="239">
        <v>0</v>
      </c>
      <c r="AL24" s="239">
        <v>0</v>
      </c>
      <c r="AM24" s="239">
        <v>0</v>
      </c>
    </row>
    <row r="25" spans="1:39" x14ac:dyDescent="0.25">
      <c r="A25" s="649" t="s">
        <v>322</v>
      </c>
      <c r="B25" s="681" t="s">
        <v>257</v>
      </c>
      <c r="C25" s="682">
        <f t="shared" ref="C25:F25" si="41">SUM(C26:C27)</f>
        <v>0</v>
      </c>
      <c r="D25" s="682">
        <f t="shared" si="41"/>
        <v>0</v>
      </c>
      <c r="E25" s="682">
        <f t="shared" si="41"/>
        <v>0</v>
      </c>
      <c r="F25" s="682">
        <f t="shared" si="41"/>
        <v>0</v>
      </c>
      <c r="G25" s="682">
        <f t="shared" si="0"/>
        <v>0</v>
      </c>
      <c r="H25" s="682">
        <f t="shared" ref="H25:J25" si="42">SUM(H26:H27)</f>
        <v>0</v>
      </c>
      <c r="I25" s="682">
        <f t="shared" si="42"/>
        <v>0</v>
      </c>
      <c r="J25" s="682">
        <f t="shared" si="42"/>
        <v>0</v>
      </c>
      <c r="K25" s="682">
        <f t="shared" si="1"/>
        <v>0</v>
      </c>
      <c r="L25" s="682">
        <f t="shared" ref="L25:N25" si="43">SUM(L26:L27)</f>
        <v>0</v>
      </c>
      <c r="M25" s="682">
        <f t="shared" si="43"/>
        <v>0</v>
      </c>
      <c r="N25" s="682">
        <f t="shared" si="43"/>
        <v>0</v>
      </c>
      <c r="O25" s="682">
        <f t="shared" si="2"/>
        <v>0</v>
      </c>
      <c r="P25" s="682">
        <f t="shared" ref="P25:R25" si="44">SUM(P26:P27)</f>
        <v>0</v>
      </c>
      <c r="Q25" s="682">
        <f t="shared" si="44"/>
        <v>0</v>
      </c>
      <c r="R25" s="682">
        <f t="shared" si="44"/>
        <v>0</v>
      </c>
      <c r="S25" s="682">
        <f t="shared" si="3"/>
        <v>0</v>
      </c>
      <c r="T25" s="682">
        <f t="shared" ref="T25:V25" si="45">SUM(T26:T27)</f>
        <v>0</v>
      </c>
      <c r="U25" s="682">
        <f t="shared" si="45"/>
        <v>0</v>
      </c>
      <c r="V25" s="682">
        <f t="shared" si="45"/>
        <v>0</v>
      </c>
      <c r="W25" s="682">
        <f t="shared" si="4"/>
        <v>0</v>
      </c>
      <c r="X25" s="682">
        <f t="shared" ref="X25:Z25" si="46">SUM(X26:X27)</f>
        <v>0</v>
      </c>
      <c r="Y25" s="682">
        <f t="shared" si="46"/>
        <v>0</v>
      </c>
      <c r="Z25" s="682">
        <f t="shared" si="46"/>
        <v>0</v>
      </c>
      <c r="AA25" s="682">
        <f t="shared" si="5"/>
        <v>0</v>
      </c>
      <c r="AB25" s="682">
        <v>0</v>
      </c>
      <c r="AC25" s="682">
        <v>0</v>
      </c>
      <c r="AD25" s="682">
        <v>0</v>
      </c>
      <c r="AE25" s="682">
        <v>0</v>
      </c>
      <c r="AF25" s="682">
        <v>0</v>
      </c>
      <c r="AG25" s="682">
        <v>0</v>
      </c>
      <c r="AH25" s="682">
        <v>0</v>
      </c>
      <c r="AI25" s="682">
        <v>0</v>
      </c>
      <c r="AJ25" s="682">
        <f>SUM(AJ26:AJ27)</f>
        <v>63</v>
      </c>
      <c r="AK25" s="682">
        <f t="shared" ref="AK25:AL25" si="47">SUM(AK26:AK27)</f>
        <v>0</v>
      </c>
      <c r="AL25" s="682">
        <f t="shared" si="47"/>
        <v>0</v>
      </c>
      <c r="AM25" s="682">
        <f>SUM(AJ25:AL25)</f>
        <v>63</v>
      </c>
    </row>
    <row r="26" spans="1:39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>
        <v>0</v>
      </c>
      <c r="Y26" s="239">
        <v>0</v>
      </c>
      <c r="Z26" s="239">
        <v>0</v>
      </c>
      <c r="AA26" s="239">
        <f t="shared" si="5"/>
        <v>0</v>
      </c>
      <c r="AB26" s="239">
        <v>0</v>
      </c>
      <c r="AC26" s="239">
        <v>0</v>
      </c>
      <c r="AD26" s="239">
        <v>0</v>
      </c>
      <c r="AE26" s="239">
        <v>0</v>
      </c>
      <c r="AF26" s="239">
        <v>0</v>
      </c>
      <c r="AG26" s="239">
        <v>0</v>
      </c>
      <c r="AH26" s="239">
        <v>0</v>
      </c>
      <c r="AI26" s="239">
        <v>0</v>
      </c>
      <c r="AJ26" s="239">
        <v>0</v>
      </c>
      <c r="AK26" s="239">
        <v>0</v>
      </c>
      <c r="AL26" s="239">
        <v>0</v>
      </c>
      <c r="AM26" s="239">
        <v>0</v>
      </c>
    </row>
    <row r="27" spans="1:39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63</v>
      </c>
      <c r="AK27" s="239">
        <v>0</v>
      </c>
      <c r="AL27" s="239">
        <v>0</v>
      </c>
      <c r="AM27" s="239">
        <f>SUM(AJ27:AL27)</f>
        <v>63</v>
      </c>
    </row>
    <row r="28" spans="1:39" x14ac:dyDescent="0.25">
      <c r="A28" s="649" t="s">
        <v>315</v>
      </c>
      <c r="B28" s="681" t="s">
        <v>325</v>
      </c>
      <c r="C28" s="682">
        <f t="shared" ref="C28:Z28" si="48">SUM(C29:C29)</f>
        <v>0</v>
      </c>
      <c r="D28" s="682">
        <f t="shared" si="48"/>
        <v>0</v>
      </c>
      <c r="E28" s="682">
        <f t="shared" si="48"/>
        <v>0</v>
      </c>
      <c r="F28" s="682">
        <f t="shared" si="48"/>
        <v>0</v>
      </c>
      <c r="G28" s="682">
        <f t="shared" si="0"/>
        <v>0</v>
      </c>
      <c r="H28" s="682">
        <f t="shared" si="48"/>
        <v>0</v>
      </c>
      <c r="I28" s="682">
        <f t="shared" si="48"/>
        <v>0</v>
      </c>
      <c r="J28" s="682">
        <f t="shared" si="48"/>
        <v>0</v>
      </c>
      <c r="K28" s="682">
        <f t="shared" si="1"/>
        <v>0</v>
      </c>
      <c r="L28" s="682">
        <f t="shared" si="48"/>
        <v>0</v>
      </c>
      <c r="M28" s="682">
        <f t="shared" si="48"/>
        <v>0</v>
      </c>
      <c r="N28" s="682">
        <f t="shared" si="48"/>
        <v>0</v>
      </c>
      <c r="O28" s="682">
        <f t="shared" si="2"/>
        <v>0</v>
      </c>
      <c r="P28" s="682">
        <f t="shared" si="48"/>
        <v>0</v>
      </c>
      <c r="Q28" s="682">
        <f t="shared" si="48"/>
        <v>0</v>
      </c>
      <c r="R28" s="682">
        <f t="shared" si="48"/>
        <v>0</v>
      </c>
      <c r="S28" s="682">
        <f t="shared" si="3"/>
        <v>0</v>
      </c>
      <c r="T28" s="682">
        <f t="shared" si="48"/>
        <v>0</v>
      </c>
      <c r="U28" s="682">
        <f t="shared" si="48"/>
        <v>0</v>
      </c>
      <c r="V28" s="682">
        <f t="shared" si="48"/>
        <v>0</v>
      </c>
      <c r="W28" s="682">
        <f t="shared" si="4"/>
        <v>0</v>
      </c>
      <c r="X28" s="682">
        <f t="shared" si="48"/>
        <v>0</v>
      </c>
      <c r="Y28" s="682">
        <f t="shared" si="48"/>
        <v>0</v>
      </c>
      <c r="Z28" s="682">
        <f t="shared" si="48"/>
        <v>0</v>
      </c>
      <c r="AA28" s="682">
        <f t="shared" si="5"/>
        <v>0</v>
      </c>
      <c r="AB28" s="682">
        <v>0</v>
      </c>
      <c r="AC28" s="682">
        <v>0</v>
      </c>
      <c r="AD28" s="682">
        <v>0</v>
      </c>
      <c r="AE28" s="682">
        <v>0</v>
      </c>
      <c r="AF28" s="682">
        <v>0</v>
      </c>
      <c r="AG28" s="682">
        <v>0</v>
      </c>
      <c r="AH28" s="682">
        <v>0</v>
      </c>
      <c r="AI28" s="682">
        <v>0</v>
      </c>
      <c r="AJ28" s="682">
        <v>0</v>
      </c>
      <c r="AK28" s="682">
        <v>0</v>
      </c>
      <c r="AL28" s="682">
        <v>0</v>
      </c>
      <c r="AM28" s="682">
        <v>0</v>
      </c>
    </row>
    <row r="29" spans="1:39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>
        <v>0</v>
      </c>
      <c r="Y29" s="239">
        <v>0</v>
      </c>
      <c r="Z29" s="239">
        <v>0</v>
      </c>
      <c r="AA29" s="239">
        <f t="shared" si="5"/>
        <v>0</v>
      </c>
      <c r="AB29" s="239">
        <v>0</v>
      </c>
      <c r="AC29" s="239">
        <v>0</v>
      </c>
      <c r="AD29" s="239">
        <v>0</v>
      </c>
      <c r="AE29" s="239">
        <v>0</v>
      </c>
      <c r="AF29" s="239">
        <v>0</v>
      </c>
      <c r="AG29" s="239">
        <v>0</v>
      </c>
      <c r="AH29" s="239">
        <v>0</v>
      </c>
      <c r="AI29" s="239">
        <v>0</v>
      </c>
      <c r="AJ29" s="239">
        <v>0</v>
      </c>
      <c r="AK29" s="239">
        <v>0</v>
      </c>
      <c r="AL29" s="239">
        <v>0</v>
      </c>
      <c r="AM29" s="239">
        <v>0</v>
      </c>
    </row>
    <row r="30" spans="1:39" x14ac:dyDescent="0.25">
      <c r="A30" s="595"/>
      <c r="B30" s="590" t="s">
        <v>327</v>
      </c>
      <c r="C30" s="622">
        <f t="shared" ref="C30:F30" si="49">C22+C8</f>
        <v>3759</v>
      </c>
      <c r="D30" s="622">
        <f t="shared" si="49"/>
        <v>7830</v>
      </c>
      <c r="E30" s="622">
        <f t="shared" si="49"/>
        <v>0</v>
      </c>
      <c r="F30" s="622">
        <f t="shared" si="49"/>
        <v>0</v>
      </c>
      <c r="G30" s="622">
        <f t="shared" si="0"/>
        <v>7830</v>
      </c>
      <c r="H30" s="622">
        <f t="shared" ref="H30:J30" si="50">H22+H8</f>
        <v>12695</v>
      </c>
      <c r="I30" s="622">
        <f t="shared" si="50"/>
        <v>0</v>
      </c>
      <c r="J30" s="622">
        <f t="shared" si="50"/>
        <v>0</v>
      </c>
      <c r="K30" s="622">
        <f t="shared" si="1"/>
        <v>12695</v>
      </c>
      <c r="L30" s="622">
        <f t="shared" ref="L30:N30" si="51">L22+L8</f>
        <v>14869</v>
      </c>
      <c r="M30" s="622">
        <f t="shared" si="51"/>
        <v>0</v>
      </c>
      <c r="N30" s="622">
        <f t="shared" si="51"/>
        <v>0</v>
      </c>
      <c r="O30" s="622">
        <f t="shared" si="2"/>
        <v>14869</v>
      </c>
      <c r="P30" s="622">
        <f t="shared" ref="P30:R30" si="52">P22+P8</f>
        <v>5996</v>
      </c>
      <c r="Q30" s="622">
        <f t="shared" si="52"/>
        <v>0</v>
      </c>
      <c r="R30" s="622">
        <f t="shared" si="52"/>
        <v>0</v>
      </c>
      <c r="S30" s="622">
        <f t="shared" si="3"/>
        <v>5996</v>
      </c>
      <c r="T30" s="622">
        <f t="shared" ref="T30:V30" si="53">T22+T8</f>
        <v>3607</v>
      </c>
      <c r="U30" s="622">
        <f t="shared" si="53"/>
        <v>0</v>
      </c>
      <c r="V30" s="622">
        <f t="shared" si="53"/>
        <v>0</v>
      </c>
      <c r="W30" s="622">
        <f t="shared" si="4"/>
        <v>3607</v>
      </c>
      <c r="X30" s="622">
        <f t="shared" ref="X30:AE30" si="54">X22+X8</f>
        <v>5492</v>
      </c>
      <c r="Y30" s="622">
        <f t="shared" si="54"/>
        <v>0</v>
      </c>
      <c r="Z30" s="622">
        <f t="shared" si="54"/>
        <v>0</v>
      </c>
      <c r="AA30" s="622">
        <f t="shared" si="5"/>
        <v>5492</v>
      </c>
      <c r="AB30" s="622">
        <f t="shared" si="54"/>
        <v>14067</v>
      </c>
      <c r="AC30" s="622">
        <f t="shared" si="54"/>
        <v>0</v>
      </c>
      <c r="AD30" s="622">
        <f t="shared" si="54"/>
        <v>0</v>
      </c>
      <c r="AE30" s="622">
        <f t="shared" si="54"/>
        <v>10944</v>
      </c>
      <c r="AF30" s="622">
        <f t="shared" ref="AF30:AI30" si="55">AF22+AF8</f>
        <v>24122</v>
      </c>
      <c r="AG30" s="622">
        <f t="shared" si="55"/>
        <v>0</v>
      </c>
      <c r="AH30" s="622">
        <f t="shared" si="55"/>
        <v>0</v>
      </c>
      <c r="AI30" s="622">
        <f t="shared" si="55"/>
        <v>24122</v>
      </c>
      <c r="AJ30" s="622">
        <f t="shared" ref="AJ30:AM30" si="56">AJ22+AJ8</f>
        <v>16290</v>
      </c>
      <c r="AK30" s="622">
        <f t="shared" si="56"/>
        <v>0</v>
      </c>
      <c r="AL30" s="622">
        <f t="shared" si="56"/>
        <v>0</v>
      </c>
      <c r="AM30" s="622">
        <f t="shared" si="56"/>
        <v>16290</v>
      </c>
    </row>
    <row r="31" spans="1:39" x14ac:dyDescent="0.25">
      <c r="A31" s="293" t="s">
        <v>328</v>
      </c>
      <c r="B31" s="294" t="s">
        <v>329</v>
      </c>
      <c r="C31" s="295">
        <f t="shared" ref="C31:AM31" si="57">C32</f>
        <v>156751</v>
      </c>
      <c r="D31" s="295">
        <f t="shared" si="57"/>
        <v>358109</v>
      </c>
      <c r="E31" s="295">
        <f t="shared" si="57"/>
        <v>0</v>
      </c>
      <c r="F31" s="295">
        <f t="shared" si="57"/>
        <v>0</v>
      </c>
      <c r="G31" s="295">
        <f t="shared" si="0"/>
        <v>358109</v>
      </c>
      <c r="H31" s="295">
        <f t="shared" si="57"/>
        <v>358375</v>
      </c>
      <c r="I31" s="295">
        <f t="shared" si="57"/>
        <v>0</v>
      </c>
      <c r="J31" s="295">
        <f t="shared" si="57"/>
        <v>0</v>
      </c>
      <c r="K31" s="295">
        <f t="shared" si="1"/>
        <v>358375</v>
      </c>
      <c r="L31" s="295">
        <f t="shared" si="57"/>
        <v>358491</v>
      </c>
      <c r="M31" s="295">
        <f t="shared" si="57"/>
        <v>0</v>
      </c>
      <c r="N31" s="295">
        <f t="shared" si="57"/>
        <v>0</v>
      </c>
      <c r="O31" s="295">
        <f t="shared" si="2"/>
        <v>358491</v>
      </c>
      <c r="P31" s="295">
        <f t="shared" si="57"/>
        <v>152799</v>
      </c>
      <c r="Q31" s="295">
        <f t="shared" si="57"/>
        <v>0</v>
      </c>
      <c r="R31" s="295">
        <f t="shared" si="57"/>
        <v>0</v>
      </c>
      <c r="S31" s="295">
        <f t="shared" si="3"/>
        <v>152799</v>
      </c>
      <c r="T31" s="295">
        <f t="shared" si="57"/>
        <v>115517</v>
      </c>
      <c r="U31" s="295">
        <f t="shared" si="57"/>
        <v>0</v>
      </c>
      <c r="V31" s="295">
        <f t="shared" si="57"/>
        <v>0</v>
      </c>
      <c r="W31" s="295">
        <f t="shared" si="4"/>
        <v>115517</v>
      </c>
      <c r="X31" s="295">
        <f t="shared" si="57"/>
        <v>367763</v>
      </c>
      <c r="Y31" s="295">
        <f t="shared" si="57"/>
        <v>0</v>
      </c>
      <c r="Z31" s="295">
        <f t="shared" si="57"/>
        <v>0</v>
      </c>
      <c r="AA31" s="295">
        <f t="shared" si="57"/>
        <v>367763</v>
      </c>
      <c r="AB31" s="295">
        <f t="shared" si="57"/>
        <v>368272</v>
      </c>
      <c r="AC31" s="295">
        <f t="shared" si="57"/>
        <v>0</v>
      </c>
      <c r="AD31" s="295">
        <f t="shared" si="57"/>
        <v>0</v>
      </c>
      <c r="AE31" s="295">
        <f t="shared" si="57"/>
        <v>368272</v>
      </c>
      <c r="AF31" s="295">
        <f t="shared" si="57"/>
        <v>368508</v>
      </c>
      <c r="AG31" s="295">
        <f t="shared" si="57"/>
        <v>0</v>
      </c>
      <c r="AH31" s="295">
        <f t="shared" si="57"/>
        <v>0</v>
      </c>
      <c r="AI31" s="295">
        <f t="shared" si="57"/>
        <v>368508</v>
      </c>
      <c r="AJ31" s="295">
        <f t="shared" si="57"/>
        <v>176937</v>
      </c>
      <c r="AK31" s="295">
        <f t="shared" si="57"/>
        <v>0</v>
      </c>
      <c r="AL31" s="295">
        <f t="shared" si="57"/>
        <v>0</v>
      </c>
      <c r="AM31" s="295">
        <f t="shared" si="57"/>
        <v>176937</v>
      </c>
    </row>
    <row r="32" spans="1:39" x14ac:dyDescent="0.25">
      <c r="A32" s="296" t="s">
        <v>311</v>
      </c>
      <c r="B32" s="297" t="s">
        <v>330</v>
      </c>
      <c r="C32" s="298">
        <f t="shared" ref="C32:F32" si="58">SUM(C33:C34)</f>
        <v>156751</v>
      </c>
      <c r="D32" s="298">
        <f t="shared" si="58"/>
        <v>358109</v>
      </c>
      <c r="E32" s="298">
        <f t="shared" si="58"/>
        <v>0</v>
      </c>
      <c r="F32" s="298">
        <f t="shared" si="58"/>
        <v>0</v>
      </c>
      <c r="G32" s="298">
        <f t="shared" si="0"/>
        <v>358109</v>
      </c>
      <c r="H32" s="298">
        <f t="shared" ref="H32:J32" si="59">SUM(H33:H34)</f>
        <v>358375</v>
      </c>
      <c r="I32" s="298">
        <f t="shared" si="59"/>
        <v>0</v>
      </c>
      <c r="J32" s="298">
        <f t="shared" si="59"/>
        <v>0</v>
      </c>
      <c r="K32" s="298">
        <f t="shared" si="1"/>
        <v>358375</v>
      </c>
      <c r="L32" s="298">
        <f t="shared" ref="L32:N32" si="60">SUM(L33:L34)</f>
        <v>358491</v>
      </c>
      <c r="M32" s="298">
        <f t="shared" si="60"/>
        <v>0</v>
      </c>
      <c r="N32" s="298">
        <f t="shared" si="60"/>
        <v>0</v>
      </c>
      <c r="O32" s="298">
        <f t="shared" si="2"/>
        <v>358491</v>
      </c>
      <c r="P32" s="298">
        <f t="shared" ref="P32:R32" si="61">SUM(P33:P34)</f>
        <v>152799</v>
      </c>
      <c r="Q32" s="298">
        <f t="shared" si="61"/>
        <v>0</v>
      </c>
      <c r="R32" s="298">
        <f t="shared" si="61"/>
        <v>0</v>
      </c>
      <c r="S32" s="298">
        <f t="shared" si="3"/>
        <v>152799</v>
      </c>
      <c r="T32" s="298">
        <f t="shared" ref="T32:V32" si="62">SUM(T33:T34)</f>
        <v>115517</v>
      </c>
      <c r="U32" s="298">
        <f t="shared" si="62"/>
        <v>0</v>
      </c>
      <c r="V32" s="298">
        <f t="shared" si="62"/>
        <v>0</v>
      </c>
      <c r="W32" s="298">
        <f t="shared" si="4"/>
        <v>115517</v>
      </c>
      <c r="X32" s="298">
        <f t="shared" ref="X32:AE32" si="63">SUM(X33:X34)</f>
        <v>367763</v>
      </c>
      <c r="Y32" s="298">
        <f t="shared" si="63"/>
        <v>0</v>
      </c>
      <c r="Z32" s="298">
        <f t="shared" si="63"/>
        <v>0</v>
      </c>
      <c r="AA32" s="298">
        <f t="shared" si="63"/>
        <v>367763</v>
      </c>
      <c r="AB32" s="298">
        <f t="shared" si="63"/>
        <v>368272</v>
      </c>
      <c r="AC32" s="298">
        <f t="shared" si="63"/>
        <v>0</v>
      </c>
      <c r="AD32" s="298">
        <f t="shared" si="63"/>
        <v>0</v>
      </c>
      <c r="AE32" s="298">
        <f t="shared" si="63"/>
        <v>368272</v>
      </c>
      <c r="AF32" s="298">
        <f t="shared" ref="AF32:AH32" si="64">SUM(AF33:AF34)</f>
        <v>368508</v>
      </c>
      <c r="AG32" s="298">
        <f t="shared" si="64"/>
        <v>0</v>
      </c>
      <c r="AH32" s="298">
        <f t="shared" si="64"/>
        <v>0</v>
      </c>
      <c r="AI32" s="298">
        <f>SUM(AF32:AH32)</f>
        <v>368508</v>
      </c>
      <c r="AJ32" s="298">
        <f t="shared" ref="AJ32:AL32" si="65">SUM(AJ33:AJ34)</f>
        <v>176937</v>
      </c>
      <c r="AK32" s="298">
        <f t="shared" si="65"/>
        <v>0</v>
      </c>
      <c r="AL32" s="298">
        <f t="shared" si="65"/>
        <v>0</v>
      </c>
      <c r="AM32" s="298">
        <f>SUM(AJ32:AL32)</f>
        <v>176937</v>
      </c>
    </row>
    <row r="33" spans="1:39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0</v>
      </c>
      <c r="I33" s="239">
        <v>0</v>
      </c>
      <c r="J33" s="239">
        <v>0</v>
      </c>
      <c r="K33" s="239">
        <f t="shared" si="1"/>
        <v>0</v>
      </c>
      <c r="L33" s="239">
        <v>0</v>
      </c>
      <c r="M33" s="239">
        <v>0</v>
      </c>
      <c r="N33" s="239">
        <v>0</v>
      </c>
      <c r="O33" s="239">
        <f t="shared" si="2"/>
        <v>0</v>
      </c>
      <c r="P33" s="239">
        <v>1963</v>
      </c>
      <c r="Q33" s="239">
        <v>0</v>
      </c>
      <c r="R33" s="239">
        <v>0</v>
      </c>
      <c r="S33" s="239">
        <f t="shared" si="3"/>
        <v>1963</v>
      </c>
      <c r="T33" s="239">
        <v>0</v>
      </c>
      <c r="U33" s="239">
        <v>0</v>
      </c>
      <c r="V33" s="239">
        <v>0</v>
      </c>
      <c r="W33" s="239">
        <f t="shared" si="4"/>
        <v>0</v>
      </c>
      <c r="X33" s="239">
        <v>0</v>
      </c>
      <c r="Y33" s="239">
        <v>0</v>
      </c>
      <c r="Z33" s="239">
        <v>0</v>
      </c>
      <c r="AA33" s="239">
        <f t="shared" si="5"/>
        <v>0</v>
      </c>
      <c r="AB33" s="239">
        <v>163</v>
      </c>
      <c r="AC33" s="239">
        <v>0</v>
      </c>
      <c r="AD33" s="239">
        <v>0</v>
      </c>
      <c r="AE33" s="239">
        <f>SUM(AB33:AD33)</f>
        <v>163</v>
      </c>
      <c r="AF33" s="239">
        <v>163</v>
      </c>
      <c r="AG33" s="239"/>
      <c r="AH33" s="239"/>
      <c r="AI33" s="239">
        <f>SUM(AF33:AH33)</f>
        <v>163</v>
      </c>
      <c r="AJ33" s="239">
        <v>163</v>
      </c>
      <c r="AK33" s="239">
        <v>0</v>
      </c>
      <c r="AL33" s="239">
        <v>0</v>
      </c>
      <c r="AM33" s="239">
        <f>SUM(AJ33:AL33)</f>
        <v>163</v>
      </c>
    </row>
    <row r="34" spans="1:39" x14ac:dyDescent="0.25">
      <c r="A34" s="328"/>
      <c r="B34" s="301" t="s">
        <v>332</v>
      </c>
      <c r="C34" s="239">
        <f>C36+C42-C8-C22-C33</f>
        <v>156751</v>
      </c>
      <c r="D34" s="239">
        <f t="shared" ref="D34:F34" si="66">D36+D42-D8-D22-D33</f>
        <v>358109</v>
      </c>
      <c r="E34" s="239">
        <f t="shared" si="66"/>
        <v>0</v>
      </c>
      <c r="F34" s="239">
        <f t="shared" si="66"/>
        <v>0</v>
      </c>
      <c r="G34" s="239">
        <f t="shared" si="0"/>
        <v>358109</v>
      </c>
      <c r="H34" s="239">
        <v>358375</v>
      </c>
      <c r="I34" s="239">
        <f t="shared" ref="I34:J34" si="67">I36+I42-I8-I22-I33</f>
        <v>0</v>
      </c>
      <c r="J34" s="239">
        <f t="shared" si="67"/>
        <v>0</v>
      </c>
      <c r="K34" s="239">
        <f t="shared" si="1"/>
        <v>358375</v>
      </c>
      <c r="L34" s="239">
        <v>358491</v>
      </c>
      <c r="M34" s="239">
        <f t="shared" ref="M34:N34" si="68">M36+M42-M8-M22-M33</f>
        <v>0</v>
      </c>
      <c r="N34" s="239">
        <f t="shared" si="68"/>
        <v>0</v>
      </c>
      <c r="O34" s="239">
        <f t="shared" si="2"/>
        <v>358491</v>
      </c>
      <c r="P34" s="239">
        <f t="shared" ref="P34:R34" si="69">P36+P42-P8-P22-P33</f>
        <v>150836</v>
      </c>
      <c r="Q34" s="239">
        <f t="shared" si="69"/>
        <v>0</v>
      </c>
      <c r="R34" s="239">
        <f t="shared" si="69"/>
        <v>0</v>
      </c>
      <c r="S34" s="239">
        <f t="shared" si="3"/>
        <v>150836</v>
      </c>
      <c r="T34" s="239">
        <v>115517</v>
      </c>
      <c r="U34" s="239">
        <f t="shared" ref="U34:V34" si="70">U36+U42-U8-U22-U33</f>
        <v>0</v>
      </c>
      <c r="V34" s="239">
        <f t="shared" si="70"/>
        <v>0</v>
      </c>
      <c r="W34" s="239">
        <v>115518</v>
      </c>
      <c r="X34" s="239">
        <f t="shared" ref="X34:AD34" si="71">X36+X42-X8-X22-X33</f>
        <v>367763</v>
      </c>
      <c r="Y34" s="239">
        <f t="shared" si="71"/>
        <v>0</v>
      </c>
      <c r="Z34" s="239">
        <f t="shared" si="71"/>
        <v>0</v>
      </c>
      <c r="AA34" s="239">
        <f t="shared" si="71"/>
        <v>367763</v>
      </c>
      <c r="AB34" s="239">
        <v>368109</v>
      </c>
      <c r="AC34" s="239">
        <f t="shared" si="71"/>
        <v>0</v>
      </c>
      <c r="AD34" s="239">
        <f t="shared" si="71"/>
        <v>0</v>
      </c>
      <c r="AE34" s="239">
        <f>SUM(AB34:AD34)</f>
        <v>368109</v>
      </c>
      <c r="AF34" s="239">
        <v>368345</v>
      </c>
      <c r="AG34" s="239"/>
      <c r="AH34" s="239"/>
      <c r="AI34" s="239">
        <f>SUM(AF34:AH34)</f>
        <v>368345</v>
      </c>
      <c r="AJ34" s="239">
        <v>176774</v>
      </c>
      <c r="AK34" s="239"/>
      <c r="AL34" s="239"/>
      <c r="AM34" s="239">
        <f>SUM(AJ34:AL34)</f>
        <v>176774</v>
      </c>
    </row>
    <row r="35" spans="1:39" x14ac:dyDescent="0.25">
      <c r="A35" s="649"/>
      <c r="B35" s="650" t="s">
        <v>333</v>
      </c>
      <c r="C35" s="638">
        <f t="shared" ref="C35:F35" si="72">C31+C22+C8</f>
        <v>160510</v>
      </c>
      <c r="D35" s="638">
        <f t="shared" si="72"/>
        <v>365939</v>
      </c>
      <c r="E35" s="638">
        <f t="shared" si="72"/>
        <v>0</v>
      </c>
      <c r="F35" s="638">
        <f t="shared" si="72"/>
        <v>0</v>
      </c>
      <c r="G35" s="638">
        <f t="shared" si="0"/>
        <v>365939</v>
      </c>
      <c r="H35" s="638">
        <f t="shared" ref="H35:J35" si="73">H31+H22+H8</f>
        <v>371070</v>
      </c>
      <c r="I35" s="638">
        <f t="shared" si="73"/>
        <v>0</v>
      </c>
      <c r="J35" s="638">
        <f t="shared" si="73"/>
        <v>0</v>
      </c>
      <c r="K35" s="638">
        <f t="shared" si="1"/>
        <v>371070</v>
      </c>
      <c r="L35" s="638">
        <f t="shared" ref="L35:N35" si="74">L31+L22+L8</f>
        <v>373360</v>
      </c>
      <c r="M35" s="638">
        <f t="shared" si="74"/>
        <v>0</v>
      </c>
      <c r="N35" s="638">
        <f t="shared" si="74"/>
        <v>0</v>
      </c>
      <c r="O35" s="638">
        <f t="shared" si="2"/>
        <v>373360</v>
      </c>
      <c r="P35" s="638">
        <f t="shared" ref="P35:R35" si="75">P31+P22+P8</f>
        <v>158795</v>
      </c>
      <c r="Q35" s="638">
        <f t="shared" si="75"/>
        <v>0</v>
      </c>
      <c r="R35" s="638">
        <f t="shared" si="75"/>
        <v>0</v>
      </c>
      <c r="S35" s="638">
        <f t="shared" si="3"/>
        <v>158795</v>
      </c>
      <c r="T35" s="638">
        <f t="shared" ref="T35:V35" si="76">T31+T22+T8</f>
        <v>119124</v>
      </c>
      <c r="U35" s="638">
        <f t="shared" si="76"/>
        <v>0</v>
      </c>
      <c r="V35" s="638">
        <f t="shared" si="76"/>
        <v>0</v>
      </c>
      <c r="W35" s="638">
        <f t="shared" si="4"/>
        <v>119124</v>
      </c>
      <c r="X35" s="638">
        <f t="shared" ref="X35:AE35" si="77">X31+X22+X8</f>
        <v>373255</v>
      </c>
      <c r="Y35" s="638">
        <f t="shared" si="77"/>
        <v>0</v>
      </c>
      <c r="Z35" s="638">
        <f t="shared" si="77"/>
        <v>0</v>
      </c>
      <c r="AA35" s="638">
        <f t="shared" si="77"/>
        <v>373255</v>
      </c>
      <c r="AB35" s="638">
        <f t="shared" si="77"/>
        <v>382339</v>
      </c>
      <c r="AC35" s="638">
        <f t="shared" si="77"/>
        <v>0</v>
      </c>
      <c r="AD35" s="638">
        <f t="shared" si="77"/>
        <v>0</v>
      </c>
      <c r="AE35" s="638">
        <f t="shared" si="77"/>
        <v>379216</v>
      </c>
      <c r="AF35" s="638">
        <f>AF31+AF22+AF8</f>
        <v>392630</v>
      </c>
      <c r="AG35" s="638">
        <f t="shared" ref="AG35:AI35" si="78">AG31+AG22+AG8</f>
        <v>0</v>
      </c>
      <c r="AH35" s="638">
        <f t="shared" si="78"/>
        <v>0</v>
      </c>
      <c r="AI35" s="638">
        <f t="shared" si="78"/>
        <v>392630</v>
      </c>
      <c r="AJ35" s="638">
        <f t="shared" ref="AJ35:AM35" si="79">AJ31+AJ22+AJ8</f>
        <v>193227</v>
      </c>
      <c r="AK35" s="638">
        <f t="shared" si="79"/>
        <v>0</v>
      </c>
      <c r="AL35" s="638">
        <f t="shared" si="79"/>
        <v>0</v>
      </c>
      <c r="AM35" s="638">
        <f t="shared" si="79"/>
        <v>193227</v>
      </c>
    </row>
    <row r="36" spans="1:39" x14ac:dyDescent="0.25">
      <c r="A36" s="293" t="s">
        <v>309</v>
      </c>
      <c r="B36" s="294" t="s">
        <v>334</v>
      </c>
      <c r="C36" s="295">
        <f t="shared" ref="C36" si="80">SUM(C37:C41)</f>
        <v>159748</v>
      </c>
      <c r="D36" s="295">
        <f t="shared" ref="D36:F36" si="81">SUM(D37:D41)</f>
        <v>365939</v>
      </c>
      <c r="E36" s="295">
        <f t="shared" si="81"/>
        <v>0</v>
      </c>
      <c r="F36" s="295">
        <f t="shared" si="81"/>
        <v>0</v>
      </c>
      <c r="G36" s="295">
        <f t="shared" si="0"/>
        <v>365939</v>
      </c>
      <c r="H36" s="295">
        <f>SUM(H37:H41)</f>
        <v>371044</v>
      </c>
      <c r="I36" s="295">
        <f t="shared" ref="I36:J36" si="82">SUM(I37:I41)</f>
        <v>0</v>
      </c>
      <c r="J36" s="295">
        <f t="shared" si="82"/>
        <v>0</v>
      </c>
      <c r="K36" s="295">
        <f t="shared" si="1"/>
        <v>371044</v>
      </c>
      <c r="L36" s="295">
        <f>SUM(L37:L41)</f>
        <v>371337</v>
      </c>
      <c r="M36" s="295">
        <f t="shared" ref="M36:N36" si="83">SUM(M37:M41)</f>
        <v>0</v>
      </c>
      <c r="N36" s="295">
        <f t="shared" si="83"/>
        <v>0</v>
      </c>
      <c r="O36" s="295">
        <f t="shared" si="2"/>
        <v>371337</v>
      </c>
      <c r="P36" s="295">
        <f>SUM(P37:P41)</f>
        <v>158391</v>
      </c>
      <c r="Q36" s="295">
        <f t="shared" ref="Q36:R36" si="84">SUM(Q37:Q41)</f>
        <v>0</v>
      </c>
      <c r="R36" s="295">
        <f t="shared" si="84"/>
        <v>0</v>
      </c>
      <c r="S36" s="295">
        <f t="shared" si="3"/>
        <v>158391</v>
      </c>
      <c r="T36" s="295">
        <f>SUM(T37:T41)</f>
        <v>115141</v>
      </c>
      <c r="U36" s="295">
        <f t="shared" ref="U36:V36" si="85">SUM(U37:U41)</f>
        <v>0</v>
      </c>
      <c r="V36" s="295">
        <f t="shared" si="85"/>
        <v>0</v>
      </c>
      <c r="W36" s="295">
        <f t="shared" si="4"/>
        <v>115141</v>
      </c>
      <c r="X36" s="295">
        <f>SUM(X37:X41)</f>
        <v>373255</v>
      </c>
      <c r="Y36" s="295">
        <f t="shared" ref="Y36:Z36" si="86">SUM(Y37:Y41)</f>
        <v>0</v>
      </c>
      <c r="Z36" s="295">
        <f t="shared" si="86"/>
        <v>0</v>
      </c>
      <c r="AA36" s="295">
        <f t="shared" si="5"/>
        <v>373255</v>
      </c>
      <c r="AB36" s="295">
        <f>SUM(AB37:AB41)</f>
        <v>381868</v>
      </c>
      <c r="AC36" s="295">
        <f t="shared" ref="AC36:AE36" si="87">SUM(AC37:AC41)</f>
        <v>0</v>
      </c>
      <c r="AD36" s="295">
        <f t="shared" si="87"/>
        <v>0</v>
      </c>
      <c r="AE36" s="295">
        <f t="shared" si="87"/>
        <v>381868</v>
      </c>
      <c r="AF36" s="295">
        <f>SUM(AF37:AF41)</f>
        <v>391951</v>
      </c>
      <c r="AG36" s="295">
        <f t="shared" ref="AG36:AI36" si="88">SUM(AG37:AG41)</f>
        <v>0</v>
      </c>
      <c r="AH36" s="295">
        <f t="shared" si="88"/>
        <v>0</v>
      </c>
      <c r="AI36" s="295">
        <f t="shared" si="88"/>
        <v>391951</v>
      </c>
      <c r="AJ36" s="295">
        <f>SUM(AJ37:AJ41)</f>
        <v>190458</v>
      </c>
      <c r="AK36" s="295">
        <f t="shared" ref="AK36:AM36" si="89">SUM(AK37:AK41)</f>
        <v>0</v>
      </c>
      <c r="AL36" s="295">
        <f t="shared" si="89"/>
        <v>0</v>
      </c>
      <c r="AM36" s="295">
        <f t="shared" si="89"/>
        <v>190458</v>
      </c>
    </row>
    <row r="37" spans="1:39" x14ac:dyDescent="0.25">
      <c r="A37" s="678" t="s">
        <v>311</v>
      </c>
      <c r="B37" s="679" t="s">
        <v>286</v>
      </c>
      <c r="C37" s="680">
        <f>'5H GSZNR fel'!C23+'5H GSZNR fel'!C29</f>
        <v>98829</v>
      </c>
      <c r="D37" s="680">
        <v>256867</v>
      </c>
      <c r="E37" s="680">
        <v>0</v>
      </c>
      <c r="F37" s="680">
        <v>0</v>
      </c>
      <c r="G37" s="680">
        <f t="shared" si="0"/>
        <v>256867</v>
      </c>
      <c r="H37" s="680">
        <v>261509</v>
      </c>
      <c r="I37" s="680">
        <v>0</v>
      </c>
      <c r="J37" s="680">
        <v>0</v>
      </c>
      <c r="K37" s="680">
        <f>SUM(H37:J37)</f>
        <v>261509</v>
      </c>
      <c r="L37" s="680">
        <v>263587</v>
      </c>
      <c r="M37" s="680">
        <v>0</v>
      </c>
      <c r="N37" s="680">
        <v>0</v>
      </c>
      <c r="O37" s="680">
        <f>SUM(L37:N37)</f>
        <v>263587</v>
      </c>
      <c r="P37" s="680">
        <f>'5H GSZNR fel'!O23+'5H GSZNR fel'!O29</f>
        <v>100465</v>
      </c>
      <c r="Q37" s="680">
        <f>'5H GSZNR fel'!M23+'5H GSZNR fel'!M29</f>
        <v>0</v>
      </c>
      <c r="R37" s="680">
        <v>0</v>
      </c>
      <c r="S37" s="680">
        <f>SUM(P37:R37)</f>
        <v>100465</v>
      </c>
      <c r="T37" s="680">
        <v>87296</v>
      </c>
      <c r="U37" s="680">
        <f>'5H GSZNR fel'!Q23+'5H GSZNR fel'!Q29</f>
        <v>0</v>
      </c>
      <c r="V37" s="680">
        <v>0</v>
      </c>
      <c r="W37" s="680">
        <f>SUM(T37:V37)</f>
        <v>87296</v>
      </c>
      <c r="X37" s="680">
        <v>257909</v>
      </c>
      <c r="Y37" s="680">
        <v>0</v>
      </c>
      <c r="Z37" s="680">
        <v>0</v>
      </c>
      <c r="AA37" s="680">
        <f>SUM(X37:Z37)</f>
        <v>257909</v>
      </c>
      <c r="AB37" s="680">
        <v>265576</v>
      </c>
      <c r="AC37" s="680">
        <v>0</v>
      </c>
      <c r="AD37" s="680">
        <v>0</v>
      </c>
      <c r="AE37" s="680">
        <f>SUM(AB37:AD37)</f>
        <v>265576</v>
      </c>
      <c r="AF37" s="680">
        <v>274026</v>
      </c>
      <c r="AG37" s="680"/>
      <c r="AH37" s="680"/>
      <c r="AI37" s="680">
        <f>SUM(AF37:AH37)</f>
        <v>274026</v>
      </c>
      <c r="AJ37" s="680">
        <v>136432</v>
      </c>
      <c r="AK37" s="680"/>
      <c r="AL37" s="680"/>
      <c r="AM37" s="680">
        <f>SUM(AJ37:AL37)</f>
        <v>136432</v>
      </c>
    </row>
    <row r="38" spans="1:39" x14ac:dyDescent="0.25">
      <c r="A38" s="678" t="s">
        <v>322</v>
      </c>
      <c r="B38" s="679" t="s">
        <v>335</v>
      </c>
      <c r="C38" s="680">
        <f>'5H GSZNR fel'!C24+'5H GSZNR fel'!C30</f>
        <v>23139</v>
      </c>
      <c r="D38" s="680">
        <v>50572</v>
      </c>
      <c r="E38" s="680">
        <v>0</v>
      </c>
      <c r="F38" s="680">
        <v>0</v>
      </c>
      <c r="G38" s="680">
        <f t="shared" si="0"/>
        <v>50572</v>
      </c>
      <c r="H38" s="680">
        <v>51061</v>
      </c>
      <c r="I38" s="680">
        <v>0</v>
      </c>
      <c r="J38" s="680">
        <v>0</v>
      </c>
      <c r="K38" s="680">
        <f>SUM(H38:J38)</f>
        <v>51061</v>
      </c>
      <c r="L38" s="680">
        <v>51273</v>
      </c>
      <c r="M38" s="680">
        <v>0</v>
      </c>
      <c r="N38" s="680">
        <v>0</v>
      </c>
      <c r="O38" s="680">
        <f>SUM(L38:N38)</f>
        <v>51273</v>
      </c>
      <c r="P38" s="680">
        <f>'5H GSZNR fel'!O24+'5H GSZNR fel'!O30</f>
        <v>24470</v>
      </c>
      <c r="Q38" s="680">
        <f>'5H GSZNR fel'!M24+'5H GSZNR fel'!M30</f>
        <v>0</v>
      </c>
      <c r="R38" s="680">
        <v>0</v>
      </c>
      <c r="S38" s="680">
        <f>SUM(P38:R38)</f>
        <v>24470</v>
      </c>
      <c r="T38" s="680">
        <v>17402</v>
      </c>
      <c r="U38" s="680">
        <f>'5H GSZNR fel'!Q24+'5H GSZNR fel'!Q30</f>
        <v>0</v>
      </c>
      <c r="V38" s="680">
        <v>0</v>
      </c>
      <c r="W38" s="680">
        <f>SUM(T38:V38)</f>
        <v>17402</v>
      </c>
      <c r="X38" s="680">
        <v>50072</v>
      </c>
      <c r="Y38" s="680">
        <v>0</v>
      </c>
      <c r="Z38" s="680">
        <v>0</v>
      </c>
      <c r="AA38" s="680">
        <f>SUM(X38:Z38)</f>
        <v>50072</v>
      </c>
      <c r="AB38" s="680">
        <v>50855</v>
      </c>
      <c r="AC38" s="680">
        <v>0</v>
      </c>
      <c r="AD38" s="680">
        <v>0</v>
      </c>
      <c r="AE38" s="680">
        <f t="shared" ref="AE38:AE39" si="90">SUM(AB38:AD38)</f>
        <v>50855</v>
      </c>
      <c r="AF38" s="680">
        <v>51736</v>
      </c>
      <c r="AG38" s="680"/>
      <c r="AH38" s="680"/>
      <c r="AI38" s="680">
        <f t="shared" ref="AI38:AI39" si="91">SUM(AF38:AH38)</f>
        <v>51736</v>
      </c>
      <c r="AJ38" s="680">
        <v>26303</v>
      </c>
      <c r="AK38" s="680"/>
      <c r="AL38" s="680"/>
      <c r="AM38" s="680">
        <f t="shared" ref="AM38:AM39" si="92">SUM(AJ38:AL38)</f>
        <v>26303</v>
      </c>
    </row>
    <row r="39" spans="1:39" x14ac:dyDescent="0.25">
      <c r="A39" s="678" t="s">
        <v>315</v>
      </c>
      <c r="B39" s="679" t="s">
        <v>292</v>
      </c>
      <c r="C39" s="680">
        <f>'5H GSZNR fel'!C25+'5H GSZNR fel'!C31</f>
        <v>37780</v>
      </c>
      <c r="D39" s="680">
        <v>58500</v>
      </c>
      <c r="E39" s="680">
        <v>0</v>
      </c>
      <c r="F39" s="680">
        <v>0</v>
      </c>
      <c r="G39" s="680">
        <f t="shared" si="0"/>
        <v>58500</v>
      </c>
      <c r="H39" s="680">
        <v>58474</v>
      </c>
      <c r="I39" s="680">
        <v>0</v>
      </c>
      <c r="J39" s="680">
        <v>0</v>
      </c>
      <c r="K39" s="680">
        <f>SUM(H39:J39)</f>
        <v>58474</v>
      </c>
      <c r="L39" s="680">
        <v>56477</v>
      </c>
      <c r="M39" s="680">
        <v>0</v>
      </c>
      <c r="N39" s="680">
        <v>0</v>
      </c>
      <c r="O39" s="680">
        <f>SUM(L39:N39)</f>
        <v>56477</v>
      </c>
      <c r="P39" s="680">
        <f>'5H GSZNR fel'!O25+'5H GSZNR fel'!O31</f>
        <v>31503</v>
      </c>
      <c r="Q39" s="680">
        <f>'5H GSZNR fel'!M25+'5H GSZNR fel'!M31</f>
        <v>0</v>
      </c>
      <c r="R39" s="680">
        <v>0</v>
      </c>
      <c r="S39" s="680">
        <f>SUM(P39:R39)</f>
        <v>31503</v>
      </c>
      <c r="T39" s="680">
        <v>10443</v>
      </c>
      <c r="U39" s="680">
        <f>'5H GSZNR fel'!Q25+'5H GSZNR fel'!Q31</f>
        <v>0</v>
      </c>
      <c r="V39" s="680">
        <v>0</v>
      </c>
      <c r="W39" s="680">
        <f>SUM(T39:V39)</f>
        <v>10443</v>
      </c>
      <c r="X39" s="680">
        <v>65274</v>
      </c>
      <c r="Y39" s="680">
        <v>0</v>
      </c>
      <c r="Z39" s="680">
        <v>0</v>
      </c>
      <c r="AA39" s="680">
        <f>SUM(X39:Z39)</f>
        <v>65274</v>
      </c>
      <c r="AB39" s="680">
        <v>65437</v>
      </c>
      <c r="AC39" s="680">
        <v>0</v>
      </c>
      <c r="AD39" s="680">
        <v>0</v>
      </c>
      <c r="AE39" s="680">
        <f t="shared" si="90"/>
        <v>65437</v>
      </c>
      <c r="AF39" s="680">
        <v>66189</v>
      </c>
      <c r="AG39" s="680"/>
      <c r="AH39" s="680"/>
      <c r="AI39" s="680">
        <f t="shared" si="91"/>
        <v>66189</v>
      </c>
      <c r="AJ39" s="680">
        <v>27723</v>
      </c>
      <c r="AK39" s="680"/>
      <c r="AL39" s="680"/>
      <c r="AM39" s="680">
        <f t="shared" si="92"/>
        <v>27723</v>
      </c>
    </row>
    <row r="40" spans="1:39" x14ac:dyDescent="0.25">
      <c r="A40" s="678" t="s">
        <v>336</v>
      </c>
      <c r="B40" s="679" t="s">
        <v>337</v>
      </c>
      <c r="C40" s="680">
        <v>0</v>
      </c>
      <c r="D40" s="680">
        <v>0</v>
      </c>
      <c r="E40" s="680">
        <v>0</v>
      </c>
      <c r="F40" s="680">
        <v>0</v>
      </c>
      <c r="G40" s="680">
        <f t="shared" si="0"/>
        <v>0</v>
      </c>
      <c r="H40" s="680">
        <v>0</v>
      </c>
      <c r="I40" s="680">
        <v>0</v>
      </c>
      <c r="J40" s="680">
        <v>0</v>
      </c>
      <c r="K40" s="680">
        <f t="shared" si="1"/>
        <v>0</v>
      </c>
      <c r="L40" s="680">
        <v>0</v>
      </c>
      <c r="M40" s="680">
        <v>0</v>
      </c>
      <c r="N40" s="680">
        <v>0</v>
      </c>
      <c r="O40" s="680">
        <f t="shared" ref="O40:O42" si="93">SUM(L40:N40)</f>
        <v>0</v>
      </c>
      <c r="P40" s="680">
        <v>0</v>
      </c>
      <c r="Q40" s="680">
        <v>0</v>
      </c>
      <c r="R40" s="680">
        <v>0</v>
      </c>
      <c r="S40" s="680">
        <f t="shared" ref="S40:S42" si="94">SUM(P40:R40)</f>
        <v>0</v>
      </c>
      <c r="T40" s="680">
        <v>0</v>
      </c>
      <c r="U40" s="680">
        <v>0</v>
      </c>
      <c r="V40" s="680">
        <v>0</v>
      </c>
      <c r="W40" s="680">
        <f t="shared" ref="W40:W42" si="95">SUM(T40:V40)</f>
        <v>0</v>
      </c>
      <c r="X40" s="680"/>
      <c r="Y40" s="680">
        <v>0</v>
      </c>
      <c r="Z40" s="680">
        <v>0</v>
      </c>
      <c r="AA40" s="680">
        <f t="shared" ref="AA40:AA42" si="96">SUM(X40:Z40)</f>
        <v>0</v>
      </c>
      <c r="AB40" s="680">
        <v>0</v>
      </c>
      <c r="AC40" s="680">
        <v>0</v>
      </c>
      <c r="AD40" s="680">
        <v>0</v>
      </c>
      <c r="AE40" s="680">
        <v>0</v>
      </c>
      <c r="AF40" s="680">
        <v>0</v>
      </c>
      <c r="AG40" s="680">
        <v>0</v>
      </c>
      <c r="AH40" s="680">
        <v>0</v>
      </c>
      <c r="AI40" s="680">
        <v>0</v>
      </c>
      <c r="AJ40" s="680">
        <v>0</v>
      </c>
      <c r="AK40" s="680">
        <v>0</v>
      </c>
      <c r="AL40" s="680">
        <v>0</v>
      </c>
      <c r="AM40" s="680">
        <v>0</v>
      </c>
    </row>
    <row r="41" spans="1:39" x14ac:dyDescent="0.25">
      <c r="A41" s="678" t="s">
        <v>338</v>
      </c>
      <c r="B41" s="679" t="s">
        <v>339</v>
      </c>
      <c r="C41" s="680">
        <v>0</v>
      </c>
      <c r="D41" s="680">
        <v>0</v>
      </c>
      <c r="E41" s="680">
        <v>0</v>
      </c>
      <c r="F41" s="680">
        <v>0</v>
      </c>
      <c r="G41" s="680">
        <f t="shared" si="0"/>
        <v>0</v>
      </c>
      <c r="H41" s="680">
        <f>+'5H GSZNR fel'!F26</f>
        <v>0</v>
      </c>
      <c r="I41" s="680">
        <v>0</v>
      </c>
      <c r="J41" s="680">
        <v>0</v>
      </c>
      <c r="K41" s="680">
        <f t="shared" si="1"/>
        <v>0</v>
      </c>
      <c r="L41" s="680">
        <v>0</v>
      </c>
      <c r="M41" s="680">
        <v>0</v>
      </c>
      <c r="N41" s="680">
        <v>0</v>
      </c>
      <c r="O41" s="680">
        <f t="shared" si="93"/>
        <v>0</v>
      </c>
      <c r="P41" s="680">
        <f>+'5H GSZNR fel'!O26</f>
        <v>1953</v>
      </c>
      <c r="Q41" s="680">
        <f>+'5H GSZNR fel'!M26</f>
        <v>0</v>
      </c>
      <c r="R41" s="680">
        <v>0</v>
      </c>
      <c r="S41" s="680">
        <f t="shared" si="94"/>
        <v>1953</v>
      </c>
      <c r="T41" s="680">
        <f>+'5H GSZNR fel'!R26</f>
        <v>0</v>
      </c>
      <c r="U41" s="680">
        <f>+'5H GSZNR fel'!Q26</f>
        <v>0</v>
      </c>
      <c r="V41" s="680">
        <v>0</v>
      </c>
      <c r="W41" s="680">
        <f t="shared" si="95"/>
        <v>0</v>
      </c>
      <c r="X41" s="680">
        <v>0</v>
      </c>
      <c r="Y41" s="680">
        <v>0</v>
      </c>
      <c r="Z41" s="680">
        <v>0</v>
      </c>
      <c r="AA41" s="680">
        <f t="shared" si="96"/>
        <v>0</v>
      </c>
      <c r="AB41" s="680">
        <v>0</v>
      </c>
      <c r="AC41" s="680">
        <v>0</v>
      </c>
      <c r="AD41" s="680">
        <v>0</v>
      </c>
      <c r="AE41" s="680">
        <v>0</v>
      </c>
      <c r="AF41" s="680">
        <v>0</v>
      </c>
      <c r="AG41" s="680">
        <v>0</v>
      </c>
      <c r="AH41" s="680">
        <v>0</v>
      </c>
      <c r="AI41" s="680">
        <v>0</v>
      </c>
      <c r="AJ41" s="680">
        <v>0</v>
      </c>
      <c r="AK41" s="680">
        <v>0</v>
      </c>
      <c r="AL41" s="680">
        <v>0</v>
      </c>
      <c r="AM41" s="680">
        <v>0</v>
      </c>
    </row>
    <row r="42" spans="1:39" x14ac:dyDescent="0.25">
      <c r="A42" s="293" t="s">
        <v>318</v>
      </c>
      <c r="B42" s="294" t="s">
        <v>340</v>
      </c>
      <c r="C42" s="295">
        <f t="shared" ref="C42" si="97">SUM(C43:C45)</f>
        <v>762</v>
      </c>
      <c r="D42" s="295">
        <f t="shared" ref="D42:F42" si="98">SUM(D43:D45)</f>
        <v>0</v>
      </c>
      <c r="E42" s="295">
        <f t="shared" si="98"/>
        <v>0</v>
      </c>
      <c r="F42" s="295">
        <f t="shared" si="98"/>
        <v>0</v>
      </c>
      <c r="G42" s="295">
        <f t="shared" si="0"/>
        <v>0</v>
      </c>
      <c r="H42" s="295">
        <f>SUM(H43:H45)</f>
        <v>26</v>
      </c>
      <c r="I42" s="295">
        <f t="shared" ref="I42:J42" si="99">SUM(I43:I45)</f>
        <v>0</v>
      </c>
      <c r="J42" s="295">
        <f t="shared" si="99"/>
        <v>0</v>
      </c>
      <c r="K42" s="295">
        <f t="shared" si="1"/>
        <v>26</v>
      </c>
      <c r="L42" s="295">
        <f>SUM(L43:L45)</f>
        <v>2023</v>
      </c>
      <c r="M42" s="295">
        <f t="shared" ref="M42" si="100">SUM(M43:M45)</f>
        <v>0</v>
      </c>
      <c r="N42" s="295">
        <f t="shared" ref="N42" si="101">SUM(N43:N45)</f>
        <v>0</v>
      </c>
      <c r="O42" s="295">
        <f t="shared" si="93"/>
        <v>2023</v>
      </c>
      <c r="P42" s="295">
        <f>SUM(P43:P45)</f>
        <v>404</v>
      </c>
      <c r="Q42" s="295">
        <f t="shared" ref="Q42:R42" si="102">SUM(Q43:Q45)</f>
        <v>0</v>
      </c>
      <c r="R42" s="295">
        <f t="shared" si="102"/>
        <v>0</v>
      </c>
      <c r="S42" s="295">
        <f t="shared" si="94"/>
        <v>404</v>
      </c>
      <c r="T42" s="295">
        <f>SUM(T43:T45)</f>
        <v>26</v>
      </c>
      <c r="U42" s="295">
        <f t="shared" ref="U42:V42" si="103">SUM(U43:U45)</f>
        <v>0</v>
      </c>
      <c r="V42" s="295">
        <f t="shared" si="103"/>
        <v>0</v>
      </c>
      <c r="W42" s="295">
        <f t="shared" si="95"/>
        <v>26</v>
      </c>
      <c r="X42" s="295">
        <f>SUM(X43:X45)</f>
        <v>0</v>
      </c>
      <c r="Y42" s="295">
        <f t="shared" ref="Y42:Z42" si="104">SUM(Y43:Y45)</f>
        <v>0</v>
      </c>
      <c r="Z42" s="295">
        <f t="shared" si="104"/>
        <v>0</v>
      </c>
      <c r="AA42" s="295">
        <f t="shared" si="96"/>
        <v>0</v>
      </c>
      <c r="AB42" s="295">
        <f>SUM(AB43:AB45)</f>
        <v>471</v>
      </c>
      <c r="AC42" s="295">
        <f t="shared" ref="AC42:AE42" si="105">SUM(AC43:AC45)</f>
        <v>0</v>
      </c>
      <c r="AD42" s="295">
        <f t="shared" si="105"/>
        <v>0</v>
      </c>
      <c r="AE42" s="295">
        <f t="shared" si="105"/>
        <v>471</v>
      </c>
      <c r="AF42" s="295">
        <f>SUM(AF43:AF45)</f>
        <v>679</v>
      </c>
      <c r="AG42" s="295">
        <f t="shared" ref="AG42:AI42" si="106">SUM(AG43:AG45)</f>
        <v>0</v>
      </c>
      <c r="AH42" s="295">
        <f t="shared" si="106"/>
        <v>0</v>
      </c>
      <c r="AI42" s="295">
        <f t="shared" si="106"/>
        <v>679</v>
      </c>
      <c r="AJ42" s="295">
        <f>SUM(AJ43:AJ45)</f>
        <v>471</v>
      </c>
      <c r="AK42" s="295">
        <f t="shared" ref="AK42:AM42" si="107">SUM(AK43:AK45)</f>
        <v>0</v>
      </c>
      <c r="AL42" s="295">
        <f t="shared" si="107"/>
        <v>0</v>
      </c>
      <c r="AM42" s="295">
        <f t="shared" si="107"/>
        <v>471</v>
      </c>
    </row>
    <row r="43" spans="1:39" x14ac:dyDescent="0.25">
      <c r="A43" s="678" t="s">
        <v>311</v>
      </c>
      <c r="B43" s="679" t="s">
        <v>341</v>
      </c>
      <c r="C43" s="680">
        <f>'5H GSZNR fel'!C27+'5H GSZNR fel'!C32</f>
        <v>762</v>
      </c>
      <c r="D43" s="680">
        <v>0</v>
      </c>
      <c r="E43" s="680">
        <v>0</v>
      </c>
      <c r="F43" s="680">
        <v>0</v>
      </c>
      <c r="G43" s="680">
        <f t="shared" si="0"/>
        <v>0</v>
      </c>
      <c r="H43" s="680">
        <v>26</v>
      </c>
      <c r="I43" s="680">
        <f>'5H GSZNR fel'!J27+'5H GSZNR fel'!J32</f>
        <v>0</v>
      </c>
      <c r="J43" s="680">
        <v>0</v>
      </c>
      <c r="K43" s="680">
        <f>SUM(H43:J43)</f>
        <v>26</v>
      </c>
      <c r="L43" s="680">
        <v>60</v>
      </c>
      <c r="M43" s="680">
        <f>'5H GSZNR fel'!M27+'5H GSZNR fel'!M32</f>
        <v>0</v>
      </c>
      <c r="N43" s="680">
        <v>0</v>
      </c>
      <c r="O43" s="680">
        <f>SUM(L43:N43)</f>
        <v>60</v>
      </c>
      <c r="P43" s="680">
        <f>'5H GSZNR fel'!O27+'5H GSZNR fel'!O32</f>
        <v>404</v>
      </c>
      <c r="Q43" s="680">
        <f>'5H GSZNR fel'!M27+'5H GSZNR fel'!M32</f>
        <v>0</v>
      </c>
      <c r="R43" s="680">
        <v>0</v>
      </c>
      <c r="S43" s="680">
        <f>SUM(P43:R43)</f>
        <v>404</v>
      </c>
      <c r="T43" s="680">
        <v>26</v>
      </c>
      <c r="U43" s="680">
        <f>'5H GSZNR fel'!Q27+'5H GSZNR fel'!Q32</f>
        <v>0</v>
      </c>
      <c r="V43" s="680">
        <v>0</v>
      </c>
      <c r="W43" s="680">
        <f>SUM(T43:V43)</f>
        <v>26</v>
      </c>
      <c r="X43" s="680"/>
      <c r="Y43" s="680">
        <f>'5H GSZNR fel'!Y27+'5H GSZNR fel'!Y32</f>
        <v>0</v>
      </c>
      <c r="Z43" s="680">
        <v>0</v>
      </c>
      <c r="AA43" s="680">
        <f>SUM(X43:Z43)</f>
        <v>0</v>
      </c>
      <c r="AB43" s="680">
        <v>471</v>
      </c>
      <c r="AC43" s="680"/>
      <c r="AD43" s="680"/>
      <c r="AE43" s="680">
        <f>SUM(AB43:AD43)</f>
        <v>471</v>
      </c>
      <c r="AF43" s="680">
        <v>679</v>
      </c>
      <c r="AG43" s="680"/>
      <c r="AH43" s="680"/>
      <c r="AI43" s="680">
        <f>SUM(AF43:AH43)</f>
        <v>679</v>
      </c>
      <c r="AJ43" s="680">
        <v>471</v>
      </c>
      <c r="AK43" s="680"/>
      <c r="AL43" s="680"/>
      <c r="AM43" s="680">
        <f>SUM(AJ43:AL43)</f>
        <v>471</v>
      </c>
    </row>
    <row r="44" spans="1:39" x14ac:dyDescent="0.25">
      <c r="A44" s="678" t="s">
        <v>322</v>
      </c>
      <c r="B44" s="679" t="s">
        <v>342</v>
      </c>
      <c r="C44" s="680">
        <v>0</v>
      </c>
      <c r="D44" s="680">
        <v>0</v>
      </c>
      <c r="E44" s="680">
        <v>0</v>
      </c>
      <c r="F44" s="680">
        <v>0</v>
      </c>
      <c r="G44" s="680">
        <f t="shared" si="0"/>
        <v>0</v>
      </c>
      <c r="H44" s="680">
        <v>0</v>
      </c>
      <c r="I44" s="680">
        <v>0</v>
      </c>
      <c r="J44" s="680">
        <v>0</v>
      </c>
      <c r="K44" s="680">
        <f t="shared" si="1"/>
        <v>0</v>
      </c>
      <c r="L44" s="680">
        <v>1963</v>
      </c>
      <c r="M44" s="680">
        <v>0</v>
      </c>
      <c r="N44" s="680">
        <v>0</v>
      </c>
      <c r="O44" s="680">
        <f t="shared" ref="O44:O46" si="108">SUM(L44:N44)</f>
        <v>1963</v>
      </c>
      <c r="P44" s="680">
        <v>0</v>
      </c>
      <c r="Q44" s="680">
        <v>0</v>
      </c>
      <c r="R44" s="680">
        <v>0</v>
      </c>
      <c r="S44" s="680">
        <f t="shared" ref="S44:S46" si="109">SUM(P44:R44)</f>
        <v>0</v>
      </c>
      <c r="T44" s="680">
        <v>0</v>
      </c>
      <c r="U44" s="680">
        <v>0</v>
      </c>
      <c r="V44" s="680">
        <v>0</v>
      </c>
      <c r="W44" s="680">
        <f t="shared" ref="W44:W46" si="110">SUM(T44:V44)</f>
        <v>0</v>
      </c>
      <c r="X44" s="680"/>
      <c r="Y44" s="680">
        <v>0</v>
      </c>
      <c r="Z44" s="680">
        <v>0</v>
      </c>
      <c r="AA44" s="680">
        <f t="shared" ref="AA44:AA46" si="111">SUM(X44:Z44)</f>
        <v>0</v>
      </c>
      <c r="AB44" s="680"/>
      <c r="AC44" s="680">
        <v>0</v>
      </c>
      <c r="AD44" s="680">
        <v>0</v>
      </c>
      <c r="AE44" s="680">
        <v>0</v>
      </c>
      <c r="AF44" s="680"/>
      <c r="AG44" s="680">
        <v>0</v>
      </c>
      <c r="AH44" s="680">
        <v>0</v>
      </c>
      <c r="AI44" s="680">
        <v>0</v>
      </c>
      <c r="AJ44" s="680"/>
      <c r="AK44" s="680">
        <v>0</v>
      </c>
      <c r="AL44" s="680">
        <v>0</v>
      </c>
      <c r="AM44" s="680">
        <v>0</v>
      </c>
    </row>
    <row r="45" spans="1:39" x14ac:dyDescent="0.25">
      <c r="A45" s="678" t="s">
        <v>315</v>
      </c>
      <c r="B45" s="679" t="s">
        <v>343</v>
      </c>
      <c r="C45" s="680">
        <v>0</v>
      </c>
      <c r="D45" s="680">
        <v>0</v>
      </c>
      <c r="E45" s="680">
        <v>0</v>
      </c>
      <c r="F45" s="680">
        <v>0</v>
      </c>
      <c r="G45" s="680">
        <f t="shared" si="0"/>
        <v>0</v>
      </c>
      <c r="H45" s="680">
        <v>0</v>
      </c>
      <c r="I45" s="680">
        <v>0</v>
      </c>
      <c r="J45" s="680">
        <v>0</v>
      </c>
      <c r="K45" s="680">
        <f t="shared" si="1"/>
        <v>0</v>
      </c>
      <c r="L45" s="680">
        <v>0</v>
      </c>
      <c r="M45" s="680">
        <v>0</v>
      </c>
      <c r="N45" s="680">
        <v>0</v>
      </c>
      <c r="O45" s="680">
        <f t="shared" si="108"/>
        <v>0</v>
      </c>
      <c r="P45" s="680">
        <v>0</v>
      </c>
      <c r="Q45" s="680">
        <v>0</v>
      </c>
      <c r="R45" s="680">
        <v>0</v>
      </c>
      <c r="S45" s="680">
        <f t="shared" si="109"/>
        <v>0</v>
      </c>
      <c r="T45" s="680">
        <v>0</v>
      </c>
      <c r="U45" s="680">
        <v>0</v>
      </c>
      <c r="V45" s="680">
        <v>0</v>
      </c>
      <c r="W45" s="680">
        <f t="shared" si="110"/>
        <v>0</v>
      </c>
      <c r="X45" s="680">
        <v>0</v>
      </c>
      <c r="Y45" s="680">
        <v>0</v>
      </c>
      <c r="Z45" s="680">
        <v>0</v>
      </c>
      <c r="AA45" s="680">
        <f t="shared" si="111"/>
        <v>0</v>
      </c>
      <c r="AB45" s="680">
        <v>0</v>
      </c>
      <c r="AC45" s="680">
        <v>0</v>
      </c>
      <c r="AD45" s="680">
        <v>0</v>
      </c>
      <c r="AE45" s="680">
        <v>0</v>
      </c>
      <c r="AF45" s="680">
        <v>0</v>
      </c>
      <c r="AG45" s="680">
        <v>0</v>
      </c>
      <c r="AH45" s="680">
        <v>0</v>
      </c>
      <c r="AI45" s="680">
        <v>0</v>
      </c>
      <c r="AJ45" s="680">
        <v>0</v>
      </c>
      <c r="AK45" s="680">
        <v>0</v>
      </c>
      <c r="AL45" s="680">
        <v>0</v>
      </c>
      <c r="AM45" s="680">
        <v>0</v>
      </c>
    </row>
    <row r="46" spans="1:39" x14ac:dyDescent="0.25">
      <c r="A46" s="649"/>
      <c r="B46" s="650" t="s">
        <v>344</v>
      </c>
      <c r="C46" s="638">
        <f t="shared" ref="C46:F46" si="112">C36+C42</f>
        <v>160510</v>
      </c>
      <c r="D46" s="638">
        <f t="shared" si="112"/>
        <v>365939</v>
      </c>
      <c r="E46" s="638">
        <f t="shared" si="112"/>
        <v>0</v>
      </c>
      <c r="F46" s="638">
        <f t="shared" si="112"/>
        <v>0</v>
      </c>
      <c r="G46" s="638">
        <f t="shared" si="0"/>
        <v>365939</v>
      </c>
      <c r="H46" s="638">
        <f t="shared" ref="H46:J46" si="113">H36+H42</f>
        <v>371070</v>
      </c>
      <c r="I46" s="638">
        <f t="shared" si="113"/>
        <v>0</v>
      </c>
      <c r="J46" s="638">
        <f t="shared" si="113"/>
        <v>0</v>
      </c>
      <c r="K46" s="638">
        <f t="shared" si="1"/>
        <v>371070</v>
      </c>
      <c r="L46" s="638">
        <f t="shared" ref="L46:N46" si="114">L36+L42</f>
        <v>373360</v>
      </c>
      <c r="M46" s="638">
        <f t="shared" si="114"/>
        <v>0</v>
      </c>
      <c r="N46" s="638">
        <f t="shared" si="114"/>
        <v>0</v>
      </c>
      <c r="O46" s="638">
        <f t="shared" si="108"/>
        <v>373360</v>
      </c>
      <c r="P46" s="638">
        <f t="shared" ref="P46:R46" si="115">P36+P42</f>
        <v>158795</v>
      </c>
      <c r="Q46" s="638">
        <f t="shared" si="115"/>
        <v>0</v>
      </c>
      <c r="R46" s="638">
        <f t="shared" si="115"/>
        <v>0</v>
      </c>
      <c r="S46" s="638">
        <f t="shared" si="109"/>
        <v>158795</v>
      </c>
      <c r="T46" s="638">
        <f t="shared" ref="T46:V46" si="116">T36+T42</f>
        <v>115167</v>
      </c>
      <c r="U46" s="638">
        <f t="shared" si="116"/>
        <v>0</v>
      </c>
      <c r="V46" s="638">
        <f t="shared" si="116"/>
        <v>0</v>
      </c>
      <c r="W46" s="638">
        <f t="shared" si="110"/>
        <v>115167</v>
      </c>
      <c r="X46" s="638">
        <f t="shared" ref="X46:AE46" si="117">X36+X42</f>
        <v>373255</v>
      </c>
      <c r="Y46" s="638">
        <f t="shared" si="117"/>
        <v>0</v>
      </c>
      <c r="Z46" s="638">
        <f t="shared" si="117"/>
        <v>0</v>
      </c>
      <c r="AA46" s="638">
        <f t="shared" si="111"/>
        <v>373255</v>
      </c>
      <c r="AB46" s="638">
        <f t="shared" si="117"/>
        <v>382339</v>
      </c>
      <c r="AC46" s="638">
        <f t="shared" si="117"/>
        <v>0</v>
      </c>
      <c r="AD46" s="638">
        <f t="shared" si="117"/>
        <v>0</v>
      </c>
      <c r="AE46" s="638">
        <f t="shared" si="117"/>
        <v>382339</v>
      </c>
      <c r="AF46" s="638">
        <f>AF36+AF42</f>
        <v>392630</v>
      </c>
      <c r="AG46" s="638">
        <f t="shared" ref="AG46:AI46" si="118">AG36+AG42</f>
        <v>0</v>
      </c>
      <c r="AH46" s="638">
        <f t="shared" si="118"/>
        <v>0</v>
      </c>
      <c r="AI46" s="638">
        <f t="shared" si="118"/>
        <v>392630</v>
      </c>
      <c r="AJ46" s="638">
        <f t="shared" ref="AJ46:AM46" si="119">AJ36+AJ42</f>
        <v>190929</v>
      </c>
      <c r="AK46" s="638">
        <f t="shared" si="119"/>
        <v>0</v>
      </c>
      <c r="AL46" s="638">
        <f t="shared" si="119"/>
        <v>0</v>
      </c>
      <c r="AM46" s="638">
        <f t="shared" si="119"/>
        <v>190929</v>
      </c>
    </row>
  </sheetData>
  <customSheetViews>
    <customSheetView guid="{7F1DC213-A29D-4C8C-BAC3-F1BD898020FD}" scale="80" hiddenRows="1" hiddenColumns="1" topLeftCell="A11">
      <selection activeCell="AF47" sqref="AF47"/>
      <pageMargins left="0.19685039370078741" right="0.19685039370078741" top="1.2204724409448819" bottom="0.19685039370078741" header="0.31496062992125984" footer="0.31496062992125984"/>
      <printOptions horizontalCentered="1"/>
      <pageSetup paperSize="9" scale="55" fitToWidth="0" fitToHeight="0" orientation="landscape" copies="2" r:id="rId1"/>
      <headerFooter>
        <oddHeader>&amp;L6.1. melléklet a ...../2019. (.....) önkormányzati rendelethez&amp;C&amp;"-,Félkövér"&amp;16Sátoraljaújhelyi Hétszínvirág Óvoda 2019. évi bevételei és kiadásai jogcímenként és feladatonként&amp;RAdatok ezer forintban</oddHeader>
      </headerFooter>
    </customSheetView>
    <customSheetView guid="{4DCB1349-1166-4B69-AE14-D6B08F9FCE74}" scale="80" hiddenRows="1" hiddenColumns="1">
      <selection activeCell="AE44" sqref="AE44"/>
      <pageMargins left="0.19685039370078741" right="0.19685039370078741" top="1.2204724409448819" bottom="0.19685039370078741" header="0.31496062992125984" footer="0.31496062992125984"/>
      <printOptions horizontalCentered="1"/>
      <pageSetup paperSize="9" scale="55" fitToWidth="0" fitToHeight="0" orientation="landscape" copies="2" r:id="rId2"/>
      <headerFooter>
        <oddHeader>&amp;L6.1. melléklet a ...../2019. (.....) önkormányzati rendelethez&amp;C&amp;"-,Félkövér"&amp;16Sátoraljaújhelyi Hétszínvirág Óvoda 2019. évi bevételei és kiadásai jogcímenként és feladatonként&amp;RAdatok ezer forintban</oddHeader>
      </headerFooter>
    </customSheetView>
  </customSheetViews>
  <mergeCells count="11">
    <mergeCell ref="AF4:AI4"/>
    <mergeCell ref="AJ4:AM4"/>
    <mergeCell ref="AB4:AE4"/>
    <mergeCell ref="X4:AA4"/>
    <mergeCell ref="A4:A5"/>
    <mergeCell ref="B4:B5"/>
    <mergeCell ref="P4:S4"/>
    <mergeCell ref="T4:W4"/>
    <mergeCell ref="L4:O4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5" fitToWidth="0" fitToHeight="0" orientation="landscape" copies="2" r:id="rId3"/>
  <headerFooter>
    <oddHeader>&amp;L6.1. melléklet a 3/2019. (II.20.) önkormányzati rendelethez&amp;C&amp;"-,Félkövér"&amp;16Sátoraljaújhelyi Hétszínvirág Óvoda 2019. évi bevételei és kiadásai jogcímenként és feladatonként&amp;RAdatok ezer forintban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AM46"/>
  <sheetViews>
    <sheetView view="pageLayout" zoomScaleNormal="82" zoomScaleSheetLayoutView="75" workbookViewId="0"/>
  </sheetViews>
  <sheetFormatPr defaultRowHeight="15" x14ac:dyDescent="0.25"/>
  <cols>
    <col min="1" max="1" width="7.140625" style="31" customWidth="1"/>
    <col min="2" max="2" width="50.7109375" customWidth="1"/>
    <col min="3" max="3" width="12.5703125" style="40" hidden="1" customWidth="1"/>
    <col min="4" max="4" width="9.85546875" hidden="1" customWidth="1"/>
    <col min="5" max="5" width="9.140625" hidden="1" customWidth="1"/>
    <col min="6" max="6" width="10.5703125" hidden="1" customWidth="1"/>
    <col min="7" max="7" width="9.42578125" hidden="1" customWidth="1"/>
    <col min="8" max="9" width="9.140625" hidden="1" customWidth="1"/>
    <col min="10" max="10" width="9.7109375" hidden="1" customWidth="1"/>
    <col min="11" max="13" width="9.140625" hidden="1" customWidth="1"/>
    <col min="14" max="14" width="9.7109375" hidden="1" customWidth="1"/>
    <col min="15" max="15" width="10.85546875" hidden="1" customWidth="1"/>
    <col min="16" max="17" width="9.140625" hidden="1" customWidth="1"/>
    <col min="18" max="18" width="9.7109375" hidden="1" customWidth="1"/>
    <col min="19" max="19" width="10.42578125" hidden="1" customWidth="1"/>
    <col min="20" max="20" width="11.85546875" hidden="1" customWidth="1"/>
    <col min="21" max="21" width="11" hidden="1" customWidth="1"/>
    <col min="22" max="22" width="11.42578125" hidden="1" customWidth="1"/>
    <col min="23" max="23" width="11.85546875" hidden="1" customWidth="1"/>
    <col min="24" max="24" width="14.28515625" customWidth="1"/>
    <col min="25" max="25" width="14" customWidth="1"/>
    <col min="26" max="26" width="14.140625" customWidth="1"/>
    <col min="27" max="27" width="14.5703125" customWidth="1"/>
    <col min="28" max="28" width="12.5703125" customWidth="1"/>
    <col min="29" max="29" width="13.7109375" customWidth="1"/>
    <col min="30" max="30" width="11" customWidth="1"/>
    <col min="31" max="31" width="11.85546875" customWidth="1"/>
    <col min="32" max="32" width="13.140625" customWidth="1"/>
    <col min="33" max="33" width="15.140625" customWidth="1"/>
    <col min="34" max="34" width="11.85546875" customWidth="1"/>
    <col min="35" max="35" width="14.140625" customWidth="1"/>
    <col min="36" max="36" width="11.85546875" hidden="1" customWidth="1"/>
    <col min="37" max="37" width="11.7109375" hidden="1" customWidth="1"/>
    <col min="38" max="38" width="11.42578125" hidden="1" customWidth="1"/>
    <col min="39" max="39" width="13.140625" hidden="1" customWidth="1"/>
  </cols>
  <sheetData>
    <row r="1" spans="1:39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X1" s="742" t="s">
        <v>1366</v>
      </c>
      <c r="Y1" s="742" t="s">
        <v>1376</v>
      </c>
      <c r="Z1" s="742" t="s">
        <v>1377</v>
      </c>
      <c r="AA1" s="745" t="s">
        <v>1378</v>
      </c>
      <c r="AB1" s="745" t="s">
        <v>1379</v>
      </c>
      <c r="AC1" s="745" t="s">
        <v>1380</v>
      </c>
      <c r="AD1" s="745" t="s">
        <v>1381</v>
      </c>
      <c r="AE1" s="745" t="s">
        <v>1382</v>
      </c>
      <c r="AF1" s="745" t="s">
        <v>1450</v>
      </c>
      <c r="AG1" s="745" t="s">
        <v>1384</v>
      </c>
      <c r="AH1" s="745" t="s">
        <v>1385</v>
      </c>
      <c r="AI1" s="745" t="s">
        <v>1386</v>
      </c>
      <c r="AJ1" s="745"/>
      <c r="AK1" s="745"/>
      <c r="AL1" s="745"/>
      <c r="AM1" s="745"/>
    </row>
    <row r="2" spans="1:39" ht="30" x14ac:dyDescent="0.25">
      <c r="A2" s="646" t="s">
        <v>303</v>
      </c>
      <c r="B2" s="646" t="s">
        <v>1306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D2" s="674"/>
      <c r="AE2" s="674"/>
      <c r="AF2" s="674"/>
      <c r="AG2" s="674"/>
      <c r="AH2" s="674"/>
      <c r="AI2" s="674"/>
      <c r="AJ2" s="674"/>
      <c r="AK2" s="674"/>
      <c r="AL2" s="674"/>
      <c r="AM2" s="674"/>
    </row>
    <row r="3" spans="1:39" x14ac:dyDescent="0.25">
      <c r="A3" s="646" t="s">
        <v>304</v>
      </c>
      <c r="B3" s="646" t="s">
        <v>1328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674"/>
    </row>
    <row r="4" spans="1:39" ht="46.5" customHeight="1" x14ac:dyDescent="0.25">
      <c r="A4" s="589" t="s">
        <v>305</v>
      </c>
      <c r="B4" s="595" t="s">
        <v>306</v>
      </c>
      <c r="C4" s="591" t="s">
        <v>1193</v>
      </c>
      <c r="D4" s="898" t="s">
        <v>1279</v>
      </c>
      <c r="E4" s="918"/>
      <c r="F4" s="918"/>
      <c r="G4" s="919"/>
      <c r="H4" s="898" t="s">
        <v>1391</v>
      </c>
      <c r="I4" s="918"/>
      <c r="J4" s="918"/>
      <c r="K4" s="919"/>
      <c r="L4" s="898" t="s">
        <v>1397</v>
      </c>
      <c r="M4" s="918"/>
      <c r="N4" s="918"/>
      <c r="O4" s="919"/>
      <c r="P4" s="898" t="s">
        <v>1246</v>
      </c>
      <c r="Q4" s="901"/>
      <c r="R4" s="901"/>
      <c r="S4" s="902"/>
      <c r="T4" s="898" t="s">
        <v>1387</v>
      </c>
      <c r="U4" s="901"/>
      <c r="V4" s="901"/>
      <c r="W4" s="902"/>
      <c r="X4" s="898" t="s">
        <v>1414</v>
      </c>
      <c r="Y4" s="918"/>
      <c r="Z4" s="918"/>
      <c r="AA4" s="919"/>
      <c r="AB4" s="898" t="s">
        <v>1455</v>
      </c>
      <c r="AC4" s="918"/>
      <c r="AD4" s="918"/>
      <c r="AE4" s="919"/>
      <c r="AF4" s="898" t="s">
        <v>1445</v>
      </c>
      <c r="AG4" s="918"/>
      <c r="AH4" s="918"/>
      <c r="AI4" s="919"/>
      <c r="AJ4" s="898" t="s">
        <v>1454</v>
      </c>
      <c r="AK4" s="918"/>
      <c r="AL4" s="918"/>
      <c r="AM4" s="919"/>
    </row>
    <row r="5" spans="1:39" ht="60" x14ac:dyDescent="0.25">
      <c r="A5" s="589"/>
      <c r="B5" s="595"/>
      <c r="C5" s="591" t="s">
        <v>546</v>
      </c>
      <c r="D5" s="591" t="s">
        <v>1209</v>
      </c>
      <c r="E5" s="591" t="s">
        <v>1210</v>
      </c>
      <c r="F5" s="591" t="s">
        <v>1211</v>
      </c>
      <c r="G5" s="591" t="s">
        <v>546</v>
      </c>
      <c r="H5" s="591" t="s">
        <v>1209</v>
      </c>
      <c r="I5" s="591" t="s">
        <v>1210</v>
      </c>
      <c r="J5" s="591" t="s">
        <v>1211</v>
      </c>
      <c r="K5" s="591" t="s">
        <v>546</v>
      </c>
      <c r="L5" s="591" t="s">
        <v>1209</v>
      </c>
      <c r="M5" s="591" t="s">
        <v>1210</v>
      </c>
      <c r="N5" s="591" t="s">
        <v>1211</v>
      </c>
      <c r="O5" s="591" t="s">
        <v>546</v>
      </c>
      <c r="P5" s="591" t="s">
        <v>1209</v>
      </c>
      <c r="Q5" s="591" t="s">
        <v>1210</v>
      </c>
      <c r="R5" s="591" t="s">
        <v>1211</v>
      </c>
      <c r="S5" s="591" t="s">
        <v>546</v>
      </c>
      <c r="T5" s="591" t="s">
        <v>1209</v>
      </c>
      <c r="U5" s="591" t="s">
        <v>1210</v>
      </c>
      <c r="V5" s="591" t="s">
        <v>1211</v>
      </c>
      <c r="W5" s="591" t="s">
        <v>546</v>
      </c>
      <c r="X5" s="811" t="s">
        <v>1209</v>
      </c>
      <c r="Y5" s="811" t="s">
        <v>1210</v>
      </c>
      <c r="Z5" s="811" t="s">
        <v>1211</v>
      </c>
      <c r="AA5" s="811" t="s">
        <v>546</v>
      </c>
      <c r="AB5" s="857" t="s">
        <v>1209</v>
      </c>
      <c r="AC5" s="857" t="s">
        <v>1210</v>
      </c>
      <c r="AD5" s="857" t="s">
        <v>1211</v>
      </c>
      <c r="AE5" s="857" t="s">
        <v>546</v>
      </c>
      <c r="AF5" s="883" t="s">
        <v>1209</v>
      </c>
      <c r="AG5" s="883" t="s">
        <v>1210</v>
      </c>
      <c r="AH5" s="883" t="s">
        <v>1211</v>
      </c>
      <c r="AI5" s="883" t="s">
        <v>546</v>
      </c>
      <c r="AJ5" s="883" t="s">
        <v>1209</v>
      </c>
      <c r="AK5" s="883" t="s">
        <v>1210</v>
      </c>
      <c r="AL5" s="883" t="s">
        <v>1211</v>
      </c>
      <c r="AM5" s="883" t="s">
        <v>546</v>
      </c>
    </row>
    <row r="6" spans="1:39" hidden="1" x14ac:dyDescent="0.25">
      <c r="A6" s="290"/>
      <c r="B6" s="291" t="s">
        <v>307</v>
      </c>
      <c r="C6" s="292"/>
      <c r="D6" s="292">
        <v>56</v>
      </c>
      <c r="E6" s="292"/>
      <c r="F6" s="292"/>
      <c r="G6" s="292">
        <f>SUM(D6:F6)</f>
        <v>56</v>
      </c>
      <c r="H6" s="292">
        <v>56</v>
      </c>
      <c r="I6" s="292"/>
      <c r="J6" s="292"/>
      <c r="K6" s="292">
        <f>SUM(H6:J6)</f>
        <v>56</v>
      </c>
      <c r="L6" s="292">
        <v>56</v>
      </c>
      <c r="M6" s="292"/>
      <c r="N6" s="292"/>
      <c r="O6" s="292">
        <f>SUM(L6:N6)</f>
        <v>56</v>
      </c>
      <c r="P6" s="292">
        <v>56</v>
      </c>
      <c r="Q6" s="292"/>
      <c r="R6" s="292"/>
      <c r="S6" s="292">
        <f>SUM(P6:R6)</f>
        <v>56</v>
      </c>
      <c r="T6" s="292">
        <v>0</v>
      </c>
      <c r="U6" s="292"/>
      <c r="V6" s="292"/>
      <c r="W6" s="292">
        <f>SUM(T6:V6)</f>
        <v>0</v>
      </c>
      <c r="X6" s="292">
        <v>56</v>
      </c>
      <c r="Y6" s="292"/>
      <c r="Z6" s="292"/>
      <c r="AA6" s="292">
        <f>SUM(X6:Z6)</f>
        <v>56</v>
      </c>
      <c r="AB6" s="292">
        <v>56</v>
      </c>
      <c r="AC6" s="292"/>
      <c r="AD6" s="292"/>
      <c r="AE6" s="292">
        <v>56</v>
      </c>
      <c r="AF6" s="292">
        <v>56</v>
      </c>
      <c r="AG6" s="292"/>
      <c r="AH6" s="292"/>
      <c r="AI6" s="292">
        <v>56</v>
      </c>
      <c r="AJ6" s="292">
        <v>56</v>
      </c>
      <c r="AK6" s="292"/>
      <c r="AL6" s="292"/>
      <c r="AM6" s="292">
        <v>56</v>
      </c>
    </row>
    <row r="7" spans="1:39" hidden="1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36" si="2">SUM(L7:N7)</f>
        <v>0</v>
      </c>
      <c r="P7" s="292"/>
      <c r="Q7" s="292"/>
      <c r="R7" s="292"/>
      <c r="S7" s="292">
        <f t="shared" ref="S7:S36" si="3">SUM(P7:R7)</f>
        <v>0</v>
      </c>
      <c r="T7" s="292"/>
      <c r="U7" s="292"/>
      <c r="V7" s="292"/>
      <c r="W7" s="292">
        <f t="shared" ref="W7:W36" si="4">SUM(T7:V7)</f>
        <v>0</v>
      </c>
      <c r="X7" s="292"/>
      <c r="Y7" s="292"/>
      <c r="Z7" s="292"/>
      <c r="AA7" s="292">
        <f t="shared" ref="AA7:AA34" si="5">SUM(X7:Z7)</f>
        <v>0</v>
      </c>
      <c r="AB7" s="292"/>
      <c r="AC7" s="292"/>
      <c r="AD7" s="292"/>
      <c r="AE7" s="292">
        <v>0</v>
      </c>
      <c r="AF7" s="292"/>
      <c r="AG7" s="292"/>
      <c r="AH7" s="292"/>
      <c r="AI7" s="292">
        <v>0</v>
      </c>
      <c r="AJ7" s="292"/>
      <c r="AK7" s="292"/>
      <c r="AL7" s="292"/>
      <c r="AM7" s="292">
        <v>0</v>
      </c>
    </row>
    <row r="8" spans="1:39" x14ac:dyDescent="0.25">
      <c r="A8" s="293" t="s">
        <v>309</v>
      </c>
      <c r="B8" s="294" t="s">
        <v>310</v>
      </c>
      <c r="C8" s="295">
        <f>C9+C11+C20</f>
        <v>7684</v>
      </c>
      <c r="D8" s="295">
        <f t="shared" ref="D8:F8" si="6">D9+D11+D20</f>
        <v>372365</v>
      </c>
      <c r="E8" s="295">
        <f t="shared" si="6"/>
        <v>0</v>
      </c>
      <c r="F8" s="295">
        <f t="shared" si="6"/>
        <v>0</v>
      </c>
      <c r="G8" s="295">
        <f t="shared" si="0"/>
        <v>372365</v>
      </c>
      <c r="H8" s="295">
        <f t="shared" ref="H8:J8" si="7">H9+H11+H20</f>
        <v>432047</v>
      </c>
      <c r="I8" s="295">
        <f t="shared" si="7"/>
        <v>0</v>
      </c>
      <c r="J8" s="295">
        <f t="shared" si="7"/>
        <v>0</v>
      </c>
      <c r="K8" s="295">
        <f t="shared" si="1"/>
        <v>432047</v>
      </c>
      <c r="L8" s="295">
        <f t="shared" ref="L8:N8" si="8">L9+L11+L20</f>
        <v>424057</v>
      </c>
      <c r="M8" s="295">
        <f t="shared" si="8"/>
        <v>0</v>
      </c>
      <c r="N8" s="295">
        <f t="shared" si="8"/>
        <v>0</v>
      </c>
      <c r="O8" s="295">
        <f t="shared" si="2"/>
        <v>424057</v>
      </c>
      <c r="P8" s="295">
        <f t="shared" ref="P8:R8" si="9">P9+P11+P20</f>
        <v>10104</v>
      </c>
      <c r="Q8" s="295">
        <f t="shared" si="9"/>
        <v>0</v>
      </c>
      <c r="R8" s="295">
        <f t="shared" si="9"/>
        <v>0</v>
      </c>
      <c r="S8" s="295">
        <f t="shared" si="3"/>
        <v>10104</v>
      </c>
      <c r="T8" s="295">
        <f t="shared" ref="T8:V8" si="10">T9+T11+T20</f>
        <v>101754</v>
      </c>
      <c r="U8" s="295">
        <f t="shared" si="10"/>
        <v>0</v>
      </c>
      <c r="V8" s="295">
        <f t="shared" si="10"/>
        <v>0</v>
      </c>
      <c r="W8" s="295">
        <f t="shared" si="4"/>
        <v>101754</v>
      </c>
      <c r="X8" s="295">
        <f t="shared" ref="X8:AE8" si="11">X9+X11+X20</f>
        <v>404905</v>
      </c>
      <c r="Y8" s="295">
        <f t="shared" si="11"/>
        <v>0</v>
      </c>
      <c r="Z8" s="295">
        <f t="shared" si="11"/>
        <v>0</v>
      </c>
      <c r="AA8" s="295">
        <f t="shared" si="11"/>
        <v>404905</v>
      </c>
      <c r="AB8" s="295">
        <f t="shared" si="11"/>
        <v>463933</v>
      </c>
      <c r="AC8" s="295">
        <f t="shared" si="11"/>
        <v>0</v>
      </c>
      <c r="AD8" s="295">
        <f t="shared" si="11"/>
        <v>0</v>
      </c>
      <c r="AE8" s="295">
        <f t="shared" si="11"/>
        <v>463933</v>
      </c>
      <c r="AF8" s="295">
        <f t="shared" ref="AF8:AI8" si="12">AF9+AF11+AF20</f>
        <v>432986</v>
      </c>
      <c r="AG8" s="295">
        <f t="shared" si="12"/>
        <v>0</v>
      </c>
      <c r="AH8" s="295">
        <f t="shared" si="12"/>
        <v>0</v>
      </c>
      <c r="AI8" s="295">
        <f t="shared" si="12"/>
        <v>432986</v>
      </c>
      <c r="AJ8" s="295">
        <f t="shared" ref="AJ8:AM8" si="13">AJ9+AJ11+AJ20</f>
        <v>196536</v>
      </c>
      <c r="AK8" s="295">
        <f t="shared" si="13"/>
        <v>0</v>
      </c>
      <c r="AL8" s="295">
        <f t="shared" si="13"/>
        <v>0</v>
      </c>
      <c r="AM8" s="295">
        <f t="shared" si="13"/>
        <v>196536</v>
      </c>
    </row>
    <row r="9" spans="1:39" x14ac:dyDescent="0.25">
      <c r="A9" s="649" t="s">
        <v>311</v>
      </c>
      <c r="B9" s="681" t="s">
        <v>312</v>
      </c>
      <c r="C9" s="682">
        <f>C10</f>
        <v>0</v>
      </c>
      <c r="D9" s="682">
        <f t="shared" ref="D9:Z9" si="14">D10</f>
        <v>0</v>
      </c>
      <c r="E9" s="682">
        <f t="shared" si="14"/>
        <v>0</v>
      </c>
      <c r="F9" s="682">
        <f t="shared" si="14"/>
        <v>0</v>
      </c>
      <c r="G9" s="682">
        <f t="shared" si="0"/>
        <v>0</v>
      </c>
      <c r="H9" s="682">
        <f t="shared" si="14"/>
        <v>0</v>
      </c>
      <c r="I9" s="682">
        <f t="shared" si="14"/>
        <v>0</v>
      </c>
      <c r="J9" s="682">
        <f t="shared" si="14"/>
        <v>0</v>
      </c>
      <c r="K9" s="682">
        <f t="shared" si="1"/>
        <v>0</v>
      </c>
      <c r="L9" s="682">
        <f t="shared" si="14"/>
        <v>0</v>
      </c>
      <c r="M9" s="682">
        <f t="shared" si="14"/>
        <v>0</v>
      </c>
      <c r="N9" s="682">
        <f t="shared" si="14"/>
        <v>0</v>
      </c>
      <c r="O9" s="682">
        <f t="shared" si="2"/>
        <v>0</v>
      </c>
      <c r="P9" s="682">
        <f t="shared" si="14"/>
        <v>0</v>
      </c>
      <c r="Q9" s="682">
        <f t="shared" si="14"/>
        <v>0</v>
      </c>
      <c r="R9" s="682">
        <f t="shared" si="14"/>
        <v>0</v>
      </c>
      <c r="S9" s="682">
        <f t="shared" si="3"/>
        <v>0</v>
      </c>
      <c r="T9" s="682">
        <f t="shared" si="14"/>
        <v>0</v>
      </c>
      <c r="U9" s="682">
        <f t="shared" si="14"/>
        <v>0</v>
      </c>
      <c r="V9" s="682">
        <f t="shared" si="14"/>
        <v>0</v>
      </c>
      <c r="W9" s="682">
        <f t="shared" si="4"/>
        <v>0</v>
      </c>
      <c r="X9" s="682">
        <f t="shared" si="14"/>
        <v>0</v>
      </c>
      <c r="Y9" s="682">
        <f t="shared" si="14"/>
        <v>0</v>
      </c>
      <c r="Z9" s="682">
        <f t="shared" si="14"/>
        <v>0</v>
      </c>
      <c r="AA9" s="682">
        <f t="shared" si="5"/>
        <v>0</v>
      </c>
      <c r="AB9" s="682">
        <f>SUM(AB10)</f>
        <v>19330</v>
      </c>
      <c r="AC9" s="682">
        <v>0</v>
      </c>
      <c r="AD9" s="682">
        <v>0</v>
      </c>
      <c r="AE9" s="682">
        <f>SUM(AB9:AD9)</f>
        <v>19330</v>
      </c>
      <c r="AF9" s="682">
        <f>SUM(AF10)</f>
        <v>27993</v>
      </c>
      <c r="AG9" s="682">
        <v>0</v>
      </c>
      <c r="AH9" s="682">
        <v>0</v>
      </c>
      <c r="AI9" s="682">
        <f>SUM(AF9:AH9)</f>
        <v>27993</v>
      </c>
      <c r="AJ9" s="682">
        <f>SUM(AJ10)</f>
        <v>19330</v>
      </c>
      <c r="AK9" s="682">
        <v>0</v>
      </c>
      <c r="AL9" s="682">
        <v>0</v>
      </c>
      <c r="AM9" s="682">
        <f>SUM(AJ9:AL9)</f>
        <v>19330</v>
      </c>
    </row>
    <row r="10" spans="1:39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0</v>
      </c>
      <c r="I10" s="239">
        <v>0</v>
      </c>
      <c r="J10" s="239">
        <v>0</v>
      </c>
      <c r="K10" s="239">
        <f t="shared" si="1"/>
        <v>0</v>
      </c>
      <c r="L10" s="239">
        <v>0</v>
      </c>
      <c r="M10" s="239">
        <v>0</v>
      </c>
      <c r="N10" s="239">
        <v>0</v>
      </c>
      <c r="O10" s="239">
        <f t="shared" si="2"/>
        <v>0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0</v>
      </c>
      <c r="U10" s="239">
        <v>0</v>
      </c>
      <c r="V10" s="239">
        <v>0</v>
      </c>
      <c r="W10" s="239">
        <f t="shared" si="4"/>
        <v>0</v>
      </c>
      <c r="X10" s="239"/>
      <c r="Y10" s="239">
        <v>0</v>
      </c>
      <c r="Z10" s="239">
        <v>0</v>
      </c>
      <c r="AA10" s="239">
        <f t="shared" si="5"/>
        <v>0</v>
      </c>
      <c r="AB10" s="239">
        <v>19330</v>
      </c>
      <c r="AC10" s="239">
        <v>0</v>
      </c>
      <c r="AD10" s="239">
        <v>0</v>
      </c>
      <c r="AE10" s="239">
        <f>SUM(AB10:AD10)</f>
        <v>19330</v>
      </c>
      <c r="AF10" s="239">
        <v>27993</v>
      </c>
      <c r="AG10" s="239"/>
      <c r="AH10" s="239"/>
      <c r="AI10" s="239">
        <f>SUM(AF10:AH10)</f>
        <v>27993</v>
      </c>
      <c r="AJ10" s="239">
        <v>19330</v>
      </c>
      <c r="AK10" s="239"/>
      <c r="AL10" s="239"/>
      <c r="AM10" s="239">
        <f>SUM(AJ10:AL10)</f>
        <v>19330</v>
      </c>
    </row>
    <row r="11" spans="1:39" x14ac:dyDescent="0.25">
      <c r="A11" s="649" t="s">
        <v>322</v>
      </c>
      <c r="B11" s="681" t="s">
        <v>314</v>
      </c>
      <c r="C11" s="682">
        <f>C12+C13+C14+C15+C16+C17+C18+C19</f>
        <v>7684</v>
      </c>
      <c r="D11" s="682">
        <f t="shared" ref="D11:F11" si="15">D12+D13+D14+D15+D16+D17+D18+D19</f>
        <v>360830</v>
      </c>
      <c r="E11" s="682">
        <f t="shared" si="15"/>
        <v>0</v>
      </c>
      <c r="F11" s="682">
        <f t="shared" si="15"/>
        <v>0</v>
      </c>
      <c r="G11" s="682">
        <f t="shared" si="0"/>
        <v>360830</v>
      </c>
      <c r="H11" s="682">
        <f t="shared" ref="H11:J11" si="16">H12+H13+H14+H15+H16+H17+H18+H19</f>
        <v>362734</v>
      </c>
      <c r="I11" s="682">
        <f t="shared" si="16"/>
        <v>0</v>
      </c>
      <c r="J11" s="682">
        <f t="shared" si="16"/>
        <v>0</v>
      </c>
      <c r="K11" s="682">
        <f t="shared" si="1"/>
        <v>362734</v>
      </c>
      <c r="L11" s="682">
        <f t="shared" ref="L11:N11" si="17">L12+L13+L14+L15+L16+L17+L18+L19</f>
        <v>362735</v>
      </c>
      <c r="M11" s="682">
        <f t="shared" si="17"/>
        <v>0</v>
      </c>
      <c r="N11" s="682">
        <f t="shared" si="17"/>
        <v>0</v>
      </c>
      <c r="O11" s="682">
        <f t="shared" si="2"/>
        <v>362735</v>
      </c>
      <c r="P11" s="682">
        <f t="shared" ref="P11:R11" si="18">P12+P13+P14+P15+P16+P17+P18+P19</f>
        <v>10104</v>
      </c>
      <c r="Q11" s="682">
        <f t="shared" si="18"/>
        <v>0</v>
      </c>
      <c r="R11" s="682">
        <f t="shared" si="18"/>
        <v>0</v>
      </c>
      <c r="S11" s="682">
        <f t="shared" si="3"/>
        <v>10104</v>
      </c>
      <c r="T11" s="682">
        <f t="shared" ref="T11:V11" si="19">T12+T13+T14+T15+T16+T17+T18+T19</f>
        <v>43976</v>
      </c>
      <c r="U11" s="682">
        <f t="shared" si="19"/>
        <v>0</v>
      </c>
      <c r="V11" s="682">
        <f t="shared" si="19"/>
        <v>0</v>
      </c>
      <c r="W11" s="682">
        <f t="shared" si="4"/>
        <v>43976</v>
      </c>
      <c r="X11" s="682">
        <f t="shared" ref="X11:Z11" si="20">X12+X13+X14+X15+X16+X17+X18+X19</f>
        <v>392905</v>
      </c>
      <c r="Y11" s="682">
        <f t="shared" si="20"/>
        <v>0</v>
      </c>
      <c r="Z11" s="682">
        <f t="shared" si="20"/>
        <v>0</v>
      </c>
      <c r="AA11" s="682">
        <f t="shared" si="5"/>
        <v>392905</v>
      </c>
      <c r="AB11" s="682">
        <f>SUM(AB12:AB19)</f>
        <v>432603</v>
      </c>
      <c r="AC11" s="682">
        <f t="shared" ref="AC11:AE11" si="21">SUM(AC12:AC19)</f>
        <v>0</v>
      </c>
      <c r="AD11" s="682">
        <f t="shared" si="21"/>
        <v>0</v>
      </c>
      <c r="AE11" s="682">
        <f t="shared" si="21"/>
        <v>432603</v>
      </c>
      <c r="AF11" s="682">
        <f>SUM(AF12:AF19)</f>
        <v>392993</v>
      </c>
      <c r="AG11" s="682">
        <f t="shared" ref="AG11:AI11" si="22">SUM(AG12:AG19)</f>
        <v>0</v>
      </c>
      <c r="AH11" s="682">
        <f t="shared" si="22"/>
        <v>0</v>
      </c>
      <c r="AI11" s="682">
        <f t="shared" si="22"/>
        <v>392993</v>
      </c>
      <c r="AJ11" s="682">
        <f>SUM(AJ12:AJ19)</f>
        <v>177206</v>
      </c>
      <c r="AK11" s="682">
        <f t="shared" ref="AK11:AM11" si="23">SUM(AK12:AK19)</f>
        <v>0</v>
      </c>
      <c r="AL11" s="682">
        <f t="shared" si="23"/>
        <v>0</v>
      </c>
      <c r="AM11" s="682">
        <f t="shared" si="23"/>
        <v>177206</v>
      </c>
    </row>
    <row r="12" spans="1:39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X12" s="239">
        <v>0</v>
      </c>
      <c r="Y12" s="239">
        <v>0</v>
      </c>
      <c r="Z12" s="239">
        <v>0</v>
      </c>
      <c r="AA12" s="239">
        <f t="shared" si="5"/>
        <v>0</v>
      </c>
      <c r="AB12" s="239">
        <v>0</v>
      </c>
      <c r="AC12" s="239">
        <v>0</v>
      </c>
      <c r="AD12" s="239">
        <v>0</v>
      </c>
      <c r="AE12" s="239">
        <f>SUM(AB12:AD12)</f>
        <v>0</v>
      </c>
      <c r="AF12" s="239">
        <v>0</v>
      </c>
      <c r="AG12" s="239"/>
      <c r="AH12" s="239"/>
      <c r="AI12" s="239">
        <f>SUM(AF12:AH12)</f>
        <v>0</v>
      </c>
      <c r="AJ12" s="239">
        <v>0</v>
      </c>
      <c r="AK12" s="239"/>
      <c r="AL12" s="239"/>
      <c r="AM12" s="239">
        <f>SUM(AJ12:AL12)</f>
        <v>0</v>
      </c>
    </row>
    <row r="13" spans="1:39" x14ac:dyDescent="0.25">
      <c r="A13" s="328"/>
      <c r="B13" s="299" t="s">
        <v>650</v>
      </c>
      <c r="C13" s="239">
        <v>0</v>
      </c>
      <c r="D13" s="239">
        <v>285742</v>
      </c>
      <c r="E13" s="239">
        <v>0</v>
      </c>
      <c r="F13" s="239">
        <v>0</v>
      </c>
      <c r="G13" s="239">
        <f t="shared" si="0"/>
        <v>285742</v>
      </c>
      <c r="H13" s="239">
        <v>285742</v>
      </c>
      <c r="I13" s="239">
        <v>0</v>
      </c>
      <c r="J13" s="239">
        <v>0</v>
      </c>
      <c r="K13" s="239">
        <f t="shared" si="1"/>
        <v>285742</v>
      </c>
      <c r="L13" s="239">
        <v>285743</v>
      </c>
      <c r="M13" s="239">
        <v>0</v>
      </c>
      <c r="N13" s="239">
        <v>0</v>
      </c>
      <c r="O13" s="239">
        <f t="shared" si="2"/>
        <v>285743</v>
      </c>
      <c r="P13" s="239">
        <v>0</v>
      </c>
      <c r="Q13" s="239">
        <v>0</v>
      </c>
      <c r="R13" s="239">
        <v>0</v>
      </c>
      <c r="S13" s="239">
        <f t="shared" si="3"/>
        <v>0</v>
      </c>
      <c r="T13" s="239">
        <v>34627</v>
      </c>
      <c r="U13" s="239">
        <v>0</v>
      </c>
      <c r="V13" s="239">
        <v>0</v>
      </c>
      <c r="W13" s="239">
        <f t="shared" si="4"/>
        <v>34627</v>
      </c>
      <c r="X13" s="239">
        <v>308135</v>
      </c>
      <c r="Y13" s="239">
        <v>0</v>
      </c>
      <c r="Z13" s="239">
        <v>0</v>
      </c>
      <c r="AA13" s="239">
        <f t="shared" si="5"/>
        <v>308135</v>
      </c>
      <c r="AB13" s="239">
        <v>308135</v>
      </c>
      <c r="AC13" s="239">
        <v>0</v>
      </c>
      <c r="AD13" s="239">
        <v>0</v>
      </c>
      <c r="AE13" s="239">
        <f t="shared" ref="AE13:AE19" si="24">SUM(AB13:AD13)</f>
        <v>308135</v>
      </c>
      <c r="AF13" s="239">
        <v>308135</v>
      </c>
      <c r="AG13" s="239"/>
      <c r="AH13" s="239"/>
      <c r="AI13" s="239">
        <f t="shared" ref="AI13:AI20" si="25">SUM(AF13:AH13)</f>
        <v>308135</v>
      </c>
      <c r="AJ13" s="239">
        <v>108314</v>
      </c>
      <c r="AK13" s="239"/>
      <c r="AL13" s="239"/>
      <c r="AM13" s="239">
        <f t="shared" ref="AM13:AM20" si="26">SUM(AJ13:AL13)</f>
        <v>108314</v>
      </c>
    </row>
    <row r="14" spans="1:39" x14ac:dyDescent="0.25">
      <c r="A14" s="328"/>
      <c r="B14" s="299" t="s">
        <v>1292</v>
      </c>
      <c r="C14" s="239">
        <v>0</v>
      </c>
      <c r="D14" s="239">
        <v>500</v>
      </c>
      <c r="E14" s="239">
        <v>0</v>
      </c>
      <c r="F14" s="239">
        <v>0</v>
      </c>
      <c r="G14" s="239">
        <f t="shared" si="0"/>
        <v>500</v>
      </c>
      <c r="H14" s="239">
        <v>500</v>
      </c>
      <c r="I14" s="239">
        <v>0</v>
      </c>
      <c r="J14" s="239">
        <v>0</v>
      </c>
      <c r="K14" s="239">
        <f t="shared" si="1"/>
        <v>500</v>
      </c>
      <c r="L14" s="239">
        <v>500</v>
      </c>
      <c r="M14" s="239">
        <v>0</v>
      </c>
      <c r="N14" s="239">
        <v>0</v>
      </c>
      <c r="O14" s="239">
        <f t="shared" si="2"/>
        <v>500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  <c r="X14" s="239">
        <v>1574</v>
      </c>
      <c r="Y14" s="239">
        <v>0</v>
      </c>
      <c r="Z14" s="239">
        <v>0</v>
      </c>
      <c r="AA14" s="239">
        <f t="shared" si="5"/>
        <v>1574</v>
      </c>
      <c r="AB14" s="239">
        <v>1574</v>
      </c>
      <c r="AC14" s="239">
        <v>0</v>
      </c>
      <c r="AD14" s="239">
        <v>0</v>
      </c>
      <c r="AE14" s="239">
        <f t="shared" si="24"/>
        <v>1574</v>
      </c>
      <c r="AF14" s="239">
        <v>1574</v>
      </c>
      <c r="AG14" s="239"/>
      <c r="AH14" s="239"/>
      <c r="AI14" s="239">
        <f t="shared" si="25"/>
        <v>1574</v>
      </c>
      <c r="AJ14" s="239">
        <v>0</v>
      </c>
      <c r="AK14" s="239"/>
      <c r="AL14" s="239"/>
      <c r="AM14" s="239">
        <f t="shared" si="26"/>
        <v>0</v>
      </c>
    </row>
    <row r="15" spans="1:39" x14ac:dyDescent="0.25">
      <c r="A15" s="328"/>
      <c r="B15" s="299" t="s">
        <v>660</v>
      </c>
      <c r="C15" s="239">
        <v>6050</v>
      </c>
      <c r="D15" s="239">
        <v>0</v>
      </c>
      <c r="E15" s="239">
        <v>0</v>
      </c>
      <c r="F15" s="239">
        <v>0</v>
      </c>
      <c r="G15" s="239">
        <f t="shared" si="0"/>
        <v>0</v>
      </c>
      <c r="H15" s="239">
        <v>0</v>
      </c>
      <c r="I15" s="239">
        <v>0</v>
      </c>
      <c r="J15" s="239">
        <v>0</v>
      </c>
      <c r="K15" s="239">
        <f t="shared" si="1"/>
        <v>0</v>
      </c>
      <c r="L15" s="239">
        <v>0</v>
      </c>
      <c r="M15" s="239">
        <v>0</v>
      </c>
      <c r="N15" s="239">
        <v>0</v>
      </c>
      <c r="O15" s="239">
        <f t="shared" si="2"/>
        <v>0</v>
      </c>
      <c r="P15" s="239">
        <v>6584</v>
      </c>
      <c r="Q15" s="239">
        <v>0</v>
      </c>
      <c r="R15" s="239">
        <v>0</v>
      </c>
      <c r="S15" s="239">
        <f t="shared" si="3"/>
        <v>6584</v>
      </c>
      <c r="T15" s="239">
        <v>0</v>
      </c>
      <c r="U15" s="239">
        <v>0</v>
      </c>
      <c r="V15" s="239">
        <v>0</v>
      </c>
      <c r="W15" s="239">
        <f t="shared" si="4"/>
        <v>0</v>
      </c>
      <c r="X15" s="239"/>
      <c r="Y15" s="239">
        <v>0</v>
      </c>
      <c r="Z15" s="239">
        <v>0</v>
      </c>
      <c r="AA15" s="239">
        <f t="shared" si="5"/>
        <v>0</v>
      </c>
      <c r="AB15" s="239">
        <v>0</v>
      </c>
      <c r="AC15" s="239">
        <v>0</v>
      </c>
      <c r="AD15" s="239">
        <v>0</v>
      </c>
      <c r="AE15" s="239">
        <f t="shared" si="24"/>
        <v>0</v>
      </c>
      <c r="AF15" s="239">
        <v>0</v>
      </c>
      <c r="AG15" s="239"/>
      <c r="AH15" s="239"/>
      <c r="AI15" s="239">
        <f t="shared" si="25"/>
        <v>0</v>
      </c>
      <c r="AJ15" s="239"/>
      <c r="AK15" s="239"/>
      <c r="AL15" s="239"/>
      <c r="AM15" s="239">
        <f t="shared" si="26"/>
        <v>0</v>
      </c>
    </row>
    <row r="16" spans="1:39" x14ac:dyDescent="0.25">
      <c r="A16" s="328"/>
      <c r="B16" s="299" t="s">
        <v>661</v>
      </c>
      <c r="C16" s="239">
        <v>1634</v>
      </c>
      <c r="D16" s="239">
        <v>74588</v>
      </c>
      <c r="E16" s="239">
        <v>0</v>
      </c>
      <c r="F16" s="239">
        <v>0</v>
      </c>
      <c r="G16" s="239">
        <f t="shared" si="0"/>
        <v>74588</v>
      </c>
      <c r="H16" s="239">
        <v>74588</v>
      </c>
      <c r="I16" s="239">
        <v>0</v>
      </c>
      <c r="J16" s="239">
        <v>0</v>
      </c>
      <c r="K16" s="239">
        <f t="shared" si="1"/>
        <v>74588</v>
      </c>
      <c r="L16" s="239">
        <v>74588</v>
      </c>
      <c r="M16" s="239">
        <v>0</v>
      </c>
      <c r="N16" s="239">
        <v>0</v>
      </c>
      <c r="O16" s="239">
        <f t="shared" si="2"/>
        <v>74588</v>
      </c>
      <c r="P16" s="239">
        <v>1799</v>
      </c>
      <c r="Q16" s="239">
        <v>0</v>
      </c>
      <c r="R16" s="239">
        <v>0</v>
      </c>
      <c r="S16" s="239">
        <f t="shared" si="3"/>
        <v>1799</v>
      </c>
      <c r="T16" s="239">
        <v>9349</v>
      </c>
      <c r="U16" s="239">
        <v>0</v>
      </c>
      <c r="V16" s="239">
        <v>0</v>
      </c>
      <c r="W16" s="239">
        <f t="shared" si="4"/>
        <v>9349</v>
      </c>
      <c r="X16" s="239">
        <v>83196</v>
      </c>
      <c r="Y16" s="239">
        <v>0</v>
      </c>
      <c r="Z16" s="239">
        <v>0</v>
      </c>
      <c r="AA16" s="239">
        <f t="shared" si="5"/>
        <v>83196</v>
      </c>
      <c r="AB16" s="239">
        <v>83196</v>
      </c>
      <c r="AC16" s="239">
        <v>0</v>
      </c>
      <c r="AD16" s="239">
        <v>0</v>
      </c>
      <c r="AE16" s="239">
        <f t="shared" si="24"/>
        <v>83196</v>
      </c>
      <c r="AF16" s="239">
        <v>83196</v>
      </c>
      <c r="AG16" s="239"/>
      <c r="AH16" s="239"/>
      <c r="AI16" s="239">
        <f t="shared" si="25"/>
        <v>83196</v>
      </c>
      <c r="AJ16" s="239">
        <v>29194</v>
      </c>
      <c r="AK16" s="239"/>
      <c r="AL16" s="239"/>
      <c r="AM16" s="239">
        <f t="shared" si="26"/>
        <v>29194</v>
      </c>
    </row>
    <row r="17" spans="1:39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1721</v>
      </c>
      <c r="Q17" s="239">
        <v>0</v>
      </c>
      <c r="R17" s="239">
        <v>0</v>
      </c>
      <c r="S17" s="239">
        <f t="shared" si="3"/>
        <v>1721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/>
      <c r="Y17" s="239">
        <v>0</v>
      </c>
      <c r="Z17" s="239">
        <v>0</v>
      </c>
      <c r="AA17" s="239">
        <f t="shared" si="5"/>
        <v>0</v>
      </c>
      <c r="AB17" s="239">
        <v>0</v>
      </c>
      <c r="AC17" s="239">
        <v>0</v>
      </c>
      <c r="AD17" s="239">
        <v>0</v>
      </c>
      <c r="AE17" s="239">
        <f t="shared" si="24"/>
        <v>0</v>
      </c>
      <c r="AF17" s="239">
        <v>0</v>
      </c>
      <c r="AG17" s="239"/>
      <c r="AH17" s="239"/>
      <c r="AI17" s="239">
        <f t="shared" si="25"/>
        <v>0</v>
      </c>
      <c r="AJ17" s="239"/>
      <c r="AK17" s="239"/>
      <c r="AL17" s="239"/>
      <c r="AM17" s="239">
        <f t="shared" si="26"/>
        <v>0</v>
      </c>
    </row>
    <row r="18" spans="1:39" x14ac:dyDescent="0.25">
      <c r="A18" s="328"/>
      <c r="B18" s="299" t="s">
        <v>663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/>
      <c r="Y18" s="239">
        <v>0</v>
      </c>
      <c r="Z18" s="239">
        <v>0</v>
      </c>
      <c r="AA18" s="239">
        <f t="shared" si="5"/>
        <v>0</v>
      </c>
      <c r="AB18" s="239">
        <v>0</v>
      </c>
      <c r="AC18" s="239">
        <v>0</v>
      </c>
      <c r="AD18" s="239">
        <v>0</v>
      </c>
      <c r="AE18" s="239">
        <f t="shared" si="24"/>
        <v>0</v>
      </c>
      <c r="AF18" s="239">
        <v>0</v>
      </c>
      <c r="AG18" s="239"/>
      <c r="AH18" s="239"/>
      <c r="AI18" s="239">
        <f t="shared" si="25"/>
        <v>0</v>
      </c>
      <c r="AJ18" s="239"/>
      <c r="AK18" s="239"/>
      <c r="AL18" s="239"/>
      <c r="AM18" s="239">
        <f t="shared" si="26"/>
        <v>0</v>
      </c>
    </row>
    <row r="19" spans="1:39" x14ac:dyDescent="0.25">
      <c r="A19" s="328"/>
      <c r="B19" s="299" t="s">
        <v>664</v>
      </c>
      <c r="C19" s="239">
        <v>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1904</v>
      </c>
      <c r="I19" s="239">
        <v>0</v>
      </c>
      <c r="J19" s="239">
        <v>0</v>
      </c>
      <c r="K19" s="239">
        <f t="shared" si="1"/>
        <v>1904</v>
      </c>
      <c r="L19" s="239">
        <v>1904</v>
      </c>
      <c r="M19" s="239">
        <v>0</v>
      </c>
      <c r="N19" s="239">
        <v>0</v>
      </c>
      <c r="O19" s="239">
        <f t="shared" si="2"/>
        <v>1904</v>
      </c>
      <c r="P19" s="239">
        <v>0</v>
      </c>
      <c r="Q19" s="239">
        <v>0</v>
      </c>
      <c r="R19" s="239">
        <v>0</v>
      </c>
      <c r="S19" s="239">
        <f t="shared" si="3"/>
        <v>0</v>
      </c>
      <c r="T19" s="239">
        <v>0</v>
      </c>
      <c r="U19" s="239">
        <v>0</v>
      </c>
      <c r="V19" s="239">
        <v>0</v>
      </c>
      <c r="W19" s="239">
        <f t="shared" si="4"/>
        <v>0</v>
      </c>
      <c r="X19" s="239"/>
      <c r="Y19" s="239">
        <v>0</v>
      </c>
      <c r="Z19" s="239">
        <v>0</v>
      </c>
      <c r="AA19" s="239">
        <f t="shared" si="5"/>
        <v>0</v>
      </c>
      <c r="AB19" s="239">
        <v>39698</v>
      </c>
      <c r="AC19" s="239">
        <v>0</v>
      </c>
      <c r="AD19" s="239">
        <v>0</v>
      </c>
      <c r="AE19" s="239">
        <f t="shared" si="24"/>
        <v>39698</v>
      </c>
      <c r="AF19" s="239">
        <v>88</v>
      </c>
      <c r="AG19" s="239"/>
      <c r="AH19" s="239"/>
      <c r="AI19" s="239">
        <f t="shared" si="25"/>
        <v>88</v>
      </c>
      <c r="AJ19" s="239">
        <v>39698</v>
      </c>
      <c r="AK19" s="239"/>
      <c r="AL19" s="239"/>
      <c r="AM19" s="239">
        <f t="shared" si="26"/>
        <v>39698</v>
      </c>
    </row>
    <row r="20" spans="1:39" x14ac:dyDescent="0.25">
      <c r="A20" s="649" t="s">
        <v>315</v>
      </c>
      <c r="B20" s="681" t="s">
        <v>316</v>
      </c>
      <c r="C20" s="682">
        <f>SUM(C21:C21)</f>
        <v>0</v>
      </c>
      <c r="D20" s="682">
        <f t="shared" ref="D20:Z20" si="27">SUM(D21:D21)</f>
        <v>11535</v>
      </c>
      <c r="E20" s="682">
        <f t="shared" si="27"/>
        <v>0</v>
      </c>
      <c r="F20" s="682">
        <f t="shared" si="27"/>
        <v>0</v>
      </c>
      <c r="G20" s="682">
        <f t="shared" si="0"/>
        <v>11535</v>
      </c>
      <c r="H20" s="682">
        <f t="shared" si="27"/>
        <v>69313</v>
      </c>
      <c r="I20" s="682">
        <f t="shared" si="27"/>
        <v>0</v>
      </c>
      <c r="J20" s="682">
        <f t="shared" si="27"/>
        <v>0</v>
      </c>
      <c r="K20" s="682">
        <f t="shared" si="1"/>
        <v>69313</v>
      </c>
      <c r="L20" s="682">
        <f t="shared" si="27"/>
        <v>61322</v>
      </c>
      <c r="M20" s="682">
        <f t="shared" si="27"/>
        <v>0</v>
      </c>
      <c r="N20" s="682">
        <f t="shared" si="27"/>
        <v>0</v>
      </c>
      <c r="O20" s="682">
        <f t="shared" si="2"/>
        <v>61322</v>
      </c>
      <c r="P20" s="682">
        <f t="shared" si="27"/>
        <v>0</v>
      </c>
      <c r="Q20" s="682">
        <f t="shared" si="27"/>
        <v>0</v>
      </c>
      <c r="R20" s="682">
        <f t="shared" si="27"/>
        <v>0</v>
      </c>
      <c r="S20" s="682">
        <f t="shared" si="3"/>
        <v>0</v>
      </c>
      <c r="T20" s="682">
        <f t="shared" si="27"/>
        <v>57778</v>
      </c>
      <c r="U20" s="682">
        <f t="shared" si="27"/>
        <v>0</v>
      </c>
      <c r="V20" s="682">
        <f t="shared" si="27"/>
        <v>0</v>
      </c>
      <c r="W20" s="682">
        <f t="shared" si="4"/>
        <v>57778</v>
      </c>
      <c r="X20" s="682">
        <f t="shared" si="27"/>
        <v>12000</v>
      </c>
      <c r="Y20" s="682">
        <f t="shared" si="27"/>
        <v>0</v>
      </c>
      <c r="Z20" s="682">
        <f t="shared" si="27"/>
        <v>0</v>
      </c>
      <c r="AA20" s="682">
        <f t="shared" si="5"/>
        <v>12000</v>
      </c>
      <c r="AB20" s="682">
        <v>12000</v>
      </c>
      <c r="AC20" s="682">
        <v>0</v>
      </c>
      <c r="AD20" s="682">
        <v>0</v>
      </c>
      <c r="AE20" s="682">
        <v>12000</v>
      </c>
      <c r="AF20" s="682">
        <f>AF21</f>
        <v>12000</v>
      </c>
      <c r="AG20" s="682">
        <f t="shared" ref="AG20:AH20" si="28">AG21</f>
        <v>0</v>
      </c>
      <c r="AH20" s="682">
        <f t="shared" si="28"/>
        <v>0</v>
      </c>
      <c r="AI20" s="887">
        <f t="shared" si="25"/>
        <v>12000</v>
      </c>
      <c r="AJ20" s="682">
        <f>AJ21</f>
        <v>0</v>
      </c>
      <c r="AK20" s="682">
        <f t="shared" ref="AK20" si="29">AK21</f>
        <v>0</v>
      </c>
      <c r="AL20" s="682">
        <f t="shared" ref="AL20" si="30">AL21</f>
        <v>0</v>
      </c>
      <c r="AM20" s="887">
        <f t="shared" si="26"/>
        <v>0</v>
      </c>
    </row>
    <row r="21" spans="1:39" x14ac:dyDescent="0.25">
      <c r="A21" s="328"/>
      <c r="B21" s="299" t="s">
        <v>317</v>
      </c>
      <c r="C21" s="239">
        <v>0</v>
      </c>
      <c r="D21" s="239">
        <v>11535</v>
      </c>
      <c r="E21" s="239">
        <v>0</v>
      </c>
      <c r="F21" s="239">
        <v>0</v>
      </c>
      <c r="G21" s="239">
        <f t="shared" si="0"/>
        <v>11535</v>
      </c>
      <c r="H21" s="239">
        <v>69313</v>
      </c>
      <c r="I21" s="239">
        <v>0</v>
      </c>
      <c r="J21" s="239">
        <v>0</v>
      </c>
      <c r="K21" s="239">
        <f t="shared" si="1"/>
        <v>69313</v>
      </c>
      <c r="L21" s="239">
        <v>61322</v>
      </c>
      <c r="M21" s="239">
        <v>0</v>
      </c>
      <c r="N21" s="239">
        <v>0</v>
      </c>
      <c r="O21" s="239">
        <f t="shared" si="2"/>
        <v>61322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57778</v>
      </c>
      <c r="U21" s="239">
        <v>0</v>
      </c>
      <c r="V21" s="239">
        <v>0</v>
      </c>
      <c r="W21" s="239">
        <f t="shared" si="4"/>
        <v>57778</v>
      </c>
      <c r="X21" s="239">
        <v>12000</v>
      </c>
      <c r="Y21" s="239">
        <v>0</v>
      </c>
      <c r="Z21" s="239">
        <v>0</v>
      </c>
      <c r="AA21" s="239">
        <f t="shared" si="5"/>
        <v>12000</v>
      </c>
      <c r="AB21" s="239">
        <v>12000</v>
      </c>
      <c r="AC21" s="239">
        <v>0</v>
      </c>
      <c r="AD21" s="239">
        <v>0</v>
      </c>
      <c r="AE21" s="239">
        <v>12000</v>
      </c>
      <c r="AF21" s="239">
        <v>12000</v>
      </c>
      <c r="AG21" s="239"/>
      <c r="AH21" s="239"/>
      <c r="AI21" s="239">
        <f>SUM(AF21:AH21)</f>
        <v>12000</v>
      </c>
      <c r="AJ21" s="239"/>
      <c r="AK21" s="239"/>
      <c r="AL21" s="239"/>
      <c r="AM21" s="239">
        <f>SUM(AJ21:AL21)</f>
        <v>0</v>
      </c>
    </row>
    <row r="22" spans="1:39" x14ac:dyDescent="0.25">
      <c r="A22" s="293" t="s">
        <v>318</v>
      </c>
      <c r="B22" s="294" t="s">
        <v>319</v>
      </c>
      <c r="C22" s="295">
        <f t="shared" ref="C22:F22" si="31">C23+C25+C28</f>
        <v>0</v>
      </c>
      <c r="D22" s="295">
        <f t="shared" si="31"/>
        <v>18705</v>
      </c>
      <c r="E22" s="295">
        <f t="shared" si="31"/>
        <v>0</v>
      </c>
      <c r="F22" s="295">
        <f t="shared" si="31"/>
        <v>0</v>
      </c>
      <c r="G22" s="295">
        <f t="shared" si="0"/>
        <v>18705</v>
      </c>
      <c r="H22" s="295">
        <f t="shared" ref="H22:J22" si="32">H23+H25+H28</f>
        <v>18705</v>
      </c>
      <c r="I22" s="295">
        <f t="shared" si="32"/>
        <v>0</v>
      </c>
      <c r="J22" s="295">
        <f t="shared" si="32"/>
        <v>0</v>
      </c>
      <c r="K22" s="295">
        <f t="shared" si="1"/>
        <v>18705</v>
      </c>
      <c r="L22" s="295">
        <f t="shared" ref="L22:N22" si="33">L23+L25+L28</f>
        <v>18705</v>
      </c>
      <c r="M22" s="295">
        <f t="shared" si="33"/>
        <v>0</v>
      </c>
      <c r="N22" s="295">
        <f t="shared" si="33"/>
        <v>0</v>
      </c>
      <c r="O22" s="295">
        <f t="shared" si="2"/>
        <v>18705</v>
      </c>
      <c r="P22" s="295">
        <f t="shared" ref="P22:R22" si="34">P23+P25+P28</f>
        <v>0</v>
      </c>
      <c r="Q22" s="295">
        <f t="shared" si="34"/>
        <v>0</v>
      </c>
      <c r="R22" s="295">
        <f t="shared" si="34"/>
        <v>0</v>
      </c>
      <c r="S22" s="295">
        <f t="shared" si="3"/>
        <v>0</v>
      </c>
      <c r="T22" s="295">
        <f t="shared" ref="T22:V22" si="35">T23+T25+T28</f>
        <v>0</v>
      </c>
      <c r="U22" s="295">
        <f t="shared" si="35"/>
        <v>0</v>
      </c>
      <c r="V22" s="295">
        <f t="shared" si="35"/>
        <v>0</v>
      </c>
      <c r="W22" s="295">
        <f t="shared" si="4"/>
        <v>0</v>
      </c>
      <c r="X22" s="295">
        <f t="shared" ref="X22:Z22" si="36">X23+X25+X28</f>
        <v>0</v>
      </c>
      <c r="Y22" s="295">
        <f t="shared" si="36"/>
        <v>0</v>
      </c>
      <c r="Z22" s="295">
        <f t="shared" si="36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v>0</v>
      </c>
      <c r="AK22" s="295">
        <v>0</v>
      </c>
      <c r="AL22" s="295">
        <v>0</v>
      </c>
      <c r="AM22" s="295">
        <v>0</v>
      </c>
    </row>
    <row r="23" spans="1:39" x14ac:dyDescent="0.25">
      <c r="A23" s="649" t="s">
        <v>311</v>
      </c>
      <c r="B23" s="681" t="s">
        <v>320</v>
      </c>
      <c r="C23" s="682">
        <f>SUM(C24:C24)</f>
        <v>0</v>
      </c>
      <c r="D23" s="682">
        <f t="shared" ref="D23:Z23" si="37">SUM(D24:D24)</f>
        <v>0</v>
      </c>
      <c r="E23" s="682">
        <f t="shared" si="37"/>
        <v>0</v>
      </c>
      <c r="F23" s="682">
        <f t="shared" si="37"/>
        <v>0</v>
      </c>
      <c r="G23" s="682">
        <f t="shared" si="0"/>
        <v>0</v>
      </c>
      <c r="H23" s="682">
        <f t="shared" si="37"/>
        <v>0</v>
      </c>
      <c r="I23" s="682">
        <f t="shared" si="37"/>
        <v>0</v>
      </c>
      <c r="J23" s="682">
        <f t="shared" si="37"/>
        <v>0</v>
      </c>
      <c r="K23" s="682">
        <f t="shared" si="1"/>
        <v>0</v>
      </c>
      <c r="L23" s="682">
        <f t="shared" si="37"/>
        <v>0</v>
      </c>
      <c r="M23" s="682">
        <f t="shared" si="37"/>
        <v>0</v>
      </c>
      <c r="N23" s="682">
        <f t="shared" si="37"/>
        <v>0</v>
      </c>
      <c r="O23" s="682">
        <f t="shared" si="2"/>
        <v>0</v>
      </c>
      <c r="P23" s="682">
        <f t="shared" si="37"/>
        <v>0</v>
      </c>
      <c r="Q23" s="682">
        <f t="shared" si="37"/>
        <v>0</v>
      </c>
      <c r="R23" s="682">
        <f t="shared" si="37"/>
        <v>0</v>
      </c>
      <c r="S23" s="682">
        <f t="shared" si="3"/>
        <v>0</v>
      </c>
      <c r="T23" s="682">
        <f t="shared" si="37"/>
        <v>0</v>
      </c>
      <c r="U23" s="682">
        <f t="shared" si="37"/>
        <v>0</v>
      </c>
      <c r="V23" s="682">
        <f t="shared" si="37"/>
        <v>0</v>
      </c>
      <c r="W23" s="682">
        <f t="shared" si="4"/>
        <v>0</v>
      </c>
      <c r="X23" s="682">
        <f t="shared" si="37"/>
        <v>0</v>
      </c>
      <c r="Y23" s="682">
        <f t="shared" si="37"/>
        <v>0</v>
      </c>
      <c r="Z23" s="682">
        <f t="shared" si="37"/>
        <v>0</v>
      </c>
      <c r="AA23" s="682">
        <f t="shared" si="5"/>
        <v>0</v>
      </c>
      <c r="AB23" s="682">
        <v>0</v>
      </c>
      <c r="AC23" s="682">
        <v>0</v>
      </c>
      <c r="AD23" s="682">
        <v>0</v>
      </c>
      <c r="AE23" s="682">
        <v>0</v>
      </c>
      <c r="AF23" s="682">
        <v>0</v>
      </c>
      <c r="AG23" s="682">
        <v>0</v>
      </c>
      <c r="AH23" s="682">
        <v>0</v>
      </c>
      <c r="AI23" s="682">
        <v>0</v>
      </c>
      <c r="AJ23" s="682">
        <v>0</v>
      </c>
      <c r="AK23" s="682">
        <v>0</v>
      </c>
      <c r="AL23" s="682">
        <v>0</v>
      </c>
      <c r="AM23" s="682">
        <v>0</v>
      </c>
    </row>
    <row r="24" spans="1:39" s="138" customFormat="1" ht="30" x14ac:dyDescent="0.25">
      <c r="A24" s="720"/>
      <c r="B24" s="721" t="s">
        <v>321</v>
      </c>
      <c r="C24" s="288">
        <v>0</v>
      </c>
      <c r="D24" s="288">
        <v>0</v>
      </c>
      <c r="E24" s="288">
        <v>0</v>
      </c>
      <c r="F24" s="288">
        <v>0</v>
      </c>
      <c r="G24" s="288">
        <f t="shared" si="0"/>
        <v>0</v>
      </c>
      <c r="H24" s="288">
        <v>0</v>
      </c>
      <c r="I24" s="288">
        <v>0</v>
      </c>
      <c r="J24" s="288">
        <v>0</v>
      </c>
      <c r="K24" s="288">
        <f t="shared" si="1"/>
        <v>0</v>
      </c>
      <c r="L24" s="288">
        <v>0</v>
      </c>
      <c r="M24" s="288">
        <v>0</v>
      </c>
      <c r="N24" s="288">
        <v>0</v>
      </c>
      <c r="O24" s="288">
        <f t="shared" si="2"/>
        <v>0</v>
      </c>
      <c r="P24" s="288">
        <v>0</v>
      </c>
      <c r="Q24" s="288">
        <v>0</v>
      </c>
      <c r="R24" s="288">
        <v>0</v>
      </c>
      <c r="S24" s="288">
        <f t="shared" si="3"/>
        <v>0</v>
      </c>
      <c r="T24" s="288">
        <v>0</v>
      </c>
      <c r="U24" s="288">
        <v>0</v>
      </c>
      <c r="V24" s="288">
        <v>0</v>
      </c>
      <c r="W24" s="288">
        <f t="shared" si="4"/>
        <v>0</v>
      </c>
      <c r="X24" s="288">
        <v>0</v>
      </c>
      <c r="Y24" s="288">
        <v>0</v>
      </c>
      <c r="Z24" s="288">
        <v>0</v>
      </c>
      <c r="AA24" s="288">
        <f t="shared" si="5"/>
        <v>0</v>
      </c>
      <c r="AB24" s="288">
        <v>0</v>
      </c>
      <c r="AC24" s="288">
        <v>0</v>
      </c>
      <c r="AD24" s="288">
        <v>0</v>
      </c>
      <c r="AE24" s="288">
        <v>0</v>
      </c>
      <c r="AF24" s="288">
        <v>0</v>
      </c>
      <c r="AG24" s="288">
        <v>0</v>
      </c>
      <c r="AH24" s="288">
        <v>0</v>
      </c>
      <c r="AI24" s="288">
        <v>0</v>
      </c>
      <c r="AJ24" s="288">
        <v>0</v>
      </c>
      <c r="AK24" s="288">
        <v>0</v>
      </c>
      <c r="AL24" s="288">
        <v>0</v>
      </c>
      <c r="AM24" s="288">
        <v>0</v>
      </c>
    </row>
    <row r="25" spans="1:39" x14ac:dyDescent="0.25">
      <c r="A25" s="649" t="s">
        <v>322</v>
      </c>
      <c r="B25" s="681" t="s">
        <v>257</v>
      </c>
      <c r="C25" s="682">
        <f>SUM(C26:C27)</f>
        <v>0</v>
      </c>
      <c r="D25" s="682">
        <f t="shared" ref="D25:F25" si="38">SUM(D26:D27)</f>
        <v>0</v>
      </c>
      <c r="E25" s="682">
        <f t="shared" si="38"/>
        <v>0</v>
      </c>
      <c r="F25" s="682">
        <f t="shared" si="38"/>
        <v>0</v>
      </c>
      <c r="G25" s="682">
        <f t="shared" si="0"/>
        <v>0</v>
      </c>
      <c r="H25" s="682">
        <f t="shared" ref="H25:J25" si="39">SUM(H26:H27)</f>
        <v>0</v>
      </c>
      <c r="I25" s="682">
        <f t="shared" si="39"/>
        <v>0</v>
      </c>
      <c r="J25" s="682">
        <f t="shared" si="39"/>
        <v>0</v>
      </c>
      <c r="K25" s="682">
        <f t="shared" si="1"/>
        <v>0</v>
      </c>
      <c r="L25" s="682">
        <f t="shared" ref="L25:N25" si="40">SUM(L26:L27)</f>
        <v>0</v>
      </c>
      <c r="M25" s="682">
        <f t="shared" si="40"/>
        <v>0</v>
      </c>
      <c r="N25" s="682">
        <f t="shared" si="40"/>
        <v>0</v>
      </c>
      <c r="O25" s="682">
        <f t="shared" si="2"/>
        <v>0</v>
      </c>
      <c r="P25" s="682">
        <f t="shared" ref="P25:R25" si="41">SUM(P26:P27)</f>
        <v>0</v>
      </c>
      <c r="Q25" s="682">
        <f t="shared" si="41"/>
        <v>0</v>
      </c>
      <c r="R25" s="682">
        <f t="shared" si="41"/>
        <v>0</v>
      </c>
      <c r="S25" s="682">
        <f t="shared" si="3"/>
        <v>0</v>
      </c>
      <c r="T25" s="682">
        <f t="shared" ref="T25:V25" si="42">SUM(T26:T27)</f>
        <v>0</v>
      </c>
      <c r="U25" s="682">
        <f t="shared" si="42"/>
        <v>0</v>
      </c>
      <c r="V25" s="682">
        <f t="shared" si="42"/>
        <v>0</v>
      </c>
      <c r="W25" s="682">
        <f t="shared" si="4"/>
        <v>0</v>
      </c>
      <c r="X25" s="682">
        <f t="shared" ref="X25:Z25" si="43">SUM(X26:X27)</f>
        <v>0</v>
      </c>
      <c r="Y25" s="682">
        <f t="shared" si="43"/>
        <v>0</v>
      </c>
      <c r="Z25" s="682">
        <f t="shared" si="43"/>
        <v>0</v>
      </c>
      <c r="AA25" s="682">
        <f t="shared" si="5"/>
        <v>0</v>
      </c>
      <c r="AB25" s="682">
        <v>0</v>
      </c>
      <c r="AC25" s="682">
        <v>0</v>
      </c>
      <c r="AD25" s="682">
        <v>0</v>
      </c>
      <c r="AE25" s="682">
        <v>0</v>
      </c>
      <c r="AF25" s="682">
        <v>0</v>
      </c>
      <c r="AG25" s="682">
        <v>0</v>
      </c>
      <c r="AH25" s="682">
        <v>0</v>
      </c>
      <c r="AI25" s="682">
        <v>0</v>
      </c>
      <c r="AJ25" s="682">
        <v>0</v>
      </c>
      <c r="AK25" s="682">
        <v>0</v>
      </c>
      <c r="AL25" s="682">
        <v>0</v>
      </c>
      <c r="AM25" s="682">
        <v>0</v>
      </c>
    </row>
    <row r="26" spans="1:39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/>
      <c r="Y26" s="239">
        <v>0</v>
      </c>
      <c r="Z26" s="239">
        <v>0</v>
      </c>
      <c r="AA26" s="239">
        <f t="shared" si="5"/>
        <v>0</v>
      </c>
      <c r="AB26" s="239"/>
      <c r="AC26" s="239">
        <v>0</v>
      </c>
      <c r="AD26" s="239">
        <v>0</v>
      </c>
      <c r="AE26" s="239">
        <v>0</v>
      </c>
      <c r="AF26" s="239"/>
      <c r="AG26" s="239">
        <v>0</v>
      </c>
      <c r="AH26" s="239">
        <v>0</v>
      </c>
      <c r="AI26" s="239">
        <v>0</v>
      </c>
      <c r="AJ26" s="239"/>
      <c r="AK26" s="239">
        <v>0</v>
      </c>
      <c r="AL26" s="239">
        <v>0</v>
      </c>
      <c r="AM26" s="239">
        <v>0</v>
      </c>
    </row>
    <row r="27" spans="1:39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0</v>
      </c>
      <c r="AK27" s="239">
        <v>0</v>
      </c>
      <c r="AL27" s="239">
        <v>0</v>
      </c>
      <c r="AM27" s="239">
        <v>0</v>
      </c>
    </row>
    <row r="28" spans="1:39" x14ac:dyDescent="0.25">
      <c r="A28" s="649" t="s">
        <v>315</v>
      </c>
      <c r="B28" s="681" t="s">
        <v>325</v>
      </c>
      <c r="C28" s="682">
        <f>SUM(C29:C29)</f>
        <v>0</v>
      </c>
      <c r="D28" s="682">
        <f t="shared" ref="D28:Z28" si="44">SUM(D29:D29)</f>
        <v>18705</v>
      </c>
      <c r="E28" s="682">
        <f t="shared" si="44"/>
        <v>0</v>
      </c>
      <c r="F28" s="682">
        <f t="shared" si="44"/>
        <v>0</v>
      </c>
      <c r="G28" s="682">
        <f t="shared" si="0"/>
        <v>18705</v>
      </c>
      <c r="H28" s="682">
        <f t="shared" si="44"/>
        <v>18705</v>
      </c>
      <c r="I28" s="682">
        <f t="shared" si="44"/>
        <v>0</v>
      </c>
      <c r="J28" s="682">
        <f t="shared" si="44"/>
        <v>0</v>
      </c>
      <c r="K28" s="682">
        <f t="shared" si="1"/>
        <v>18705</v>
      </c>
      <c r="L28" s="682">
        <f t="shared" si="44"/>
        <v>18705</v>
      </c>
      <c r="M28" s="682">
        <f t="shared" si="44"/>
        <v>0</v>
      </c>
      <c r="N28" s="682">
        <f t="shared" si="44"/>
        <v>0</v>
      </c>
      <c r="O28" s="682">
        <f t="shared" si="2"/>
        <v>18705</v>
      </c>
      <c r="P28" s="682">
        <f t="shared" si="44"/>
        <v>0</v>
      </c>
      <c r="Q28" s="682">
        <f t="shared" si="44"/>
        <v>0</v>
      </c>
      <c r="R28" s="682">
        <f t="shared" si="44"/>
        <v>0</v>
      </c>
      <c r="S28" s="682">
        <f t="shared" si="3"/>
        <v>0</v>
      </c>
      <c r="T28" s="682">
        <f t="shared" si="44"/>
        <v>0</v>
      </c>
      <c r="U28" s="682">
        <f t="shared" si="44"/>
        <v>0</v>
      </c>
      <c r="V28" s="682">
        <f t="shared" si="44"/>
        <v>0</v>
      </c>
      <c r="W28" s="682">
        <f t="shared" si="4"/>
        <v>0</v>
      </c>
      <c r="X28" s="682">
        <f t="shared" si="44"/>
        <v>0</v>
      </c>
      <c r="Y28" s="682">
        <f t="shared" si="44"/>
        <v>0</v>
      </c>
      <c r="Z28" s="682">
        <f t="shared" si="44"/>
        <v>0</v>
      </c>
      <c r="AA28" s="682">
        <f t="shared" si="5"/>
        <v>0</v>
      </c>
      <c r="AB28" s="682">
        <v>0</v>
      </c>
      <c r="AC28" s="682">
        <v>0</v>
      </c>
      <c r="AD28" s="682">
        <v>0</v>
      </c>
      <c r="AE28" s="682">
        <v>0</v>
      </c>
      <c r="AF28" s="682">
        <v>0</v>
      </c>
      <c r="AG28" s="682">
        <v>0</v>
      </c>
      <c r="AH28" s="682">
        <v>0</v>
      </c>
      <c r="AI28" s="682">
        <v>0</v>
      </c>
      <c r="AJ28" s="682">
        <v>0</v>
      </c>
      <c r="AK28" s="682">
        <v>0</v>
      </c>
      <c r="AL28" s="682">
        <v>0</v>
      </c>
      <c r="AM28" s="682">
        <v>0</v>
      </c>
    </row>
    <row r="29" spans="1:39" x14ac:dyDescent="0.25">
      <c r="A29" s="328"/>
      <c r="B29" s="301" t="s">
        <v>326</v>
      </c>
      <c r="C29" s="239">
        <v>0</v>
      </c>
      <c r="D29" s="239">
        <v>18705</v>
      </c>
      <c r="E29" s="239">
        <v>0</v>
      </c>
      <c r="F29" s="239">
        <v>0</v>
      </c>
      <c r="G29" s="239">
        <f t="shared" si="0"/>
        <v>18705</v>
      </c>
      <c r="H29" s="239">
        <v>18705</v>
      </c>
      <c r="I29" s="239">
        <v>0</v>
      </c>
      <c r="J29" s="239">
        <v>0</v>
      </c>
      <c r="K29" s="239">
        <f t="shared" si="1"/>
        <v>18705</v>
      </c>
      <c r="L29" s="239">
        <v>18705</v>
      </c>
      <c r="M29" s="239">
        <v>0</v>
      </c>
      <c r="N29" s="239">
        <v>0</v>
      </c>
      <c r="O29" s="239">
        <f t="shared" si="2"/>
        <v>18705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/>
      <c r="Y29" s="239">
        <v>0</v>
      </c>
      <c r="Z29" s="239">
        <v>0</v>
      </c>
      <c r="AA29" s="239">
        <f t="shared" si="5"/>
        <v>0</v>
      </c>
      <c r="AB29" s="239"/>
      <c r="AC29" s="239">
        <v>0</v>
      </c>
      <c r="AD29" s="239">
        <v>0</v>
      </c>
      <c r="AE29" s="239">
        <v>0</v>
      </c>
      <c r="AF29" s="239"/>
      <c r="AG29" s="239">
        <v>0</v>
      </c>
      <c r="AH29" s="239">
        <v>0</v>
      </c>
      <c r="AI29" s="239">
        <v>0</v>
      </c>
      <c r="AJ29" s="239"/>
      <c r="AK29" s="239">
        <v>0</v>
      </c>
      <c r="AL29" s="239">
        <v>0</v>
      </c>
      <c r="AM29" s="239">
        <v>0</v>
      </c>
    </row>
    <row r="30" spans="1:39" x14ac:dyDescent="0.25">
      <c r="A30" s="595"/>
      <c r="B30" s="590" t="s">
        <v>327</v>
      </c>
      <c r="C30" s="622">
        <f>C22+C8</f>
        <v>7684</v>
      </c>
      <c r="D30" s="622">
        <f t="shared" ref="D30:F30" si="45">D22+D8</f>
        <v>391070</v>
      </c>
      <c r="E30" s="622">
        <f t="shared" si="45"/>
        <v>0</v>
      </c>
      <c r="F30" s="622">
        <f t="shared" si="45"/>
        <v>0</v>
      </c>
      <c r="G30" s="622">
        <f t="shared" si="0"/>
        <v>391070</v>
      </c>
      <c r="H30" s="622">
        <f t="shared" ref="H30:J30" si="46">H22+H8</f>
        <v>450752</v>
      </c>
      <c r="I30" s="622">
        <f t="shared" si="46"/>
        <v>0</v>
      </c>
      <c r="J30" s="622">
        <f t="shared" si="46"/>
        <v>0</v>
      </c>
      <c r="K30" s="622">
        <f t="shared" si="1"/>
        <v>450752</v>
      </c>
      <c r="L30" s="622">
        <f t="shared" ref="L30:N30" si="47">L22+L8</f>
        <v>442762</v>
      </c>
      <c r="M30" s="622">
        <f t="shared" si="47"/>
        <v>0</v>
      </c>
      <c r="N30" s="622">
        <f t="shared" si="47"/>
        <v>0</v>
      </c>
      <c r="O30" s="622">
        <f t="shared" si="2"/>
        <v>442762</v>
      </c>
      <c r="P30" s="622">
        <f t="shared" ref="P30:R30" si="48">P22+P8</f>
        <v>10104</v>
      </c>
      <c r="Q30" s="622">
        <f t="shared" si="48"/>
        <v>0</v>
      </c>
      <c r="R30" s="622">
        <f t="shared" si="48"/>
        <v>0</v>
      </c>
      <c r="S30" s="622">
        <f t="shared" si="3"/>
        <v>10104</v>
      </c>
      <c r="T30" s="622">
        <f t="shared" ref="T30:V30" si="49">T22+T8</f>
        <v>101754</v>
      </c>
      <c r="U30" s="622">
        <f t="shared" si="49"/>
        <v>0</v>
      </c>
      <c r="V30" s="622">
        <f t="shared" si="49"/>
        <v>0</v>
      </c>
      <c r="W30" s="622">
        <f t="shared" si="4"/>
        <v>101754</v>
      </c>
      <c r="X30" s="622">
        <f t="shared" ref="X30:AE30" si="50">X22+X8</f>
        <v>404905</v>
      </c>
      <c r="Y30" s="622">
        <f t="shared" si="50"/>
        <v>0</v>
      </c>
      <c r="Z30" s="622">
        <f t="shared" si="50"/>
        <v>0</v>
      </c>
      <c r="AA30" s="622">
        <f t="shared" si="50"/>
        <v>404905</v>
      </c>
      <c r="AB30" s="622">
        <f t="shared" si="50"/>
        <v>463933</v>
      </c>
      <c r="AC30" s="622">
        <f t="shared" si="50"/>
        <v>0</v>
      </c>
      <c r="AD30" s="622">
        <f t="shared" si="50"/>
        <v>0</v>
      </c>
      <c r="AE30" s="622">
        <f t="shared" si="50"/>
        <v>463933</v>
      </c>
      <c r="AF30" s="622">
        <f t="shared" ref="AF30:AI30" si="51">AF22+AF8</f>
        <v>432986</v>
      </c>
      <c r="AG30" s="622">
        <f t="shared" si="51"/>
        <v>0</v>
      </c>
      <c r="AH30" s="622">
        <f t="shared" si="51"/>
        <v>0</v>
      </c>
      <c r="AI30" s="622">
        <f t="shared" si="51"/>
        <v>432986</v>
      </c>
      <c r="AJ30" s="622">
        <f t="shared" ref="AJ30:AM30" si="52">AJ22+AJ8</f>
        <v>196536</v>
      </c>
      <c r="AK30" s="622">
        <f t="shared" si="52"/>
        <v>0</v>
      </c>
      <c r="AL30" s="622">
        <f t="shared" si="52"/>
        <v>0</v>
      </c>
      <c r="AM30" s="622">
        <f t="shared" si="52"/>
        <v>196536</v>
      </c>
    </row>
    <row r="31" spans="1:39" x14ac:dyDescent="0.25">
      <c r="A31" s="293" t="s">
        <v>328</v>
      </c>
      <c r="B31" s="294" t="s">
        <v>329</v>
      </c>
      <c r="C31" s="295">
        <f t="shared" ref="C31:Z31" si="53">C32</f>
        <v>285858</v>
      </c>
      <c r="D31" s="295">
        <f t="shared" si="53"/>
        <v>0</v>
      </c>
      <c r="E31" s="295">
        <f t="shared" si="53"/>
        <v>0</v>
      </c>
      <c r="F31" s="295">
        <f t="shared" si="53"/>
        <v>0</v>
      </c>
      <c r="G31" s="295">
        <f t="shared" si="0"/>
        <v>0</v>
      </c>
      <c r="H31" s="295">
        <f t="shared" si="53"/>
        <v>0</v>
      </c>
      <c r="I31" s="295">
        <f t="shared" si="53"/>
        <v>0</v>
      </c>
      <c r="J31" s="295">
        <f t="shared" si="53"/>
        <v>0</v>
      </c>
      <c r="K31" s="295">
        <f t="shared" si="1"/>
        <v>0</v>
      </c>
      <c r="L31" s="295">
        <f t="shared" si="53"/>
        <v>18990</v>
      </c>
      <c r="M31" s="295">
        <f t="shared" si="53"/>
        <v>0</v>
      </c>
      <c r="N31" s="295">
        <f t="shared" si="53"/>
        <v>0</v>
      </c>
      <c r="O31" s="295">
        <f t="shared" si="2"/>
        <v>18990</v>
      </c>
      <c r="P31" s="295">
        <f t="shared" si="53"/>
        <v>285633</v>
      </c>
      <c r="Q31" s="295">
        <f t="shared" si="53"/>
        <v>0</v>
      </c>
      <c r="R31" s="295">
        <f t="shared" si="53"/>
        <v>0</v>
      </c>
      <c r="S31" s="295">
        <f t="shared" si="3"/>
        <v>285633</v>
      </c>
      <c r="T31" s="295">
        <f t="shared" si="53"/>
        <v>0</v>
      </c>
      <c r="U31" s="295">
        <f t="shared" si="53"/>
        <v>0</v>
      </c>
      <c r="V31" s="295">
        <f t="shared" si="53"/>
        <v>0</v>
      </c>
      <c r="W31" s="295">
        <f t="shared" si="4"/>
        <v>0</v>
      </c>
      <c r="X31" s="295">
        <f t="shared" si="53"/>
        <v>0</v>
      </c>
      <c r="Y31" s="295">
        <f t="shared" si="53"/>
        <v>0</v>
      </c>
      <c r="Z31" s="295">
        <f t="shared" si="53"/>
        <v>0</v>
      </c>
      <c r="AA31" s="295">
        <f t="shared" si="5"/>
        <v>0</v>
      </c>
      <c r="AB31" s="295">
        <v>0</v>
      </c>
      <c r="AC31" s="295">
        <v>0</v>
      </c>
      <c r="AD31" s="295">
        <v>0</v>
      </c>
      <c r="AE31" s="295">
        <v>0</v>
      </c>
      <c r="AF31" s="295">
        <f>AF32</f>
        <v>22398</v>
      </c>
      <c r="AG31" s="295">
        <f t="shared" ref="AG31:AH31" si="54">AG32</f>
        <v>0</v>
      </c>
      <c r="AH31" s="295">
        <f t="shared" si="54"/>
        <v>0</v>
      </c>
      <c r="AI31" s="295">
        <f>SUM(AF31:AH31)</f>
        <v>22398</v>
      </c>
      <c r="AJ31" s="295">
        <v>22398</v>
      </c>
      <c r="AK31" s="295">
        <v>0</v>
      </c>
      <c r="AL31" s="295">
        <v>0</v>
      </c>
      <c r="AM31" s="295">
        <v>22398</v>
      </c>
    </row>
    <row r="32" spans="1:39" x14ac:dyDescent="0.25">
      <c r="A32" s="296" t="s">
        <v>311</v>
      </c>
      <c r="B32" s="297" t="s">
        <v>330</v>
      </c>
      <c r="C32" s="298">
        <f>SUM(C33:C34)</f>
        <v>285858</v>
      </c>
      <c r="D32" s="298">
        <f t="shared" ref="D32:F32" si="55">SUM(D33:D34)</f>
        <v>0</v>
      </c>
      <c r="E32" s="298">
        <f t="shared" si="55"/>
        <v>0</v>
      </c>
      <c r="F32" s="298">
        <f t="shared" si="55"/>
        <v>0</v>
      </c>
      <c r="G32" s="298">
        <f t="shared" si="0"/>
        <v>0</v>
      </c>
      <c r="H32" s="298">
        <f t="shared" ref="H32:J32" si="56">SUM(H33:H34)</f>
        <v>0</v>
      </c>
      <c r="I32" s="298">
        <f t="shared" si="56"/>
        <v>0</v>
      </c>
      <c r="J32" s="298">
        <f t="shared" si="56"/>
        <v>0</v>
      </c>
      <c r="K32" s="298">
        <f t="shared" si="1"/>
        <v>0</v>
      </c>
      <c r="L32" s="298">
        <f t="shared" ref="L32:N32" si="57">SUM(L33:L34)</f>
        <v>18990</v>
      </c>
      <c r="M32" s="298">
        <f t="shared" si="57"/>
        <v>0</v>
      </c>
      <c r="N32" s="298">
        <f t="shared" si="57"/>
        <v>0</v>
      </c>
      <c r="O32" s="298">
        <f t="shared" si="2"/>
        <v>18990</v>
      </c>
      <c r="P32" s="298">
        <f t="shared" ref="P32:R32" si="58">SUM(P33:P34)</f>
        <v>285633</v>
      </c>
      <c r="Q32" s="298">
        <f t="shared" si="58"/>
        <v>0</v>
      </c>
      <c r="R32" s="298">
        <f t="shared" si="58"/>
        <v>0</v>
      </c>
      <c r="S32" s="298">
        <f t="shared" si="3"/>
        <v>285633</v>
      </c>
      <c r="T32" s="298">
        <f t="shared" ref="T32:V32" si="59">SUM(T33:T34)</f>
        <v>0</v>
      </c>
      <c r="U32" s="298">
        <f t="shared" si="59"/>
        <v>0</v>
      </c>
      <c r="V32" s="298">
        <f t="shared" si="59"/>
        <v>0</v>
      </c>
      <c r="W32" s="298">
        <f t="shared" si="4"/>
        <v>0</v>
      </c>
      <c r="X32" s="298">
        <f t="shared" ref="X32:Z32" si="60">SUM(X33:X34)</f>
        <v>0</v>
      </c>
      <c r="Y32" s="298">
        <f t="shared" si="60"/>
        <v>0</v>
      </c>
      <c r="Z32" s="298">
        <f t="shared" si="60"/>
        <v>0</v>
      </c>
      <c r="AA32" s="298">
        <f t="shared" si="5"/>
        <v>0</v>
      </c>
      <c r="AB32" s="298">
        <f>AB33+AB34</f>
        <v>22398</v>
      </c>
      <c r="AC32" s="298">
        <f t="shared" ref="AC32:AE32" si="61">AC33+AC34</f>
        <v>0</v>
      </c>
      <c r="AD32" s="298">
        <f t="shared" si="61"/>
        <v>0</v>
      </c>
      <c r="AE32" s="298">
        <f t="shared" si="61"/>
        <v>22398</v>
      </c>
      <c r="AF32" s="298">
        <f>SUM(AF33:AF34)</f>
        <v>22398</v>
      </c>
      <c r="AG32" s="298">
        <f t="shared" ref="AG32:AH32" si="62">SUM(AG33:AG34)</f>
        <v>0</v>
      </c>
      <c r="AH32" s="298">
        <f t="shared" si="62"/>
        <v>0</v>
      </c>
      <c r="AI32" s="298">
        <f>SUM(AF32:AH32)</f>
        <v>22398</v>
      </c>
      <c r="AJ32" s="298">
        <v>22398</v>
      </c>
      <c r="AK32" s="298">
        <v>0</v>
      </c>
      <c r="AL32" s="298">
        <v>0</v>
      </c>
      <c r="AM32" s="298">
        <f>SUM(AJ32:AL32)</f>
        <v>22398</v>
      </c>
    </row>
    <row r="33" spans="1:39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0</v>
      </c>
      <c r="I33" s="239">
        <v>0</v>
      </c>
      <c r="J33" s="239">
        <v>0</v>
      </c>
      <c r="K33" s="239">
        <f t="shared" si="1"/>
        <v>0</v>
      </c>
      <c r="L33" s="239">
        <v>18990</v>
      </c>
      <c r="M33" s="239">
        <v>0</v>
      </c>
      <c r="N33" s="239">
        <v>0</v>
      </c>
      <c r="O33" s="239">
        <f t="shared" si="2"/>
        <v>18990</v>
      </c>
      <c r="P33" s="239">
        <v>1306</v>
      </c>
      <c r="Q33" s="239">
        <v>0</v>
      </c>
      <c r="R33" s="239">
        <v>0</v>
      </c>
      <c r="S33" s="239">
        <f t="shared" si="3"/>
        <v>1306</v>
      </c>
      <c r="T33" s="239">
        <v>0</v>
      </c>
      <c r="U33" s="239">
        <v>0</v>
      </c>
      <c r="V33" s="239">
        <v>0</v>
      </c>
      <c r="W33" s="239">
        <f t="shared" si="4"/>
        <v>0</v>
      </c>
      <c r="X33" s="239"/>
      <c r="Y33" s="239">
        <v>0</v>
      </c>
      <c r="Z33" s="239">
        <v>0</v>
      </c>
      <c r="AA33" s="239">
        <f t="shared" si="5"/>
        <v>0</v>
      </c>
      <c r="AB33" s="239">
        <v>22398</v>
      </c>
      <c r="AC33" s="239">
        <v>0</v>
      </c>
      <c r="AD33" s="239">
        <v>0</v>
      </c>
      <c r="AE33" s="239">
        <f>SUM(AB33:AD33)</f>
        <v>22398</v>
      </c>
      <c r="AF33" s="239">
        <v>22398</v>
      </c>
      <c r="AG33" s="239">
        <v>0</v>
      </c>
      <c r="AH33" s="239">
        <v>0</v>
      </c>
      <c r="AI33" s="239">
        <f>SUM(AF33:AH33)</f>
        <v>22398</v>
      </c>
      <c r="AJ33" s="239">
        <v>22398</v>
      </c>
      <c r="AK33" s="239">
        <v>0</v>
      </c>
      <c r="AL33" s="239">
        <v>0</v>
      </c>
      <c r="AM33" s="239">
        <f>SUM(AJ33:AL33)</f>
        <v>22398</v>
      </c>
    </row>
    <row r="34" spans="1:39" x14ac:dyDescent="0.25">
      <c r="A34" s="328"/>
      <c r="B34" s="301" t="s">
        <v>332</v>
      </c>
      <c r="C34" s="239">
        <f>C46-C30-C33</f>
        <v>285858</v>
      </c>
      <c r="D34" s="239">
        <f t="shared" ref="D34:F34" si="63">D46-D30-D33</f>
        <v>0</v>
      </c>
      <c r="E34" s="239">
        <f t="shared" si="63"/>
        <v>0</v>
      </c>
      <c r="F34" s="239">
        <f t="shared" si="63"/>
        <v>0</v>
      </c>
      <c r="G34" s="239">
        <f t="shared" si="0"/>
        <v>0</v>
      </c>
      <c r="H34" s="239">
        <f t="shared" ref="H34:J34" si="64">H46-H30-H33</f>
        <v>0</v>
      </c>
      <c r="I34" s="239">
        <f t="shared" si="64"/>
        <v>0</v>
      </c>
      <c r="J34" s="239">
        <f t="shared" si="64"/>
        <v>0</v>
      </c>
      <c r="K34" s="239">
        <f t="shared" si="1"/>
        <v>0</v>
      </c>
      <c r="L34" s="239">
        <v>0</v>
      </c>
      <c r="M34" s="239">
        <f t="shared" ref="M34:N34" si="65">M46-M30-M33</f>
        <v>0</v>
      </c>
      <c r="N34" s="239">
        <f t="shared" si="65"/>
        <v>0</v>
      </c>
      <c r="O34" s="239">
        <f t="shared" si="2"/>
        <v>0</v>
      </c>
      <c r="P34" s="239">
        <f t="shared" ref="P34:R34" si="66">P46-P30-P33</f>
        <v>284327</v>
      </c>
      <c r="Q34" s="239">
        <f t="shared" si="66"/>
        <v>0</v>
      </c>
      <c r="R34" s="239">
        <f t="shared" si="66"/>
        <v>0</v>
      </c>
      <c r="S34" s="239">
        <f t="shared" si="3"/>
        <v>284327</v>
      </c>
      <c r="T34" s="239">
        <v>0</v>
      </c>
      <c r="U34" s="239">
        <f t="shared" ref="U34:V34" si="67">U46-U30-U33</f>
        <v>0</v>
      </c>
      <c r="V34" s="239">
        <f t="shared" si="67"/>
        <v>0</v>
      </c>
      <c r="W34" s="239">
        <f t="shared" si="4"/>
        <v>0</v>
      </c>
      <c r="X34" s="239">
        <v>0</v>
      </c>
      <c r="Y34" s="239">
        <f t="shared" ref="Y34:Z34" si="68">Y46-Y30-Y33</f>
        <v>0</v>
      </c>
      <c r="Z34" s="239">
        <f t="shared" si="68"/>
        <v>0</v>
      </c>
      <c r="AA34" s="239">
        <f t="shared" si="5"/>
        <v>0</v>
      </c>
      <c r="AB34" s="239">
        <v>0</v>
      </c>
      <c r="AC34" s="239">
        <v>0</v>
      </c>
      <c r="AD34" s="239">
        <v>0</v>
      </c>
      <c r="AE34" s="239">
        <f>SUM(AB34:AD34)</f>
        <v>0</v>
      </c>
      <c r="AF34" s="239">
        <v>0</v>
      </c>
      <c r="AG34" s="239">
        <v>0</v>
      </c>
      <c r="AH34" s="239">
        <v>0</v>
      </c>
      <c r="AI34" s="239">
        <f>SUM(AF34:AH34)</f>
        <v>0</v>
      </c>
      <c r="AJ34" s="239">
        <v>0</v>
      </c>
      <c r="AK34" s="239">
        <v>0</v>
      </c>
      <c r="AL34" s="239">
        <v>0</v>
      </c>
      <c r="AM34" s="239">
        <f>SUM(AJ34:AL34)</f>
        <v>0</v>
      </c>
    </row>
    <row r="35" spans="1:39" x14ac:dyDescent="0.25">
      <c r="A35" s="649"/>
      <c r="B35" s="650" t="s">
        <v>333</v>
      </c>
      <c r="C35" s="638">
        <f>C31+C22+C8</f>
        <v>293542</v>
      </c>
      <c r="D35" s="638">
        <f t="shared" ref="D35:F35" si="69">D31+D22+D8</f>
        <v>391070</v>
      </c>
      <c r="E35" s="638">
        <f t="shared" si="69"/>
        <v>0</v>
      </c>
      <c r="F35" s="638">
        <f t="shared" si="69"/>
        <v>0</v>
      </c>
      <c r="G35" s="638">
        <f t="shared" si="0"/>
        <v>391070</v>
      </c>
      <c r="H35" s="638">
        <f t="shared" ref="H35:J35" si="70">H31+H22+H8</f>
        <v>450752</v>
      </c>
      <c r="I35" s="638">
        <f t="shared" si="70"/>
        <v>0</v>
      </c>
      <c r="J35" s="638">
        <f t="shared" si="70"/>
        <v>0</v>
      </c>
      <c r="K35" s="638">
        <f t="shared" si="1"/>
        <v>450752</v>
      </c>
      <c r="L35" s="638">
        <f t="shared" ref="L35:N35" si="71">L31+L22+L8</f>
        <v>461752</v>
      </c>
      <c r="M35" s="638">
        <f t="shared" si="71"/>
        <v>0</v>
      </c>
      <c r="N35" s="638">
        <f t="shared" si="71"/>
        <v>0</v>
      </c>
      <c r="O35" s="638">
        <f t="shared" si="2"/>
        <v>461752</v>
      </c>
      <c r="P35" s="638">
        <f t="shared" ref="P35:R35" si="72">P31+P22+P8</f>
        <v>295737</v>
      </c>
      <c r="Q35" s="638">
        <f t="shared" si="72"/>
        <v>0</v>
      </c>
      <c r="R35" s="638">
        <f t="shared" si="72"/>
        <v>0</v>
      </c>
      <c r="S35" s="638">
        <f t="shared" si="3"/>
        <v>295737</v>
      </c>
      <c r="T35" s="638">
        <f t="shared" ref="T35:V35" si="73">T31+T22+T8</f>
        <v>101754</v>
      </c>
      <c r="U35" s="638">
        <f t="shared" si="73"/>
        <v>0</v>
      </c>
      <c r="V35" s="638">
        <f t="shared" si="73"/>
        <v>0</v>
      </c>
      <c r="W35" s="638">
        <f t="shared" si="4"/>
        <v>101754</v>
      </c>
      <c r="X35" s="638">
        <f t="shared" ref="X35:AF35" si="74">X31+X22+X8</f>
        <v>404905</v>
      </c>
      <c r="Y35" s="638">
        <f t="shared" si="74"/>
        <v>0</v>
      </c>
      <c r="Z35" s="638">
        <f t="shared" si="74"/>
        <v>0</v>
      </c>
      <c r="AA35" s="638">
        <f t="shared" si="74"/>
        <v>404905</v>
      </c>
      <c r="AB35" s="638">
        <f t="shared" si="74"/>
        <v>463933</v>
      </c>
      <c r="AC35" s="638">
        <f t="shared" si="74"/>
        <v>0</v>
      </c>
      <c r="AD35" s="638">
        <f t="shared" si="74"/>
        <v>0</v>
      </c>
      <c r="AE35" s="638">
        <f t="shared" si="74"/>
        <v>463933</v>
      </c>
      <c r="AF35" s="638">
        <f t="shared" si="74"/>
        <v>455384</v>
      </c>
      <c r="AG35" s="638">
        <f t="shared" ref="AG35:AI35" si="75">AG31+AG22+AG8</f>
        <v>0</v>
      </c>
      <c r="AH35" s="638">
        <f t="shared" si="75"/>
        <v>0</v>
      </c>
      <c r="AI35" s="638">
        <f t="shared" si="75"/>
        <v>455384</v>
      </c>
      <c r="AJ35" s="638">
        <f t="shared" ref="AJ35:AM35" si="76">AJ31+AJ22+AJ8</f>
        <v>218934</v>
      </c>
      <c r="AK35" s="638">
        <f t="shared" si="76"/>
        <v>0</v>
      </c>
      <c r="AL35" s="638">
        <f t="shared" si="76"/>
        <v>0</v>
      </c>
      <c r="AM35" s="638">
        <f t="shared" si="76"/>
        <v>218934</v>
      </c>
    </row>
    <row r="36" spans="1:39" x14ac:dyDescent="0.25">
      <c r="A36" s="293" t="s">
        <v>309</v>
      </c>
      <c r="B36" s="294" t="s">
        <v>334</v>
      </c>
      <c r="C36" s="295">
        <f t="shared" ref="C36:F36" si="77">SUM(C37:C41)</f>
        <v>292907</v>
      </c>
      <c r="D36" s="295">
        <f t="shared" si="77"/>
        <v>361145</v>
      </c>
      <c r="E36" s="295">
        <f t="shared" si="77"/>
        <v>0</v>
      </c>
      <c r="F36" s="295">
        <f t="shared" si="77"/>
        <v>0</v>
      </c>
      <c r="G36" s="295">
        <f t="shared" si="0"/>
        <v>361145</v>
      </c>
      <c r="H36" s="295">
        <f>SUM(H37:H41)</f>
        <v>420827</v>
      </c>
      <c r="I36" s="295">
        <f t="shared" ref="I36:J36" si="78">SUM(I37:I41)</f>
        <v>0</v>
      </c>
      <c r="J36" s="295">
        <f t="shared" si="78"/>
        <v>0</v>
      </c>
      <c r="K36" s="295">
        <f t="shared" si="1"/>
        <v>420827</v>
      </c>
      <c r="L36" s="295">
        <f>SUM(L37:L41)</f>
        <v>431826</v>
      </c>
      <c r="M36" s="295">
        <f t="shared" ref="M36:N36" si="79">SUM(M37:M41)</f>
        <v>0</v>
      </c>
      <c r="N36" s="295">
        <f t="shared" si="79"/>
        <v>0</v>
      </c>
      <c r="O36" s="295">
        <f t="shared" si="2"/>
        <v>431826</v>
      </c>
      <c r="P36" s="295">
        <f>SUM(P37:P41)</f>
        <v>294979</v>
      </c>
      <c r="Q36" s="295">
        <f t="shared" ref="Q36:R36" si="80">SUM(Q37:Q41)</f>
        <v>0</v>
      </c>
      <c r="R36" s="295">
        <f t="shared" si="80"/>
        <v>0</v>
      </c>
      <c r="S36" s="295">
        <f t="shared" si="3"/>
        <v>294979</v>
      </c>
      <c r="T36" s="295">
        <f>SUM(T37:T41)</f>
        <v>96588</v>
      </c>
      <c r="U36" s="295">
        <f t="shared" ref="U36:V36" si="81">SUM(U37:U41)</f>
        <v>0</v>
      </c>
      <c r="V36" s="295">
        <f t="shared" si="81"/>
        <v>0</v>
      </c>
      <c r="W36" s="295">
        <f t="shared" si="4"/>
        <v>96588</v>
      </c>
      <c r="X36" s="295">
        <f>SUM(X37:X41)</f>
        <v>382465</v>
      </c>
      <c r="Y36" s="295">
        <f t="shared" ref="Y36:AE36" si="82">SUM(Y37:Y41)</f>
        <v>0</v>
      </c>
      <c r="Z36" s="295">
        <f t="shared" si="82"/>
        <v>0</v>
      </c>
      <c r="AA36" s="295">
        <f t="shared" si="82"/>
        <v>382465</v>
      </c>
      <c r="AB36" s="295">
        <f t="shared" si="82"/>
        <v>454129</v>
      </c>
      <c r="AC36" s="295">
        <f t="shared" si="82"/>
        <v>0</v>
      </c>
      <c r="AD36" s="295">
        <f t="shared" si="82"/>
        <v>0</v>
      </c>
      <c r="AE36" s="295">
        <f t="shared" si="82"/>
        <v>454129</v>
      </c>
      <c r="AF36" s="295">
        <f t="shared" ref="AF36:AI36" si="83">SUM(AF37:AF41)</f>
        <v>420675</v>
      </c>
      <c r="AG36" s="295">
        <f t="shared" si="83"/>
        <v>0</v>
      </c>
      <c r="AH36" s="295">
        <f t="shared" si="83"/>
        <v>0</v>
      </c>
      <c r="AI36" s="295">
        <f t="shared" si="83"/>
        <v>420675</v>
      </c>
      <c r="AJ36" s="295">
        <f t="shared" ref="AJ36:AM36" si="84">SUM(AJ37:AJ41)</f>
        <v>175695</v>
      </c>
      <c r="AK36" s="295">
        <f t="shared" si="84"/>
        <v>0</v>
      </c>
      <c r="AL36" s="295">
        <f t="shared" si="84"/>
        <v>0</v>
      </c>
      <c r="AM36" s="295">
        <f t="shared" si="84"/>
        <v>175695</v>
      </c>
    </row>
    <row r="37" spans="1:39" x14ac:dyDescent="0.25">
      <c r="A37" s="582" t="s">
        <v>311</v>
      </c>
      <c r="B37" s="675" t="s">
        <v>286</v>
      </c>
      <c r="C37" s="676">
        <f>'5H GSZNR fel'!C37+'5H GSZNR fel'!C43</f>
        <v>172578</v>
      </c>
      <c r="D37" s="676">
        <v>135060</v>
      </c>
      <c r="E37" s="676">
        <v>0</v>
      </c>
      <c r="F37" s="676">
        <v>0</v>
      </c>
      <c r="G37" s="676">
        <f t="shared" si="0"/>
        <v>135060</v>
      </c>
      <c r="H37" s="676">
        <v>164626</v>
      </c>
      <c r="I37" s="676">
        <v>0</v>
      </c>
      <c r="J37" s="676">
        <v>0</v>
      </c>
      <c r="K37" s="676">
        <f>SUM(H37:J37)</f>
        <v>164626</v>
      </c>
      <c r="L37" s="676">
        <v>167019</v>
      </c>
      <c r="M37" s="676">
        <v>0</v>
      </c>
      <c r="N37" s="676">
        <v>0</v>
      </c>
      <c r="O37" s="676">
        <f>SUM(L37:N37)</f>
        <v>167019</v>
      </c>
      <c r="P37" s="676">
        <f>'5H GSZNR fel'!O37+'5H GSZNR fel'!O43</f>
        <v>176453</v>
      </c>
      <c r="Q37" s="676">
        <f>'5H GSZNR fel'!M37+'5H GSZNR fel'!M43</f>
        <v>0</v>
      </c>
      <c r="R37" s="676">
        <v>0</v>
      </c>
      <c r="S37" s="676">
        <f>SUM(P37:R37)</f>
        <v>176453</v>
      </c>
      <c r="T37" s="676">
        <v>49262</v>
      </c>
      <c r="U37" s="676">
        <f>'5H GSZNR fel'!Q37+'5H GSZNR fel'!Q43</f>
        <v>0</v>
      </c>
      <c r="V37" s="676">
        <v>0</v>
      </c>
      <c r="W37" s="676">
        <f>SUM(T37:V37)</f>
        <v>49262</v>
      </c>
      <c r="X37" s="676">
        <v>148875</v>
      </c>
      <c r="Y37" s="676">
        <v>0</v>
      </c>
      <c r="Z37" s="676">
        <v>0</v>
      </c>
      <c r="AA37" s="676">
        <f>SUM(X37:Z37)</f>
        <v>148875</v>
      </c>
      <c r="AB37" s="676">
        <v>162780</v>
      </c>
      <c r="AC37" s="676">
        <v>0</v>
      </c>
      <c r="AD37" s="676">
        <v>0</v>
      </c>
      <c r="AE37" s="676">
        <f>SUM(AB37:AD37)</f>
        <v>162780</v>
      </c>
      <c r="AF37" s="676">
        <v>172047</v>
      </c>
      <c r="AG37" s="676"/>
      <c r="AH37" s="676"/>
      <c r="AI37" s="676">
        <f>SUM(AF37:AH37)</f>
        <v>172047</v>
      </c>
      <c r="AJ37" s="676">
        <v>89306</v>
      </c>
      <c r="AK37" s="676"/>
      <c r="AL37" s="676"/>
      <c r="AM37" s="676">
        <f>SUM(AJ37:AL37)</f>
        <v>89306</v>
      </c>
    </row>
    <row r="38" spans="1:39" x14ac:dyDescent="0.25">
      <c r="A38" s="582" t="s">
        <v>322</v>
      </c>
      <c r="B38" s="675" t="s">
        <v>335</v>
      </c>
      <c r="C38" s="676">
        <f>'5H GSZNR fel'!C38+'5H GSZNR fel'!C44</f>
        <v>40693</v>
      </c>
      <c r="D38" s="676">
        <v>28879</v>
      </c>
      <c r="E38" s="676">
        <v>0</v>
      </c>
      <c r="F38" s="676">
        <v>0</v>
      </c>
      <c r="G38" s="676">
        <f t="shared" si="0"/>
        <v>28879</v>
      </c>
      <c r="H38" s="676">
        <v>35334</v>
      </c>
      <c r="I38" s="676">
        <v>0</v>
      </c>
      <c r="J38" s="676">
        <v>0</v>
      </c>
      <c r="K38" s="676">
        <f>SUM(H38:J38)</f>
        <v>35334</v>
      </c>
      <c r="L38" s="676">
        <v>35568</v>
      </c>
      <c r="M38" s="676">
        <v>0</v>
      </c>
      <c r="N38" s="676">
        <v>0</v>
      </c>
      <c r="O38" s="676">
        <f>SUM(L38:N38)</f>
        <v>35568</v>
      </c>
      <c r="P38" s="676">
        <f>'5H GSZNR fel'!O38+'5H GSZNR fel'!O44</f>
        <v>43662</v>
      </c>
      <c r="Q38" s="676">
        <f>'5H GSZNR fel'!M38+'5H GSZNR fel'!M44</f>
        <v>0</v>
      </c>
      <c r="R38" s="676">
        <v>0</v>
      </c>
      <c r="S38" s="676">
        <f>SUM(P38:R38)</f>
        <v>43662</v>
      </c>
      <c r="T38" s="676">
        <v>9215</v>
      </c>
      <c r="U38" s="676">
        <f>'5H GSZNR fel'!Q38+'5H GSZNR fel'!Q44</f>
        <v>0</v>
      </c>
      <c r="V38" s="676">
        <v>0</v>
      </c>
      <c r="W38" s="676">
        <f>SUM(T38:V38)</f>
        <v>9215</v>
      </c>
      <c r="X38" s="676">
        <v>31969</v>
      </c>
      <c r="Y38" s="676">
        <v>0</v>
      </c>
      <c r="Z38" s="676">
        <v>0</v>
      </c>
      <c r="AA38" s="676">
        <f>SUM(X38:Z38)</f>
        <v>31969</v>
      </c>
      <c r="AB38" s="676">
        <v>32972</v>
      </c>
      <c r="AC38" s="676">
        <v>0</v>
      </c>
      <c r="AD38" s="676">
        <v>0</v>
      </c>
      <c r="AE38" s="676">
        <f t="shared" ref="AE38:AE41" si="85">SUM(AB38:AD38)</f>
        <v>32972</v>
      </c>
      <c r="AF38" s="676">
        <v>33601</v>
      </c>
      <c r="AG38" s="676"/>
      <c r="AH38" s="676"/>
      <c r="AI38" s="676">
        <f t="shared" ref="AI38:AI42" si="86">SUM(AF38:AH38)</f>
        <v>33601</v>
      </c>
      <c r="AJ38" s="676">
        <v>17643</v>
      </c>
      <c r="AK38" s="676"/>
      <c r="AL38" s="676"/>
      <c r="AM38" s="676">
        <f t="shared" ref="AM38:AM42" si="87">SUM(AJ38:AL38)</f>
        <v>17643</v>
      </c>
    </row>
    <row r="39" spans="1:39" x14ac:dyDescent="0.25">
      <c r="A39" s="582" t="s">
        <v>315</v>
      </c>
      <c r="B39" s="675" t="s">
        <v>292</v>
      </c>
      <c r="C39" s="676">
        <f>'5H GSZNR fel'!C39+'5H GSZNR fel'!C45</f>
        <v>79636</v>
      </c>
      <c r="D39" s="676">
        <v>172206</v>
      </c>
      <c r="E39" s="676">
        <v>0</v>
      </c>
      <c r="F39" s="676">
        <v>0</v>
      </c>
      <c r="G39" s="676">
        <f t="shared" si="0"/>
        <v>172206</v>
      </c>
      <c r="H39" s="676">
        <v>138634</v>
      </c>
      <c r="I39" s="676">
        <v>0</v>
      </c>
      <c r="J39" s="676">
        <v>0</v>
      </c>
      <c r="K39" s="676">
        <f>SUM(H39:J39)</f>
        <v>138634</v>
      </c>
      <c r="L39" s="676">
        <v>155204</v>
      </c>
      <c r="M39" s="676">
        <v>0</v>
      </c>
      <c r="N39" s="676">
        <v>0</v>
      </c>
      <c r="O39" s="676">
        <f>SUM(L39:N39)</f>
        <v>155204</v>
      </c>
      <c r="P39" s="676">
        <f>'5H GSZNR fel'!O39+'5H GSZNR fel'!O45</f>
        <v>74062</v>
      </c>
      <c r="Q39" s="676">
        <f>'5H GSZNR fel'!M39+'5H GSZNR fel'!M45</f>
        <v>0</v>
      </c>
      <c r="R39" s="676">
        <v>0</v>
      </c>
      <c r="S39" s="676">
        <f>SUM(P39:R39)</f>
        <v>74062</v>
      </c>
      <c r="T39" s="676">
        <v>38111</v>
      </c>
      <c r="U39" s="676">
        <f>'5H GSZNR fel'!Q39+'5H GSZNR fel'!Q45</f>
        <v>0</v>
      </c>
      <c r="V39" s="676">
        <v>0</v>
      </c>
      <c r="W39" s="676">
        <f>SUM(T39:V39)</f>
        <v>38111</v>
      </c>
      <c r="X39" s="676">
        <v>181621</v>
      </c>
      <c r="Y39" s="676">
        <v>0</v>
      </c>
      <c r="Z39" s="676">
        <v>0</v>
      </c>
      <c r="AA39" s="676">
        <f>SUM(X39:Z39)</f>
        <v>181621</v>
      </c>
      <c r="AB39" s="676">
        <v>199269</v>
      </c>
      <c r="AC39" s="676">
        <v>0</v>
      </c>
      <c r="AD39" s="676">
        <v>0</v>
      </c>
      <c r="AE39" s="676">
        <f t="shared" si="85"/>
        <v>199269</v>
      </c>
      <c r="AF39" s="676">
        <v>202617</v>
      </c>
      <c r="AG39" s="676"/>
      <c r="AH39" s="676"/>
      <c r="AI39" s="676">
        <f t="shared" si="86"/>
        <v>202617</v>
      </c>
      <c r="AJ39" s="676">
        <v>68746</v>
      </c>
      <c r="AK39" s="676"/>
      <c r="AL39" s="676"/>
      <c r="AM39" s="676">
        <f t="shared" si="87"/>
        <v>68746</v>
      </c>
    </row>
    <row r="40" spans="1:39" x14ac:dyDescent="0.25">
      <c r="A40" s="582" t="s">
        <v>336</v>
      </c>
      <c r="B40" s="675" t="s">
        <v>337</v>
      </c>
      <c r="C40" s="676">
        <v>0</v>
      </c>
      <c r="D40" s="676">
        <v>0</v>
      </c>
      <c r="E40" s="676">
        <v>0</v>
      </c>
      <c r="F40" s="676">
        <v>0</v>
      </c>
      <c r="G40" s="676">
        <f t="shared" si="0"/>
        <v>0</v>
      </c>
      <c r="H40" s="676"/>
      <c r="I40" s="676">
        <v>0</v>
      </c>
      <c r="J40" s="676">
        <v>0</v>
      </c>
      <c r="K40" s="676">
        <f t="shared" si="1"/>
        <v>0</v>
      </c>
      <c r="L40" s="676">
        <v>0</v>
      </c>
      <c r="M40" s="676">
        <v>0</v>
      </c>
      <c r="N40" s="676">
        <v>0</v>
      </c>
      <c r="O40" s="676">
        <f t="shared" ref="O40:O42" si="88">SUM(L40:N40)</f>
        <v>0</v>
      </c>
      <c r="P40" s="676">
        <v>0</v>
      </c>
      <c r="Q40" s="676">
        <v>0</v>
      </c>
      <c r="R40" s="676">
        <v>0</v>
      </c>
      <c r="S40" s="676">
        <f t="shared" ref="S40:S42" si="89">SUM(P40:R40)</f>
        <v>0</v>
      </c>
      <c r="T40" s="676">
        <v>0</v>
      </c>
      <c r="U40" s="676">
        <v>0</v>
      </c>
      <c r="V40" s="676">
        <v>0</v>
      </c>
      <c r="W40" s="676">
        <f t="shared" ref="W40:W42" si="90">SUM(T40:V40)</f>
        <v>0</v>
      </c>
      <c r="X40" s="676"/>
      <c r="Y40" s="676">
        <v>0</v>
      </c>
      <c r="Z40" s="676">
        <v>0</v>
      </c>
      <c r="AA40" s="676">
        <f t="shared" ref="AA40:AA42" si="91">SUM(X40:Z40)</f>
        <v>0</v>
      </c>
      <c r="AB40" s="676">
        <v>0</v>
      </c>
      <c r="AC40" s="676">
        <v>0</v>
      </c>
      <c r="AD40" s="676">
        <v>0</v>
      </c>
      <c r="AE40" s="676">
        <f t="shared" si="85"/>
        <v>0</v>
      </c>
      <c r="AF40" s="676">
        <v>0</v>
      </c>
      <c r="AG40" s="676"/>
      <c r="AH40" s="676"/>
      <c r="AI40" s="676">
        <f t="shared" si="86"/>
        <v>0</v>
      </c>
      <c r="AJ40" s="676">
        <v>0</v>
      </c>
      <c r="AK40" s="676"/>
      <c r="AL40" s="676"/>
      <c r="AM40" s="676">
        <f t="shared" si="87"/>
        <v>0</v>
      </c>
    </row>
    <row r="41" spans="1:39" x14ac:dyDescent="0.25">
      <c r="A41" s="582" t="s">
        <v>338</v>
      </c>
      <c r="B41" s="675" t="s">
        <v>339</v>
      </c>
      <c r="C41" s="676">
        <v>0</v>
      </c>
      <c r="D41" s="676">
        <v>25000</v>
      </c>
      <c r="E41" s="676">
        <v>0</v>
      </c>
      <c r="F41" s="676">
        <v>0</v>
      </c>
      <c r="G41" s="676">
        <f t="shared" si="0"/>
        <v>25000</v>
      </c>
      <c r="H41" s="676">
        <v>82233</v>
      </c>
      <c r="I41" s="676">
        <v>0</v>
      </c>
      <c r="J41" s="676">
        <v>0</v>
      </c>
      <c r="K41" s="676">
        <f t="shared" si="1"/>
        <v>82233</v>
      </c>
      <c r="L41" s="676">
        <v>74035</v>
      </c>
      <c r="M41" s="676">
        <v>0</v>
      </c>
      <c r="N41" s="676">
        <v>0</v>
      </c>
      <c r="O41" s="676">
        <f t="shared" si="88"/>
        <v>74035</v>
      </c>
      <c r="P41" s="676">
        <f>+'5H GSZNR fel'!O40</f>
        <v>802</v>
      </c>
      <c r="Q41" s="676">
        <f>+'5H GSZNR fel'!M40</f>
        <v>0</v>
      </c>
      <c r="R41" s="676">
        <v>0</v>
      </c>
      <c r="S41" s="676">
        <f t="shared" si="89"/>
        <v>802</v>
      </c>
      <c r="T41" s="676">
        <v>0</v>
      </c>
      <c r="U41" s="676">
        <f>+'5H GSZNR fel'!Q40</f>
        <v>0</v>
      </c>
      <c r="V41" s="676">
        <v>0</v>
      </c>
      <c r="W41" s="676">
        <f t="shared" si="90"/>
        <v>0</v>
      </c>
      <c r="X41" s="676">
        <v>20000</v>
      </c>
      <c r="Y41" s="676">
        <v>0</v>
      </c>
      <c r="Z41" s="676">
        <v>0</v>
      </c>
      <c r="AA41" s="676">
        <f t="shared" si="91"/>
        <v>20000</v>
      </c>
      <c r="AB41" s="676">
        <v>59108</v>
      </c>
      <c r="AC41" s="676">
        <v>0</v>
      </c>
      <c r="AD41" s="676">
        <v>0</v>
      </c>
      <c r="AE41" s="676">
        <f t="shared" si="85"/>
        <v>59108</v>
      </c>
      <c r="AF41" s="676">
        <v>12410</v>
      </c>
      <c r="AG41" s="676"/>
      <c r="AH41" s="676"/>
      <c r="AI41" s="676">
        <f t="shared" si="86"/>
        <v>12410</v>
      </c>
      <c r="AJ41" s="676">
        <v>0</v>
      </c>
      <c r="AK41" s="676"/>
      <c r="AL41" s="676"/>
      <c r="AM41" s="676">
        <f t="shared" si="87"/>
        <v>0</v>
      </c>
    </row>
    <row r="42" spans="1:39" x14ac:dyDescent="0.25">
      <c r="A42" s="293" t="s">
        <v>318</v>
      </c>
      <c r="B42" s="294" t="s">
        <v>340</v>
      </c>
      <c r="C42" s="295">
        <f t="shared" ref="C42:F42" si="92">SUM(C43:C45)</f>
        <v>635</v>
      </c>
      <c r="D42" s="295">
        <f t="shared" si="92"/>
        <v>29925</v>
      </c>
      <c r="E42" s="295">
        <f t="shared" si="92"/>
        <v>0</v>
      </c>
      <c r="F42" s="295">
        <f t="shared" si="92"/>
        <v>0</v>
      </c>
      <c r="G42" s="295">
        <f t="shared" si="0"/>
        <v>29925</v>
      </c>
      <c r="H42" s="295">
        <f>SUM(H43:H45)</f>
        <v>29925</v>
      </c>
      <c r="I42" s="295">
        <f t="shared" ref="I42:J42" si="93">SUM(I43:I45)</f>
        <v>0</v>
      </c>
      <c r="J42" s="295">
        <f t="shared" si="93"/>
        <v>0</v>
      </c>
      <c r="K42" s="295">
        <f t="shared" si="1"/>
        <v>29925</v>
      </c>
      <c r="L42" s="295">
        <f>SUM(L43:L45)</f>
        <v>29925</v>
      </c>
      <c r="M42" s="295">
        <f t="shared" ref="M42:N42" si="94">SUM(M43:M45)</f>
        <v>0</v>
      </c>
      <c r="N42" s="295">
        <f t="shared" si="94"/>
        <v>0</v>
      </c>
      <c r="O42" s="295">
        <f t="shared" si="88"/>
        <v>29925</v>
      </c>
      <c r="P42" s="295">
        <f>SUM(P43:P45)</f>
        <v>758</v>
      </c>
      <c r="Q42" s="295">
        <f t="shared" ref="Q42:R42" si="95">SUM(Q43:Q45)</f>
        <v>0</v>
      </c>
      <c r="R42" s="295">
        <f t="shared" si="95"/>
        <v>0</v>
      </c>
      <c r="S42" s="295">
        <f t="shared" si="89"/>
        <v>758</v>
      </c>
      <c r="T42" s="295">
        <f>SUM(T43:T45)</f>
        <v>5166</v>
      </c>
      <c r="U42" s="295">
        <f t="shared" ref="U42:V42" si="96">SUM(U43:U45)</f>
        <v>0</v>
      </c>
      <c r="V42" s="295">
        <f t="shared" si="96"/>
        <v>0</v>
      </c>
      <c r="W42" s="295">
        <f t="shared" si="90"/>
        <v>5166</v>
      </c>
      <c r="X42" s="295">
        <f>SUM(X43:X45)</f>
        <v>22440</v>
      </c>
      <c r="Y42" s="295">
        <f t="shared" ref="Y42:Z42" si="97">SUM(Y43:Y45)</f>
        <v>0</v>
      </c>
      <c r="Z42" s="295">
        <f t="shared" si="97"/>
        <v>0</v>
      </c>
      <c r="AA42" s="295">
        <f t="shared" si="91"/>
        <v>22440</v>
      </c>
      <c r="AB42" s="295">
        <f>SUM(AB43:AB45)</f>
        <v>32202</v>
      </c>
      <c r="AC42" s="295">
        <v>0</v>
      </c>
      <c r="AD42" s="295">
        <v>0</v>
      </c>
      <c r="AE42" s="295">
        <f>SUM(AE43:AE45)</f>
        <v>32202</v>
      </c>
      <c r="AF42" s="295">
        <f>SUM(AF43:AF45)</f>
        <v>34709</v>
      </c>
      <c r="AG42" s="295">
        <f t="shared" ref="AG42:AH42" si="98">SUM(AG43:AG45)</f>
        <v>0</v>
      </c>
      <c r="AH42" s="295">
        <f t="shared" si="98"/>
        <v>0</v>
      </c>
      <c r="AI42" s="295">
        <f t="shared" si="86"/>
        <v>34709</v>
      </c>
      <c r="AJ42" s="295">
        <f>SUM(AJ43:AJ45)</f>
        <v>17165</v>
      </c>
      <c r="AK42" s="295">
        <f t="shared" ref="AK42" si="99">SUM(AK43:AK45)</f>
        <v>0</v>
      </c>
      <c r="AL42" s="295">
        <f t="shared" ref="AL42" si="100">SUM(AL43:AL45)</f>
        <v>0</v>
      </c>
      <c r="AM42" s="295">
        <f t="shared" si="87"/>
        <v>17165</v>
      </c>
    </row>
    <row r="43" spans="1:39" x14ac:dyDescent="0.25">
      <c r="A43" s="582" t="s">
        <v>311</v>
      </c>
      <c r="B43" s="675" t="s">
        <v>341</v>
      </c>
      <c r="C43" s="676">
        <f>'5H GSZNR fel'!C41+'5H GSZNR fel'!C46</f>
        <v>635</v>
      </c>
      <c r="D43" s="676">
        <v>29925</v>
      </c>
      <c r="E43" s="676">
        <v>0</v>
      </c>
      <c r="F43" s="676">
        <v>0</v>
      </c>
      <c r="G43" s="676">
        <f t="shared" si="0"/>
        <v>29925</v>
      </c>
      <c r="H43" s="676">
        <v>29925</v>
      </c>
      <c r="I43" s="676">
        <f>'5H GSZNR fel'!J41+'5H GSZNR fel'!J46</f>
        <v>0</v>
      </c>
      <c r="J43" s="676">
        <v>0</v>
      </c>
      <c r="K43" s="676">
        <f>SUM(H43:J43)</f>
        <v>29925</v>
      </c>
      <c r="L43" s="676">
        <v>29925</v>
      </c>
      <c r="M43" s="676">
        <v>0</v>
      </c>
      <c r="N43" s="676">
        <v>0</v>
      </c>
      <c r="O43" s="676">
        <f>SUM(L43:N43)</f>
        <v>29925</v>
      </c>
      <c r="P43" s="676">
        <f>'5H GSZNR fel'!O41+'5H GSZNR fel'!O46</f>
        <v>758</v>
      </c>
      <c r="Q43" s="676">
        <f>'5H GSZNR fel'!M41+'5H GSZNR fel'!M46</f>
        <v>0</v>
      </c>
      <c r="R43" s="676">
        <v>0</v>
      </c>
      <c r="S43" s="676">
        <f>SUM(P43:R43)</f>
        <v>758</v>
      </c>
      <c r="T43" s="676">
        <v>5166</v>
      </c>
      <c r="U43" s="676">
        <f>'5H GSZNR fel'!Q41+'5H GSZNR fel'!Q46</f>
        <v>0</v>
      </c>
      <c r="V43" s="676">
        <v>0</v>
      </c>
      <c r="W43" s="676">
        <f>SUM(T43:V43)</f>
        <v>5166</v>
      </c>
      <c r="X43" s="676">
        <v>22440</v>
      </c>
      <c r="Y43" s="676">
        <v>0</v>
      </c>
      <c r="Z43" s="676">
        <v>0</v>
      </c>
      <c r="AA43" s="676">
        <f>SUM(X43:Z43)</f>
        <v>22440</v>
      </c>
      <c r="AB43" s="676">
        <v>22440</v>
      </c>
      <c r="AC43" s="676">
        <v>0</v>
      </c>
      <c r="AD43" s="676">
        <v>0</v>
      </c>
      <c r="AE43" s="676">
        <f>SUM(AB43:AD43)</f>
        <v>22440</v>
      </c>
      <c r="AF43" s="676">
        <v>22615</v>
      </c>
      <c r="AG43" s="676"/>
      <c r="AH43" s="676"/>
      <c r="AI43" s="676">
        <f>SUM(AF43:AH43)</f>
        <v>22615</v>
      </c>
      <c r="AJ43" s="676">
        <v>7403</v>
      </c>
      <c r="AK43" s="676"/>
      <c r="AL43" s="676"/>
      <c r="AM43" s="676">
        <f>SUM(AJ43:AL43)</f>
        <v>7403</v>
      </c>
    </row>
    <row r="44" spans="1:39" x14ac:dyDescent="0.25">
      <c r="A44" s="582" t="s">
        <v>322</v>
      </c>
      <c r="B44" s="675" t="s">
        <v>342</v>
      </c>
      <c r="C44" s="676">
        <v>0</v>
      </c>
      <c r="D44" s="676">
        <v>0</v>
      </c>
      <c r="E44" s="676">
        <v>0</v>
      </c>
      <c r="F44" s="676">
        <v>0</v>
      </c>
      <c r="G44" s="676">
        <f t="shared" si="0"/>
        <v>0</v>
      </c>
      <c r="H44" s="676">
        <v>0</v>
      </c>
      <c r="I44" s="676">
        <v>0</v>
      </c>
      <c r="J44" s="676">
        <v>0</v>
      </c>
      <c r="K44" s="676">
        <f t="shared" si="1"/>
        <v>0</v>
      </c>
      <c r="L44" s="676">
        <v>0</v>
      </c>
      <c r="M44" s="676">
        <v>0</v>
      </c>
      <c r="N44" s="676">
        <v>0</v>
      </c>
      <c r="O44" s="676">
        <f t="shared" ref="O44:O46" si="101">SUM(L44:N44)</f>
        <v>0</v>
      </c>
      <c r="P44" s="676">
        <v>0</v>
      </c>
      <c r="Q44" s="676">
        <v>0</v>
      </c>
      <c r="R44" s="676">
        <v>0</v>
      </c>
      <c r="S44" s="676">
        <f t="shared" ref="S44:S46" si="102">SUM(P44:R44)</f>
        <v>0</v>
      </c>
      <c r="T44" s="676">
        <v>0</v>
      </c>
      <c r="U44" s="676">
        <v>0</v>
      </c>
      <c r="V44" s="676">
        <v>0</v>
      </c>
      <c r="W44" s="676">
        <f t="shared" ref="W44:W46" si="103">SUM(T44:V44)</f>
        <v>0</v>
      </c>
      <c r="X44" s="676">
        <v>0</v>
      </c>
      <c r="Y44" s="676">
        <v>0</v>
      </c>
      <c r="Z44" s="676">
        <v>0</v>
      </c>
      <c r="AA44" s="676">
        <f t="shared" ref="AA44:AA45" si="104">SUM(X44:Z44)</f>
        <v>0</v>
      </c>
      <c r="AB44" s="676">
        <v>9762</v>
      </c>
      <c r="AC44" s="676">
        <v>0</v>
      </c>
      <c r="AD44" s="676">
        <v>0</v>
      </c>
      <c r="AE44" s="676">
        <f t="shared" ref="AE44:AE45" si="105">SUM(AB44:AD44)</f>
        <v>9762</v>
      </c>
      <c r="AF44" s="676">
        <v>12094</v>
      </c>
      <c r="AG44" s="676">
        <v>0</v>
      </c>
      <c r="AH44" s="676">
        <v>0</v>
      </c>
      <c r="AI44" s="676">
        <v>0</v>
      </c>
      <c r="AJ44" s="676">
        <v>9762</v>
      </c>
      <c r="AK44" s="676">
        <v>0</v>
      </c>
      <c r="AL44" s="676">
        <v>0</v>
      </c>
      <c r="AM44" s="676">
        <v>0</v>
      </c>
    </row>
    <row r="45" spans="1:39" x14ac:dyDescent="0.25">
      <c r="A45" s="582" t="s">
        <v>315</v>
      </c>
      <c r="B45" s="675" t="s">
        <v>343</v>
      </c>
      <c r="C45" s="676">
        <v>0</v>
      </c>
      <c r="D45" s="676">
        <v>0</v>
      </c>
      <c r="E45" s="676">
        <v>0</v>
      </c>
      <c r="F45" s="676">
        <v>0</v>
      </c>
      <c r="G45" s="676">
        <f t="shared" si="0"/>
        <v>0</v>
      </c>
      <c r="H45" s="676">
        <v>0</v>
      </c>
      <c r="I45" s="676">
        <v>0</v>
      </c>
      <c r="J45" s="676">
        <v>0</v>
      </c>
      <c r="K45" s="676">
        <f t="shared" si="1"/>
        <v>0</v>
      </c>
      <c r="L45" s="676">
        <v>0</v>
      </c>
      <c r="M45" s="676">
        <v>0</v>
      </c>
      <c r="N45" s="676">
        <v>0</v>
      </c>
      <c r="O45" s="676">
        <f t="shared" si="101"/>
        <v>0</v>
      </c>
      <c r="P45" s="676">
        <v>0</v>
      </c>
      <c r="Q45" s="676">
        <v>0</v>
      </c>
      <c r="R45" s="676">
        <v>0</v>
      </c>
      <c r="S45" s="676">
        <f t="shared" si="102"/>
        <v>0</v>
      </c>
      <c r="T45" s="676">
        <v>0</v>
      </c>
      <c r="U45" s="676">
        <v>0</v>
      </c>
      <c r="V45" s="676">
        <v>0</v>
      </c>
      <c r="W45" s="676">
        <f t="shared" si="103"/>
        <v>0</v>
      </c>
      <c r="X45" s="676">
        <v>0</v>
      </c>
      <c r="Y45" s="676">
        <v>0</v>
      </c>
      <c r="Z45" s="676">
        <v>0</v>
      </c>
      <c r="AA45" s="676">
        <f t="shared" si="104"/>
        <v>0</v>
      </c>
      <c r="AB45" s="676">
        <v>0</v>
      </c>
      <c r="AC45" s="676">
        <v>0</v>
      </c>
      <c r="AD45" s="676">
        <v>0</v>
      </c>
      <c r="AE45" s="676">
        <f t="shared" si="105"/>
        <v>0</v>
      </c>
      <c r="AF45" s="676">
        <v>0</v>
      </c>
      <c r="AG45" s="676">
        <v>0</v>
      </c>
      <c r="AH45" s="676">
        <v>0</v>
      </c>
      <c r="AI45" s="676">
        <v>0</v>
      </c>
      <c r="AJ45" s="676">
        <v>0</v>
      </c>
      <c r="AK45" s="676">
        <v>0</v>
      </c>
      <c r="AL45" s="676">
        <v>0</v>
      </c>
      <c r="AM45" s="676">
        <v>0</v>
      </c>
    </row>
    <row r="46" spans="1:39" x14ac:dyDescent="0.25">
      <c r="A46" s="649"/>
      <c r="B46" s="650" t="s">
        <v>344</v>
      </c>
      <c r="C46" s="638">
        <f t="shared" ref="C46:F46" si="106">C36+C42</f>
        <v>293542</v>
      </c>
      <c r="D46" s="638">
        <f t="shared" si="106"/>
        <v>391070</v>
      </c>
      <c r="E46" s="638">
        <f t="shared" si="106"/>
        <v>0</v>
      </c>
      <c r="F46" s="638">
        <f t="shared" si="106"/>
        <v>0</v>
      </c>
      <c r="G46" s="638">
        <f t="shared" si="0"/>
        <v>391070</v>
      </c>
      <c r="H46" s="638">
        <f t="shared" ref="H46:J46" si="107">H36+H42</f>
        <v>450752</v>
      </c>
      <c r="I46" s="638">
        <f t="shared" si="107"/>
        <v>0</v>
      </c>
      <c r="J46" s="638">
        <f t="shared" si="107"/>
        <v>0</v>
      </c>
      <c r="K46" s="638">
        <f t="shared" si="1"/>
        <v>450752</v>
      </c>
      <c r="L46" s="638">
        <f t="shared" ref="L46:N46" si="108">L36+L42</f>
        <v>461751</v>
      </c>
      <c r="M46" s="638">
        <f t="shared" si="108"/>
        <v>0</v>
      </c>
      <c r="N46" s="638">
        <f t="shared" si="108"/>
        <v>0</v>
      </c>
      <c r="O46" s="638">
        <f t="shared" si="101"/>
        <v>461751</v>
      </c>
      <c r="P46" s="638">
        <f t="shared" ref="P46:R46" si="109">P36+P42</f>
        <v>295737</v>
      </c>
      <c r="Q46" s="638">
        <f t="shared" si="109"/>
        <v>0</v>
      </c>
      <c r="R46" s="638">
        <f t="shared" si="109"/>
        <v>0</v>
      </c>
      <c r="S46" s="638">
        <f t="shared" si="102"/>
        <v>295737</v>
      </c>
      <c r="T46" s="638">
        <f t="shared" ref="T46:V46" si="110">T36+T42</f>
        <v>101754</v>
      </c>
      <c r="U46" s="638">
        <f t="shared" si="110"/>
        <v>0</v>
      </c>
      <c r="V46" s="638">
        <f t="shared" si="110"/>
        <v>0</v>
      </c>
      <c r="W46" s="638">
        <f t="shared" si="103"/>
        <v>101754</v>
      </c>
      <c r="X46" s="638">
        <f t="shared" ref="X46:AE46" si="111">X36+X42</f>
        <v>404905</v>
      </c>
      <c r="Y46" s="638">
        <f t="shared" si="111"/>
        <v>0</v>
      </c>
      <c r="Z46" s="638">
        <f t="shared" si="111"/>
        <v>0</v>
      </c>
      <c r="AA46" s="638">
        <f t="shared" si="111"/>
        <v>404905</v>
      </c>
      <c r="AB46" s="638">
        <f t="shared" si="111"/>
        <v>486331</v>
      </c>
      <c r="AC46" s="638">
        <f t="shared" si="111"/>
        <v>0</v>
      </c>
      <c r="AD46" s="638">
        <f t="shared" si="111"/>
        <v>0</v>
      </c>
      <c r="AE46" s="638">
        <f t="shared" si="111"/>
        <v>486331</v>
      </c>
      <c r="AF46" s="638">
        <f t="shared" ref="AF46:AI46" si="112">AF36+AF42</f>
        <v>455384</v>
      </c>
      <c r="AG46" s="638">
        <f t="shared" si="112"/>
        <v>0</v>
      </c>
      <c r="AH46" s="638">
        <f t="shared" si="112"/>
        <v>0</v>
      </c>
      <c r="AI46" s="638">
        <f t="shared" si="112"/>
        <v>455384</v>
      </c>
      <c r="AJ46" s="638">
        <f t="shared" ref="AJ46:AM46" si="113">AJ36+AJ42</f>
        <v>192860</v>
      </c>
      <c r="AK46" s="638">
        <f t="shared" si="113"/>
        <v>0</v>
      </c>
      <c r="AL46" s="638">
        <f t="shared" si="113"/>
        <v>0</v>
      </c>
      <c r="AM46" s="638">
        <f t="shared" si="113"/>
        <v>192860</v>
      </c>
    </row>
  </sheetData>
  <customSheetViews>
    <customSheetView guid="{7F1DC213-A29D-4C8C-BAC3-F1BD898020FD}" scale="82" hiddenRows="1" hiddenColumns="1" topLeftCell="A5">
      <selection activeCell="AF20" sqref="AF20"/>
      <pageMargins left="0.19685039370078741" right="0.19685039370078741" top="1.2204724409448819" bottom="0.19685039370078741" header="0.31496062992125984" footer="0.31496062992125984"/>
      <printOptions horizontalCentered="1"/>
      <pageSetup paperSize="9" scale="55" fitToWidth="0" fitToHeight="0" orientation="landscape" copies="2" r:id="rId1"/>
      <headerFooter>
        <oddHeader>&amp;L6.2. melléklet a ...../2019. (.....) önkormányzati rendelethez&amp;C&amp;"-,Félkövér"&amp;16Magas-hegyi Turisztikai és Sportcentrum 2019. évi bevételei és kiadásai jogcímenként és feladatonként&amp;RAdatok ezer forintban</oddHeader>
      </headerFooter>
    </customSheetView>
    <customSheetView guid="{4DCB1349-1166-4B69-AE14-D6B08F9FCE74}" scale="82" hiddenRows="1" hiddenColumns="1">
      <selection activeCell="AE43" sqref="AE43"/>
      <pageMargins left="0.19685039370078741" right="0.19685039370078741" top="1.2204724409448819" bottom="0.19685039370078741" header="0.31496062992125984" footer="0.31496062992125984"/>
      <printOptions horizontalCentered="1"/>
      <pageSetup paperSize="9" scale="55" fitToWidth="0" fitToHeight="0" orientation="landscape" copies="2" r:id="rId2"/>
      <headerFooter>
        <oddHeader>&amp;L6.2. melléklet a ...../2019. (.....) önkormányzati rendelethez&amp;C&amp;"-,Félkövér"&amp;16Magas-hegyi Turisztikai és Sportcentrum 2019. évi bevételei és kiadásai jogcímenként és feladatonként&amp;RAdatok ezer forintban</oddHeader>
      </headerFooter>
    </customSheetView>
  </customSheetViews>
  <mergeCells count="9">
    <mergeCell ref="AF4:AI4"/>
    <mergeCell ref="AJ4:AM4"/>
    <mergeCell ref="D4:G4"/>
    <mergeCell ref="H4:K4"/>
    <mergeCell ref="AB4:AE4"/>
    <mergeCell ref="X4:AA4"/>
    <mergeCell ref="P4:S4"/>
    <mergeCell ref="T4:W4"/>
    <mergeCell ref="L4:O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5" fitToWidth="0" fitToHeight="0" orientation="landscape" copies="2" r:id="rId3"/>
  <headerFooter>
    <oddHeader>&amp;L6.2. melléklet a 3/2019. (II.20.) önkormányzati rendelethez&amp;C&amp;"-,Félkövér"&amp;16Magas-hegyi Turisztikai és Sportcentrum 2019. évi bevételei és kiadásai jogcímenként és feladatonként&amp;RAdatok ezer forintban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AN46"/>
  <sheetViews>
    <sheetView view="pageLayout" zoomScaleNormal="78" zoomScaleSheetLayoutView="75" workbookViewId="0"/>
  </sheetViews>
  <sheetFormatPr defaultRowHeight="15" x14ac:dyDescent="0.25"/>
  <cols>
    <col min="1" max="1" width="7.140625" style="31" customWidth="1"/>
    <col min="2" max="2" width="52.28515625" customWidth="1"/>
    <col min="3" max="3" width="11.140625" style="40" hidden="1" customWidth="1"/>
    <col min="4" max="4" width="9.7109375" hidden="1" customWidth="1"/>
    <col min="5" max="5" width="9.140625" hidden="1" customWidth="1"/>
    <col min="6" max="6" width="10.140625" hidden="1" customWidth="1"/>
    <col min="7" max="14" width="9.140625" hidden="1" customWidth="1"/>
    <col min="15" max="15" width="11.85546875" hidden="1" customWidth="1"/>
    <col min="16" max="19" width="9.140625" hidden="1" customWidth="1"/>
    <col min="20" max="21" width="11" hidden="1" customWidth="1"/>
    <col min="22" max="22" width="11.7109375" hidden="1" customWidth="1"/>
    <col min="23" max="23" width="11.42578125" hidden="1" customWidth="1"/>
    <col min="24" max="24" width="0" hidden="1" customWidth="1"/>
    <col min="25" max="28" width="14.7109375" customWidth="1"/>
    <col min="29" max="29" width="11.7109375" customWidth="1"/>
    <col min="30" max="30" width="13.42578125" customWidth="1"/>
    <col min="31" max="31" width="12.7109375" customWidth="1"/>
    <col min="32" max="32" width="13" customWidth="1"/>
    <col min="33" max="33" width="11.7109375" customWidth="1"/>
    <col min="34" max="34" width="12.28515625" customWidth="1"/>
    <col min="35" max="35" width="12.140625" customWidth="1"/>
    <col min="36" max="36" width="12.42578125" customWidth="1"/>
    <col min="37" max="37" width="12.42578125" hidden="1" customWidth="1"/>
    <col min="38" max="38" width="12.5703125" hidden="1" customWidth="1"/>
    <col min="39" max="39" width="11.5703125" hidden="1" customWidth="1"/>
    <col min="40" max="40" width="13.42578125" hidden="1" customWidth="1"/>
  </cols>
  <sheetData>
    <row r="1" spans="1:40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Y1" s="742" t="s">
        <v>1366</v>
      </c>
      <c r="Z1" s="742" t="s">
        <v>1376</v>
      </c>
      <c r="AA1" s="742" t="s">
        <v>1377</v>
      </c>
      <c r="AB1" s="745" t="s">
        <v>1378</v>
      </c>
      <c r="AC1" s="745" t="s">
        <v>1379</v>
      </c>
      <c r="AD1" s="745" t="s">
        <v>1380</v>
      </c>
      <c r="AE1" s="745" t="s">
        <v>1381</v>
      </c>
      <c r="AF1" s="745" t="s">
        <v>1382</v>
      </c>
      <c r="AG1" s="745" t="s">
        <v>1450</v>
      </c>
      <c r="AH1" s="745" t="s">
        <v>1384</v>
      </c>
      <c r="AI1" s="745" t="s">
        <v>1385</v>
      </c>
      <c r="AJ1" s="745" t="s">
        <v>1386</v>
      </c>
      <c r="AK1" s="745"/>
      <c r="AL1" s="745"/>
      <c r="AM1" s="745"/>
      <c r="AN1" s="745"/>
    </row>
    <row r="2" spans="1:40" ht="30" x14ac:dyDescent="0.25">
      <c r="A2" s="647" t="s">
        <v>303</v>
      </c>
      <c r="B2" s="647" t="s">
        <v>1306</v>
      </c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  <c r="T2" s="683"/>
      <c r="U2" s="683"/>
      <c r="V2" s="683"/>
      <c r="W2" s="683"/>
      <c r="Y2" s="683"/>
      <c r="Z2" s="683"/>
      <c r="AA2" s="683"/>
      <c r="AB2" s="683"/>
      <c r="AC2" s="683"/>
      <c r="AD2" s="683"/>
      <c r="AE2" s="683"/>
      <c r="AF2" s="683"/>
      <c r="AG2" s="683"/>
      <c r="AH2" s="683"/>
      <c r="AI2" s="683"/>
      <c r="AJ2" s="683"/>
      <c r="AK2" s="683"/>
      <c r="AL2" s="683"/>
      <c r="AM2" s="683"/>
      <c r="AN2" s="683"/>
    </row>
    <row r="3" spans="1:40" x14ac:dyDescent="0.25">
      <c r="A3" s="647" t="s">
        <v>304</v>
      </c>
      <c r="B3" s="647" t="s">
        <v>1329</v>
      </c>
      <c r="C3" s="683"/>
      <c r="D3" s="683"/>
      <c r="E3" s="683"/>
      <c r="F3" s="683"/>
      <c r="G3" s="683"/>
      <c r="H3" s="683"/>
      <c r="I3" s="683"/>
      <c r="J3" s="683"/>
      <c r="K3" s="683"/>
      <c r="L3" s="683"/>
      <c r="M3" s="683"/>
      <c r="N3" s="683"/>
      <c r="O3" s="683"/>
      <c r="P3" s="683"/>
      <c r="Q3" s="683"/>
      <c r="R3" s="683"/>
      <c r="S3" s="683"/>
      <c r="T3" s="683"/>
      <c r="U3" s="683"/>
      <c r="V3" s="683"/>
      <c r="W3" s="683"/>
      <c r="Y3" s="683"/>
      <c r="Z3" s="683"/>
      <c r="AA3" s="683"/>
      <c r="AB3" s="683"/>
      <c r="AC3" s="683"/>
      <c r="AD3" s="683"/>
      <c r="AE3" s="683"/>
      <c r="AF3" s="683"/>
      <c r="AG3" s="683"/>
      <c r="AH3" s="683"/>
      <c r="AI3" s="683"/>
      <c r="AJ3" s="683"/>
      <c r="AK3" s="683"/>
      <c r="AL3" s="683"/>
      <c r="AM3" s="683"/>
      <c r="AN3" s="683"/>
    </row>
    <row r="4" spans="1:40" ht="34.5" customHeight="1" x14ac:dyDescent="0.25">
      <c r="A4" s="897" t="s">
        <v>305</v>
      </c>
      <c r="B4" s="942" t="s">
        <v>306</v>
      </c>
      <c r="C4" s="591" t="s">
        <v>1193</v>
      </c>
      <c r="D4" s="898" t="s">
        <v>1279</v>
      </c>
      <c r="E4" s="918"/>
      <c r="F4" s="918"/>
      <c r="G4" s="919"/>
      <c r="H4" s="898" t="s">
        <v>1395</v>
      </c>
      <c r="I4" s="918"/>
      <c r="J4" s="918"/>
      <c r="K4" s="919"/>
      <c r="L4" s="898" t="s">
        <v>1392</v>
      </c>
      <c r="M4" s="918"/>
      <c r="N4" s="918"/>
      <c r="O4" s="919"/>
      <c r="P4" s="898" t="s">
        <v>1246</v>
      </c>
      <c r="Q4" s="901"/>
      <c r="R4" s="901"/>
      <c r="S4" s="902"/>
      <c r="T4" s="898" t="s">
        <v>1387</v>
      </c>
      <c r="U4" s="901"/>
      <c r="V4" s="901"/>
      <c r="W4" s="902"/>
      <c r="Y4" s="898" t="s">
        <v>1414</v>
      </c>
      <c r="Z4" s="918"/>
      <c r="AA4" s="918"/>
      <c r="AB4" s="919"/>
      <c r="AC4" s="898" t="s">
        <v>1455</v>
      </c>
      <c r="AD4" s="918"/>
      <c r="AE4" s="918"/>
      <c r="AF4" s="919"/>
      <c r="AG4" s="898" t="s">
        <v>1445</v>
      </c>
      <c r="AH4" s="918"/>
      <c r="AI4" s="918"/>
      <c r="AJ4" s="919"/>
      <c r="AK4" s="898" t="s">
        <v>1456</v>
      </c>
      <c r="AL4" s="918"/>
      <c r="AM4" s="918"/>
      <c r="AN4" s="919"/>
    </row>
    <row r="5" spans="1:40" ht="60" x14ac:dyDescent="0.25">
      <c r="A5" s="897"/>
      <c r="B5" s="942"/>
      <c r="C5" s="591" t="s">
        <v>546</v>
      </c>
      <c r="D5" s="591" t="s">
        <v>1209</v>
      </c>
      <c r="E5" s="591" t="s">
        <v>1210</v>
      </c>
      <c r="F5" s="591" t="s">
        <v>1211</v>
      </c>
      <c r="G5" s="591" t="s">
        <v>546</v>
      </c>
      <c r="H5" s="591" t="s">
        <v>1209</v>
      </c>
      <c r="I5" s="591" t="s">
        <v>1210</v>
      </c>
      <c r="J5" s="591" t="s">
        <v>1211</v>
      </c>
      <c r="K5" s="591" t="s">
        <v>546</v>
      </c>
      <c r="L5" s="591" t="s">
        <v>1209</v>
      </c>
      <c r="M5" s="591" t="s">
        <v>1210</v>
      </c>
      <c r="N5" s="591" t="s">
        <v>1211</v>
      </c>
      <c r="O5" s="591" t="s">
        <v>546</v>
      </c>
      <c r="P5" s="591" t="s">
        <v>1209</v>
      </c>
      <c r="Q5" s="591" t="s">
        <v>1210</v>
      </c>
      <c r="R5" s="591" t="s">
        <v>1211</v>
      </c>
      <c r="S5" s="591" t="s">
        <v>546</v>
      </c>
      <c r="T5" s="591" t="s">
        <v>1209</v>
      </c>
      <c r="U5" s="591" t="s">
        <v>1210</v>
      </c>
      <c r="V5" s="591" t="s">
        <v>1211</v>
      </c>
      <c r="W5" s="591" t="s">
        <v>546</v>
      </c>
      <c r="Y5" s="811" t="s">
        <v>1209</v>
      </c>
      <c r="Z5" s="811" t="s">
        <v>1210</v>
      </c>
      <c r="AA5" s="811" t="s">
        <v>1211</v>
      </c>
      <c r="AB5" s="811" t="s">
        <v>546</v>
      </c>
      <c r="AC5" s="857" t="s">
        <v>1209</v>
      </c>
      <c r="AD5" s="857" t="s">
        <v>1210</v>
      </c>
      <c r="AE5" s="857" t="s">
        <v>1211</v>
      </c>
      <c r="AF5" s="857" t="s">
        <v>546</v>
      </c>
      <c r="AG5" s="883" t="s">
        <v>1209</v>
      </c>
      <c r="AH5" s="883" t="s">
        <v>1210</v>
      </c>
      <c r="AI5" s="883" t="s">
        <v>1211</v>
      </c>
      <c r="AJ5" s="883" t="s">
        <v>546</v>
      </c>
      <c r="AK5" s="883" t="s">
        <v>1209</v>
      </c>
      <c r="AL5" s="883" t="s">
        <v>1210</v>
      </c>
      <c r="AM5" s="883" t="s">
        <v>1211</v>
      </c>
      <c r="AN5" s="883" t="s">
        <v>546</v>
      </c>
    </row>
    <row r="6" spans="1:40" hidden="1" x14ac:dyDescent="0.25">
      <c r="A6" s="290"/>
      <c r="B6" s="291" t="s">
        <v>307</v>
      </c>
      <c r="C6" s="292">
        <v>14</v>
      </c>
      <c r="D6" s="292">
        <v>15</v>
      </c>
      <c r="E6" s="292">
        <v>0</v>
      </c>
      <c r="F6" s="292">
        <v>0</v>
      </c>
      <c r="G6" s="292">
        <f>SUM(D6:F6)</f>
        <v>15</v>
      </c>
      <c r="H6" s="292">
        <v>15</v>
      </c>
      <c r="I6" s="292">
        <v>0</v>
      </c>
      <c r="J6" s="292">
        <v>0</v>
      </c>
      <c r="K6" s="292">
        <f>SUM(H6:J6)</f>
        <v>15</v>
      </c>
      <c r="L6" s="292">
        <v>15</v>
      </c>
      <c r="M6" s="292">
        <v>0</v>
      </c>
      <c r="N6" s="292">
        <v>0</v>
      </c>
      <c r="O6" s="292">
        <f>SUM(L6:N6)</f>
        <v>15</v>
      </c>
      <c r="P6" s="292">
        <v>15</v>
      </c>
      <c r="Q6" s="292">
        <v>0</v>
      </c>
      <c r="R6" s="292">
        <v>0</v>
      </c>
      <c r="S6" s="292">
        <f>SUM(P6:R6)</f>
        <v>15</v>
      </c>
      <c r="T6" s="292">
        <v>0</v>
      </c>
      <c r="U6" s="292">
        <v>0</v>
      </c>
      <c r="V6" s="292">
        <v>0</v>
      </c>
      <c r="W6" s="292">
        <f>SUM(T6:V6)</f>
        <v>0</v>
      </c>
      <c r="Y6" s="292">
        <v>15</v>
      </c>
      <c r="Z6" s="292">
        <v>0</v>
      </c>
      <c r="AA6" s="292">
        <v>0</v>
      </c>
      <c r="AB6" s="292">
        <f>SUM(Y6:AA6)</f>
        <v>15</v>
      </c>
      <c r="AC6" s="292">
        <v>15</v>
      </c>
      <c r="AD6" s="292">
        <v>0</v>
      </c>
      <c r="AE6" s="292">
        <v>0</v>
      </c>
      <c r="AF6" s="292">
        <v>15</v>
      </c>
      <c r="AG6" s="292">
        <v>7.5</v>
      </c>
      <c r="AH6" s="292">
        <v>7.5</v>
      </c>
      <c r="AI6" s="292">
        <v>7.5</v>
      </c>
      <c r="AJ6" s="292">
        <v>7.5</v>
      </c>
      <c r="AK6" s="292">
        <v>7.5</v>
      </c>
      <c r="AL6" s="292">
        <v>7.5</v>
      </c>
      <c r="AM6" s="292">
        <v>7.5</v>
      </c>
      <c r="AN6" s="292">
        <v>7.5</v>
      </c>
    </row>
    <row r="7" spans="1:40" hidden="1" x14ac:dyDescent="0.25">
      <c r="A7" s="290"/>
      <c r="B7" s="291" t="s">
        <v>308</v>
      </c>
      <c r="C7" s="292">
        <v>0</v>
      </c>
      <c r="D7" s="292">
        <v>0</v>
      </c>
      <c r="E7" s="292">
        <v>0</v>
      </c>
      <c r="F7" s="292">
        <v>0</v>
      </c>
      <c r="G7" s="292">
        <f t="shared" ref="G7:G46" si="0">SUM(D7:F7)</f>
        <v>0</v>
      </c>
      <c r="H7" s="292">
        <v>0</v>
      </c>
      <c r="I7" s="292">
        <v>0</v>
      </c>
      <c r="J7" s="292">
        <v>0</v>
      </c>
      <c r="K7" s="292">
        <f t="shared" ref="K7:K46" si="1">SUM(H7:J7)</f>
        <v>0</v>
      </c>
      <c r="L7" s="292">
        <v>0</v>
      </c>
      <c r="M7" s="292">
        <v>0</v>
      </c>
      <c r="N7" s="292">
        <v>0</v>
      </c>
      <c r="O7" s="292">
        <f t="shared" ref="O7:O46" si="2">SUM(L7:N7)</f>
        <v>0</v>
      </c>
      <c r="P7" s="292">
        <v>0</v>
      </c>
      <c r="Q7" s="292">
        <v>0</v>
      </c>
      <c r="R7" s="292">
        <v>0</v>
      </c>
      <c r="S7" s="292">
        <f t="shared" ref="S7:S46" si="3">SUM(P7:R7)</f>
        <v>0</v>
      </c>
      <c r="T7" s="292">
        <v>0</v>
      </c>
      <c r="U7" s="292">
        <v>0</v>
      </c>
      <c r="V7" s="292">
        <v>0</v>
      </c>
      <c r="W7" s="292">
        <f t="shared" ref="W7:W46" si="4">SUM(T7:V7)</f>
        <v>0</v>
      </c>
      <c r="Y7" s="292">
        <v>0</v>
      </c>
      <c r="Z7" s="292">
        <v>0</v>
      </c>
      <c r="AA7" s="292">
        <v>0</v>
      </c>
      <c r="AB7" s="292">
        <f t="shared" ref="AB7:AB46" si="5">SUM(Y7:AA7)</f>
        <v>0</v>
      </c>
      <c r="AC7" s="292">
        <v>0</v>
      </c>
      <c r="AD7" s="292">
        <v>0</v>
      </c>
      <c r="AE7" s="292">
        <v>0</v>
      </c>
      <c r="AF7" s="292">
        <v>0</v>
      </c>
      <c r="AG7" s="292">
        <v>0</v>
      </c>
      <c r="AH7" s="292">
        <v>0</v>
      </c>
      <c r="AI7" s="292">
        <v>0</v>
      </c>
      <c r="AJ7" s="292">
        <v>0</v>
      </c>
      <c r="AK7" s="292">
        <v>0</v>
      </c>
      <c r="AL7" s="292">
        <v>0</v>
      </c>
      <c r="AM7" s="292">
        <v>0</v>
      </c>
      <c r="AN7" s="292">
        <v>0</v>
      </c>
    </row>
    <row r="8" spans="1:40" x14ac:dyDescent="0.25">
      <c r="A8" s="293" t="s">
        <v>309</v>
      </c>
      <c r="B8" s="294" t="s">
        <v>310</v>
      </c>
      <c r="C8" s="295">
        <f>C9+C11+C20</f>
        <v>35016</v>
      </c>
      <c r="D8" s="295">
        <f t="shared" ref="D8:F8" si="6">D9+D11+D20</f>
        <v>28400</v>
      </c>
      <c r="E8" s="295">
        <f t="shared" si="6"/>
        <v>5049</v>
      </c>
      <c r="F8" s="295">
        <f t="shared" si="6"/>
        <v>0</v>
      </c>
      <c r="G8" s="295">
        <f t="shared" si="0"/>
        <v>33449</v>
      </c>
      <c r="H8" s="295">
        <f t="shared" ref="H8:J8" si="7">H9+H11+H20</f>
        <v>36865</v>
      </c>
      <c r="I8" s="295">
        <f t="shared" si="7"/>
        <v>5049</v>
      </c>
      <c r="J8" s="295">
        <f t="shared" si="7"/>
        <v>0</v>
      </c>
      <c r="K8" s="295">
        <f t="shared" si="1"/>
        <v>41914</v>
      </c>
      <c r="L8" s="295">
        <f t="shared" ref="L8:N8" si="8">L9+L11+L20</f>
        <v>35544</v>
      </c>
      <c r="M8" s="295">
        <f t="shared" si="8"/>
        <v>12454</v>
      </c>
      <c r="N8" s="295">
        <f t="shared" si="8"/>
        <v>0</v>
      </c>
      <c r="O8" s="295">
        <f t="shared" si="2"/>
        <v>47998</v>
      </c>
      <c r="P8" s="295">
        <f t="shared" ref="P8:R8" si="9">P9+P11+P20</f>
        <v>30932</v>
      </c>
      <c r="Q8" s="295">
        <f t="shared" si="9"/>
        <v>0</v>
      </c>
      <c r="R8" s="295">
        <f t="shared" si="9"/>
        <v>0</v>
      </c>
      <c r="S8" s="295">
        <f t="shared" si="3"/>
        <v>30932</v>
      </c>
      <c r="T8" s="295">
        <f t="shared" ref="T8:V8" si="10">T9+T11+T20</f>
        <v>15840</v>
      </c>
      <c r="U8" s="295">
        <f t="shared" si="10"/>
        <v>1323</v>
      </c>
      <c r="V8" s="295">
        <f t="shared" si="10"/>
        <v>0</v>
      </c>
      <c r="W8" s="295">
        <f t="shared" si="4"/>
        <v>17163</v>
      </c>
      <c r="Y8" s="295">
        <f t="shared" ref="Y8:AF8" si="11">Y9+Y11+Y20</f>
        <v>32168</v>
      </c>
      <c r="Z8" s="295">
        <f t="shared" si="11"/>
        <v>5279</v>
      </c>
      <c r="AA8" s="295">
        <f t="shared" si="11"/>
        <v>0</v>
      </c>
      <c r="AB8" s="295">
        <f t="shared" si="11"/>
        <v>37447</v>
      </c>
      <c r="AC8" s="295">
        <f t="shared" si="11"/>
        <v>51788</v>
      </c>
      <c r="AD8" s="295">
        <f t="shared" si="11"/>
        <v>5279</v>
      </c>
      <c r="AE8" s="295">
        <f t="shared" si="11"/>
        <v>0</v>
      </c>
      <c r="AF8" s="295">
        <f t="shared" si="11"/>
        <v>57067</v>
      </c>
      <c r="AG8" s="295">
        <f t="shared" ref="AG8:AJ8" si="12">AG9+AG11+AG20</f>
        <v>103803</v>
      </c>
      <c r="AH8" s="295">
        <f t="shared" si="12"/>
        <v>5279</v>
      </c>
      <c r="AI8" s="295">
        <f t="shared" si="12"/>
        <v>0</v>
      </c>
      <c r="AJ8" s="295">
        <f t="shared" si="12"/>
        <v>109082</v>
      </c>
      <c r="AK8" s="295">
        <f t="shared" ref="AK8:AN8" si="13">AK9+AK11+AK20</f>
        <v>13556</v>
      </c>
      <c r="AL8" s="295">
        <f t="shared" si="13"/>
        <v>3200</v>
      </c>
      <c r="AM8" s="295">
        <f t="shared" si="13"/>
        <v>0</v>
      </c>
      <c r="AN8" s="295">
        <f t="shared" si="13"/>
        <v>16756</v>
      </c>
    </row>
    <row r="9" spans="1:40" x14ac:dyDescent="0.25">
      <c r="A9" s="649" t="s">
        <v>311</v>
      </c>
      <c r="B9" s="681" t="s">
        <v>312</v>
      </c>
      <c r="C9" s="682">
        <f>C10</f>
        <v>0</v>
      </c>
      <c r="D9" s="682">
        <f t="shared" ref="D9:V9" si="14">D10</f>
        <v>1000</v>
      </c>
      <c r="E9" s="682">
        <f t="shared" si="14"/>
        <v>0</v>
      </c>
      <c r="F9" s="682">
        <f t="shared" si="14"/>
        <v>0</v>
      </c>
      <c r="G9" s="682">
        <f t="shared" si="0"/>
        <v>1000</v>
      </c>
      <c r="H9" s="682">
        <f t="shared" si="14"/>
        <v>9244</v>
      </c>
      <c r="I9" s="682">
        <f t="shared" si="14"/>
        <v>0</v>
      </c>
      <c r="J9" s="682">
        <f t="shared" si="14"/>
        <v>0</v>
      </c>
      <c r="K9" s="682">
        <f t="shared" si="1"/>
        <v>9244</v>
      </c>
      <c r="L9" s="682">
        <f t="shared" si="14"/>
        <v>15278</v>
      </c>
      <c r="M9" s="682">
        <f t="shared" si="14"/>
        <v>0</v>
      </c>
      <c r="N9" s="682">
        <f t="shared" si="14"/>
        <v>0</v>
      </c>
      <c r="O9" s="682">
        <f t="shared" si="2"/>
        <v>15278</v>
      </c>
      <c r="P9" s="682">
        <f t="shared" si="14"/>
        <v>0</v>
      </c>
      <c r="Q9" s="682">
        <f t="shared" si="14"/>
        <v>0</v>
      </c>
      <c r="R9" s="682">
        <f t="shared" si="14"/>
        <v>0</v>
      </c>
      <c r="S9" s="682">
        <f t="shared" si="3"/>
        <v>0</v>
      </c>
      <c r="T9" s="682">
        <f t="shared" si="14"/>
        <v>6959</v>
      </c>
      <c r="U9" s="682">
        <f t="shared" si="14"/>
        <v>0</v>
      </c>
      <c r="V9" s="682">
        <f t="shared" si="14"/>
        <v>0</v>
      </c>
      <c r="W9" s="682">
        <f t="shared" si="4"/>
        <v>6959</v>
      </c>
      <c r="Y9" s="682">
        <f t="shared" ref="Y9:AN9" si="15">Y10</f>
        <v>1000</v>
      </c>
      <c r="Z9" s="682">
        <f t="shared" si="15"/>
        <v>0</v>
      </c>
      <c r="AA9" s="682">
        <f t="shared" si="15"/>
        <v>0</v>
      </c>
      <c r="AB9" s="682">
        <f t="shared" si="15"/>
        <v>1000</v>
      </c>
      <c r="AC9" s="682">
        <f t="shared" si="15"/>
        <v>19885</v>
      </c>
      <c r="AD9" s="682">
        <f t="shared" si="15"/>
        <v>0</v>
      </c>
      <c r="AE9" s="682">
        <f t="shared" si="15"/>
        <v>0</v>
      </c>
      <c r="AF9" s="682">
        <f t="shared" si="15"/>
        <v>19885</v>
      </c>
      <c r="AG9" s="682">
        <f t="shared" si="15"/>
        <v>22437</v>
      </c>
      <c r="AH9" s="682">
        <f t="shared" si="15"/>
        <v>0</v>
      </c>
      <c r="AI9" s="682">
        <f t="shared" si="15"/>
        <v>0</v>
      </c>
      <c r="AJ9" s="682">
        <f t="shared" si="15"/>
        <v>22437</v>
      </c>
      <c r="AK9" s="682">
        <f t="shared" si="15"/>
        <v>4180</v>
      </c>
      <c r="AL9" s="682">
        <f t="shared" si="15"/>
        <v>0</v>
      </c>
      <c r="AM9" s="682">
        <f t="shared" si="15"/>
        <v>0</v>
      </c>
      <c r="AN9" s="682">
        <f t="shared" si="15"/>
        <v>4180</v>
      </c>
    </row>
    <row r="10" spans="1:40" ht="30" x14ac:dyDescent="0.25">
      <c r="A10" s="328"/>
      <c r="B10" s="299" t="s">
        <v>313</v>
      </c>
      <c r="C10" s="239">
        <v>0</v>
      </c>
      <c r="D10" s="239">
        <v>1000</v>
      </c>
      <c r="E10" s="239">
        <v>0</v>
      </c>
      <c r="F10" s="239">
        <v>0</v>
      </c>
      <c r="G10" s="239">
        <f t="shared" si="0"/>
        <v>1000</v>
      </c>
      <c r="H10" s="239">
        <v>9244</v>
      </c>
      <c r="I10" s="239">
        <v>0</v>
      </c>
      <c r="J10" s="239">
        <v>0</v>
      </c>
      <c r="K10" s="239">
        <f t="shared" si="1"/>
        <v>9244</v>
      </c>
      <c r="L10" s="239">
        <v>15278</v>
      </c>
      <c r="M10" s="239">
        <v>0</v>
      </c>
      <c r="N10" s="239">
        <v>0</v>
      </c>
      <c r="O10" s="239">
        <f t="shared" si="2"/>
        <v>15278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6959</v>
      </c>
      <c r="U10" s="239">
        <v>0</v>
      </c>
      <c r="V10" s="239">
        <v>0</v>
      </c>
      <c r="W10" s="239">
        <f t="shared" si="4"/>
        <v>6959</v>
      </c>
      <c r="Y10" s="239">
        <v>1000</v>
      </c>
      <c r="Z10" s="239">
        <v>0</v>
      </c>
      <c r="AA10" s="239">
        <v>0</v>
      </c>
      <c r="AB10" s="239">
        <f t="shared" si="5"/>
        <v>1000</v>
      </c>
      <c r="AC10" s="239">
        <v>19885</v>
      </c>
      <c r="AD10" s="239">
        <v>0</v>
      </c>
      <c r="AE10" s="239">
        <v>0</v>
      </c>
      <c r="AF10" s="239">
        <f>SUM(AC10:AE10)</f>
        <v>19885</v>
      </c>
      <c r="AG10" s="239">
        <v>22437</v>
      </c>
      <c r="AH10" s="239"/>
      <c r="AI10" s="239"/>
      <c r="AJ10" s="239">
        <f>SUM(AG10:AI10)</f>
        <v>22437</v>
      </c>
      <c r="AK10" s="239">
        <v>4180</v>
      </c>
      <c r="AL10" s="239"/>
      <c r="AM10" s="239"/>
      <c r="AN10" s="239">
        <f>SUM(AK10:AM10)</f>
        <v>4180</v>
      </c>
    </row>
    <row r="11" spans="1:40" x14ac:dyDescent="0.25">
      <c r="A11" s="649" t="s">
        <v>322</v>
      </c>
      <c r="B11" s="681" t="s">
        <v>314</v>
      </c>
      <c r="C11" s="682">
        <f>C12+C13+C14+C15+C16+C17+C18+C19</f>
        <v>35016</v>
      </c>
      <c r="D11" s="682">
        <f t="shared" ref="D11:F11" si="16">D12+D13+D14+D15+D16+D17+D18+D19</f>
        <v>27400</v>
      </c>
      <c r="E11" s="682">
        <f t="shared" si="16"/>
        <v>5049</v>
      </c>
      <c r="F11" s="682">
        <f t="shared" si="16"/>
        <v>0</v>
      </c>
      <c r="G11" s="682">
        <f t="shared" si="0"/>
        <v>32449</v>
      </c>
      <c r="H11" s="682">
        <f t="shared" ref="H11:J11" si="17">H12+H13+H14+H15+H16+H17+H18+H19</f>
        <v>27581</v>
      </c>
      <c r="I11" s="682">
        <f t="shared" si="17"/>
        <v>5049</v>
      </c>
      <c r="J11" s="682">
        <f t="shared" si="17"/>
        <v>0</v>
      </c>
      <c r="K11" s="682">
        <f t="shared" si="1"/>
        <v>32630</v>
      </c>
      <c r="L11" s="682">
        <f t="shared" ref="L11:N11" si="18">L12+L13+L14+L15+L16+L17+L18+L19</f>
        <v>20176</v>
      </c>
      <c r="M11" s="682">
        <f t="shared" si="18"/>
        <v>12454</v>
      </c>
      <c r="N11" s="682">
        <f t="shared" si="18"/>
        <v>0</v>
      </c>
      <c r="O11" s="682">
        <f t="shared" si="2"/>
        <v>32630</v>
      </c>
      <c r="P11" s="682">
        <f t="shared" ref="P11:R11" si="19">P12+P13+P14+P15+P16+P17+P18+P19</f>
        <v>30932</v>
      </c>
      <c r="Q11" s="682">
        <f t="shared" si="19"/>
        <v>0</v>
      </c>
      <c r="R11" s="682">
        <f t="shared" si="19"/>
        <v>0</v>
      </c>
      <c r="S11" s="682">
        <f t="shared" si="3"/>
        <v>30932</v>
      </c>
      <c r="T11" s="682">
        <f t="shared" ref="T11:V11" si="20">T12+T13+T14+T15+T16+T17+T18+T19</f>
        <v>8841</v>
      </c>
      <c r="U11" s="682">
        <f t="shared" si="20"/>
        <v>1323</v>
      </c>
      <c r="V11" s="682">
        <f t="shared" si="20"/>
        <v>0</v>
      </c>
      <c r="W11" s="682">
        <f t="shared" si="4"/>
        <v>10164</v>
      </c>
      <c r="Y11" s="682">
        <f t="shared" ref="Y11:AB11" si="21">Y12+Y13+Y14+Y15+Y16+Y17+Y18+Y19</f>
        <v>31168</v>
      </c>
      <c r="Z11" s="682">
        <f t="shared" si="21"/>
        <v>5279</v>
      </c>
      <c r="AA11" s="682">
        <f t="shared" si="21"/>
        <v>0</v>
      </c>
      <c r="AB11" s="682">
        <f t="shared" si="21"/>
        <v>36447</v>
      </c>
      <c r="AC11" s="682">
        <f>SUM(AC12:AC19)</f>
        <v>31903</v>
      </c>
      <c r="AD11" s="682">
        <f t="shared" ref="AD11:AF11" si="22">SUM(AD12:AD19)</f>
        <v>5279</v>
      </c>
      <c r="AE11" s="682">
        <f t="shared" si="22"/>
        <v>0</v>
      </c>
      <c r="AF11" s="682">
        <f t="shared" si="22"/>
        <v>37182</v>
      </c>
      <c r="AG11" s="682">
        <f>SUM(AG12:AG19)</f>
        <v>81366</v>
      </c>
      <c r="AH11" s="682">
        <f t="shared" ref="AH11:AJ11" si="23">SUM(AH12:AH19)</f>
        <v>5279</v>
      </c>
      <c r="AI11" s="682">
        <f t="shared" si="23"/>
        <v>0</v>
      </c>
      <c r="AJ11" s="682">
        <f t="shared" si="23"/>
        <v>86645</v>
      </c>
      <c r="AK11" s="682">
        <f>SUM(AK12:AK19)</f>
        <v>9376</v>
      </c>
      <c r="AL11" s="682">
        <f t="shared" ref="AL11:AN11" si="24">SUM(AL12:AL19)</f>
        <v>3200</v>
      </c>
      <c r="AM11" s="682">
        <f t="shared" si="24"/>
        <v>0</v>
      </c>
      <c r="AN11" s="682">
        <f t="shared" si="24"/>
        <v>12576</v>
      </c>
    </row>
    <row r="12" spans="1:40" x14ac:dyDescent="0.25">
      <c r="A12" s="328"/>
      <c r="B12" s="299" t="s">
        <v>649</v>
      </c>
      <c r="C12" s="239">
        <v>0</v>
      </c>
      <c r="D12" s="239">
        <v>330</v>
      </c>
      <c r="E12" s="239">
        <v>320</v>
      </c>
      <c r="F12" s="239">
        <v>0</v>
      </c>
      <c r="G12" s="239">
        <f t="shared" si="0"/>
        <v>650</v>
      </c>
      <c r="H12" s="239">
        <v>330</v>
      </c>
      <c r="I12" s="239">
        <v>320</v>
      </c>
      <c r="J12" s="239">
        <v>0</v>
      </c>
      <c r="K12" s="239">
        <f t="shared" si="1"/>
        <v>650</v>
      </c>
      <c r="L12" s="239">
        <v>650</v>
      </c>
      <c r="M12" s="239">
        <v>0</v>
      </c>
      <c r="N12" s="239">
        <v>0</v>
      </c>
      <c r="O12" s="239">
        <f t="shared" si="2"/>
        <v>650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Y12" s="239">
        <v>0</v>
      </c>
      <c r="Z12" s="239">
        <v>300</v>
      </c>
      <c r="AA12" s="239">
        <v>0</v>
      </c>
      <c r="AB12" s="239">
        <f t="shared" si="5"/>
        <v>300</v>
      </c>
      <c r="AC12" s="239">
        <v>0</v>
      </c>
      <c r="AD12" s="239">
        <v>300</v>
      </c>
      <c r="AE12" s="239">
        <v>0</v>
      </c>
      <c r="AF12" s="239">
        <f>SUM(AC12:AE12)</f>
        <v>300</v>
      </c>
      <c r="AG12" s="239">
        <v>90</v>
      </c>
      <c r="AH12" s="239">
        <v>300</v>
      </c>
      <c r="AI12" s="239"/>
      <c r="AJ12" s="239">
        <f>SUM(AG12:AI12)</f>
        <v>390</v>
      </c>
      <c r="AK12" s="239"/>
      <c r="AL12" s="239"/>
      <c r="AM12" s="239"/>
      <c r="AN12" s="239">
        <f>SUM(AK12:AM12)</f>
        <v>0</v>
      </c>
    </row>
    <row r="13" spans="1:40" x14ac:dyDescent="0.25">
      <c r="A13" s="328"/>
      <c r="B13" s="299" t="s">
        <v>650</v>
      </c>
      <c r="C13" s="300">
        <v>26778</v>
      </c>
      <c r="D13" s="300">
        <v>21315</v>
      </c>
      <c r="E13" s="300">
        <v>3657</v>
      </c>
      <c r="F13" s="300">
        <v>0</v>
      </c>
      <c r="G13" s="300">
        <f t="shared" si="0"/>
        <v>24972</v>
      </c>
      <c r="H13" s="300">
        <v>21185</v>
      </c>
      <c r="I13" s="300">
        <v>3657</v>
      </c>
      <c r="J13" s="300">
        <v>0</v>
      </c>
      <c r="K13" s="300">
        <f t="shared" si="1"/>
        <v>24842</v>
      </c>
      <c r="L13" s="300">
        <v>15370</v>
      </c>
      <c r="M13" s="300">
        <v>9472</v>
      </c>
      <c r="N13" s="300">
        <v>0</v>
      </c>
      <c r="O13" s="300">
        <f t="shared" si="2"/>
        <v>24842</v>
      </c>
      <c r="P13" s="300">
        <f>22876+1440</f>
        <v>24316</v>
      </c>
      <c r="Q13" s="300">
        <v>0</v>
      </c>
      <c r="R13" s="300">
        <v>0</v>
      </c>
      <c r="S13" s="300">
        <f t="shared" si="3"/>
        <v>24316</v>
      </c>
      <c r="T13" s="300">
        <v>6820</v>
      </c>
      <c r="U13" s="300">
        <v>1042</v>
      </c>
      <c r="V13" s="300">
        <v>0</v>
      </c>
      <c r="W13" s="300">
        <f t="shared" si="4"/>
        <v>7862</v>
      </c>
      <c r="Y13" s="300">
        <v>24928</v>
      </c>
      <c r="Z13" s="300">
        <v>3920</v>
      </c>
      <c r="AA13" s="300">
        <v>0</v>
      </c>
      <c r="AB13" s="300">
        <f t="shared" si="5"/>
        <v>28848</v>
      </c>
      <c r="AC13" s="300">
        <v>24928</v>
      </c>
      <c r="AD13" s="300">
        <v>3920</v>
      </c>
      <c r="AE13" s="300">
        <v>0</v>
      </c>
      <c r="AF13" s="239">
        <f>SUM(AC13:AE13)</f>
        <v>28848</v>
      </c>
      <c r="AG13" s="300">
        <v>74363</v>
      </c>
      <c r="AH13" s="300">
        <v>3920</v>
      </c>
      <c r="AI13" s="300"/>
      <c r="AJ13" s="239">
        <f t="shared" ref="AJ13:AJ19" si="25">SUM(AG13:AI13)</f>
        <v>78283</v>
      </c>
      <c r="AK13" s="300">
        <v>7020</v>
      </c>
      <c r="AL13" s="300">
        <v>2520</v>
      </c>
      <c r="AM13" s="300"/>
      <c r="AN13" s="239">
        <f t="shared" ref="AN13:AN19" si="26">SUM(AK13:AM13)</f>
        <v>9540</v>
      </c>
    </row>
    <row r="14" spans="1:40" x14ac:dyDescent="0.25">
      <c r="A14" s="328"/>
      <c r="B14" s="299" t="s">
        <v>659</v>
      </c>
      <c r="C14" s="300">
        <v>0</v>
      </c>
      <c r="D14" s="300">
        <v>0</v>
      </c>
      <c r="E14" s="300">
        <v>0</v>
      </c>
      <c r="F14" s="300">
        <v>0</v>
      </c>
      <c r="G14" s="300">
        <f t="shared" si="0"/>
        <v>0</v>
      </c>
      <c r="H14" s="300">
        <v>0</v>
      </c>
      <c r="I14" s="300">
        <v>0</v>
      </c>
      <c r="J14" s="300">
        <v>0</v>
      </c>
      <c r="K14" s="300">
        <f t="shared" si="1"/>
        <v>0</v>
      </c>
      <c r="L14" s="300">
        <v>0</v>
      </c>
      <c r="M14" s="300">
        <v>0</v>
      </c>
      <c r="N14" s="300">
        <v>0</v>
      </c>
      <c r="O14" s="300">
        <f t="shared" si="2"/>
        <v>0</v>
      </c>
      <c r="P14" s="300">
        <v>0</v>
      </c>
      <c r="Q14" s="300">
        <v>0</v>
      </c>
      <c r="R14" s="300">
        <v>0</v>
      </c>
      <c r="S14" s="300">
        <f t="shared" si="3"/>
        <v>0</v>
      </c>
      <c r="T14" s="300">
        <v>0</v>
      </c>
      <c r="U14" s="300">
        <v>0</v>
      </c>
      <c r="V14" s="300">
        <v>0</v>
      </c>
      <c r="W14" s="300">
        <f t="shared" si="4"/>
        <v>0</v>
      </c>
      <c r="Y14" s="300">
        <v>0</v>
      </c>
      <c r="Z14" s="300">
        <v>0</v>
      </c>
      <c r="AA14" s="300">
        <v>0</v>
      </c>
      <c r="AB14" s="300">
        <f t="shared" si="5"/>
        <v>0</v>
      </c>
      <c r="AC14" s="300">
        <v>62</v>
      </c>
      <c r="AD14" s="300">
        <v>0</v>
      </c>
      <c r="AE14" s="300">
        <v>0</v>
      </c>
      <c r="AF14" s="239">
        <f t="shared" ref="AF14:AF19" si="27">SUM(AC14:AE14)</f>
        <v>62</v>
      </c>
      <c r="AG14" s="300"/>
      <c r="AH14" s="300">
        <v>0</v>
      </c>
      <c r="AI14" s="300"/>
      <c r="AJ14" s="239">
        <f t="shared" si="25"/>
        <v>0</v>
      </c>
      <c r="AK14" s="300">
        <v>62</v>
      </c>
      <c r="AL14" s="300"/>
      <c r="AM14" s="300"/>
      <c r="AN14" s="239">
        <f t="shared" si="26"/>
        <v>62</v>
      </c>
    </row>
    <row r="15" spans="1:40" x14ac:dyDescent="0.25">
      <c r="A15" s="328"/>
      <c r="B15" s="299" t="s">
        <v>660</v>
      </c>
      <c r="C15" s="239">
        <v>0</v>
      </c>
      <c r="D15" s="239">
        <v>0</v>
      </c>
      <c r="E15" s="239">
        <v>0</v>
      </c>
      <c r="F15" s="239">
        <v>0</v>
      </c>
      <c r="G15" s="239">
        <f t="shared" si="0"/>
        <v>0</v>
      </c>
      <c r="H15" s="239">
        <v>0</v>
      </c>
      <c r="I15" s="239">
        <v>0</v>
      </c>
      <c r="J15" s="239">
        <v>0</v>
      </c>
      <c r="K15" s="239">
        <f t="shared" si="1"/>
        <v>0</v>
      </c>
      <c r="L15" s="239">
        <v>0</v>
      </c>
      <c r="M15" s="239">
        <v>0</v>
      </c>
      <c r="N15" s="239">
        <v>0</v>
      </c>
      <c r="O15" s="239">
        <f t="shared" si="2"/>
        <v>0</v>
      </c>
      <c r="P15" s="239">
        <v>0</v>
      </c>
      <c r="Q15" s="239">
        <v>0</v>
      </c>
      <c r="R15" s="239">
        <v>0</v>
      </c>
      <c r="S15" s="239">
        <f t="shared" si="3"/>
        <v>0</v>
      </c>
      <c r="T15" s="239">
        <v>0</v>
      </c>
      <c r="U15" s="239">
        <v>0</v>
      </c>
      <c r="V15" s="239">
        <v>0</v>
      </c>
      <c r="W15" s="239">
        <f t="shared" si="4"/>
        <v>0</v>
      </c>
      <c r="Y15" s="239">
        <v>0</v>
      </c>
      <c r="Z15" s="239">
        <v>0</v>
      </c>
      <c r="AA15" s="239">
        <v>0</v>
      </c>
      <c r="AB15" s="239">
        <f t="shared" si="5"/>
        <v>0</v>
      </c>
      <c r="AC15" s="239">
        <v>0</v>
      </c>
      <c r="AD15" s="239">
        <v>0</v>
      </c>
      <c r="AE15" s="239">
        <v>0</v>
      </c>
      <c r="AF15" s="239">
        <f t="shared" si="27"/>
        <v>0</v>
      </c>
      <c r="AG15" s="239">
        <v>0</v>
      </c>
      <c r="AH15" s="239">
        <v>0</v>
      </c>
      <c r="AI15" s="239"/>
      <c r="AJ15" s="239">
        <f t="shared" si="25"/>
        <v>0</v>
      </c>
      <c r="AK15" s="239">
        <v>0</v>
      </c>
      <c r="AL15" s="239"/>
      <c r="AM15" s="239"/>
      <c r="AN15" s="239">
        <f t="shared" si="26"/>
        <v>0</v>
      </c>
    </row>
    <row r="16" spans="1:40" x14ac:dyDescent="0.25">
      <c r="A16" s="328"/>
      <c r="B16" s="299" t="s">
        <v>661</v>
      </c>
      <c r="C16" s="239">
        <v>7230</v>
      </c>
      <c r="D16" s="239">
        <v>5755</v>
      </c>
      <c r="E16" s="239">
        <v>1072</v>
      </c>
      <c r="F16" s="239">
        <v>0</v>
      </c>
      <c r="G16" s="239">
        <f t="shared" si="0"/>
        <v>6827</v>
      </c>
      <c r="H16" s="239">
        <v>5755</v>
      </c>
      <c r="I16" s="239">
        <v>1072</v>
      </c>
      <c r="J16" s="239">
        <v>0</v>
      </c>
      <c r="K16" s="239">
        <f t="shared" si="1"/>
        <v>6827</v>
      </c>
      <c r="L16" s="239">
        <v>3845</v>
      </c>
      <c r="M16" s="239">
        <v>2982</v>
      </c>
      <c r="N16" s="239">
        <v>0</v>
      </c>
      <c r="O16" s="239">
        <f t="shared" si="2"/>
        <v>6827</v>
      </c>
      <c r="P16" s="239">
        <v>6576</v>
      </c>
      <c r="Q16" s="239">
        <v>0</v>
      </c>
      <c r="R16" s="239">
        <v>0</v>
      </c>
      <c r="S16" s="239">
        <f t="shared" si="3"/>
        <v>6576</v>
      </c>
      <c r="T16" s="239">
        <v>1710</v>
      </c>
      <c r="U16" s="239">
        <v>281</v>
      </c>
      <c r="V16" s="239">
        <v>0</v>
      </c>
      <c r="W16" s="239">
        <f t="shared" si="4"/>
        <v>1991</v>
      </c>
      <c r="Y16" s="239">
        <v>6240</v>
      </c>
      <c r="Z16" s="239">
        <v>1059</v>
      </c>
      <c r="AA16" s="239">
        <v>0</v>
      </c>
      <c r="AB16" s="239">
        <f t="shared" si="5"/>
        <v>7299</v>
      </c>
      <c r="AC16" s="239">
        <v>6240</v>
      </c>
      <c r="AD16" s="239">
        <v>1059</v>
      </c>
      <c r="AE16" s="239">
        <v>0</v>
      </c>
      <c r="AF16" s="239">
        <f t="shared" si="27"/>
        <v>7299</v>
      </c>
      <c r="AG16" s="239">
        <v>6240</v>
      </c>
      <c r="AH16" s="239">
        <v>1059</v>
      </c>
      <c r="AI16" s="239"/>
      <c r="AJ16" s="239">
        <f t="shared" si="25"/>
        <v>7299</v>
      </c>
      <c r="AK16" s="239">
        <v>1621</v>
      </c>
      <c r="AL16" s="239">
        <v>680</v>
      </c>
      <c r="AM16" s="239"/>
      <c r="AN16" s="239">
        <f t="shared" si="26"/>
        <v>2301</v>
      </c>
    </row>
    <row r="17" spans="1:40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0</v>
      </c>
      <c r="Q17" s="239">
        <v>0</v>
      </c>
      <c r="R17" s="239">
        <v>0</v>
      </c>
      <c r="S17" s="239">
        <f t="shared" si="3"/>
        <v>0</v>
      </c>
      <c r="T17" s="239">
        <v>0</v>
      </c>
      <c r="U17" s="239">
        <v>0</v>
      </c>
      <c r="V17" s="239">
        <v>0</v>
      </c>
      <c r="W17" s="239">
        <f t="shared" si="4"/>
        <v>0</v>
      </c>
      <c r="Y17" s="239">
        <v>0</v>
      </c>
      <c r="Z17" s="239">
        <v>0</v>
      </c>
      <c r="AA17" s="239">
        <v>0</v>
      </c>
      <c r="AB17" s="239">
        <f t="shared" si="5"/>
        <v>0</v>
      </c>
      <c r="AC17" s="239">
        <v>0</v>
      </c>
      <c r="AD17" s="239">
        <v>0</v>
      </c>
      <c r="AE17" s="239">
        <v>0</v>
      </c>
      <c r="AF17" s="239">
        <f t="shared" si="27"/>
        <v>0</v>
      </c>
      <c r="AG17" s="239">
        <v>0</v>
      </c>
      <c r="AH17" s="239">
        <v>0</v>
      </c>
      <c r="AI17" s="239"/>
      <c r="AJ17" s="239">
        <f t="shared" si="25"/>
        <v>0</v>
      </c>
      <c r="AK17" s="239"/>
      <c r="AL17" s="239"/>
      <c r="AM17" s="239"/>
      <c r="AN17" s="239">
        <f t="shared" si="26"/>
        <v>0</v>
      </c>
    </row>
    <row r="18" spans="1:40" x14ac:dyDescent="0.25">
      <c r="A18" s="328"/>
      <c r="B18" s="299" t="s">
        <v>663</v>
      </c>
      <c r="C18" s="239">
        <v>1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1</v>
      </c>
      <c r="Q18" s="239">
        <v>0</v>
      </c>
      <c r="R18" s="239">
        <v>0</v>
      </c>
      <c r="S18" s="239">
        <f t="shared" si="3"/>
        <v>1</v>
      </c>
      <c r="T18" s="239">
        <v>0</v>
      </c>
      <c r="U18" s="239">
        <v>0</v>
      </c>
      <c r="V18" s="239">
        <v>0</v>
      </c>
      <c r="W18" s="239">
        <f t="shared" si="4"/>
        <v>0</v>
      </c>
      <c r="Y18" s="239">
        <v>0</v>
      </c>
      <c r="Z18" s="239">
        <v>0</v>
      </c>
      <c r="AA18" s="239">
        <v>0</v>
      </c>
      <c r="AB18" s="239">
        <f t="shared" si="5"/>
        <v>0</v>
      </c>
      <c r="AC18" s="239">
        <v>0</v>
      </c>
      <c r="AD18" s="239">
        <v>0</v>
      </c>
      <c r="AE18" s="239">
        <v>0</v>
      </c>
      <c r="AF18" s="239">
        <f t="shared" si="27"/>
        <v>0</v>
      </c>
      <c r="AG18" s="239">
        <v>0</v>
      </c>
      <c r="AH18" s="239">
        <v>0</v>
      </c>
      <c r="AI18" s="239"/>
      <c r="AJ18" s="239">
        <f t="shared" si="25"/>
        <v>0</v>
      </c>
      <c r="AK18" s="239"/>
      <c r="AL18" s="239"/>
      <c r="AM18" s="239"/>
      <c r="AN18" s="239">
        <f t="shared" si="26"/>
        <v>0</v>
      </c>
    </row>
    <row r="19" spans="1:40" x14ac:dyDescent="0.25">
      <c r="A19" s="328"/>
      <c r="B19" s="299" t="s">
        <v>664</v>
      </c>
      <c r="C19" s="239">
        <v>1007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311</v>
      </c>
      <c r="I19" s="239">
        <v>0</v>
      </c>
      <c r="J19" s="239">
        <v>0</v>
      </c>
      <c r="K19" s="239">
        <f t="shared" si="1"/>
        <v>311</v>
      </c>
      <c r="L19" s="239">
        <v>311</v>
      </c>
      <c r="M19" s="239">
        <v>0</v>
      </c>
      <c r="N19" s="239">
        <v>0</v>
      </c>
      <c r="O19" s="239">
        <f t="shared" si="2"/>
        <v>311</v>
      </c>
      <c r="P19" s="239">
        <v>39</v>
      </c>
      <c r="Q19" s="239">
        <v>0</v>
      </c>
      <c r="R19" s="239">
        <v>0</v>
      </c>
      <c r="S19" s="239">
        <f t="shared" si="3"/>
        <v>39</v>
      </c>
      <c r="T19" s="239">
        <v>311</v>
      </c>
      <c r="U19" s="239">
        <v>0</v>
      </c>
      <c r="V19" s="239">
        <v>0</v>
      </c>
      <c r="W19" s="239">
        <f t="shared" si="4"/>
        <v>311</v>
      </c>
      <c r="Y19" s="239">
        <v>0</v>
      </c>
      <c r="Z19" s="239">
        <v>0</v>
      </c>
      <c r="AA19" s="239">
        <v>0</v>
      </c>
      <c r="AB19" s="239">
        <f t="shared" si="5"/>
        <v>0</v>
      </c>
      <c r="AC19" s="239">
        <v>673</v>
      </c>
      <c r="AD19" s="239">
        <v>0</v>
      </c>
      <c r="AE19" s="239">
        <v>0</v>
      </c>
      <c r="AF19" s="239">
        <f t="shared" si="27"/>
        <v>673</v>
      </c>
      <c r="AG19" s="239">
        <v>673</v>
      </c>
      <c r="AH19" s="239">
        <v>0</v>
      </c>
      <c r="AI19" s="239"/>
      <c r="AJ19" s="239">
        <f t="shared" si="25"/>
        <v>673</v>
      </c>
      <c r="AK19" s="239">
        <v>673</v>
      </c>
      <c r="AL19" s="239"/>
      <c r="AM19" s="239"/>
      <c r="AN19" s="239">
        <f t="shared" si="26"/>
        <v>673</v>
      </c>
    </row>
    <row r="20" spans="1:40" x14ac:dyDescent="0.25">
      <c r="A20" s="649" t="s">
        <v>315</v>
      </c>
      <c r="B20" s="681" t="s">
        <v>316</v>
      </c>
      <c r="C20" s="682">
        <f>SUM(C21:C21)</f>
        <v>0</v>
      </c>
      <c r="D20" s="682">
        <f t="shared" ref="D20:V20" si="28">SUM(D21:D21)</f>
        <v>0</v>
      </c>
      <c r="E20" s="682">
        <f t="shared" si="28"/>
        <v>0</v>
      </c>
      <c r="F20" s="682">
        <f t="shared" si="28"/>
        <v>0</v>
      </c>
      <c r="G20" s="682">
        <f t="shared" si="0"/>
        <v>0</v>
      </c>
      <c r="H20" s="682">
        <f t="shared" si="28"/>
        <v>40</v>
      </c>
      <c r="I20" s="682">
        <f t="shared" si="28"/>
        <v>0</v>
      </c>
      <c r="J20" s="682">
        <f t="shared" si="28"/>
        <v>0</v>
      </c>
      <c r="K20" s="682">
        <f t="shared" si="1"/>
        <v>40</v>
      </c>
      <c r="L20" s="682">
        <f t="shared" si="28"/>
        <v>90</v>
      </c>
      <c r="M20" s="682">
        <f t="shared" si="28"/>
        <v>0</v>
      </c>
      <c r="N20" s="682">
        <f t="shared" si="28"/>
        <v>0</v>
      </c>
      <c r="O20" s="682">
        <f t="shared" si="2"/>
        <v>90</v>
      </c>
      <c r="P20" s="682">
        <f t="shared" si="28"/>
        <v>0</v>
      </c>
      <c r="Q20" s="682">
        <f t="shared" si="28"/>
        <v>0</v>
      </c>
      <c r="R20" s="682">
        <f t="shared" si="28"/>
        <v>0</v>
      </c>
      <c r="S20" s="682">
        <f t="shared" si="3"/>
        <v>0</v>
      </c>
      <c r="T20" s="682">
        <f t="shared" si="28"/>
        <v>40</v>
      </c>
      <c r="U20" s="682">
        <f t="shared" si="28"/>
        <v>0</v>
      </c>
      <c r="V20" s="682">
        <f t="shared" si="28"/>
        <v>0</v>
      </c>
      <c r="W20" s="682">
        <f t="shared" si="4"/>
        <v>40</v>
      </c>
      <c r="Y20" s="682">
        <f t="shared" ref="Y20:AA20" si="29">SUM(Y21:Y21)</f>
        <v>0</v>
      </c>
      <c r="Z20" s="682">
        <f t="shared" si="29"/>
        <v>0</v>
      </c>
      <c r="AA20" s="682">
        <f t="shared" si="29"/>
        <v>0</v>
      </c>
      <c r="AB20" s="682">
        <f t="shared" si="5"/>
        <v>0</v>
      </c>
      <c r="AC20" s="682">
        <v>0</v>
      </c>
      <c r="AD20" s="682">
        <v>0</v>
      </c>
      <c r="AE20" s="682">
        <v>0</v>
      </c>
      <c r="AF20" s="682">
        <v>0</v>
      </c>
      <c r="AG20" s="682">
        <v>0</v>
      </c>
      <c r="AH20" s="682">
        <v>0</v>
      </c>
      <c r="AI20" s="682">
        <v>0</v>
      </c>
      <c r="AJ20" s="682">
        <v>0</v>
      </c>
      <c r="AK20" s="682">
        <v>0</v>
      </c>
      <c r="AL20" s="682">
        <v>0</v>
      </c>
      <c r="AM20" s="682">
        <v>0</v>
      </c>
      <c r="AN20" s="682">
        <v>0</v>
      </c>
    </row>
    <row r="21" spans="1:40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40</v>
      </c>
      <c r="I21" s="239">
        <v>0</v>
      </c>
      <c r="J21" s="239">
        <v>0</v>
      </c>
      <c r="K21" s="239">
        <f t="shared" si="1"/>
        <v>40</v>
      </c>
      <c r="L21" s="239">
        <v>90</v>
      </c>
      <c r="M21" s="239">
        <v>0</v>
      </c>
      <c r="N21" s="239">
        <v>0</v>
      </c>
      <c r="O21" s="239">
        <f t="shared" si="2"/>
        <v>90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40</v>
      </c>
      <c r="U21" s="239">
        <v>0</v>
      </c>
      <c r="V21" s="239">
        <v>0</v>
      </c>
      <c r="W21" s="239">
        <f t="shared" si="4"/>
        <v>40</v>
      </c>
      <c r="Y21" s="239"/>
      <c r="Z21" s="239">
        <v>0</v>
      </c>
      <c r="AA21" s="239">
        <v>0</v>
      </c>
      <c r="AB21" s="239">
        <f t="shared" si="5"/>
        <v>0</v>
      </c>
      <c r="AC21" s="239"/>
      <c r="AD21" s="239">
        <v>0</v>
      </c>
      <c r="AE21" s="239">
        <v>0</v>
      </c>
      <c r="AF21" s="239">
        <v>0</v>
      </c>
      <c r="AG21" s="239"/>
      <c r="AH21" s="239">
        <v>0</v>
      </c>
      <c r="AI21" s="239">
        <v>0</v>
      </c>
      <c r="AJ21" s="239">
        <v>0</v>
      </c>
      <c r="AK21" s="239"/>
      <c r="AL21" s="239">
        <v>0</v>
      </c>
      <c r="AM21" s="239">
        <v>0</v>
      </c>
      <c r="AN21" s="239">
        <v>0</v>
      </c>
    </row>
    <row r="22" spans="1:40" x14ac:dyDescent="0.25">
      <c r="A22" s="293" t="s">
        <v>318</v>
      </c>
      <c r="B22" s="294" t="s">
        <v>319</v>
      </c>
      <c r="C22" s="295">
        <f t="shared" ref="C22:F22" si="30">C23+C25+C28</f>
        <v>0</v>
      </c>
      <c r="D22" s="295">
        <f t="shared" si="30"/>
        <v>0</v>
      </c>
      <c r="E22" s="295">
        <f t="shared" si="30"/>
        <v>0</v>
      </c>
      <c r="F22" s="295">
        <f t="shared" si="30"/>
        <v>0</v>
      </c>
      <c r="G22" s="295">
        <f t="shared" si="0"/>
        <v>0</v>
      </c>
      <c r="H22" s="295">
        <f t="shared" ref="H22:J22" si="31">H23+H25+H28</f>
        <v>0</v>
      </c>
      <c r="I22" s="295">
        <f t="shared" si="31"/>
        <v>0</v>
      </c>
      <c r="J22" s="295">
        <f t="shared" si="31"/>
        <v>0</v>
      </c>
      <c r="K22" s="295">
        <f t="shared" si="1"/>
        <v>0</v>
      </c>
      <c r="L22" s="295">
        <f t="shared" ref="L22:N22" si="32">L23+L25+L28</f>
        <v>0</v>
      </c>
      <c r="M22" s="295">
        <f t="shared" si="32"/>
        <v>0</v>
      </c>
      <c r="N22" s="295">
        <f t="shared" si="32"/>
        <v>0</v>
      </c>
      <c r="O22" s="295">
        <f t="shared" si="2"/>
        <v>0</v>
      </c>
      <c r="P22" s="295">
        <f t="shared" ref="P22:R22" si="33">P23+P25+P28</f>
        <v>0</v>
      </c>
      <c r="Q22" s="295">
        <f t="shared" si="33"/>
        <v>0</v>
      </c>
      <c r="R22" s="295">
        <f t="shared" si="33"/>
        <v>0</v>
      </c>
      <c r="S22" s="295">
        <f t="shared" si="3"/>
        <v>0</v>
      </c>
      <c r="T22" s="295">
        <f t="shared" ref="T22:V22" si="34">T23+T25+T28</f>
        <v>0</v>
      </c>
      <c r="U22" s="295">
        <f t="shared" si="34"/>
        <v>0</v>
      </c>
      <c r="V22" s="295">
        <f t="shared" si="34"/>
        <v>0</v>
      </c>
      <c r="W22" s="295">
        <f t="shared" si="4"/>
        <v>0</v>
      </c>
      <c r="Y22" s="295">
        <f t="shared" ref="Y22:AA22" si="35">Y23+Y25+Y28</f>
        <v>0</v>
      </c>
      <c r="Z22" s="295">
        <f t="shared" si="35"/>
        <v>0</v>
      </c>
      <c r="AA22" s="295">
        <f t="shared" si="35"/>
        <v>0</v>
      </c>
      <c r="AB22" s="295">
        <f t="shared" si="5"/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v>0</v>
      </c>
      <c r="AK22" s="295">
        <v>0</v>
      </c>
      <c r="AL22" s="295">
        <v>0</v>
      </c>
      <c r="AM22" s="295">
        <v>0</v>
      </c>
      <c r="AN22" s="295">
        <v>0</v>
      </c>
    </row>
    <row r="23" spans="1:40" x14ac:dyDescent="0.25">
      <c r="A23" s="649" t="s">
        <v>311</v>
      </c>
      <c r="B23" s="681" t="s">
        <v>320</v>
      </c>
      <c r="C23" s="682">
        <f>SUM(C24:C24)</f>
        <v>0</v>
      </c>
      <c r="D23" s="682">
        <f t="shared" ref="D23:V23" si="36">SUM(D24:D24)</f>
        <v>0</v>
      </c>
      <c r="E23" s="682">
        <f t="shared" si="36"/>
        <v>0</v>
      </c>
      <c r="F23" s="682">
        <f t="shared" si="36"/>
        <v>0</v>
      </c>
      <c r="G23" s="682">
        <f t="shared" si="0"/>
        <v>0</v>
      </c>
      <c r="H23" s="682">
        <f t="shared" si="36"/>
        <v>0</v>
      </c>
      <c r="I23" s="682">
        <f t="shared" si="36"/>
        <v>0</v>
      </c>
      <c r="J23" s="682">
        <f t="shared" si="36"/>
        <v>0</v>
      </c>
      <c r="K23" s="682">
        <f t="shared" si="1"/>
        <v>0</v>
      </c>
      <c r="L23" s="682">
        <f t="shared" si="36"/>
        <v>0</v>
      </c>
      <c r="M23" s="682">
        <f t="shared" si="36"/>
        <v>0</v>
      </c>
      <c r="N23" s="682">
        <f t="shared" si="36"/>
        <v>0</v>
      </c>
      <c r="O23" s="682">
        <f t="shared" si="2"/>
        <v>0</v>
      </c>
      <c r="P23" s="682">
        <f t="shared" si="36"/>
        <v>0</v>
      </c>
      <c r="Q23" s="682">
        <f t="shared" si="36"/>
        <v>0</v>
      </c>
      <c r="R23" s="682">
        <f t="shared" si="36"/>
        <v>0</v>
      </c>
      <c r="S23" s="682">
        <f t="shared" si="3"/>
        <v>0</v>
      </c>
      <c r="T23" s="682">
        <f t="shared" si="36"/>
        <v>0</v>
      </c>
      <c r="U23" s="682">
        <f t="shared" si="36"/>
        <v>0</v>
      </c>
      <c r="V23" s="682">
        <f t="shared" si="36"/>
        <v>0</v>
      </c>
      <c r="W23" s="682">
        <f t="shared" si="4"/>
        <v>0</v>
      </c>
      <c r="Y23" s="682">
        <f t="shared" ref="Y23:AA23" si="37">SUM(Y24:Y24)</f>
        <v>0</v>
      </c>
      <c r="Z23" s="682">
        <f t="shared" si="37"/>
        <v>0</v>
      </c>
      <c r="AA23" s="682">
        <f t="shared" si="37"/>
        <v>0</v>
      </c>
      <c r="AB23" s="682">
        <f t="shared" si="5"/>
        <v>0</v>
      </c>
      <c r="AC23" s="682">
        <v>0</v>
      </c>
      <c r="AD23" s="682">
        <v>0</v>
      </c>
      <c r="AE23" s="682">
        <v>0</v>
      </c>
      <c r="AF23" s="682">
        <v>0</v>
      </c>
      <c r="AG23" s="682">
        <v>0</v>
      </c>
      <c r="AH23" s="682">
        <v>0</v>
      </c>
      <c r="AI23" s="682">
        <v>0</v>
      </c>
      <c r="AJ23" s="682">
        <v>0</v>
      </c>
      <c r="AK23" s="682">
        <v>0</v>
      </c>
      <c r="AL23" s="682">
        <v>0</v>
      </c>
      <c r="AM23" s="682">
        <v>0</v>
      </c>
      <c r="AN23" s="682">
        <v>0</v>
      </c>
    </row>
    <row r="24" spans="1:40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Y24" s="239">
        <v>0</v>
      </c>
      <c r="Z24" s="239">
        <v>0</v>
      </c>
      <c r="AA24" s="239">
        <v>0</v>
      </c>
      <c r="AB24" s="239">
        <f t="shared" si="5"/>
        <v>0</v>
      </c>
      <c r="AC24" s="239">
        <v>0</v>
      </c>
      <c r="AD24" s="239">
        <v>0</v>
      </c>
      <c r="AE24" s="239">
        <v>0</v>
      </c>
      <c r="AF24" s="239">
        <v>0</v>
      </c>
      <c r="AG24" s="239">
        <v>0</v>
      </c>
      <c r="AH24" s="239">
        <v>0</v>
      </c>
      <c r="AI24" s="239">
        <v>0</v>
      </c>
      <c r="AJ24" s="239">
        <v>0</v>
      </c>
      <c r="AK24" s="239">
        <v>0</v>
      </c>
      <c r="AL24" s="239">
        <v>0</v>
      </c>
      <c r="AM24" s="239">
        <v>0</v>
      </c>
      <c r="AN24" s="239">
        <v>0</v>
      </c>
    </row>
    <row r="25" spans="1:40" x14ac:dyDescent="0.25">
      <c r="A25" s="649" t="s">
        <v>322</v>
      </c>
      <c r="B25" s="681" t="s">
        <v>257</v>
      </c>
      <c r="C25" s="682">
        <f>SUM(C26:C27)</f>
        <v>0</v>
      </c>
      <c r="D25" s="682">
        <f t="shared" ref="D25:F25" si="38">SUM(D26:D27)</f>
        <v>0</v>
      </c>
      <c r="E25" s="682">
        <f t="shared" si="38"/>
        <v>0</v>
      </c>
      <c r="F25" s="682">
        <f t="shared" si="38"/>
        <v>0</v>
      </c>
      <c r="G25" s="682">
        <f t="shared" si="0"/>
        <v>0</v>
      </c>
      <c r="H25" s="682">
        <f t="shared" ref="H25:J25" si="39">SUM(H26:H27)</f>
        <v>0</v>
      </c>
      <c r="I25" s="682">
        <f t="shared" si="39"/>
        <v>0</v>
      </c>
      <c r="J25" s="682">
        <f t="shared" si="39"/>
        <v>0</v>
      </c>
      <c r="K25" s="682">
        <f t="shared" si="1"/>
        <v>0</v>
      </c>
      <c r="L25" s="682">
        <f t="shared" ref="L25:N25" si="40">SUM(L26:L27)</f>
        <v>0</v>
      </c>
      <c r="M25" s="682">
        <f t="shared" si="40"/>
        <v>0</v>
      </c>
      <c r="N25" s="682">
        <f t="shared" si="40"/>
        <v>0</v>
      </c>
      <c r="O25" s="682">
        <f t="shared" si="2"/>
        <v>0</v>
      </c>
      <c r="P25" s="682">
        <f t="shared" ref="P25:R25" si="41">SUM(P26:P27)</f>
        <v>0</v>
      </c>
      <c r="Q25" s="682">
        <f t="shared" si="41"/>
        <v>0</v>
      </c>
      <c r="R25" s="682">
        <f t="shared" si="41"/>
        <v>0</v>
      </c>
      <c r="S25" s="682">
        <f t="shared" si="3"/>
        <v>0</v>
      </c>
      <c r="T25" s="682">
        <f t="shared" ref="T25:V25" si="42">SUM(T26:T27)</f>
        <v>0</v>
      </c>
      <c r="U25" s="682">
        <f t="shared" si="42"/>
        <v>0</v>
      </c>
      <c r="V25" s="682">
        <f t="shared" si="42"/>
        <v>0</v>
      </c>
      <c r="W25" s="682">
        <f t="shared" si="4"/>
        <v>0</v>
      </c>
      <c r="Y25" s="682">
        <f t="shared" ref="Y25:AA25" si="43">SUM(Y26:Y27)</f>
        <v>0</v>
      </c>
      <c r="Z25" s="682">
        <f t="shared" si="43"/>
        <v>0</v>
      </c>
      <c r="AA25" s="682">
        <f t="shared" si="43"/>
        <v>0</v>
      </c>
      <c r="AB25" s="682">
        <f t="shared" si="5"/>
        <v>0</v>
      </c>
      <c r="AC25" s="682">
        <v>0</v>
      </c>
      <c r="AD25" s="682">
        <v>0</v>
      </c>
      <c r="AE25" s="682">
        <v>0</v>
      </c>
      <c r="AF25" s="682">
        <v>0</v>
      </c>
      <c r="AG25" s="682">
        <v>0</v>
      </c>
      <c r="AH25" s="682">
        <v>0</v>
      </c>
      <c r="AI25" s="682">
        <v>0</v>
      </c>
      <c r="AJ25" s="682">
        <v>0</v>
      </c>
      <c r="AK25" s="682">
        <v>0</v>
      </c>
      <c r="AL25" s="682">
        <v>0</v>
      </c>
      <c r="AM25" s="682">
        <v>0</v>
      </c>
      <c r="AN25" s="682">
        <v>0</v>
      </c>
    </row>
    <row r="26" spans="1:40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Y26" s="239">
        <v>0</v>
      </c>
      <c r="Z26" s="239">
        <v>0</v>
      </c>
      <c r="AA26" s="239">
        <v>0</v>
      </c>
      <c r="AB26" s="239">
        <f t="shared" si="5"/>
        <v>0</v>
      </c>
      <c r="AC26" s="239">
        <v>0</v>
      </c>
      <c r="AD26" s="239">
        <v>0</v>
      </c>
      <c r="AE26" s="239">
        <v>0</v>
      </c>
      <c r="AF26" s="239">
        <v>0</v>
      </c>
      <c r="AG26" s="239">
        <v>0</v>
      </c>
      <c r="AH26" s="239">
        <v>0</v>
      </c>
      <c r="AI26" s="239">
        <v>0</v>
      </c>
      <c r="AJ26" s="239">
        <v>0</v>
      </c>
      <c r="AK26" s="239">
        <v>0</v>
      </c>
      <c r="AL26" s="239">
        <v>0</v>
      </c>
      <c r="AM26" s="239">
        <v>0</v>
      </c>
      <c r="AN26" s="239">
        <v>0</v>
      </c>
    </row>
    <row r="27" spans="1:40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Y27" s="239">
        <v>0</v>
      </c>
      <c r="Z27" s="239">
        <v>0</v>
      </c>
      <c r="AA27" s="239">
        <v>0</v>
      </c>
      <c r="AB27" s="239">
        <f t="shared" si="5"/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0</v>
      </c>
      <c r="AK27" s="239">
        <v>0</v>
      </c>
      <c r="AL27" s="239">
        <v>0</v>
      </c>
      <c r="AM27" s="239">
        <v>0</v>
      </c>
      <c r="AN27" s="239">
        <v>0</v>
      </c>
    </row>
    <row r="28" spans="1:40" x14ac:dyDescent="0.25">
      <c r="A28" s="649" t="s">
        <v>315</v>
      </c>
      <c r="B28" s="681" t="s">
        <v>325</v>
      </c>
      <c r="C28" s="682">
        <f>SUM(C29:C29)</f>
        <v>0</v>
      </c>
      <c r="D28" s="682">
        <f t="shared" ref="D28:V28" si="44">SUM(D29:D29)</f>
        <v>0</v>
      </c>
      <c r="E28" s="682">
        <f t="shared" si="44"/>
        <v>0</v>
      </c>
      <c r="F28" s="682">
        <f t="shared" si="44"/>
        <v>0</v>
      </c>
      <c r="G28" s="682">
        <f t="shared" si="0"/>
        <v>0</v>
      </c>
      <c r="H28" s="682">
        <f t="shared" si="44"/>
        <v>0</v>
      </c>
      <c r="I28" s="682">
        <f t="shared" si="44"/>
        <v>0</v>
      </c>
      <c r="J28" s="682">
        <f t="shared" si="44"/>
        <v>0</v>
      </c>
      <c r="K28" s="682">
        <f t="shared" si="1"/>
        <v>0</v>
      </c>
      <c r="L28" s="682">
        <f t="shared" si="44"/>
        <v>0</v>
      </c>
      <c r="M28" s="682">
        <f t="shared" si="44"/>
        <v>0</v>
      </c>
      <c r="N28" s="682">
        <f t="shared" si="44"/>
        <v>0</v>
      </c>
      <c r="O28" s="682">
        <f t="shared" si="2"/>
        <v>0</v>
      </c>
      <c r="P28" s="682">
        <f t="shared" si="44"/>
        <v>0</v>
      </c>
      <c r="Q28" s="682">
        <f t="shared" si="44"/>
        <v>0</v>
      </c>
      <c r="R28" s="682">
        <f t="shared" si="44"/>
        <v>0</v>
      </c>
      <c r="S28" s="682">
        <f t="shared" si="3"/>
        <v>0</v>
      </c>
      <c r="T28" s="682">
        <f t="shared" si="44"/>
        <v>0</v>
      </c>
      <c r="U28" s="682">
        <f t="shared" si="44"/>
        <v>0</v>
      </c>
      <c r="V28" s="682">
        <f t="shared" si="44"/>
        <v>0</v>
      </c>
      <c r="W28" s="682">
        <f t="shared" si="4"/>
        <v>0</v>
      </c>
      <c r="Y28" s="682">
        <f t="shared" ref="Y28:AA28" si="45">SUM(Y29:Y29)</f>
        <v>0</v>
      </c>
      <c r="Z28" s="682">
        <f t="shared" si="45"/>
        <v>0</v>
      </c>
      <c r="AA28" s="682">
        <f t="shared" si="45"/>
        <v>0</v>
      </c>
      <c r="AB28" s="682">
        <f t="shared" si="5"/>
        <v>0</v>
      </c>
      <c r="AC28" s="682">
        <v>0</v>
      </c>
      <c r="AD28" s="682">
        <v>0</v>
      </c>
      <c r="AE28" s="682">
        <v>0</v>
      </c>
      <c r="AF28" s="682">
        <v>0</v>
      </c>
      <c r="AG28" s="682">
        <v>0</v>
      </c>
      <c r="AH28" s="682">
        <v>0</v>
      </c>
      <c r="AI28" s="682">
        <v>0</v>
      </c>
      <c r="AJ28" s="682">
        <v>0</v>
      </c>
      <c r="AK28" s="682">
        <v>0</v>
      </c>
      <c r="AL28" s="682">
        <v>0</v>
      </c>
      <c r="AM28" s="682">
        <v>0</v>
      </c>
      <c r="AN28" s="682">
        <v>0</v>
      </c>
    </row>
    <row r="29" spans="1:40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Y29" s="239">
        <v>0</v>
      </c>
      <c r="Z29" s="239">
        <v>0</v>
      </c>
      <c r="AA29" s="239">
        <v>0</v>
      </c>
      <c r="AB29" s="239">
        <f t="shared" si="5"/>
        <v>0</v>
      </c>
      <c r="AC29" s="239">
        <v>0</v>
      </c>
      <c r="AD29" s="239">
        <v>0</v>
      </c>
      <c r="AE29" s="239">
        <v>0</v>
      </c>
      <c r="AF29" s="239">
        <v>0</v>
      </c>
      <c r="AG29" s="239">
        <v>0</v>
      </c>
      <c r="AH29" s="239">
        <v>0</v>
      </c>
      <c r="AI29" s="239">
        <v>0</v>
      </c>
      <c r="AJ29" s="239">
        <v>0</v>
      </c>
      <c r="AK29" s="239">
        <v>0</v>
      </c>
      <c r="AL29" s="239">
        <v>0</v>
      </c>
      <c r="AM29" s="239">
        <v>0</v>
      </c>
      <c r="AN29" s="239">
        <v>0</v>
      </c>
    </row>
    <row r="30" spans="1:40" x14ac:dyDescent="0.25">
      <c r="A30" s="595"/>
      <c r="B30" s="590" t="s">
        <v>327</v>
      </c>
      <c r="C30" s="622">
        <f>C22+C8</f>
        <v>35016</v>
      </c>
      <c r="D30" s="622">
        <f t="shared" ref="D30:F30" si="46">D22+D8</f>
        <v>28400</v>
      </c>
      <c r="E30" s="622">
        <f t="shared" si="46"/>
        <v>5049</v>
      </c>
      <c r="F30" s="622">
        <f t="shared" si="46"/>
        <v>0</v>
      </c>
      <c r="G30" s="622">
        <f t="shared" si="0"/>
        <v>33449</v>
      </c>
      <c r="H30" s="622">
        <f t="shared" ref="H30:J30" si="47">H22+H8</f>
        <v>36865</v>
      </c>
      <c r="I30" s="622">
        <f t="shared" si="47"/>
        <v>5049</v>
      </c>
      <c r="J30" s="622">
        <f t="shared" si="47"/>
        <v>0</v>
      </c>
      <c r="K30" s="622">
        <f t="shared" si="1"/>
        <v>41914</v>
      </c>
      <c r="L30" s="622">
        <f t="shared" ref="L30:N30" si="48">L22+L8</f>
        <v>35544</v>
      </c>
      <c r="M30" s="622">
        <f t="shared" si="48"/>
        <v>12454</v>
      </c>
      <c r="N30" s="622">
        <f t="shared" si="48"/>
        <v>0</v>
      </c>
      <c r="O30" s="622">
        <f t="shared" si="2"/>
        <v>47998</v>
      </c>
      <c r="P30" s="622">
        <f t="shared" ref="P30:R30" si="49">P22+P8</f>
        <v>30932</v>
      </c>
      <c r="Q30" s="622">
        <f t="shared" si="49"/>
        <v>0</v>
      </c>
      <c r="R30" s="622">
        <f t="shared" si="49"/>
        <v>0</v>
      </c>
      <c r="S30" s="622">
        <f t="shared" si="3"/>
        <v>30932</v>
      </c>
      <c r="T30" s="622">
        <f t="shared" ref="T30:V30" si="50">T22+T8</f>
        <v>15840</v>
      </c>
      <c r="U30" s="622">
        <f t="shared" si="50"/>
        <v>1323</v>
      </c>
      <c r="V30" s="622">
        <f t="shared" si="50"/>
        <v>0</v>
      </c>
      <c r="W30" s="622">
        <f t="shared" si="4"/>
        <v>17163</v>
      </c>
      <c r="Y30" s="622">
        <f t="shared" ref="Y30:AF30" si="51">Y22+Y8</f>
        <v>32168</v>
      </c>
      <c r="Z30" s="622">
        <f t="shared" si="51"/>
        <v>5279</v>
      </c>
      <c r="AA30" s="622">
        <f t="shared" si="51"/>
        <v>0</v>
      </c>
      <c r="AB30" s="622">
        <f t="shared" si="51"/>
        <v>37447</v>
      </c>
      <c r="AC30" s="622">
        <f t="shared" si="51"/>
        <v>51788</v>
      </c>
      <c r="AD30" s="622">
        <f t="shared" si="51"/>
        <v>5279</v>
      </c>
      <c r="AE30" s="622">
        <f t="shared" si="51"/>
        <v>0</v>
      </c>
      <c r="AF30" s="622">
        <f t="shared" si="51"/>
        <v>57067</v>
      </c>
      <c r="AG30" s="622">
        <f t="shared" ref="AG30:AJ30" si="52">AG22+AG8</f>
        <v>103803</v>
      </c>
      <c r="AH30" s="622">
        <f t="shared" si="52"/>
        <v>5279</v>
      </c>
      <c r="AI30" s="622">
        <f t="shared" si="52"/>
        <v>0</v>
      </c>
      <c r="AJ30" s="622">
        <f t="shared" si="52"/>
        <v>109082</v>
      </c>
      <c r="AK30" s="622">
        <f t="shared" ref="AK30:AN30" si="53">AK22+AK8</f>
        <v>13556</v>
      </c>
      <c r="AL30" s="622">
        <f t="shared" si="53"/>
        <v>3200</v>
      </c>
      <c r="AM30" s="622">
        <f t="shared" si="53"/>
        <v>0</v>
      </c>
      <c r="AN30" s="622">
        <f t="shared" si="53"/>
        <v>16756</v>
      </c>
    </row>
    <row r="31" spans="1:40" x14ac:dyDescent="0.25">
      <c r="A31" s="293" t="s">
        <v>328</v>
      </c>
      <c r="B31" s="294" t="s">
        <v>329</v>
      </c>
      <c r="C31" s="295">
        <f t="shared" ref="C31:V31" si="54">C32</f>
        <v>126431</v>
      </c>
      <c r="D31" s="295">
        <f t="shared" si="54"/>
        <v>110176</v>
      </c>
      <c r="E31" s="295">
        <f t="shared" si="54"/>
        <v>0</v>
      </c>
      <c r="F31" s="295">
        <f t="shared" si="54"/>
        <v>0</v>
      </c>
      <c r="G31" s="295">
        <f t="shared" si="0"/>
        <v>110176</v>
      </c>
      <c r="H31" s="295">
        <f t="shared" si="54"/>
        <v>111568</v>
      </c>
      <c r="I31" s="295">
        <f t="shared" si="54"/>
        <v>0</v>
      </c>
      <c r="J31" s="295">
        <f t="shared" si="54"/>
        <v>0</v>
      </c>
      <c r="K31" s="295">
        <f t="shared" si="1"/>
        <v>111568</v>
      </c>
      <c r="L31" s="295">
        <f t="shared" si="54"/>
        <v>113236</v>
      </c>
      <c r="M31" s="295">
        <f t="shared" si="54"/>
        <v>0</v>
      </c>
      <c r="N31" s="295">
        <f t="shared" si="54"/>
        <v>0</v>
      </c>
      <c r="O31" s="295">
        <f t="shared" si="2"/>
        <v>113236</v>
      </c>
      <c r="P31" s="295">
        <f t="shared" si="54"/>
        <v>153518</v>
      </c>
      <c r="Q31" s="295">
        <f t="shared" si="54"/>
        <v>10063</v>
      </c>
      <c r="R31" s="295">
        <f t="shared" si="54"/>
        <v>0</v>
      </c>
      <c r="S31" s="295">
        <f t="shared" si="3"/>
        <v>163581</v>
      </c>
      <c r="T31" s="295">
        <f t="shared" si="54"/>
        <v>41776</v>
      </c>
      <c r="U31" s="295">
        <f t="shared" si="54"/>
        <v>336</v>
      </c>
      <c r="V31" s="295">
        <f t="shared" si="54"/>
        <v>0</v>
      </c>
      <c r="W31" s="295">
        <f t="shared" si="4"/>
        <v>42112</v>
      </c>
      <c r="Y31" s="295">
        <f t="shared" ref="Y31:AA31" si="55">Y32</f>
        <v>131421</v>
      </c>
      <c r="Z31" s="295">
        <f t="shared" si="55"/>
        <v>0</v>
      </c>
      <c r="AA31" s="295">
        <f t="shared" si="55"/>
        <v>0</v>
      </c>
      <c r="AB31" s="295">
        <f t="shared" si="5"/>
        <v>131421</v>
      </c>
      <c r="AC31" s="295">
        <f>AC32</f>
        <v>138367</v>
      </c>
      <c r="AD31" s="295">
        <v>0</v>
      </c>
      <c r="AE31" s="295">
        <v>0</v>
      </c>
      <c r="AF31" s="295">
        <f>SUM(AC31:AE31)</f>
        <v>138367</v>
      </c>
      <c r="AG31" s="295">
        <f>SUM(AG33:AG34)</f>
        <v>139768</v>
      </c>
      <c r="AH31" s="295">
        <f t="shared" ref="AH31:AI31" si="56">SUM(AH32:AH33)</f>
        <v>0</v>
      </c>
      <c r="AI31" s="295">
        <f t="shared" si="56"/>
        <v>0</v>
      </c>
      <c r="AJ31" s="295">
        <f>SUM(AG31:AI31)</f>
        <v>139768</v>
      </c>
      <c r="AK31" s="295">
        <f>SUM(AK33:AK34)</f>
        <v>84731</v>
      </c>
      <c r="AL31" s="295">
        <f t="shared" ref="AL31:AL32" si="57">SUM(AL32:AL33)</f>
        <v>0</v>
      </c>
      <c r="AM31" s="295">
        <f t="shared" ref="AM31:AM32" si="58">SUM(AM32:AM33)</f>
        <v>0</v>
      </c>
      <c r="AN31" s="295">
        <f>SUM(AK31:AM31)</f>
        <v>84731</v>
      </c>
    </row>
    <row r="32" spans="1:40" x14ac:dyDescent="0.25">
      <c r="A32" s="296" t="s">
        <v>311</v>
      </c>
      <c r="B32" s="297" t="s">
        <v>330</v>
      </c>
      <c r="C32" s="298">
        <f>SUM(C33:C34)</f>
        <v>126431</v>
      </c>
      <c r="D32" s="298">
        <f t="shared" ref="D32:F32" si="59">SUM(D33:D34)</f>
        <v>110176</v>
      </c>
      <c r="E32" s="298">
        <f t="shared" si="59"/>
        <v>0</v>
      </c>
      <c r="F32" s="298">
        <f t="shared" si="59"/>
        <v>0</v>
      </c>
      <c r="G32" s="298">
        <f t="shared" si="0"/>
        <v>110176</v>
      </c>
      <c r="H32" s="298">
        <f t="shared" ref="H32:J32" si="60">SUM(H33:H34)</f>
        <v>111568</v>
      </c>
      <c r="I32" s="298">
        <f t="shared" si="60"/>
        <v>0</v>
      </c>
      <c r="J32" s="298">
        <f t="shared" si="60"/>
        <v>0</v>
      </c>
      <c r="K32" s="298">
        <f t="shared" si="1"/>
        <v>111568</v>
      </c>
      <c r="L32" s="298">
        <f t="shared" ref="L32:N32" si="61">SUM(L33:L34)</f>
        <v>113236</v>
      </c>
      <c r="M32" s="298">
        <f t="shared" si="61"/>
        <v>0</v>
      </c>
      <c r="N32" s="298">
        <f t="shared" si="61"/>
        <v>0</v>
      </c>
      <c r="O32" s="298">
        <f t="shared" si="2"/>
        <v>113236</v>
      </c>
      <c r="P32" s="298">
        <f t="shared" ref="P32:R32" si="62">SUM(P33:P34)</f>
        <v>153518</v>
      </c>
      <c r="Q32" s="298">
        <f t="shared" si="62"/>
        <v>10063</v>
      </c>
      <c r="R32" s="298">
        <f t="shared" si="62"/>
        <v>0</v>
      </c>
      <c r="S32" s="298">
        <f t="shared" si="3"/>
        <v>163581</v>
      </c>
      <c r="T32" s="298">
        <f t="shared" ref="T32:V32" si="63">SUM(T33:T34)</f>
        <v>41776</v>
      </c>
      <c r="U32" s="298">
        <f t="shared" si="63"/>
        <v>336</v>
      </c>
      <c r="V32" s="298">
        <f t="shared" si="63"/>
        <v>0</v>
      </c>
      <c r="W32" s="298">
        <f t="shared" si="4"/>
        <v>42112</v>
      </c>
      <c r="Y32" s="298">
        <f t="shared" ref="Y32:AA32" si="64">SUM(Y33:Y34)</f>
        <v>131421</v>
      </c>
      <c r="Z32" s="298">
        <f t="shared" si="64"/>
        <v>0</v>
      </c>
      <c r="AA32" s="298">
        <f t="shared" si="64"/>
        <v>0</v>
      </c>
      <c r="AB32" s="298">
        <f t="shared" si="5"/>
        <v>131421</v>
      </c>
      <c r="AC32" s="298">
        <f>SUM(AC33:AC34)</f>
        <v>138367</v>
      </c>
      <c r="AD32" s="298">
        <f t="shared" ref="AD32:AF32" si="65">SUM(AD33:AD34)</f>
        <v>0</v>
      </c>
      <c r="AE32" s="298">
        <f t="shared" si="65"/>
        <v>0</v>
      </c>
      <c r="AF32" s="298">
        <f t="shared" si="65"/>
        <v>138367</v>
      </c>
      <c r="AG32" s="298">
        <f>SUM(AG33:AG34)</f>
        <v>139768</v>
      </c>
      <c r="AH32" s="298">
        <f t="shared" ref="AH32:AI32" si="66">SUM(AH33:AH34)</f>
        <v>0</v>
      </c>
      <c r="AI32" s="298">
        <f t="shared" si="66"/>
        <v>0</v>
      </c>
      <c r="AJ32" s="298">
        <f>SUM(AG32:AI32)</f>
        <v>139768</v>
      </c>
      <c r="AK32" s="298">
        <f>SUM(AK33:AK34)</f>
        <v>84731</v>
      </c>
      <c r="AL32" s="298">
        <f t="shared" si="57"/>
        <v>0</v>
      </c>
      <c r="AM32" s="298">
        <f t="shared" si="58"/>
        <v>0</v>
      </c>
      <c r="AN32" s="298">
        <f t="shared" ref="AN32" si="67">SUM(AN33:AN34)</f>
        <v>84731</v>
      </c>
    </row>
    <row r="33" spans="1:40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0</v>
      </c>
      <c r="I33" s="239">
        <v>0</v>
      </c>
      <c r="J33" s="239">
        <v>0</v>
      </c>
      <c r="K33" s="239">
        <f t="shared" si="1"/>
        <v>0</v>
      </c>
      <c r="L33" s="239">
        <v>928</v>
      </c>
      <c r="M33" s="239">
        <v>0</v>
      </c>
      <c r="N33" s="239">
        <v>0</v>
      </c>
      <c r="O33" s="239">
        <f t="shared" si="2"/>
        <v>928</v>
      </c>
      <c r="P33" s="239">
        <v>4335</v>
      </c>
      <c r="Q33" s="239">
        <v>0</v>
      </c>
      <c r="R33" s="239">
        <v>0</v>
      </c>
      <c r="S33" s="239">
        <f t="shared" si="3"/>
        <v>4335</v>
      </c>
      <c r="T33" s="239">
        <v>0</v>
      </c>
      <c r="U33" s="239">
        <v>0</v>
      </c>
      <c r="V33" s="239">
        <v>0</v>
      </c>
      <c r="W33" s="239">
        <f t="shared" si="4"/>
        <v>0</v>
      </c>
      <c r="Y33" s="239"/>
      <c r="Z33" s="239">
        <v>0</v>
      </c>
      <c r="AA33" s="239">
        <v>0</v>
      </c>
      <c r="AB33" s="239">
        <f t="shared" si="5"/>
        <v>0</v>
      </c>
      <c r="AC33" s="239">
        <v>4827</v>
      </c>
      <c r="AD33" s="239">
        <v>0</v>
      </c>
      <c r="AE33" s="239">
        <v>0</v>
      </c>
      <c r="AF33" s="239">
        <f>SUM(AC33:AE33)</f>
        <v>4827</v>
      </c>
      <c r="AG33" s="239">
        <v>4827</v>
      </c>
      <c r="AH33" s="239">
        <v>0</v>
      </c>
      <c r="AI33" s="239">
        <v>0</v>
      </c>
      <c r="AJ33" s="239">
        <f>SUM(AG33:AI33)</f>
        <v>4827</v>
      </c>
      <c r="AK33" s="239">
        <v>4827</v>
      </c>
      <c r="AL33" s="239">
        <v>0</v>
      </c>
      <c r="AM33" s="239">
        <v>0</v>
      </c>
      <c r="AN33" s="239">
        <f>SUM(AK33:AM33)</f>
        <v>4827</v>
      </c>
    </row>
    <row r="34" spans="1:40" x14ac:dyDescent="0.25">
      <c r="A34" s="328"/>
      <c r="B34" s="301" t="s">
        <v>332</v>
      </c>
      <c r="C34" s="239">
        <f>C36+C42-C8-C22-C33</f>
        <v>126431</v>
      </c>
      <c r="D34" s="239">
        <f t="shared" ref="D34:F34" si="68">D36+D42-D8-D22-D33</f>
        <v>110176</v>
      </c>
      <c r="E34" s="239">
        <f t="shared" si="68"/>
        <v>0</v>
      </c>
      <c r="F34" s="239">
        <f t="shared" si="68"/>
        <v>0</v>
      </c>
      <c r="G34" s="239">
        <f t="shared" si="0"/>
        <v>110176</v>
      </c>
      <c r="H34" s="239">
        <v>111568</v>
      </c>
      <c r="I34" s="239">
        <f t="shared" ref="I34:J34" si="69">I36+I42-I8-I22-I33</f>
        <v>0</v>
      </c>
      <c r="J34" s="239">
        <f t="shared" si="69"/>
        <v>0</v>
      </c>
      <c r="K34" s="239">
        <f t="shared" si="1"/>
        <v>111568</v>
      </c>
      <c r="L34" s="239">
        <v>112308</v>
      </c>
      <c r="M34" s="239"/>
      <c r="N34" s="239">
        <f t="shared" ref="N34" si="70">N36+N42-N8-N22-N33</f>
        <v>0</v>
      </c>
      <c r="O34" s="239">
        <f t="shared" si="2"/>
        <v>112308</v>
      </c>
      <c r="P34" s="239">
        <f t="shared" ref="P34:R34" si="71">P36+P42-P8-P22-P33</f>
        <v>149183</v>
      </c>
      <c r="Q34" s="239">
        <f t="shared" si="71"/>
        <v>10063</v>
      </c>
      <c r="R34" s="239">
        <f t="shared" si="71"/>
        <v>0</v>
      </c>
      <c r="S34" s="239">
        <f t="shared" si="3"/>
        <v>159246</v>
      </c>
      <c r="T34" s="239">
        <v>41776</v>
      </c>
      <c r="U34" s="239">
        <f t="shared" ref="U34:V34" si="72">U36+U42-U8-U22-U33</f>
        <v>336</v>
      </c>
      <c r="V34" s="239">
        <f t="shared" si="72"/>
        <v>0</v>
      </c>
      <c r="W34" s="239">
        <f t="shared" si="4"/>
        <v>42112</v>
      </c>
      <c r="Y34" s="239">
        <f t="shared" ref="Y34:AE34" si="73">Y36+Y42-Y8-Y22-Y33</f>
        <v>131421</v>
      </c>
      <c r="Z34" s="239">
        <f t="shared" si="73"/>
        <v>0</v>
      </c>
      <c r="AA34" s="239">
        <f t="shared" si="73"/>
        <v>0</v>
      </c>
      <c r="AB34" s="239">
        <f t="shared" si="73"/>
        <v>131421</v>
      </c>
      <c r="AC34" s="239">
        <v>133540</v>
      </c>
      <c r="AD34" s="239">
        <f t="shared" si="73"/>
        <v>0</v>
      </c>
      <c r="AE34" s="239">
        <f t="shared" si="73"/>
        <v>0</v>
      </c>
      <c r="AF34" s="239">
        <f>SUM(AC34:AE34)</f>
        <v>133540</v>
      </c>
      <c r="AG34" s="239">
        <v>134941</v>
      </c>
      <c r="AH34" s="239"/>
      <c r="AI34" s="239"/>
      <c r="AJ34" s="239">
        <f>SUM(AG34:AI34)</f>
        <v>134941</v>
      </c>
      <c r="AK34" s="239">
        <v>79904</v>
      </c>
      <c r="AL34" s="239"/>
      <c r="AM34" s="239"/>
      <c r="AN34" s="239">
        <f>SUM(AK34:AM34)</f>
        <v>79904</v>
      </c>
    </row>
    <row r="35" spans="1:40" x14ac:dyDescent="0.25">
      <c r="A35" s="649"/>
      <c r="B35" s="650" t="s">
        <v>333</v>
      </c>
      <c r="C35" s="638">
        <f>C31+C22+C8</f>
        <v>161447</v>
      </c>
      <c r="D35" s="638">
        <f t="shared" ref="D35:F35" si="74">D31+D22+D8</f>
        <v>138576</v>
      </c>
      <c r="E35" s="638">
        <f t="shared" si="74"/>
        <v>5049</v>
      </c>
      <c r="F35" s="638">
        <f t="shared" si="74"/>
        <v>0</v>
      </c>
      <c r="G35" s="638">
        <f t="shared" si="0"/>
        <v>143625</v>
      </c>
      <c r="H35" s="638">
        <f t="shared" ref="H35:J35" si="75">H31+H22+H8</f>
        <v>148433</v>
      </c>
      <c r="I35" s="638">
        <f t="shared" si="75"/>
        <v>5049</v>
      </c>
      <c r="J35" s="638">
        <f t="shared" si="75"/>
        <v>0</v>
      </c>
      <c r="K35" s="638">
        <f t="shared" si="1"/>
        <v>153482</v>
      </c>
      <c r="L35" s="638">
        <f t="shared" ref="L35:N35" si="76">L31+L22+L8</f>
        <v>148780</v>
      </c>
      <c r="M35" s="638">
        <f t="shared" si="76"/>
        <v>12454</v>
      </c>
      <c r="N35" s="638">
        <f t="shared" si="76"/>
        <v>0</v>
      </c>
      <c r="O35" s="638">
        <f t="shared" si="2"/>
        <v>161234</v>
      </c>
      <c r="P35" s="638">
        <f t="shared" ref="P35:R35" si="77">P31+P22+P8</f>
        <v>184450</v>
      </c>
      <c r="Q35" s="638">
        <f t="shared" si="77"/>
        <v>10063</v>
      </c>
      <c r="R35" s="638">
        <f t="shared" si="77"/>
        <v>0</v>
      </c>
      <c r="S35" s="638">
        <f t="shared" si="3"/>
        <v>194513</v>
      </c>
      <c r="T35" s="638">
        <f t="shared" ref="T35:V35" si="78">T31+T22+T8</f>
        <v>57616</v>
      </c>
      <c r="U35" s="638">
        <f t="shared" si="78"/>
        <v>1659</v>
      </c>
      <c r="V35" s="638">
        <f t="shared" si="78"/>
        <v>0</v>
      </c>
      <c r="W35" s="638">
        <f t="shared" si="4"/>
        <v>59275</v>
      </c>
      <c r="Y35" s="638">
        <f t="shared" ref="Y35:AF35" si="79">Y31+Y22+Y8</f>
        <v>163589</v>
      </c>
      <c r="Z35" s="638">
        <f t="shared" si="79"/>
        <v>5279</v>
      </c>
      <c r="AA35" s="638">
        <f t="shared" si="79"/>
        <v>0</v>
      </c>
      <c r="AB35" s="638">
        <f t="shared" si="79"/>
        <v>168868</v>
      </c>
      <c r="AC35" s="638">
        <f>AC31+AC22+AC8</f>
        <v>190155</v>
      </c>
      <c r="AD35" s="638">
        <f t="shared" si="79"/>
        <v>5279</v>
      </c>
      <c r="AE35" s="638">
        <f t="shared" si="79"/>
        <v>0</v>
      </c>
      <c r="AF35" s="638">
        <f t="shared" si="79"/>
        <v>195434</v>
      </c>
      <c r="AG35" s="638">
        <f>AG31+AG22+AG8</f>
        <v>243571</v>
      </c>
      <c r="AH35" s="638">
        <f>AH31+AH22+AH8</f>
        <v>5279</v>
      </c>
      <c r="AI35" s="638">
        <f t="shared" ref="AI35:AJ35" si="80">AI31+AI22+AI8</f>
        <v>0</v>
      </c>
      <c r="AJ35" s="638">
        <f t="shared" si="80"/>
        <v>248850</v>
      </c>
      <c r="AK35" s="638">
        <f t="shared" ref="AK35:AN35" si="81">AK31+AK22+AK8</f>
        <v>98287</v>
      </c>
      <c r="AL35" s="638">
        <f t="shared" si="81"/>
        <v>3200</v>
      </c>
      <c r="AM35" s="638">
        <f t="shared" si="81"/>
        <v>0</v>
      </c>
      <c r="AN35" s="638">
        <f t="shared" si="81"/>
        <v>101487</v>
      </c>
    </row>
    <row r="36" spans="1:40" x14ac:dyDescent="0.25">
      <c r="A36" s="293" t="s">
        <v>309</v>
      </c>
      <c r="B36" s="294" t="s">
        <v>334</v>
      </c>
      <c r="C36" s="295">
        <f t="shared" ref="C36:F36" si="82">SUM(C37:C41)</f>
        <v>158983</v>
      </c>
      <c r="D36" s="295">
        <f t="shared" si="82"/>
        <v>138576</v>
      </c>
      <c r="E36" s="295">
        <f t="shared" si="82"/>
        <v>5049</v>
      </c>
      <c r="F36" s="295">
        <f t="shared" si="82"/>
        <v>0</v>
      </c>
      <c r="G36" s="295">
        <f t="shared" si="0"/>
        <v>143625</v>
      </c>
      <c r="H36" s="295">
        <f t="shared" ref="H36:J36" si="83">SUM(H37:H41)</f>
        <v>148301</v>
      </c>
      <c r="I36" s="295">
        <f t="shared" si="83"/>
        <v>5049</v>
      </c>
      <c r="J36" s="295">
        <f t="shared" si="83"/>
        <v>0</v>
      </c>
      <c r="K36" s="295">
        <f t="shared" si="1"/>
        <v>153350</v>
      </c>
      <c r="L36" s="295">
        <f t="shared" ref="L36:N36" si="84">SUM(L37:L41)</f>
        <v>150960</v>
      </c>
      <c r="M36" s="295">
        <f t="shared" si="84"/>
        <v>9298</v>
      </c>
      <c r="N36" s="295">
        <f t="shared" si="84"/>
        <v>0</v>
      </c>
      <c r="O36" s="295">
        <f t="shared" si="2"/>
        <v>160258</v>
      </c>
      <c r="P36" s="295">
        <f t="shared" ref="P36:R36" si="85">SUM(P37:P41)</f>
        <v>181915</v>
      </c>
      <c r="Q36" s="295">
        <f t="shared" si="85"/>
        <v>10063</v>
      </c>
      <c r="R36" s="295">
        <f t="shared" si="85"/>
        <v>0</v>
      </c>
      <c r="S36" s="295">
        <f t="shared" si="3"/>
        <v>191978</v>
      </c>
      <c r="T36" s="295">
        <f t="shared" ref="T36:V36" si="86">SUM(T37:T41)</f>
        <v>52641</v>
      </c>
      <c r="U36" s="295">
        <f t="shared" si="86"/>
        <v>1659</v>
      </c>
      <c r="V36" s="295">
        <f t="shared" si="86"/>
        <v>0</v>
      </c>
      <c r="W36" s="295">
        <f t="shared" si="4"/>
        <v>54300</v>
      </c>
      <c r="Y36" s="295">
        <f t="shared" ref="Y36:AF36" si="87">SUM(Y37:Y41)</f>
        <v>162589</v>
      </c>
      <c r="Z36" s="295">
        <f t="shared" si="87"/>
        <v>5279</v>
      </c>
      <c r="AA36" s="295">
        <f t="shared" si="87"/>
        <v>0</v>
      </c>
      <c r="AB36" s="295">
        <f t="shared" si="87"/>
        <v>167868</v>
      </c>
      <c r="AC36" s="295">
        <f t="shared" si="87"/>
        <v>173945</v>
      </c>
      <c r="AD36" s="295">
        <f t="shared" si="87"/>
        <v>5279</v>
      </c>
      <c r="AE36" s="295">
        <f t="shared" si="87"/>
        <v>0</v>
      </c>
      <c r="AF36" s="295">
        <f t="shared" si="87"/>
        <v>179224</v>
      </c>
      <c r="AG36" s="295">
        <f>SUM(AG37:AG41)</f>
        <v>228981</v>
      </c>
      <c r="AH36" s="295">
        <f t="shared" ref="AH36:AI36" si="88">SUM(AH37:AH41)</f>
        <v>5279</v>
      </c>
      <c r="AI36" s="295">
        <f t="shared" si="88"/>
        <v>0</v>
      </c>
      <c r="AJ36" s="295">
        <f>SUM(AG36:AI36)</f>
        <v>234260</v>
      </c>
      <c r="AK36" s="295">
        <f t="shared" ref="AK36:AN36" si="89">SUM(AK37:AK41)</f>
        <v>58761</v>
      </c>
      <c r="AL36" s="295">
        <f t="shared" si="89"/>
        <v>4092</v>
      </c>
      <c r="AM36" s="295">
        <f t="shared" si="89"/>
        <v>0</v>
      </c>
      <c r="AN36" s="295">
        <f t="shared" si="89"/>
        <v>62853</v>
      </c>
    </row>
    <row r="37" spans="1:40" x14ac:dyDescent="0.25">
      <c r="A37" s="582" t="s">
        <v>311</v>
      </c>
      <c r="B37" s="675" t="s">
        <v>286</v>
      </c>
      <c r="C37" s="676">
        <f>'5H GSZNR fel'!C51+'5H GSZNR fel'!C57+'5H GSZNR fel'!C62+'5H GSZNR fel'!C68</f>
        <v>53096</v>
      </c>
      <c r="D37" s="676">
        <v>57000</v>
      </c>
      <c r="E37" s="676">
        <v>2146</v>
      </c>
      <c r="F37" s="676">
        <v>0</v>
      </c>
      <c r="G37" s="676">
        <f t="shared" si="0"/>
        <v>59146</v>
      </c>
      <c r="H37" s="676">
        <v>61409</v>
      </c>
      <c r="I37" s="676">
        <v>2146</v>
      </c>
      <c r="J37" s="676">
        <v>0</v>
      </c>
      <c r="K37" s="676">
        <f t="shared" si="1"/>
        <v>63555</v>
      </c>
      <c r="L37" s="676">
        <v>64537</v>
      </c>
      <c r="M37" s="676">
        <v>2146</v>
      </c>
      <c r="N37" s="676">
        <v>0</v>
      </c>
      <c r="O37" s="676">
        <f t="shared" si="2"/>
        <v>66683</v>
      </c>
      <c r="P37" s="676">
        <f>'5H GSZNR fel'!O51+'5H GSZNR fel'!O57+'5H GSZNR fel'!O62</f>
        <v>53114</v>
      </c>
      <c r="Q37" s="676">
        <f>'5H GSZNR fel'!N51+'5H GSZNR fel'!N57+'5H GSZNR fel'!N62+'5H GSZNR fel'!O68</f>
        <v>464</v>
      </c>
      <c r="R37" s="676">
        <v>0</v>
      </c>
      <c r="S37" s="676">
        <f t="shared" si="3"/>
        <v>53578</v>
      </c>
      <c r="T37" s="676">
        <v>21624</v>
      </c>
      <c r="U37" s="676">
        <v>703</v>
      </c>
      <c r="V37" s="676">
        <v>0</v>
      </c>
      <c r="W37" s="676">
        <f t="shared" si="4"/>
        <v>22327</v>
      </c>
      <c r="Y37" s="676">
        <v>68028</v>
      </c>
      <c r="Z37" s="676">
        <v>2326</v>
      </c>
      <c r="AA37" s="676">
        <v>0</v>
      </c>
      <c r="AB37" s="676">
        <f t="shared" si="5"/>
        <v>70354</v>
      </c>
      <c r="AC37" s="676">
        <v>72894</v>
      </c>
      <c r="AD37" s="676">
        <v>2326</v>
      </c>
      <c r="AE37" s="676">
        <v>0</v>
      </c>
      <c r="AF37" s="676">
        <f>SUM(AC37:AE37)</f>
        <v>75220</v>
      </c>
      <c r="AG37" s="676">
        <f>77680-2326</f>
        <v>75354</v>
      </c>
      <c r="AH37" s="676">
        <v>2326</v>
      </c>
      <c r="AI37" s="676"/>
      <c r="AJ37" s="676">
        <f>SUM(AG37:AI37)</f>
        <v>77680</v>
      </c>
      <c r="AK37" s="676">
        <v>34646</v>
      </c>
      <c r="AL37" s="676">
        <v>975</v>
      </c>
      <c r="AM37" s="676"/>
      <c r="AN37" s="676">
        <f>SUM(AK37:AM37)</f>
        <v>35621</v>
      </c>
    </row>
    <row r="38" spans="1:40" x14ac:dyDescent="0.25">
      <c r="A38" s="582" t="s">
        <v>322</v>
      </c>
      <c r="B38" s="675" t="s">
        <v>335</v>
      </c>
      <c r="C38" s="676">
        <f>'5H GSZNR fel'!C52+'5H GSZNR fel'!C58+'5H GSZNR fel'!C63+'5H GSZNR fel'!C69</f>
        <v>12178</v>
      </c>
      <c r="D38" s="676">
        <v>11158</v>
      </c>
      <c r="E38" s="676">
        <v>422</v>
      </c>
      <c r="F38" s="676">
        <v>0</v>
      </c>
      <c r="G38" s="676">
        <f t="shared" si="0"/>
        <v>11580</v>
      </c>
      <c r="H38" s="676">
        <v>11572</v>
      </c>
      <c r="I38" s="676">
        <v>422</v>
      </c>
      <c r="J38" s="676">
        <v>0</v>
      </c>
      <c r="K38" s="676">
        <f t="shared" si="1"/>
        <v>11994</v>
      </c>
      <c r="L38" s="676">
        <v>11770</v>
      </c>
      <c r="M38" s="676">
        <v>422</v>
      </c>
      <c r="N38" s="676">
        <v>0</v>
      </c>
      <c r="O38" s="676">
        <f t="shared" si="2"/>
        <v>12192</v>
      </c>
      <c r="P38" s="676">
        <f>'5H GSZNR fel'!O52+'5H GSZNR fel'!O58+'5H GSZNR fel'!O63</f>
        <v>11637</v>
      </c>
      <c r="Q38" s="676">
        <f>'5H GSZNR fel'!N52+'5H GSZNR fel'!N58+'5H GSZNR fel'!N63+'5H GSZNR fel'!O69</f>
        <v>100</v>
      </c>
      <c r="R38" s="676">
        <v>0</v>
      </c>
      <c r="S38" s="676">
        <f t="shared" si="3"/>
        <v>11737</v>
      </c>
      <c r="T38" s="676">
        <v>3948</v>
      </c>
      <c r="U38" s="676">
        <v>141</v>
      </c>
      <c r="V38" s="676">
        <v>0</v>
      </c>
      <c r="W38" s="676">
        <f t="shared" si="4"/>
        <v>4089</v>
      </c>
      <c r="Y38" s="676">
        <v>12773</v>
      </c>
      <c r="Z38" s="676">
        <v>453</v>
      </c>
      <c r="AA38" s="676">
        <v>0</v>
      </c>
      <c r="AB38" s="676">
        <f t="shared" si="5"/>
        <v>13226</v>
      </c>
      <c r="AC38" s="676">
        <v>13132</v>
      </c>
      <c r="AD38" s="676">
        <v>453</v>
      </c>
      <c r="AE38" s="676">
        <v>0</v>
      </c>
      <c r="AF38" s="676">
        <f t="shared" ref="AF38:AF40" si="90">SUM(AC38:AE38)</f>
        <v>13585</v>
      </c>
      <c r="AG38" s="676">
        <f>13585-453</f>
        <v>13132</v>
      </c>
      <c r="AH38" s="676">
        <v>453</v>
      </c>
      <c r="AI38" s="676"/>
      <c r="AJ38" s="676">
        <f t="shared" ref="AJ38:AJ41" si="91">SUM(AG38:AI38)</f>
        <v>13585</v>
      </c>
      <c r="AK38" s="676">
        <v>6443</v>
      </c>
      <c r="AL38" s="676">
        <v>152</v>
      </c>
      <c r="AM38" s="676"/>
      <c r="AN38" s="676">
        <f t="shared" ref="AN38:AN45" si="92">SUM(AK38:AM38)</f>
        <v>6595</v>
      </c>
    </row>
    <row r="39" spans="1:40" x14ac:dyDescent="0.25">
      <c r="A39" s="582" t="s">
        <v>315</v>
      </c>
      <c r="B39" s="675" t="s">
        <v>292</v>
      </c>
      <c r="C39" s="676">
        <f>'5H GSZNR fel'!C53+'5H GSZNR fel'!C59+'5H GSZNR fel'!C64+'5H GSZNR fel'!C70</f>
        <v>93709</v>
      </c>
      <c r="D39" s="676">
        <v>70418</v>
      </c>
      <c r="E39" s="676">
        <v>2481</v>
      </c>
      <c r="F39" s="676">
        <v>0</v>
      </c>
      <c r="G39" s="676">
        <f t="shared" si="0"/>
        <v>72899</v>
      </c>
      <c r="H39" s="676">
        <v>75320</v>
      </c>
      <c r="I39" s="676">
        <v>2481</v>
      </c>
      <c r="J39" s="676">
        <v>0</v>
      </c>
      <c r="K39" s="676">
        <f t="shared" si="1"/>
        <v>77801</v>
      </c>
      <c r="L39" s="676">
        <v>74653</v>
      </c>
      <c r="M39" s="676">
        <v>6730</v>
      </c>
      <c r="N39" s="676">
        <v>0</v>
      </c>
      <c r="O39" s="676">
        <f t="shared" si="2"/>
        <v>81383</v>
      </c>
      <c r="P39" s="676">
        <f>'5H GSZNR fel'!O53+'5H GSZNR fel'!O59+'5H GSZNR fel'!O64</f>
        <v>117164</v>
      </c>
      <c r="Q39" s="676">
        <f>'5H GSZNR fel'!N53+'5H GSZNR fel'!N59+'5H GSZNR fel'!N64+'5H GSZNR fel'!O70</f>
        <v>9499</v>
      </c>
      <c r="R39" s="676">
        <v>0</v>
      </c>
      <c r="S39" s="676">
        <f t="shared" si="3"/>
        <v>126663</v>
      </c>
      <c r="T39" s="676">
        <v>27069</v>
      </c>
      <c r="U39" s="676">
        <v>815</v>
      </c>
      <c r="V39" s="676">
        <v>0</v>
      </c>
      <c r="W39" s="676">
        <f t="shared" si="4"/>
        <v>27884</v>
      </c>
      <c r="Y39" s="676">
        <v>81788</v>
      </c>
      <c r="Z39" s="676">
        <v>2500</v>
      </c>
      <c r="AA39" s="676">
        <v>0</v>
      </c>
      <c r="AB39" s="676">
        <f t="shared" si="5"/>
        <v>84288</v>
      </c>
      <c r="AC39" s="676">
        <v>83091</v>
      </c>
      <c r="AD39" s="676">
        <v>2500</v>
      </c>
      <c r="AE39" s="676">
        <v>0</v>
      </c>
      <c r="AF39" s="676">
        <f t="shared" si="90"/>
        <v>85591</v>
      </c>
      <c r="AG39" s="676">
        <f>138167-2500</f>
        <v>135667</v>
      </c>
      <c r="AH39" s="676">
        <v>2500</v>
      </c>
      <c r="AI39" s="676"/>
      <c r="AJ39" s="676">
        <f t="shared" si="91"/>
        <v>138167</v>
      </c>
      <c r="AK39" s="676">
        <v>17672</v>
      </c>
      <c r="AL39" s="676">
        <v>2965</v>
      </c>
      <c r="AM39" s="676"/>
      <c r="AN39" s="676">
        <f t="shared" si="92"/>
        <v>20637</v>
      </c>
    </row>
    <row r="40" spans="1:40" x14ac:dyDescent="0.25">
      <c r="A40" s="582" t="s">
        <v>336</v>
      </c>
      <c r="B40" s="675" t="s">
        <v>337</v>
      </c>
      <c r="C40" s="676">
        <v>0</v>
      </c>
      <c r="D40" s="676">
        <v>0</v>
      </c>
      <c r="E40" s="676">
        <v>0</v>
      </c>
      <c r="F40" s="676">
        <v>0</v>
      </c>
      <c r="G40" s="676">
        <f t="shared" si="0"/>
        <v>0</v>
      </c>
      <c r="H40" s="676">
        <v>0</v>
      </c>
      <c r="I40" s="676">
        <v>0</v>
      </c>
      <c r="J40" s="676">
        <v>0</v>
      </c>
      <c r="K40" s="676">
        <f t="shared" si="1"/>
        <v>0</v>
      </c>
      <c r="L40" s="676">
        <v>0</v>
      </c>
      <c r="M40" s="676">
        <v>0</v>
      </c>
      <c r="N40" s="676">
        <v>0</v>
      </c>
      <c r="O40" s="676">
        <f t="shared" si="2"/>
        <v>0</v>
      </c>
      <c r="P40" s="676">
        <v>0</v>
      </c>
      <c r="Q40" s="676">
        <v>0</v>
      </c>
      <c r="R40" s="676">
        <v>0</v>
      </c>
      <c r="S40" s="676">
        <f t="shared" si="3"/>
        <v>0</v>
      </c>
      <c r="T40" s="676">
        <v>0</v>
      </c>
      <c r="U40" s="676">
        <v>0</v>
      </c>
      <c r="V40" s="676">
        <v>0</v>
      </c>
      <c r="W40" s="676">
        <f t="shared" si="4"/>
        <v>0</v>
      </c>
      <c r="Y40" s="676">
        <v>0</v>
      </c>
      <c r="Z40" s="676">
        <v>0</v>
      </c>
      <c r="AA40" s="676">
        <v>0</v>
      </c>
      <c r="AB40" s="676">
        <f t="shared" si="5"/>
        <v>0</v>
      </c>
      <c r="AC40" s="676">
        <v>0</v>
      </c>
      <c r="AD40" s="676">
        <v>0</v>
      </c>
      <c r="AE40" s="676">
        <v>0</v>
      </c>
      <c r="AF40" s="676">
        <f t="shared" si="90"/>
        <v>0</v>
      </c>
      <c r="AG40" s="676">
        <v>0</v>
      </c>
      <c r="AH40" s="676">
        <v>0</v>
      </c>
      <c r="AI40" s="676">
        <v>0</v>
      </c>
      <c r="AJ40" s="676">
        <f t="shared" si="91"/>
        <v>0</v>
      </c>
      <c r="AK40" s="676">
        <v>0</v>
      </c>
      <c r="AL40" s="676">
        <v>0</v>
      </c>
      <c r="AM40" s="676">
        <v>0</v>
      </c>
      <c r="AN40" s="676">
        <f t="shared" si="92"/>
        <v>0</v>
      </c>
    </row>
    <row r="41" spans="1:40" x14ac:dyDescent="0.25">
      <c r="A41" s="582" t="s">
        <v>338</v>
      </c>
      <c r="B41" s="675" t="s">
        <v>339</v>
      </c>
      <c r="C41" s="676">
        <v>0</v>
      </c>
      <c r="D41" s="676">
        <v>0</v>
      </c>
      <c r="E41" s="676">
        <v>0</v>
      </c>
      <c r="F41" s="676">
        <v>0</v>
      </c>
      <c r="G41" s="676">
        <f t="shared" si="0"/>
        <v>0</v>
      </c>
      <c r="H41" s="676">
        <f>+'5H GSZNR fel'!F54</f>
        <v>0</v>
      </c>
      <c r="I41" s="676">
        <v>0</v>
      </c>
      <c r="J41" s="676">
        <v>0</v>
      </c>
      <c r="K41" s="676">
        <f t="shared" si="1"/>
        <v>0</v>
      </c>
      <c r="L41" s="676">
        <v>0</v>
      </c>
      <c r="M41" s="676">
        <v>0</v>
      </c>
      <c r="N41" s="676">
        <v>0</v>
      </c>
      <c r="O41" s="676">
        <f t="shared" si="2"/>
        <v>0</v>
      </c>
      <c r="P41" s="676">
        <f>+'5H GSZNR fel'!O54</f>
        <v>0</v>
      </c>
      <c r="Q41" s="676">
        <v>0</v>
      </c>
      <c r="R41" s="676">
        <v>0</v>
      </c>
      <c r="S41" s="676">
        <f t="shared" si="3"/>
        <v>0</v>
      </c>
      <c r="T41" s="676">
        <f>+'5H GSZNR fel'!R54</f>
        <v>0</v>
      </c>
      <c r="U41" s="676">
        <v>0</v>
      </c>
      <c r="V41" s="676">
        <v>0</v>
      </c>
      <c r="W41" s="676">
        <f t="shared" si="4"/>
        <v>0</v>
      </c>
      <c r="Y41" s="676">
        <v>0</v>
      </c>
      <c r="Z41" s="676">
        <v>0</v>
      </c>
      <c r="AA41" s="676">
        <v>0</v>
      </c>
      <c r="AB41" s="676">
        <f t="shared" si="5"/>
        <v>0</v>
      </c>
      <c r="AC41" s="676">
        <v>4828</v>
      </c>
      <c r="AD41" s="676">
        <v>0</v>
      </c>
      <c r="AE41" s="676">
        <v>0</v>
      </c>
      <c r="AF41" s="676">
        <f>SUM(AC41:AE41)</f>
        <v>4828</v>
      </c>
      <c r="AG41" s="676">
        <v>4828</v>
      </c>
      <c r="AH41" s="676">
        <v>0</v>
      </c>
      <c r="AI41" s="676">
        <v>0</v>
      </c>
      <c r="AJ41" s="676">
        <f t="shared" si="91"/>
        <v>4828</v>
      </c>
      <c r="AK41" s="676">
        <v>0</v>
      </c>
      <c r="AL41" s="676">
        <v>0</v>
      </c>
      <c r="AM41" s="676">
        <v>0</v>
      </c>
      <c r="AN41" s="676">
        <f t="shared" si="92"/>
        <v>0</v>
      </c>
    </row>
    <row r="42" spans="1:40" x14ac:dyDescent="0.25">
      <c r="A42" s="293" t="s">
        <v>318</v>
      </c>
      <c r="B42" s="294" t="s">
        <v>340</v>
      </c>
      <c r="C42" s="295">
        <f t="shared" ref="C42:F42" si="93">SUM(C43:C45)</f>
        <v>2464</v>
      </c>
      <c r="D42" s="295">
        <f t="shared" si="93"/>
        <v>0</v>
      </c>
      <c r="E42" s="295">
        <f t="shared" si="93"/>
        <v>0</v>
      </c>
      <c r="F42" s="295">
        <f t="shared" si="93"/>
        <v>0</v>
      </c>
      <c r="G42" s="295">
        <f t="shared" si="0"/>
        <v>0</v>
      </c>
      <c r="H42" s="295">
        <f t="shared" ref="H42:J42" si="94">SUM(H43:H45)</f>
        <v>132</v>
      </c>
      <c r="I42" s="295">
        <f t="shared" si="94"/>
        <v>0</v>
      </c>
      <c r="J42" s="295">
        <f t="shared" si="94"/>
        <v>0</v>
      </c>
      <c r="K42" s="295">
        <f t="shared" si="1"/>
        <v>132</v>
      </c>
      <c r="L42" s="295">
        <f t="shared" ref="L42:N42" si="95">SUM(L43:L45)</f>
        <v>526</v>
      </c>
      <c r="M42" s="295">
        <f t="shared" si="95"/>
        <v>451</v>
      </c>
      <c r="N42" s="295">
        <f t="shared" si="95"/>
        <v>0</v>
      </c>
      <c r="O42" s="295">
        <f t="shared" si="2"/>
        <v>977</v>
      </c>
      <c r="P42" s="295">
        <f t="shared" ref="P42:R42" si="96">SUM(P43:P45)</f>
        <v>2535</v>
      </c>
      <c r="Q42" s="295">
        <f t="shared" si="96"/>
        <v>0</v>
      </c>
      <c r="R42" s="295">
        <f t="shared" si="96"/>
        <v>0</v>
      </c>
      <c r="S42" s="295">
        <f t="shared" si="3"/>
        <v>2535</v>
      </c>
      <c r="T42" s="295">
        <f t="shared" ref="T42:V42" si="97">SUM(T43:T45)</f>
        <v>132</v>
      </c>
      <c r="U42" s="295">
        <f t="shared" si="97"/>
        <v>0</v>
      </c>
      <c r="V42" s="295">
        <f t="shared" si="97"/>
        <v>0</v>
      </c>
      <c r="W42" s="295">
        <f t="shared" si="4"/>
        <v>132</v>
      </c>
      <c r="Y42" s="295">
        <f t="shared" ref="Y42:AA42" si="98">SUM(Y43:Y45)</f>
        <v>1000</v>
      </c>
      <c r="Z42" s="295">
        <f t="shared" si="98"/>
        <v>0</v>
      </c>
      <c r="AA42" s="295">
        <f t="shared" si="98"/>
        <v>0</v>
      </c>
      <c r="AB42" s="295">
        <f t="shared" si="5"/>
        <v>1000</v>
      </c>
      <c r="AC42" s="295">
        <f>SUM(AC43:AC45)</f>
        <v>16209</v>
      </c>
      <c r="AD42" s="295">
        <f t="shared" ref="AD42:AF42" si="99">SUM(AD43:AD45)</f>
        <v>0</v>
      </c>
      <c r="AE42" s="295">
        <f t="shared" si="99"/>
        <v>0</v>
      </c>
      <c r="AF42" s="295">
        <f t="shared" si="99"/>
        <v>16209</v>
      </c>
      <c r="AG42" s="295">
        <f>SUM(AG43:AG45)</f>
        <v>14590</v>
      </c>
      <c r="AH42" s="295">
        <f t="shared" ref="AH42:AI42" si="100">SUM(AH44:AH45)</f>
        <v>0</v>
      </c>
      <c r="AI42" s="295">
        <f t="shared" si="100"/>
        <v>0</v>
      </c>
      <c r="AJ42" s="295">
        <f t="shared" ref="AJ42:AJ45" si="101">SUM(AG42:AI42)</f>
        <v>14590</v>
      </c>
      <c r="AK42" s="295">
        <f>SUM(AK43:AK45)</f>
        <v>239</v>
      </c>
      <c r="AL42" s="295">
        <f t="shared" ref="AL42:AM42" si="102">SUM(AL44:AL45)</f>
        <v>0</v>
      </c>
      <c r="AM42" s="295">
        <f t="shared" si="102"/>
        <v>0</v>
      </c>
      <c r="AN42" s="295">
        <f t="shared" si="92"/>
        <v>239</v>
      </c>
    </row>
    <row r="43" spans="1:40" x14ac:dyDescent="0.25">
      <c r="A43" s="582" t="s">
        <v>311</v>
      </c>
      <c r="B43" s="675" t="s">
        <v>341</v>
      </c>
      <c r="C43" s="676">
        <f>'5H GSZNR fel'!C55+'5H GSZNR fel'!C60+'5H GSZNR fel'!C65+'5H GSZNR fel'!C71</f>
        <v>2464</v>
      </c>
      <c r="D43" s="676">
        <v>0</v>
      </c>
      <c r="E43" s="676">
        <v>0</v>
      </c>
      <c r="F43" s="676">
        <v>0</v>
      </c>
      <c r="G43" s="676">
        <f t="shared" si="0"/>
        <v>0</v>
      </c>
      <c r="H43" s="676">
        <v>132</v>
      </c>
      <c r="I43" s="676">
        <f>'5H GSZNR fel'!G71</f>
        <v>0</v>
      </c>
      <c r="J43" s="676">
        <v>0</v>
      </c>
      <c r="K43" s="676">
        <f t="shared" si="1"/>
        <v>132</v>
      </c>
      <c r="L43" s="676">
        <v>526</v>
      </c>
      <c r="M43" s="676">
        <v>451</v>
      </c>
      <c r="N43" s="676">
        <v>0</v>
      </c>
      <c r="O43" s="676">
        <f t="shared" si="2"/>
        <v>977</v>
      </c>
      <c r="P43" s="676">
        <f>'5H GSZNR fel'!O55+'5H GSZNR fel'!O60+'5H GSZNR fel'!O65</f>
        <v>2535</v>
      </c>
      <c r="Q43" s="676">
        <f>'5H GSZNR fel'!M55+'5H GSZNR fel'!M60+'5H GSZNR fel'!M65</f>
        <v>0</v>
      </c>
      <c r="R43" s="676">
        <v>0</v>
      </c>
      <c r="S43" s="676">
        <f t="shared" si="3"/>
        <v>2535</v>
      </c>
      <c r="T43" s="676">
        <v>132</v>
      </c>
      <c r="U43" s="676">
        <f>'5H GSZNR fel'!Q55+'5H GSZNR fel'!Q60+'5H GSZNR fel'!Q65</f>
        <v>0</v>
      </c>
      <c r="V43" s="676">
        <v>0</v>
      </c>
      <c r="W43" s="676">
        <f t="shared" si="4"/>
        <v>132</v>
      </c>
      <c r="Y43" s="676">
        <v>1000</v>
      </c>
      <c r="Z43" s="676"/>
      <c r="AA43" s="676">
        <v>0</v>
      </c>
      <c r="AB43" s="676">
        <f t="shared" si="5"/>
        <v>1000</v>
      </c>
      <c r="AC43" s="676">
        <v>15859</v>
      </c>
      <c r="AD43" s="676"/>
      <c r="AE43" s="676">
        <v>0</v>
      </c>
      <c r="AF43" s="676">
        <f>SUM(AC43:AE43)</f>
        <v>15859</v>
      </c>
      <c r="AG43" s="676">
        <v>14240</v>
      </c>
      <c r="AH43" s="676"/>
      <c r="AI43" s="676"/>
      <c r="AJ43" s="676">
        <f t="shared" si="101"/>
        <v>14240</v>
      </c>
      <c r="AK43" s="676">
        <v>239</v>
      </c>
      <c r="AL43" s="676"/>
      <c r="AM43" s="676"/>
      <c r="AN43" s="676">
        <f t="shared" si="92"/>
        <v>239</v>
      </c>
    </row>
    <row r="44" spans="1:40" x14ac:dyDescent="0.25">
      <c r="A44" s="582" t="s">
        <v>322</v>
      </c>
      <c r="B44" s="675" t="s">
        <v>342</v>
      </c>
      <c r="C44" s="676">
        <v>0</v>
      </c>
      <c r="D44" s="676">
        <v>0</v>
      </c>
      <c r="E44" s="676">
        <v>0</v>
      </c>
      <c r="F44" s="676">
        <v>0</v>
      </c>
      <c r="G44" s="676">
        <f t="shared" si="0"/>
        <v>0</v>
      </c>
      <c r="H44" s="676">
        <v>0</v>
      </c>
      <c r="I44" s="676">
        <v>0</v>
      </c>
      <c r="J44" s="676">
        <v>0</v>
      </c>
      <c r="K44" s="676">
        <f t="shared" si="1"/>
        <v>0</v>
      </c>
      <c r="L44" s="676">
        <v>0</v>
      </c>
      <c r="M44" s="676">
        <v>0</v>
      </c>
      <c r="N44" s="676">
        <v>0</v>
      </c>
      <c r="O44" s="676">
        <f t="shared" si="2"/>
        <v>0</v>
      </c>
      <c r="P44" s="676">
        <v>0</v>
      </c>
      <c r="Q44" s="676">
        <v>0</v>
      </c>
      <c r="R44" s="676">
        <v>0</v>
      </c>
      <c r="S44" s="676">
        <f t="shared" si="3"/>
        <v>0</v>
      </c>
      <c r="T44" s="676">
        <v>0</v>
      </c>
      <c r="U44" s="676">
        <v>0</v>
      </c>
      <c r="V44" s="676">
        <v>0</v>
      </c>
      <c r="W44" s="676">
        <f t="shared" si="4"/>
        <v>0</v>
      </c>
      <c r="Y44" s="676">
        <v>0</v>
      </c>
      <c r="Z44" s="676">
        <v>0</v>
      </c>
      <c r="AA44" s="676">
        <v>0</v>
      </c>
      <c r="AB44" s="676">
        <f t="shared" si="5"/>
        <v>0</v>
      </c>
      <c r="AC44" s="676">
        <v>0</v>
      </c>
      <c r="AD44" s="676">
        <v>0</v>
      </c>
      <c r="AE44" s="676">
        <v>0</v>
      </c>
      <c r="AF44" s="676">
        <f t="shared" ref="AF44:AF45" si="103">SUM(AC44:AE44)</f>
        <v>0</v>
      </c>
      <c r="AG44" s="676"/>
      <c r="AH44" s="676"/>
      <c r="AI44" s="676"/>
      <c r="AJ44" s="676">
        <f t="shared" si="101"/>
        <v>0</v>
      </c>
      <c r="AK44" s="676"/>
      <c r="AL44" s="676"/>
      <c r="AM44" s="676"/>
      <c r="AN44" s="676">
        <f t="shared" si="92"/>
        <v>0</v>
      </c>
    </row>
    <row r="45" spans="1:40" x14ac:dyDescent="0.25">
      <c r="A45" s="582" t="s">
        <v>315</v>
      </c>
      <c r="B45" s="675" t="s">
        <v>343</v>
      </c>
      <c r="C45" s="676">
        <v>0</v>
      </c>
      <c r="D45" s="676">
        <v>0</v>
      </c>
      <c r="E45" s="676">
        <v>0</v>
      </c>
      <c r="F45" s="676">
        <v>0</v>
      </c>
      <c r="G45" s="676">
        <f t="shared" si="0"/>
        <v>0</v>
      </c>
      <c r="H45" s="676">
        <v>0</v>
      </c>
      <c r="I45" s="676">
        <v>0</v>
      </c>
      <c r="J45" s="676">
        <v>0</v>
      </c>
      <c r="K45" s="676">
        <f t="shared" si="1"/>
        <v>0</v>
      </c>
      <c r="L45" s="676">
        <v>0</v>
      </c>
      <c r="M45" s="676">
        <v>0</v>
      </c>
      <c r="N45" s="676">
        <v>0</v>
      </c>
      <c r="O45" s="676">
        <f t="shared" si="2"/>
        <v>0</v>
      </c>
      <c r="P45" s="676">
        <v>0</v>
      </c>
      <c r="Q45" s="676">
        <v>0</v>
      </c>
      <c r="R45" s="676">
        <v>0</v>
      </c>
      <c r="S45" s="676">
        <f t="shared" si="3"/>
        <v>0</v>
      </c>
      <c r="T45" s="676">
        <v>0</v>
      </c>
      <c r="U45" s="676">
        <v>0</v>
      </c>
      <c r="V45" s="676">
        <v>0</v>
      </c>
      <c r="W45" s="676">
        <f t="shared" si="4"/>
        <v>0</v>
      </c>
      <c r="Y45" s="676">
        <v>0</v>
      </c>
      <c r="Z45" s="676">
        <v>0</v>
      </c>
      <c r="AA45" s="676">
        <v>0</v>
      </c>
      <c r="AB45" s="676">
        <f t="shared" si="5"/>
        <v>0</v>
      </c>
      <c r="AC45" s="676">
        <v>350</v>
      </c>
      <c r="AD45" s="676">
        <v>0</v>
      </c>
      <c r="AE45" s="676">
        <v>0</v>
      </c>
      <c r="AF45" s="676">
        <f t="shared" si="103"/>
        <v>350</v>
      </c>
      <c r="AG45" s="676">
        <v>350</v>
      </c>
      <c r="AH45" s="676"/>
      <c r="AI45" s="676"/>
      <c r="AJ45" s="676">
        <f t="shared" si="101"/>
        <v>350</v>
      </c>
      <c r="AK45" s="676"/>
      <c r="AL45" s="676"/>
      <c r="AM45" s="676"/>
      <c r="AN45" s="676">
        <f t="shared" si="92"/>
        <v>0</v>
      </c>
    </row>
    <row r="46" spans="1:40" x14ac:dyDescent="0.25">
      <c r="A46" s="649"/>
      <c r="B46" s="650" t="s">
        <v>344</v>
      </c>
      <c r="C46" s="638">
        <f t="shared" ref="C46:F46" si="104">C36+C42</f>
        <v>161447</v>
      </c>
      <c r="D46" s="638">
        <f t="shared" si="104"/>
        <v>138576</v>
      </c>
      <c r="E46" s="638">
        <f t="shared" si="104"/>
        <v>5049</v>
      </c>
      <c r="F46" s="638">
        <f t="shared" si="104"/>
        <v>0</v>
      </c>
      <c r="G46" s="638">
        <f t="shared" si="0"/>
        <v>143625</v>
      </c>
      <c r="H46" s="638">
        <f t="shared" ref="H46:J46" si="105">H36+H42</f>
        <v>148433</v>
      </c>
      <c r="I46" s="638">
        <f t="shared" si="105"/>
        <v>5049</v>
      </c>
      <c r="J46" s="638">
        <f t="shared" si="105"/>
        <v>0</v>
      </c>
      <c r="K46" s="638">
        <f t="shared" si="1"/>
        <v>153482</v>
      </c>
      <c r="L46" s="638">
        <f t="shared" ref="L46:N46" si="106">L36+L42</f>
        <v>151486</v>
      </c>
      <c r="M46" s="638">
        <f t="shared" si="106"/>
        <v>9749</v>
      </c>
      <c r="N46" s="638">
        <f t="shared" si="106"/>
        <v>0</v>
      </c>
      <c r="O46" s="638">
        <f t="shared" si="2"/>
        <v>161235</v>
      </c>
      <c r="P46" s="638">
        <f t="shared" ref="P46:R46" si="107">P36+P42</f>
        <v>184450</v>
      </c>
      <c r="Q46" s="638">
        <f t="shared" si="107"/>
        <v>10063</v>
      </c>
      <c r="R46" s="638">
        <f t="shared" si="107"/>
        <v>0</v>
      </c>
      <c r="S46" s="638">
        <f t="shared" si="3"/>
        <v>194513</v>
      </c>
      <c r="T46" s="638">
        <f t="shared" ref="T46:V46" si="108">T36+T42</f>
        <v>52773</v>
      </c>
      <c r="U46" s="638">
        <f t="shared" si="108"/>
        <v>1659</v>
      </c>
      <c r="V46" s="638">
        <f t="shared" si="108"/>
        <v>0</v>
      </c>
      <c r="W46" s="638">
        <f t="shared" si="4"/>
        <v>54432</v>
      </c>
      <c r="Y46" s="638">
        <f t="shared" ref="Y46:AF46" si="109">Y36+Y42</f>
        <v>163589</v>
      </c>
      <c r="Z46" s="638">
        <f t="shared" si="109"/>
        <v>5279</v>
      </c>
      <c r="AA46" s="638">
        <f t="shared" si="109"/>
        <v>0</v>
      </c>
      <c r="AB46" s="638">
        <f t="shared" si="5"/>
        <v>168868</v>
      </c>
      <c r="AC46" s="638">
        <f t="shared" si="109"/>
        <v>190154</v>
      </c>
      <c r="AD46" s="638">
        <f t="shared" si="109"/>
        <v>5279</v>
      </c>
      <c r="AE46" s="638">
        <f t="shared" si="109"/>
        <v>0</v>
      </c>
      <c r="AF46" s="638">
        <f t="shared" si="109"/>
        <v>195433</v>
      </c>
      <c r="AG46" s="638">
        <f t="shared" ref="AG46:AJ46" si="110">AG36+AG42</f>
        <v>243571</v>
      </c>
      <c r="AH46" s="638">
        <f t="shared" si="110"/>
        <v>5279</v>
      </c>
      <c r="AI46" s="638">
        <f t="shared" si="110"/>
        <v>0</v>
      </c>
      <c r="AJ46" s="638">
        <f t="shared" si="110"/>
        <v>248850</v>
      </c>
      <c r="AK46" s="638">
        <f t="shared" ref="AK46:AN46" si="111">AK36+AK42</f>
        <v>59000</v>
      </c>
      <c r="AL46" s="638">
        <f t="shared" si="111"/>
        <v>4092</v>
      </c>
      <c r="AM46" s="638">
        <f t="shared" si="111"/>
        <v>0</v>
      </c>
      <c r="AN46" s="638">
        <f t="shared" si="111"/>
        <v>63092</v>
      </c>
    </row>
  </sheetData>
  <customSheetViews>
    <customSheetView guid="{7F1DC213-A29D-4C8C-BAC3-F1BD898020FD}" scale="78" hiddenRows="1" hiddenColumns="1" topLeftCell="A4">
      <selection activeCell="AH13" sqref="AH13"/>
      <pageMargins left="0.19685039370078741" right="0.19685039370078741" top="1.2598425196850394" bottom="0.19685039370078741" header="0.31496062992125984" footer="0.31496062992125984"/>
      <printOptions horizontalCentered="1"/>
      <pageSetup paperSize="9" scale="55" fitToWidth="0" fitToHeight="0" orientation="landscape" copies="2" r:id="rId1"/>
      <headerFooter>
        <oddHeader>&amp;L6.3. melléklet a ...../2019. (....) önkormányzati rendelethez&amp;C&amp;"-,Félkövér"&amp;16Sátoraljaújhelyi Kossuth Lajos Művelődési Központ 2019. évi bevételei és kiadásai jogcímenként és feladatonként&amp;RAdatok ezer forintban</oddHeader>
      </headerFooter>
    </customSheetView>
    <customSheetView guid="{4DCB1349-1166-4B69-AE14-D6B08F9FCE74}" scale="78" hiddenRows="1" hiddenColumns="1">
      <selection activeCell="AF42" sqref="AF42"/>
      <pageMargins left="0.19685039370078741" right="0.19685039370078741" top="1.2598425196850394" bottom="0.19685039370078741" header="0.31496062992125984" footer="0.31496062992125984"/>
      <printOptions horizontalCentered="1"/>
      <pageSetup paperSize="9" scale="55" fitToWidth="0" fitToHeight="0" orientation="landscape" copies="2" r:id="rId2"/>
      <headerFooter>
        <oddHeader>&amp;L6.3. melléklet a ...../2019. (....) önkormányzati rendelethez&amp;C&amp;"-,Félkövér"&amp;16Sátoraljaújhelyi Kossuth Lajos Művelődési Központ 2019. évi bevételei és kiadásai jogcímenként és feladatonként&amp;RAdatok ezer forintban</oddHeader>
      </headerFooter>
    </customSheetView>
  </customSheetViews>
  <mergeCells count="11">
    <mergeCell ref="AG4:AJ4"/>
    <mergeCell ref="AK4:AN4"/>
    <mergeCell ref="AC4:AF4"/>
    <mergeCell ref="A4:A5"/>
    <mergeCell ref="H4:K4"/>
    <mergeCell ref="D4:G4"/>
    <mergeCell ref="Y4:AB4"/>
    <mergeCell ref="P4:S4"/>
    <mergeCell ref="T4:W4"/>
    <mergeCell ref="L4:O4"/>
    <mergeCell ref="B4:B5"/>
  </mergeCells>
  <printOptions horizontalCentered="1"/>
  <pageMargins left="0.19685039370078741" right="0.19685039370078741" top="1.2598425196850394" bottom="0.19685039370078741" header="0.31496062992125984" footer="0.31496062992125984"/>
  <pageSetup paperSize="9" scale="55" fitToWidth="0" fitToHeight="0" orientation="landscape" copies="2" r:id="rId3"/>
  <headerFooter>
    <oddHeader>&amp;L6.3. melléklet a 3/2019. (II.20.) önkormányzati rendelethez&amp;C&amp;"-,Félkövér"&amp;16Sátoraljaújhelyi Kossuth Lajos Művelődési Központ 2019. évi bevételei és kiadásai jogcímenként és feladatonként&amp;RAdatok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Q73"/>
  <sheetViews>
    <sheetView tabSelected="1" view="pageLayout" zoomScaleNormal="89" zoomScaleSheetLayoutView="75" workbookViewId="0"/>
  </sheetViews>
  <sheetFormatPr defaultRowHeight="15" x14ac:dyDescent="0.25"/>
  <cols>
    <col min="1" max="1" width="5.5703125" customWidth="1"/>
    <col min="2" max="2" width="50.85546875" customWidth="1"/>
    <col min="3" max="3" width="14" hidden="1" customWidth="1"/>
    <col min="4" max="5" width="11.7109375" hidden="1" customWidth="1"/>
    <col min="6" max="6" width="14.85546875" customWidth="1"/>
    <col min="7" max="7" width="15.7109375" customWidth="1"/>
    <col min="8" max="8" width="15.28515625" customWidth="1"/>
    <col min="9" max="9" width="15.28515625" hidden="1" customWidth="1"/>
    <col min="10" max="10" width="56.85546875" customWidth="1"/>
    <col min="11" max="11" width="13.7109375" hidden="1" customWidth="1"/>
    <col min="12" max="12" width="12" hidden="1" customWidth="1"/>
    <col min="13" max="13" width="12.140625" hidden="1" customWidth="1"/>
    <col min="14" max="14" width="15.5703125" customWidth="1"/>
    <col min="15" max="15" width="16" customWidth="1"/>
    <col min="16" max="16" width="15.5703125" customWidth="1"/>
    <col min="17" max="17" width="14.5703125" hidden="1" customWidth="1"/>
  </cols>
  <sheetData>
    <row r="1" spans="1:17" x14ac:dyDescent="0.25">
      <c r="A1" s="741" t="s">
        <v>1375</v>
      </c>
      <c r="B1" s="741" t="s">
        <v>1365</v>
      </c>
      <c r="C1" s="741" t="s">
        <v>1366</v>
      </c>
      <c r="D1" s="741" t="s">
        <v>1376</v>
      </c>
      <c r="E1" s="741" t="s">
        <v>1377</v>
      </c>
      <c r="F1" s="741" t="s">
        <v>1366</v>
      </c>
      <c r="G1" s="741" t="s">
        <v>1376</v>
      </c>
      <c r="H1" s="741" t="s">
        <v>1377</v>
      </c>
      <c r="I1" s="741" t="s">
        <v>1366</v>
      </c>
      <c r="J1" s="741" t="s">
        <v>1379</v>
      </c>
      <c r="K1" s="741" t="s">
        <v>1366</v>
      </c>
      <c r="L1" s="741" t="s">
        <v>1366</v>
      </c>
      <c r="M1" s="741" t="s">
        <v>1366</v>
      </c>
      <c r="N1" s="741" t="s">
        <v>1380</v>
      </c>
      <c r="O1" s="741" t="s">
        <v>1381</v>
      </c>
      <c r="P1" s="741" t="s">
        <v>1382</v>
      </c>
      <c r="Q1" s="741"/>
    </row>
    <row r="2" spans="1:17" ht="60" x14ac:dyDescent="0.25">
      <c r="A2" s="738" t="s">
        <v>305</v>
      </c>
      <c r="B2" s="739" t="s">
        <v>472</v>
      </c>
      <c r="C2" s="740" t="s">
        <v>1370</v>
      </c>
      <c r="D2" s="740" t="s">
        <v>1439</v>
      </c>
      <c r="E2" s="740" t="s">
        <v>1440</v>
      </c>
      <c r="F2" s="740" t="s">
        <v>1439</v>
      </c>
      <c r="G2" s="740" t="s">
        <v>1452</v>
      </c>
      <c r="H2" s="740" t="s">
        <v>1444</v>
      </c>
      <c r="I2" s="859" t="s">
        <v>1457</v>
      </c>
      <c r="J2" s="860" t="s">
        <v>581</v>
      </c>
      <c r="K2" s="859" t="s">
        <v>1370</v>
      </c>
      <c r="L2" s="859" t="s">
        <v>1439</v>
      </c>
      <c r="M2" s="859" t="s">
        <v>1440</v>
      </c>
      <c r="N2" s="859" t="s">
        <v>1439</v>
      </c>
      <c r="O2" s="859" t="s">
        <v>1453</v>
      </c>
      <c r="P2" s="859" t="s">
        <v>1444</v>
      </c>
      <c r="Q2" s="859" t="s">
        <v>1457</v>
      </c>
    </row>
    <row r="3" spans="1:17" x14ac:dyDescent="0.25">
      <c r="A3" s="119" t="s">
        <v>309</v>
      </c>
      <c r="B3" s="120" t="s">
        <v>310</v>
      </c>
      <c r="C3" s="121">
        <f>SUM(C4:C7)</f>
        <v>2417208</v>
      </c>
      <c r="D3" s="121">
        <f t="shared" ref="D3" si="0">SUM(D4:D7)</f>
        <v>2704187</v>
      </c>
      <c r="E3" s="121">
        <f t="shared" ref="E3" si="1">SUM(E4:E7)</f>
        <v>2779549</v>
      </c>
      <c r="F3" s="121">
        <f>SUM(F4:F7)</f>
        <v>2642021</v>
      </c>
      <c r="G3" s="121">
        <f>SUM(G4:G7)</f>
        <v>3005056</v>
      </c>
      <c r="H3" s="121">
        <f>SUM(H4:H7)</f>
        <v>3297979</v>
      </c>
      <c r="I3" s="121">
        <f>SUM(I4:I7)</f>
        <v>1555761</v>
      </c>
      <c r="J3" s="278" t="s">
        <v>582</v>
      </c>
      <c r="K3" s="279" t="e">
        <f>SUM(K4:K8)</f>
        <v>#REF!</v>
      </c>
      <c r="L3" s="279">
        <f t="shared" ref="L3" si="2">SUM(L4:L8)</f>
        <v>2829050</v>
      </c>
      <c r="M3" s="279">
        <f t="shared" ref="M3" si="3">SUM(M4:M8)</f>
        <v>2993216</v>
      </c>
      <c r="N3" s="295">
        <f>SUM(N4:N8)</f>
        <v>2698635</v>
      </c>
      <c r="O3" s="295">
        <f>SUM(O4:O8)</f>
        <v>3292181</v>
      </c>
      <c r="P3" s="295">
        <f>SUM(P4:P8)</f>
        <v>3671109</v>
      </c>
      <c r="Q3" s="295">
        <f>SUM(Q4:Q8)</f>
        <v>1731091</v>
      </c>
    </row>
    <row r="4" spans="1:17" x14ac:dyDescent="0.25">
      <c r="A4" s="122" t="s">
        <v>311</v>
      </c>
      <c r="B4" s="123" t="s">
        <v>312</v>
      </c>
      <c r="C4" s="124">
        <f>+'1.1. Fő bev'!G5+1</f>
        <v>932745</v>
      </c>
      <c r="D4" s="124">
        <f>+'1.1. Fő bev'!K5</f>
        <v>1191739</v>
      </c>
      <c r="E4" s="124">
        <f>+'1.1. Fő bev'!L5</f>
        <v>1251600</v>
      </c>
      <c r="F4" s="124">
        <f>+'1.1. Fő bev'!AA5</f>
        <v>947204</v>
      </c>
      <c r="G4" s="124">
        <f>+'1.1. Fő bev'!AB5</f>
        <v>1267698</v>
      </c>
      <c r="H4" s="794">
        <f>+'1.1. Fő bev'!AI5</f>
        <v>1459544</v>
      </c>
      <c r="I4" s="794">
        <f>+'1.1. Fő bev'!AJ5</f>
        <v>724847</v>
      </c>
      <c r="J4" s="861" t="s">
        <v>286</v>
      </c>
      <c r="K4" s="314">
        <f>+'1.2. Fő kiad'!G5</f>
        <v>1163342</v>
      </c>
      <c r="L4" s="314">
        <f>+'1.2. Fő kiad'!K5</f>
        <v>1359128</v>
      </c>
      <c r="M4" s="314">
        <v>1425869</v>
      </c>
      <c r="N4" s="314">
        <f>+'1.2. Fő kiad'!AB5</f>
        <v>1317752</v>
      </c>
      <c r="O4" s="314">
        <v>1505424</v>
      </c>
      <c r="P4" s="239">
        <f>+'1.2. Fő kiad'!AJ5</f>
        <v>1661578</v>
      </c>
      <c r="Q4" s="239">
        <f>+'1.2. Fő kiad'!AN5</f>
        <v>831450</v>
      </c>
    </row>
    <row r="5" spans="1:17" ht="17.25" customHeight="1" x14ac:dyDescent="0.25">
      <c r="A5" s="122" t="s">
        <v>322</v>
      </c>
      <c r="B5" s="123" t="s">
        <v>484</v>
      </c>
      <c r="C5" s="124">
        <f>+'1.1. Fő bev'!G10</f>
        <v>738450</v>
      </c>
      <c r="D5" s="124">
        <f>+'1.1. Fő bev'!K10</f>
        <v>738450</v>
      </c>
      <c r="E5" s="124">
        <f>+'1.1. Fő bev'!L10</f>
        <v>738800</v>
      </c>
      <c r="F5" s="124">
        <f>+'1.1. Fő bev'!AA10</f>
        <v>904950</v>
      </c>
      <c r="G5" s="794">
        <v>904950</v>
      </c>
      <c r="H5" s="794">
        <f>+'1.1. Fő bev'!AI10</f>
        <v>912874</v>
      </c>
      <c r="I5" s="794">
        <f>+'1.1. Fő bev'!AJ10</f>
        <v>483047</v>
      </c>
      <c r="J5" s="861" t="s">
        <v>335</v>
      </c>
      <c r="K5" s="314">
        <f>+'1.2. Fő kiad'!G6</f>
        <v>228117</v>
      </c>
      <c r="L5" s="314">
        <f>+'1.2. Fő kiad'!K6</f>
        <v>259820</v>
      </c>
      <c r="M5" s="314">
        <v>266642</v>
      </c>
      <c r="N5" s="314">
        <f>+'1.2. Fő kiad'!AB6</f>
        <v>261557</v>
      </c>
      <c r="O5" s="239">
        <v>284242</v>
      </c>
      <c r="P5" s="239">
        <f>+'1.2. Fő kiad'!AJ6</f>
        <v>302362</v>
      </c>
      <c r="Q5" s="239">
        <f>+'1.2. Fő kiad'!AN6</f>
        <v>152654</v>
      </c>
    </row>
    <row r="6" spans="1:17" ht="17.25" customHeight="1" x14ac:dyDescent="0.25">
      <c r="A6" s="122" t="s">
        <v>315</v>
      </c>
      <c r="B6" s="123" t="s">
        <v>314</v>
      </c>
      <c r="C6" s="124">
        <f>+'1.1. Fő bev'!G17</f>
        <v>733978</v>
      </c>
      <c r="D6" s="124">
        <f>+'1.1. Fő bev'!K17</f>
        <v>760744</v>
      </c>
      <c r="E6" s="124">
        <v>775846</v>
      </c>
      <c r="F6" s="124">
        <f>+'1.1. Fő bev'!AA17</f>
        <v>777497</v>
      </c>
      <c r="G6" s="794">
        <v>814844</v>
      </c>
      <c r="H6" s="794">
        <f>+'1.1. Fő bev'!AI17</f>
        <v>899997</v>
      </c>
      <c r="I6" s="794">
        <f>+'1.1. Fő bev'!AM17</f>
        <v>347673</v>
      </c>
      <c r="J6" s="861" t="s">
        <v>292</v>
      </c>
      <c r="K6" s="314">
        <f>+'1.2. Fő kiad'!G7</f>
        <v>926301</v>
      </c>
      <c r="L6" s="314">
        <f>+'1.2. Fő kiad'!K7</f>
        <v>1046228</v>
      </c>
      <c r="M6" s="314">
        <v>1137366</v>
      </c>
      <c r="N6" s="314">
        <f>+'1.2. Fő kiad'!AB7</f>
        <v>994155</v>
      </c>
      <c r="O6" s="239">
        <v>1297269</v>
      </c>
      <c r="P6" s="239">
        <f>+'1.2. Fő kiad'!AJ7</f>
        <v>1517309</v>
      </c>
      <c r="Q6" s="239">
        <f>+'1.2. Fő kiad'!AN7</f>
        <v>660770</v>
      </c>
    </row>
    <row r="7" spans="1:17" ht="17.25" customHeight="1" x14ac:dyDescent="0.25">
      <c r="A7" s="122" t="s">
        <v>336</v>
      </c>
      <c r="B7" s="123" t="s">
        <v>316</v>
      </c>
      <c r="C7" s="124">
        <f>+'1.1. Fő bev'!G27</f>
        <v>12035</v>
      </c>
      <c r="D7" s="124">
        <f>+'1.1. Fő bev'!K27-57778</f>
        <v>13254</v>
      </c>
      <c r="E7" s="124">
        <v>13303</v>
      </c>
      <c r="F7" s="124">
        <f>+'1.1. Fő bev'!AA27</f>
        <v>12370</v>
      </c>
      <c r="G7" s="124">
        <f>+'1.1. Fő bev'!AB27</f>
        <v>17564</v>
      </c>
      <c r="H7" s="124">
        <f>+'1.1. Fő bev'!AI27</f>
        <v>25564</v>
      </c>
      <c r="I7" s="794">
        <f>+'1.1. Fő bev'!AM27</f>
        <v>194</v>
      </c>
      <c r="J7" s="861" t="s">
        <v>337</v>
      </c>
      <c r="K7" s="314">
        <f>+'1.2. Fő kiad'!G8</f>
        <v>34037</v>
      </c>
      <c r="L7" s="314">
        <f>+'1.2. Fő kiad'!K8</f>
        <v>34037</v>
      </c>
      <c r="M7" s="314">
        <f>+'1.2. Fő kiad'!L8</f>
        <v>34037</v>
      </c>
      <c r="N7" s="314">
        <f>+'1.2. Fő kiad'!AB8</f>
        <v>34871</v>
      </c>
      <c r="O7" s="314">
        <f>+'1.2. Fő kiad'!AC8</f>
        <v>34871</v>
      </c>
      <c r="P7" s="239">
        <f>+'1.2. Fő kiad'!AJ8</f>
        <v>34871</v>
      </c>
      <c r="Q7" s="239">
        <f>+'1.2. Fő kiad'!AN8</f>
        <v>7898</v>
      </c>
    </row>
    <row r="8" spans="1:17" ht="17.25" customHeight="1" x14ac:dyDescent="0.25">
      <c r="A8" s="125"/>
      <c r="B8" s="125"/>
      <c r="C8" s="125"/>
      <c r="D8" s="125"/>
      <c r="E8" s="125"/>
      <c r="F8" s="795"/>
      <c r="G8" s="795"/>
      <c r="H8" s="795"/>
      <c r="I8" s="795"/>
      <c r="J8" s="861" t="s">
        <v>339</v>
      </c>
      <c r="K8" s="314" t="e">
        <f>+'1.2. Fő kiad'!G9</f>
        <v>#REF!</v>
      </c>
      <c r="L8" s="314">
        <f>+'1.2. Fő kiad'!K9</f>
        <v>129837</v>
      </c>
      <c r="M8" s="314">
        <v>129302</v>
      </c>
      <c r="N8" s="314">
        <f>+'1.2. Fő kiad'!AB9</f>
        <v>90300</v>
      </c>
      <c r="O8" s="239">
        <v>170375</v>
      </c>
      <c r="P8" s="239">
        <f>+'1.2. Fő kiad'!AJ9</f>
        <v>154989</v>
      </c>
      <c r="Q8" s="239">
        <f>+'1.2. Fő kiad'!AN9</f>
        <v>78319</v>
      </c>
    </row>
    <row r="9" spans="1:17" ht="17.25" customHeight="1" x14ac:dyDescent="0.25">
      <c r="A9" s="126"/>
      <c r="B9" s="127" t="s">
        <v>583</v>
      </c>
      <c r="C9" s="127" t="e">
        <f>IF(C3-K3&lt;0,K3-C3,0)</f>
        <v>#REF!</v>
      </c>
      <c r="D9" s="127">
        <f>IF(D3-L3&lt;0,L3-D3,0)</f>
        <v>124863</v>
      </c>
      <c r="E9" s="127">
        <f>IF(E3-M3&lt;0,M3-E3,0)</f>
        <v>213667</v>
      </c>
      <c r="F9" s="796">
        <f>IF(F3-N3&lt;0,N3-F3,0)</f>
        <v>56614</v>
      </c>
      <c r="G9" s="796">
        <f t="shared" ref="G9:I9" si="4">IF(G3-O3&lt;0,O3-G3,0)</f>
        <v>287125</v>
      </c>
      <c r="H9" s="796">
        <f t="shared" si="4"/>
        <v>373130</v>
      </c>
      <c r="I9" s="796">
        <f t="shared" si="4"/>
        <v>175330</v>
      </c>
      <c r="J9" s="862" t="s">
        <v>584</v>
      </c>
      <c r="K9" s="862" t="e">
        <f>IF(C3-K3&gt;0,C3-K3,0)</f>
        <v>#REF!</v>
      </c>
      <c r="L9" s="862">
        <f>IF(D3-L3&gt;0,D3-L3,0)</f>
        <v>0</v>
      </c>
      <c r="M9" s="862">
        <f>IF(E3-M3&gt;0,E3-M3,0)</f>
        <v>0</v>
      </c>
      <c r="N9" s="796">
        <f>IF(F3-N3&gt;0,F3-N3,0)</f>
        <v>0</v>
      </c>
      <c r="O9" s="796">
        <v>0</v>
      </c>
      <c r="P9" s="796">
        <v>0</v>
      </c>
      <c r="Q9" s="796">
        <v>0</v>
      </c>
    </row>
    <row r="10" spans="1:17" ht="17.25" customHeight="1" x14ac:dyDescent="0.25">
      <c r="A10" s="119" t="s">
        <v>318</v>
      </c>
      <c r="B10" s="120" t="s">
        <v>319</v>
      </c>
      <c r="C10" s="121">
        <f>SUM(C11:C13)</f>
        <v>73768</v>
      </c>
      <c r="D10" s="121">
        <f t="shared" ref="D10" si="5">SUM(D11:D13)</f>
        <v>837041</v>
      </c>
      <c r="E10" s="121">
        <f t="shared" ref="E10" si="6">SUM(E11:E13)</f>
        <v>1073239</v>
      </c>
      <c r="F10" s="295">
        <f>SUM(F11:F13)</f>
        <v>2518052</v>
      </c>
      <c r="G10" s="295">
        <f>SUM(G11:G13)</f>
        <v>2718581</v>
      </c>
      <c r="H10" s="295">
        <f t="shared" ref="H10:I10" si="7">SUM(H11:H13)</f>
        <v>2956230</v>
      </c>
      <c r="I10" s="295">
        <f t="shared" si="7"/>
        <v>640114</v>
      </c>
      <c r="J10" s="278" t="s">
        <v>585</v>
      </c>
      <c r="K10" s="279">
        <f>SUM(K11:K13)</f>
        <v>4613440</v>
      </c>
      <c r="L10" s="279">
        <f t="shared" ref="L10" si="8">SUM(L11:L13)</f>
        <v>5310301</v>
      </c>
      <c r="M10" s="279">
        <f t="shared" ref="M10" si="9">SUM(M11:M13)</f>
        <v>5507888</v>
      </c>
      <c r="N10" s="295">
        <f>SUM(N11:N13)</f>
        <v>4914894</v>
      </c>
      <c r="O10" s="295">
        <f>SUM(O11:O13)-1</f>
        <v>6011116</v>
      </c>
      <c r="P10" s="295">
        <f>SUM(P11:P13)</f>
        <v>6162760</v>
      </c>
      <c r="Q10" s="295">
        <f>SUM(Q11:Q13)</f>
        <v>1013916</v>
      </c>
    </row>
    <row r="11" spans="1:17" ht="17.25" customHeight="1" x14ac:dyDescent="0.25">
      <c r="A11" s="122" t="s">
        <v>311</v>
      </c>
      <c r="B11" s="123" t="s">
        <v>320</v>
      </c>
      <c r="C11" s="124">
        <f>+'1.1. Fő bev'!G31</f>
        <v>35168</v>
      </c>
      <c r="D11" s="124">
        <f>+'1.1. Fő bev'!K31-27554</f>
        <v>810441</v>
      </c>
      <c r="E11" s="124">
        <f>+'1.1. Fő bev'!L31</f>
        <v>1011471</v>
      </c>
      <c r="F11" s="124">
        <f>+'1.1. Fő bev'!AA31</f>
        <v>2479452</v>
      </c>
      <c r="G11" s="124">
        <f>+'1.1. Fő bev'!AB31</f>
        <v>2679981</v>
      </c>
      <c r="H11" s="794">
        <f>+'1.1. Fő bev'!AI31</f>
        <v>2917630</v>
      </c>
      <c r="I11" s="794">
        <f>+'1.1. Fő bev'!AJ31+1166</f>
        <v>638231</v>
      </c>
      <c r="J11" s="861" t="s">
        <v>351</v>
      </c>
      <c r="K11" s="314">
        <f>+'1.2. Fő kiad'!G16</f>
        <v>4556640</v>
      </c>
      <c r="L11" s="314">
        <f>+'1.2. Fő kiad'!K16</f>
        <v>3493729</v>
      </c>
      <c r="M11" s="314">
        <v>3672216</v>
      </c>
      <c r="N11" s="314">
        <f>+'1.2. Fő kiad'!AB16</f>
        <v>4768834</v>
      </c>
      <c r="O11" s="314">
        <f>+'1.2. Fő kiad'!AC16</f>
        <v>4986987</v>
      </c>
      <c r="P11" s="314">
        <f>+'1.2. Fő kiad'!AJ16</f>
        <v>4405300</v>
      </c>
      <c r="Q11" s="314">
        <v>457807</v>
      </c>
    </row>
    <row r="12" spans="1:17" ht="17.25" customHeight="1" x14ac:dyDescent="0.25">
      <c r="A12" s="122" t="s">
        <v>322</v>
      </c>
      <c r="B12" s="123" t="s">
        <v>257</v>
      </c>
      <c r="C12" s="124">
        <f>+'1.1. Fő bev'!G35</f>
        <v>35000</v>
      </c>
      <c r="D12" s="124">
        <f>+'1.1. Fő bev'!K35</f>
        <v>23000</v>
      </c>
      <c r="E12" s="124">
        <f>+'1.1. Fő bev'!L35</f>
        <v>23000</v>
      </c>
      <c r="F12" s="124">
        <f>+'1.1. Fő bev'!AA35</f>
        <v>35000</v>
      </c>
      <c r="G12" s="124">
        <f>+'1.1. Fő bev'!AB35</f>
        <v>35000</v>
      </c>
      <c r="H12" s="794">
        <f>+'1.1. Fő bev'!AI35</f>
        <v>35000</v>
      </c>
      <c r="I12" s="794">
        <f>+'1.1. Fő bev'!AJ35</f>
        <v>1883</v>
      </c>
      <c r="J12" s="861" t="s">
        <v>342</v>
      </c>
      <c r="K12" s="314">
        <f>+'1.2. Fő kiad'!G17</f>
        <v>50000</v>
      </c>
      <c r="L12" s="314">
        <f>+'1.2. Fő kiad'!K17</f>
        <v>1810736</v>
      </c>
      <c r="M12" s="314">
        <f>+'1.2. Fő kiad'!L17</f>
        <v>1829836</v>
      </c>
      <c r="N12" s="314">
        <f>+'1.2. Fő kiad'!AB17</f>
        <v>139260</v>
      </c>
      <c r="O12" s="314">
        <f>+'1.2. Fő kiad'!AC17</f>
        <v>1018980</v>
      </c>
      <c r="P12" s="314">
        <f>+'1.2. Fő kiad'!AJ17</f>
        <v>1751810</v>
      </c>
      <c r="Q12" s="314">
        <f>+'1.2. Fő kiad'!AK17</f>
        <v>555509</v>
      </c>
    </row>
    <row r="13" spans="1:17" ht="17.25" customHeight="1" x14ac:dyDescent="0.25">
      <c r="A13" s="122" t="s">
        <v>315</v>
      </c>
      <c r="B13" s="123" t="s">
        <v>325</v>
      </c>
      <c r="C13" s="124">
        <f>+'1.1. Fő bev'!G40</f>
        <v>3600</v>
      </c>
      <c r="D13" s="124">
        <f>+'1.1. Fő bev'!K40</f>
        <v>3600</v>
      </c>
      <c r="E13" s="124">
        <v>38768</v>
      </c>
      <c r="F13" s="124">
        <f>+'1.1. Fő bev'!AA40</f>
        <v>3600</v>
      </c>
      <c r="G13" s="794">
        <v>3600</v>
      </c>
      <c r="H13" s="794">
        <f>+'1.1. Fő bev'!AC40</f>
        <v>3600</v>
      </c>
      <c r="I13" s="794">
        <f>+'1.1. Fő bev'!AD40</f>
        <v>0</v>
      </c>
      <c r="J13" s="861" t="s">
        <v>343</v>
      </c>
      <c r="K13" s="314">
        <f>+'1.2. Fő kiad'!G18</f>
        <v>6800</v>
      </c>
      <c r="L13" s="314">
        <f>+'1.2. Fő kiad'!K18</f>
        <v>5836</v>
      </c>
      <c r="M13" s="314">
        <v>5836</v>
      </c>
      <c r="N13" s="314">
        <f>+'1.2. Fő kiad'!AB18</f>
        <v>6800</v>
      </c>
      <c r="O13" s="239">
        <v>5150</v>
      </c>
      <c r="P13" s="314">
        <f>+'1.2. Fő kiad'!AJ18</f>
        <v>5650</v>
      </c>
      <c r="Q13" s="314">
        <v>600</v>
      </c>
    </row>
    <row r="14" spans="1:17" ht="17.25" customHeight="1" x14ac:dyDescent="0.25">
      <c r="A14" s="126"/>
      <c r="B14" s="126" t="s">
        <v>586</v>
      </c>
      <c r="C14" s="127">
        <f t="shared" ref="C14:H14" si="10">IF(C10-K10&lt;0,K10-C10,0)</f>
        <v>4539672</v>
      </c>
      <c r="D14" s="127">
        <f t="shared" si="10"/>
        <v>4473260</v>
      </c>
      <c r="E14" s="127">
        <f t="shared" si="10"/>
        <v>4434649</v>
      </c>
      <c r="F14" s="796">
        <f t="shared" si="10"/>
        <v>2396842</v>
      </c>
      <c r="G14" s="796">
        <f t="shared" si="10"/>
        <v>3292535</v>
      </c>
      <c r="H14" s="796">
        <f t="shared" si="10"/>
        <v>3206530</v>
      </c>
      <c r="I14" s="796"/>
      <c r="J14" s="863" t="s">
        <v>587</v>
      </c>
      <c r="K14" s="862">
        <f>IF(C10-K10&gt;0,C10-K10,0)</f>
        <v>0</v>
      </c>
      <c r="L14" s="862">
        <f>IF(D10-L10&gt;0,D10-L10,0)</f>
        <v>0</v>
      </c>
      <c r="M14" s="862">
        <f>IF(E10-M10&gt;0,E10-M10,0)</f>
        <v>0</v>
      </c>
      <c r="N14" s="796">
        <f>IF(F10-N10&gt;0,F10-N10,0)</f>
        <v>0</v>
      </c>
      <c r="O14" s="796">
        <v>0</v>
      </c>
      <c r="P14" s="796">
        <v>0</v>
      </c>
      <c r="Q14" s="796">
        <v>0</v>
      </c>
    </row>
    <row r="15" spans="1:17" ht="17.25" customHeight="1" x14ac:dyDescent="0.25">
      <c r="A15" s="613"/>
      <c r="B15" s="614" t="s">
        <v>327</v>
      </c>
      <c r="C15" s="615">
        <f>C3+C10</f>
        <v>2490976</v>
      </c>
      <c r="D15" s="615">
        <f t="shared" ref="D15:E15" si="11">D3+D10</f>
        <v>3541228</v>
      </c>
      <c r="E15" s="615">
        <f t="shared" si="11"/>
        <v>3852788</v>
      </c>
      <c r="F15" s="797">
        <f>+F3+F10</f>
        <v>5160073</v>
      </c>
      <c r="G15" s="797">
        <f>+G3+G10</f>
        <v>5723637</v>
      </c>
      <c r="H15" s="797">
        <f>+H3+H10</f>
        <v>6254209</v>
      </c>
      <c r="I15" s="797">
        <f t="shared" ref="I15" si="12">+I3+I10</f>
        <v>2195875</v>
      </c>
      <c r="J15" s="864" t="s">
        <v>588</v>
      </c>
      <c r="K15" s="865" t="e">
        <f>K3+K10</f>
        <v>#REF!</v>
      </c>
      <c r="L15" s="865">
        <f t="shared" ref="L15:M15" si="13">L3+L10</f>
        <v>8139351</v>
      </c>
      <c r="M15" s="865">
        <f t="shared" si="13"/>
        <v>8501104</v>
      </c>
      <c r="N15" s="797">
        <f>+N3+N10</f>
        <v>7613529</v>
      </c>
      <c r="O15" s="797">
        <f>+O3+O10</f>
        <v>9303297</v>
      </c>
      <c r="P15" s="797">
        <f>+P3+P10</f>
        <v>9833869</v>
      </c>
      <c r="Q15" s="797">
        <f>+Q3+Q10</f>
        <v>2745007</v>
      </c>
    </row>
    <row r="16" spans="1:17" ht="17.25" customHeight="1" x14ac:dyDescent="0.25">
      <c r="A16" s="128"/>
      <c r="B16" s="129" t="s">
        <v>589</v>
      </c>
      <c r="C16" s="129" t="e">
        <f>IF(K9+K14-C9-C14&lt;0,C9+C14-K9-K14,0)</f>
        <v>#REF!</v>
      </c>
      <c r="D16" s="129">
        <f>IF(L9+L14-D9-D14&lt;0,D9+D14-L9-L14,0)</f>
        <v>4598123</v>
      </c>
      <c r="E16" s="129">
        <f>IF(M9+M14-E9-E14&lt;0,E9+E14-M9-M14,0)</f>
        <v>4648316</v>
      </c>
      <c r="F16" s="798">
        <f>IF(N9+N14-F9-F14&lt;0,F9+F14-N9-N14,0)</f>
        <v>2453456</v>
      </c>
      <c r="G16" s="798">
        <f t="shared" ref="G16:I16" si="14">IF(O9+O14-G9-G14&lt;0,G9+G14-O9-O14,0)</f>
        <v>3579660</v>
      </c>
      <c r="H16" s="798">
        <f t="shared" si="14"/>
        <v>3579660</v>
      </c>
      <c r="I16" s="798">
        <f t="shared" si="14"/>
        <v>175330</v>
      </c>
      <c r="J16" s="866" t="s">
        <v>590</v>
      </c>
      <c r="K16" s="798" t="e">
        <f>IF(K9+K14-C9-C14&gt;0,K9+K14-C9-C14,0)</f>
        <v>#REF!</v>
      </c>
      <c r="L16" s="798">
        <f>IF(L9+L14-D9-D14&gt;0,L9+L14-D9-D14,0)</f>
        <v>0</v>
      </c>
      <c r="M16" s="798">
        <f>IF(M9+M14-E9-E14&gt;0,M9+M14-E9-E14,0)</f>
        <v>0</v>
      </c>
      <c r="N16" s="798">
        <f>IF(N9+N14-F9-F14&gt;0,N9+N14-F9-F14,0)</f>
        <v>0</v>
      </c>
      <c r="O16" s="798">
        <f t="shared" ref="O16:P16" si="15">IF(O9+O14-G9-G14&gt;0,O9+O14-G9-G14,0)</f>
        <v>0</v>
      </c>
      <c r="P16" s="798">
        <f t="shared" si="15"/>
        <v>0</v>
      </c>
      <c r="Q16" s="798"/>
    </row>
    <row r="17" spans="1:17" ht="17.25" customHeight="1" x14ac:dyDescent="0.25">
      <c r="A17" s="119" t="s">
        <v>328</v>
      </c>
      <c r="B17" s="120" t="s">
        <v>329</v>
      </c>
      <c r="C17" s="121">
        <f>C18+C21</f>
        <v>4582308</v>
      </c>
      <c r="D17" s="121">
        <f>D18+D21</f>
        <v>4642964</v>
      </c>
      <c r="E17" s="121">
        <f>E18+E21</f>
        <v>4711110</v>
      </c>
      <c r="F17" s="295">
        <f>+F18+F21</f>
        <v>2513454</v>
      </c>
      <c r="G17" s="295">
        <f>+G18+G21</f>
        <v>3676285</v>
      </c>
      <c r="H17" s="295">
        <f t="shared" ref="H17:I17" si="16">+H18+H21</f>
        <v>3676285</v>
      </c>
      <c r="I17" s="295">
        <f t="shared" si="16"/>
        <v>3676285</v>
      </c>
      <c r="J17" s="278" t="s">
        <v>591</v>
      </c>
      <c r="K17" s="279">
        <f>K18+K21</f>
        <v>35240</v>
      </c>
      <c r="L17" s="279">
        <f>L18+L21</f>
        <v>37022</v>
      </c>
      <c r="M17" s="279">
        <f>M18+M21</f>
        <v>62795</v>
      </c>
      <c r="N17" s="295">
        <f>+N18+N21</f>
        <v>59998</v>
      </c>
      <c r="O17" s="295">
        <f>+O18+O21</f>
        <v>96625</v>
      </c>
      <c r="P17" s="295">
        <f>+P18+P21</f>
        <v>96625</v>
      </c>
      <c r="Q17" s="295">
        <f>+Q18+Q21</f>
        <v>55236</v>
      </c>
    </row>
    <row r="18" spans="1:17" ht="17.25" customHeight="1" x14ac:dyDescent="0.25">
      <c r="A18" s="126"/>
      <c r="B18" s="127" t="s">
        <v>592</v>
      </c>
      <c r="C18" s="127">
        <f>C19+C20</f>
        <v>4582308</v>
      </c>
      <c r="D18" s="127">
        <f>D19+D20</f>
        <v>4642964</v>
      </c>
      <c r="E18" s="127">
        <f>E19+E20</f>
        <v>4711110</v>
      </c>
      <c r="F18" s="796">
        <f>+F19+F20</f>
        <v>2513454</v>
      </c>
      <c r="G18" s="796">
        <f>+G19+G20</f>
        <v>3426285</v>
      </c>
      <c r="H18" s="796">
        <f t="shared" ref="H18:I18" si="17">+H19+H20</f>
        <v>3426285</v>
      </c>
      <c r="I18" s="796">
        <f t="shared" si="17"/>
        <v>3426285</v>
      </c>
      <c r="J18" s="862" t="s">
        <v>593</v>
      </c>
      <c r="K18" s="862">
        <f>K19+K20</f>
        <v>35240</v>
      </c>
      <c r="L18" s="862">
        <f>L19+L20</f>
        <v>37022</v>
      </c>
      <c r="M18" s="862">
        <f t="shared" ref="M18" si="18">M19+M20</f>
        <v>62795</v>
      </c>
      <c r="N18" s="796">
        <f>+N19+N20</f>
        <v>59998</v>
      </c>
      <c r="O18" s="796">
        <f>+O19+O20</f>
        <v>96625</v>
      </c>
      <c r="P18" s="796">
        <f>+P19+P20</f>
        <v>96625</v>
      </c>
      <c r="Q18" s="796">
        <f>+Q19+Q20</f>
        <v>55236</v>
      </c>
    </row>
    <row r="19" spans="1:17" ht="17.25" customHeight="1" x14ac:dyDescent="0.25">
      <c r="A19" s="130" t="s">
        <v>311</v>
      </c>
      <c r="B19" s="125" t="s">
        <v>371</v>
      </c>
      <c r="C19" s="124">
        <f>+'1.1. Fő bev'!G54</f>
        <v>4582308</v>
      </c>
      <c r="D19" s="124">
        <f>+'1.1. Fő bev'!K54</f>
        <v>4642964</v>
      </c>
      <c r="E19" s="124">
        <v>4711110</v>
      </c>
      <c r="F19" s="124">
        <f>+'1.1. Fő bev'!AA54</f>
        <v>2513454</v>
      </c>
      <c r="G19" s="124">
        <f>+'1.1. Fő bev'!AB54</f>
        <v>3426285</v>
      </c>
      <c r="H19" s="794">
        <v>3426285</v>
      </c>
      <c r="I19" s="794">
        <v>3426285</v>
      </c>
      <c r="J19" s="867" t="s">
        <v>594</v>
      </c>
      <c r="K19" s="868">
        <f>+'1.2. Fő kiad'!G26</f>
        <v>35240</v>
      </c>
      <c r="L19" s="868">
        <f>+'1.2. Fő kiad'!K26</f>
        <v>37022</v>
      </c>
      <c r="M19" s="868">
        <v>62795</v>
      </c>
      <c r="N19" s="868">
        <f>+'1.2. Fő kiad'!AB26</f>
        <v>59998</v>
      </c>
      <c r="O19" s="868">
        <f>+'1.2. Fő kiad'!AC26</f>
        <v>96625</v>
      </c>
      <c r="P19" s="868">
        <f>+'1.2. Fő kiad'!AJ26</f>
        <v>96625</v>
      </c>
      <c r="Q19" s="868">
        <f>+'1.2. Fő kiad'!AK26</f>
        <v>55236</v>
      </c>
    </row>
    <row r="20" spans="1:17" ht="17.25" customHeight="1" x14ac:dyDescent="0.25">
      <c r="A20" s="130" t="s">
        <v>322</v>
      </c>
      <c r="B20" s="125" t="s">
        <v>666</v>
      </c>
      <c r="C20" s="124">
        <f>+'1.1. Fő bev'!G56</f>
        <v>0</v>
      </c>
      <c r="D20" s="124">
        <f>+'1.1. Fő bev'!O56</f>
        <v>0</v>
      </c>
      <c r="E20" s="124">
        <f>+'1.1. Fő bev'!W56</f>
        <v>0</v>
      </c>
      <c r="F20" s="794"/>
      <c r="G20" s="794"/>
      <c r="H20" s="794"/>
      <c r="I20" s="794"/>
      <c r="J20" s="867" t="s">
        <v>595</v>
      </c>
      <c r="K20" s="868">
        <f>+'1.2. Fő kiad'!G32</f>
        <v>0</v>
      </c>
      <c r="L20" s="868">
        <f>+'1.2. Fő kiad'!O32</f>
        <v>0</v>
      </c>
      <c r="M20" s="868">
        <f>+'1.2. Fő kiad'!W32</f>
        <v>0</v>
      </c>
      <c r="N20" s="794"/>
      <c r="O20" s="239"/>
      <c r="P20" s="239"/>
      <c r="Q20" s="239"/>
    </row>
    <row r="21" spans="1:17" ht="17.25" customHeight="1" x14ac:dyDescent="0.25">
      <c r="A21" s="126"/>
      <c r="B21" s="127" t="s">
        <v>596</v>
      </c>
      <c r="C21" s="127">
        <f>C22+C23</f>
        <v>0</v>
      </c>
      <c r="D21" s="127">
        <f t="shared" ref="D21:E21" si="19">D22+D23</f>
        <v>0</v>
      </c>
      <c r="E21" s="127">
        <f t="shared" si="19"/>
        <v>0</v>
      </c>
      <c r="F21" s="796">
        <f>+F22+F23</f>
        <v>0</v>
      </c>
      <c r="G21" s="796">
        <f t="shared" ref="G21:I21" si="20">+G22+G23</f>
        <v>250000</v>
      </c>
      <c r="H21" s="796">
        <f t="shared" si="20"/>
        <v>250000</v>
      </c>
      <c r="I21" s="796">
        <f t="shared" si="20"/>
        <v>250000</v>
      </c>
      <c r="J21" s="862" t="s">
        <v>597</v>
      </c>
      <c r="K21" s="862">
        <f>K22</f>
        <v>0</v>
      </c>
      <c r="L21" s="862">
        <f t="shared" ref="L21:M21" si="21">L22</f>
        <v>0</v>
      </c>
      <c r="M21" s="862">
        <f t="shared" si="21"/>
        <v>0</v>
      </c>
      <c r="N21" s="796">
        <f>+N22+N23</f>
        <v>0</v>
      </c>
      <c r="O21" s="796">
        <v>0</v>
      </c>
      <c r="P21" s="796"/>
      <c r="Q21" s="796"/>
    </row>
    <row r="22" spans="1:17" ht="17.25" customHeight="1" x14ac:dyDescent="0.25">
      <c r="A22" s="130" t="s">
        <v>311</v>
      </c>
      <c r="B22" s="125" t="s">
        <v>330</v>
      </c>
      <c r="C22" s="124">
        <f>+'1.1. Fő bev'!G48</f>
        <v>0</v>
      </c>
      <c r="D22" s="124">
        <f>+'1.1. Fő bev'!O48</f>
        <v>0</v>
      </c>
      <c r="E22" s="124">
        <f>+'1.1. Fő bev'!W48</f>
        <v>0</v>
      </c>
      <c r="F22" s="794"/>
      <c r="G22" s="794">
        <v>250000</v>
      </c>
      <c r="H22" s="794">
        <v>250000</v>
      </c>
      <c r="I22" s="794">
        <v>250000</v>
      </c>
      <c r="J22" s="867" t="s">
        <v>594</v>
      </c>
      <c r="K22" s="868">
        <v>0</v>
      </c>
      <c r="L22" s="314">
        <v>0</v>
      </c>
      <c r="M22" s="314">
        <v>0</v>
      </c>
      <c r="N22" s="794"/>
      <c r="O22" s="239"/>
      <c r="P22" s="239"/>
      <c r="Q22" s="239"/>
    </row>
    <row r="23" spans="1:17" ht="17.25" customHeight="1" x14ac:dyDescent="0.25">
      <c r="A23" s="130" t="s">
        <v>322</v>
      </c>
      <c r="B23" s="125" t="s">
        <v>541</v>
      </c>
      <c r="C23" s="124">
        <f>+'1.1. Fő bev'!G57</f>
        <v>0</v>
      </c>
      <c r="D23" s="124">
        <f>+'1.1. Fő bev'!O57</f>
        <v>0</v>
      </c>
      <c r="E23" s="124">
        <f>+'1.1. Fő bev'!W57</f>
        <v>0</v>
      </c>
      <c r="F23" s="794"/>
      <c r="G23" s="794"/>
      <c r="H23" s="794"/>
      <c r="I23" s="794"/>
      <c r="J23" s="867" t="s">
        <v>595</v>
      </c>
      <c r="K23" s="868">
        <v>0</v>
      </c>
      <c r="L23" s="314">
        <v>0</v>
      </c>
      <c r="M23" s="314">
        <v>0</v>
      </c>
      <c r="N23" s="794"/>
      <c r="O23" s="239"/>
      <c r="P23" s="239"/>
      <c r="Q23" s="239"/>
    </row>
    <row r="24" spans="1:17" ht="17.25" customHeight="1" x14ac:dyDescent="0.25">
      <c r="A24" s="613"/>
      <c r="B24" s="614" t="s">
        <v>333</v>
      </c>
      <c r="C24" s="615">
        <f>C15+C17</f>
        <v>7073284</v>
      </c>
      <c r="D24" s="615">
        <f>D15+D17+1</f>
        <v>8184193</v>
      </c>
      <c r="E24" s="615">
        <f>E15+E17+1</f>
        <v>8563899</v>
      </c>
      <c r="F24" s="797">
        <f>+F15+F17</f>
        <v>7673527</v>
      </c>
      <c r="G24" s="797">
        <f>+G15+G17</f>
        <v>9399922</v>
      </c>
      <c r="H24" s="797">
        <f>+H15+H17</f>
        <v>9930494</v>
      </c>
      <c r="I24" s="797">
        <f>+I15+I17</f>
        <v>5872160</v>
      </c>
      <c r="J24" s="864" t="s">
        <v>344</v>
      </c>
      <c r="K24" s="865" t="e">
        <f>K15+K17</f>
        <v>#REF!</v>
      </c>
      <c r="L24" s="865">
        <f>L15+L17</f>
        <v>8176373</v>
      </c>
      <c r="M24" s="865">
        <f>M15+M17</f>
        <v>8563899</v>
      </c>
      <c r="N24" s="797">
        <f>+N15+N17</f>
        <v>7673527</v>
      </c>
      <c r="O24" s="797">
        <f>+O15+O17</f>
        <v>9399922</v>
      </c>
      <c r="P24" s="797">
        <f>+P15+P17</f>
        <v>9930494</v>
      </c>
      <c r="Q24" s="797">
        <f>+Q15+Q17</f>
        <v>2800243</v>
      </c>
    </row>
    <row r="25" spans="1:17" ht="17.25" customHeight="1" x14ac:dyDescent="0.25">
      <c r="A25" s="114"/>
      <c r="B25" s="115"/>
      <c r="C25" s="116"/>
      <c r="D25" s="116"/>
      <c r="E25" s="116"/>
      <c r="F25" s="116"/>
      <c r="G25" s="116"/>
      <c r="H25" s="116"/>
      <c r="I25" s="116"/>
      <c r="J25" s="117"/>
      <c r="K25" s="118"/>
      <c r="L25" s="109">
        <f>D24-L24</f>
        <v>7820</v>
      </c>
      <c r="M25" s="331">
        <f>E24-M24</f>
        <v>0</v>
      </c>
      <c r="N25" s="40">
        <f>F24-N24</f>
        <v>0</v>
      </c>
    </row>
    <row r="26" spans="1:17" ht="17.25" customHeight="1" x14ac:dyDescent="0.25">
      <c r="A26" s="840"/>
      <c r="B26" s="841"/>
      <c r="C26" s="842"/>
      <c r="D26" s="842"/>
      <c r="E26" s="842"/>
      <c r="F26" s="842"/>
      <c r="G26" s="842"/>
      <c r="H26" s="842"/>
      <c r="I26" s="842"/>
      <c r="J26" s="91"/>
      <c r="K26" s="103"/>
      <c r="L26" s="110"/>
      <c r="M26" s="110"/>
    </row>
    <row r="27" spans="1:17" ht="17.25" customHeight="1" x14ac:dyDescent="0.25">
      <c r="A27" s="36"/>
      <c r="B27" s="37"/>
      <c r="C27" s="45"/>
      <c r="D27" s="45"/>
      <c r="E27" s="45"/>
      <c r="F27" s="45"/>
      <c r="G27" s="45"/>
      <c r="H27" s="45"/>
      <c r="I27" s="45"/>
      <c r="J27" s="102"/>
      <c r="K27" s="46"/>
      <c r="L27" s="109"/>
      <c r="M27" s="109"/>
    </row>
    <row r="28" spans="1:17" ht="17.25" customHeight="1" x14ac:dyDescent="0.25">
      <c r="A28" s="36"/>
      <c r="B28" s="37"/>
      <c r="C28" s="45"/>
      <c r="D28" s="45"/>
      <c r="E28" s="45"/>
      <c r="F28" s="45"/>
      <c r="G28" s="45"/>
      <c r="H28" s="45"/>
      <c r="I28" s="45"/>
      <c r="J28" s="102"/>
      <c r="K28" s="46"/>
      <c r="L28" s="109"/>
      <c r="M28" s="109"/>
    </row>
    <row r="29" spans="1:17" ht="17.25" customHeight="1" x14ac:dyDescent="0.25">
      <c r="A29" s="36"/>
      <c r="B29" s="37"/>
      <c r="C29" s="45"/>
      <c r="D29" s="45"/>
      <c r="E29" s="45"/>
      <c r="F29" s="45"/>
      <c r="G29" s="45"/>
      <c r="H29" s="45"/>
      <c r="I29" s="45"/>
      <c r="J29" s="102"/>
      <c r="K29" s="46"/>
      <c r="L29" s="109"/>
      <c r="M29" s="109"/>
    </row>
    <row r="30" spans="1:17" ht="17.25" customHeight="1" x14ac:dyDescent="0.25">
      <c r="A30" s="36"/>
      <c r="B30" s="37"/>
      <c r="C30" s="45"/>
      <c r="D30" s="45"/>
      <c r="E30" s="45"/>
      <c r="F30" s="45"/>
      <c r="G30" s="45"/>
      <c r="H30" s="45"/>
      <c r="I30" s="45"/>
      <c r="J30" s="104"/>
      <c r="K30" s="46"/>
      <c r="L30" s="109"/>
      <c r="M30" s="109"/>
    </row>
    <row r="31" spans="1:17" ht="17.25" customHeight="1" x14ac:dyDescent="0.25">
      <c r="A31" s="36"/>
      <c r="B31" s="37"/>
      <c r="C31" s="45"/>
      <c r="D31" s="45"/>
      <c r="E31" s="45"/>
      <c r="F31" s="45"/>
      <c r="G31" s="45"/>
      <c r="H31" s="45"/>
      <c r="I31" s="45"/>
      <c r="J31" s="104"/>
      <c r="K31" s="46"/>
      <c r="L31" s="109"/>
      <c r="M31" s="109"/>
    </row>
    <row r="32" spans="1:17" ht="17.25" customHeight="1" x14ac:dyDescent="0.25">
      <c r="A32" s="36"/>
      <c r="B32" s="37"/>
      <c r="C32" s="45"/>
      <c r="D32" s="45"/>
      <c r="E32" s="45"/>
      <c r="F32" s="45"/>
      <c r="G32" s="45"/>
      <c r="H32" s="45"/>
      <c r="I32" s="45"/>
      <c r="J32" s="104"/>
      <c r="K32" s="46"/>
      <c r="L32" s="109"/>
      <c r="M32" s="109"/>
    </row>
    <row r="33" spans="1:13" ht="17.25" customHeight="1" x14ac:dyDescent="0.25">
      <c r="A33" s="36"/>
      <c r="B33" s="37"/>
      <c r="C33" s="45"/>
      <c r="D33" s="45"/>
      <c r="E33" s="45"/>
      <c r="F33" s="45"/>
      <c r="G33" s="45"/>
      <c r="H33" s="45"/>
      <c r="I33" s="45"/>
      <c r="J33" s="102"/>
      <c r="K33" s="46"/>
      <c r="L33" s="109"/>
      <c r="M33" s="109"/>
    </row>
    <row r="34" spans="1:13" ht="17.25" customHeight="1" x14ac:dyDescent="0.25">
      <c r="A34" s="36"/>
      <c r="B34" s="37"/>
      <c r="C34" s="45"/>
      <c r="D34" s="45"/>
      <c r="E34" s="45"/>
      <c r="F34" s="45"/>
      <c r="G34" s="45"/>
      <c r="H34" s="45"/>
      <c r="I34" s="45"/>
      <c r="J34" s="102"/>
      <c r="K34" s="46"/>
      <c r="L34" s="109"/>
      <c r="M34" s="109"/>
    </row>
    <row r="35" spans="1:13" ht="17.25" customHeight="1" x14ac:dyDescent="0.25">
      <c r="A35" s="33"/>
      <c r="B35" s="34"/>
      <c r="C35" s="35"/>
      <c r="D35" s="35"/>
      <c r="E35" s="35"/>
      <c r="F35" s="35"/>
      <c r="G35" s="35"/>
      <c r="H35" s="35"/>
      <c r="I35" s="35"/>
      <c r="J35" s="102"/>
      <c r="K35" s="46"/>
      <c r="L35" s="109"/>
      <c r="M35" s="109"/>
    </row>
    <row r="36" spans="1:13" ht="17.25" customHeight="1" x14ac:dyDescent="0.25">
      <c r="A36" s="36"/>
      <c r="B36" s="37"/>
      <c r="C36" s="45"/>
      <c r="D36" s="45"/>
      <c r="E36" s="45"/>
      <c r="F36" s="45"/>
      <c r="G36" s="45"/>
      <c r="H36" s="45"/>
      <c r="I36" s="45"/>
      <c r="J36" s="102"/>
      <c r="K36" s="46"/>
      <c r="L36" s="109"/>
      <c r="M36" s="109"/>
    </row>
    <row r="37" spans="1:13" ht="17.25" customHeight="1" x14ac:dyDescent="0.25">
      <c r="A37" s="36"/>
      <c r="B37" s="37"/>
      <c r="C37" s="45"/>
      <c r="D37" s="45"/>
      <c r="E37" s="45"/>
      <c r="F37" s="45"/>
      <c r="G37" s="45"/>
      <c r="H37" s="45"/>
      <c r="I37" s="45"/>
      <c r="J37" s="102"/>
      <c r="K37" s="46"/>
      <c r="L37" s="109"/>
      <c r="M37" s="109"/>
    </row>
    <row r="38" spans="1:13" ht="17.25" customHeight="1" x14ac:dyDescent="0.25">
      <c r="J38" s="102"/>
      <c r="K38" s="46"/>
      <c r="L38" s="109"/>
      <c r="M38" s="109"/>
    </row>
    <row r="39" spans="1:13" ht="17.25" customHeight="1" x14ac:dyDescent="0.25">
      <c r="J39" s="102"/>
      <c r="K39" s="46"/>
      <c r="L39" s="109"/>
      <c r="M39" s="109"/>
    </row>
    <row r="40" spans="1:13" ht="17.25" customHeight="1" x14ac:dyDescent="0.25">
      <c r="A40" s="36"/>
      <c r="B40" s="39"/>
      <c r="C40" s="38"/>
      <c r="D40" s="38"/>
      <c r="E40" s="38"/>
      <c r="F40" s="38"/>
      <c r="G40" s="38"/>
      <c r="H40" s="38"/>
      <c r="I40" s="38"/>
      <c r="J40" s="102"/>
      <c r="K40" s="46"/>
      <c r="L40" s="109"/>
      <c r="M40" s="109"/>
    </row>
    <row r="41" spans="1:13" ht="17.25" customHeight="1" x14ac:dyDescent="0.25">
      <c r="A41" s="36"/>
      <c r="B41" s="39"/>
      <c r="C41" s="38"/>
      <c r="D41" s="38"/>
      <c r="E41" s="38"/>
      <c r="F41" s="38"/>
      <c r="G41" s="38"/>
      <c r="H41" s="38"/>
      <c r="I41" s="38"/>
      <c r="J41" s="102"/>
      <c r="K41" s="46"/>
      <c r="L41" s="109"/>
      <c r="M41" s="109"/>
    </row>
    <row r="42" spans="1:13" ht="17.25" customHeight="1" x14ac:dyDescent="0.25">
      <c r="A42" s="36"/>
      <c r="B42" s="39"/>
      <c r="C42" s="38"/>
      <c r="D42" s="38"/>
      <c r="E42" s="38"/>
      <c r="F42" s="38"/>
      <c r="G42" s="38"/>
      <c r="H42" s="38"/>
      <c r="I42" s="38"/>
      <c r="J42" s="91"/>
      <c r="K42" s="92"/>
      <c r="L42" s="111"/>
      <c r="M42" s="111"/>
    </row>
    <row r="43" spans="1:13" ht="17.25" customHeight="1" x14ac:dyDescent="0.25">
      <c r="J43" s="102"/>
      <c r="K43" s="46"/>
      <c r="L43" s="109"/>
      <c r="M43" s="109"/>
    </row>
    <row r="44" spans="1:13" ht="17.25" customHeight="1" x14ac:dyDescent="0.25">
      <c r="A44" s="36"/>
      <c r="B44" s="39"/>
      <c r="C44" s="38"/>
      <c r="D44" s="38"/>
      <c r="E44" s="38"/>
      <c r="F44" s="38"/>
      <c r="G44" s="38"/>
      <c r="H44" s="38"/>
      <c r="I44" s="38"/>
      <c r="J44" s="102"/>
      <c r="K44" s="46"/>
      <c r="L44" s="109"/>
      <c r="M44" s="109"/>
    </row>
    <row r="45" spans="1:13" ht="17.25" customHeight="1" x14ac:dyDescent="0.25">
      <c r="A45" s="36"/>
      <c r="B45" s="39"/>
      <c r="C45" s="38"/>
      <c r="D45" s="108"/>
      <c r="E45" s="108"/>
      <c r="F45" s="108"/>
      <c r="G45" s="108"/>
      <c r="H45" s="108"/>
      <c r="I45" s="108"/>
    </row>
    <row r="46" spans="1:13" ht="17.25" customHeight="1" x14ac:dyDescent="0.25">
      <c r="A46" s="36"/>
      <c r="B46" s="39"/>
      <c r="C46" s="38"/>
      <c r="D46" s="108"/>
      <c r="E46" s="108"/>
      <c r="F46" s="108"/>
      <c r="G46" s="108"/>
      <c r="H46" s="108"/>
      <c r="I46" s="108"/>
    </row>
    <row r="47" spans="1:13" ht="17.25" customHeight="1" x14ac:dyDescent="0.25">
      <c r="A47" s="36"/>
      <c r="B47" s="39"/>
      <c r="C47" s="38"/>
      <c r="D47" s="108"/>
      <c r="E47" s="108"/>
      <c r="F47" s="108"/>
      <c r="G47" s="108"/>
      <c r="H47" s="108"/>
      <c r="I47" s="108"/>
    </row>
    <row r="48" spans="1:13" ht="17.25" customHeight="1" x14ac:dyDescent="0.25"/>
    <row r="49" spans="1:13" ht="17.25" customHeight="1" x14ac:dyDescent="0.25">
      <c r="A49" s="36"/>
      <c r="B49" s="39"/>
      <c r="C49" s="38"/>
      <c r="D49" s="38"/>
      <c r="E49" s="38"/>
      <c r="F49" s="38"/>
      <c r="G49" s="38"/>
      <c r="H49" s="38"/>
      <c r="I49" s="38"/>
      <c r="J49" s="91"/>
      <c r="K49" s="92"/>
      <c r="L49" s="111"/>
      <c r="M49" s="111"/>
    </row>
    <row r="50" spans="1:13" ht="17.25" customHeight="1" x14ac:dyDescent="0.25">
      <c r="A50" s="36"/>
      <c r="B50" s="39"/>
      <c r="C50" s="38"/>
      <c r="D50" s="38"/>
      <c r="E50" s="38"/>
      <c r="F50" s="38"/>
      <c r="G50" s="38"/>
      <c r="H50" s="38"/>
      <c r="I50" s="38"/>
      <c r="J50" s="91"/>
      <c r="K50" s="92"/>
      <c r="L50" s="111"/>
      <c r="M50" s="111"/>
    </row>
    <row r="51" spans="1:13" ht="17.25" customHeight="1" x14ac:dyDescent="0.25">
      <c r="J51" s="91"/>
      <c r="K51" s="92"/>
      <c r="L51" s="111"/>
      <c r="M51" s="111"/>
    </row>
    <row r="52" spans="1:13" ht="17.25" customHeight="1" x14ac:dyDescent="0.25">
      <c r="J52" s="91"/>
      <c r="K52" s="92"/>
      <c r="L52" s="111"/>
      <c r="M52" s="111"/>
    </row>
    <row r="53" spans="1:13" ht="17.25" customHeight="1" x14ac:dyDescent="0.25">
      <c r="J53" s="102"/>
      <c r="K53" s="46"/>
      <c r="L53" s="109"/>
      <c r="M53" s="109"/>
    </row>
    <row r="54" spans="1:13" ht="17.25" customHeight="1" x14ac:dyDescent="0.25">
      <c r="A54" s="36"/>
      <c r="B54" s="39"/>
      <c r="C54" s="38"/>
      <c r="D54" s="38"/>
      <c r="E54" s="38"/>
      <c r="F54" s="38"/>
      <c r="G54" s="38"/>
      <c r="H54" s="38"/>
      <c r="I54" s="38"/>
      <c r="J54" s="102"/>
      <c r="K54" s="46"/>
      <c r="L54" s="109"/>
      <c r="M54" s="109"/>
    </row>
    <row r="55" spans="1:13" ht="17.25" customHeight="1" x14ac:dyDescent="0.25">
      <c r="A55" s="36"/>
      <c r="B55" s="94"/>
      <c r="C55" s="38"/>
      <c r="D55" s="38"/>
      <c r="E55" s="38"/>
      <c r="F55" s="38"/>
      <c r="G55" s="38"/>
      <c r="H55" s="38"/>
      <c r="I55" s="38"/>
      <c r="J55" s="91"/>
      <c r="K55" s="92"/>
      <c r="L55" s="111"/>
      <c r="M55" s="111"/>
    </row>
    <row r="56" spans="1:13" ht="17.25" customHeight="1" x14ac:dyDescent="0.25">
      <c r="A56" s="36"/>
      <c r="B56" s="94"/>
      <c r="C56" s="38"/>
      <c r="D56" s="38"/>
      <c r="E56" s="38"/>
      <c r="F56" s="38"/>
      <c r="G56" s="38"/>
      <c r="H56" s="38"/>
      <c r="I56" s="38"/>
      <c r="J56" s="102"/>
      <c r="K56" s="46"/>
      <c r="L56" s="109"/>
      <c r="M56" s="109"/>
    </row>
    <row r="57" spans="1:13" ht="17.25" customHeight="1" x14ac:dyDescent="0.25">
      <c r="A57" s="36"/>
      <c r="B57" s="39"/>
      <c r="C57" s="38"/>
      <c r="D57" s="38"/>
      <c r="E57" s="38"/>
      <c r="F57" s="38"/>
      <c r="G57" s="38"/>
      <c r="H57" s="38"/>
      <c r="I57" s="38"/>
      <c r="J57" s="102"/>
      <c r="K57" s="46"/>
      <c r="L57" s="109"/>
      <c r="M57" s="109"/>
    </row>
    <row r="58" spans="1:13" ht="17.25" customHeight="1" x14ac:dyDescent="0.25">
      <c r="A58" s="36"/>
      <c r="B58" s="39"/>
      <c r="C58" s="38"/>
      <c r="D58" s="38"/>
      <c r="E58" s="38"/>
      <c r="F58" s="38"/>
      <c r="G58" s="38"/>
      <c r="H58" s="38"/>
      <c r="I58" s="38"/>
      <c r="J58" s="91"/>
      <c r="K58" s="92"/>
      <c r="L58" s="111"/>
      <c r="M58" s="111"/>
    </row>
    <row r="59" spans="1:13" ht="17.25" customHeight="1" x14ac:dyDescent="0.25">
      <c r="A59" s="36"/>
      <c r="B59" s="39"/>
      <c r="C59" s="38"/>
      <c r="D59" s="108"/>
      <c r="E59" s="108"/>
      <c r="F59" s="108"/>
      <c r="G59" s="108"/>
      <c r="H59" s="108"/>
      <c r="I59" s="108"/>
    </row>
    <row r="60" spans="1:13" ht="17.25" customHeight="1" x14ac:dyDescent="0.25">
      <c r="A60" s="36"/>
      <c r="B60" s="39"/>
      <c r="C60" s="38"/>
      <c r="D60" s="108"/>
      <c r="E60" s="108"/>
      <c r="F60" s="108"/>
      <c r="G60" s="108"/>
      <c r="H60" s="108"/>
      <c r="I60" s="108"/>
    </row>
    <row r="61" spans="1:13" ht="17.25" customHeight="1" x14ac:dyDescent="0.25"/>
    <row r="62" spans="1:13" ht="17.25" customHeight="1" x14ac:dyDescent="0.25">
      <c r="A62" s="36"/>
      <c r="B62" s="39"/>
      <c r="C62" s="38"/>
      <c r="D62" s="38"/>
      <c r="E62" s="38"/>
      <c r="F62" s="38"/>
      <c r="G62" s="38"/>
      <c r="H62" s="38"/>
      <c r="I62" s="38"/>
      <c r="J62" s="105"/>
      <c r="K62" s="106"/>
      <c r="L62" s="112"/>
      <c r="M62" s="112"/>
    </row>
    <row r="63" spans="1:13" ht="17.25" customHeight="1" x14ac:dyDescent="0.25">
      <c r="A63" s="36"/>
      <c r="B63" s="39"/>
      <c r="C63" s="38"/>
      <c r="D63" s="38"/>
      <c r="E63" s="38"/>
      <c r="F63" s="38"/>
      <c r="G63" s="38"/>
      <c r="H63" s="38"/>
      <c r="I63" s="38"/>
      <c r="J63" s="102"/>
      <c r="K63" s="107"/>
      <c r="L63" s="113"/>
      <c r="M63" s="113"/>
    </row>
    <row r="64" spans="1:13" ht="17.25" customHeight="1" x14ac:dyDescent="0.25">
      <c r="J64" s="102"/>
      <c r="K64" s="107"/>
      <c r="L64" s="113"/>
      <c r="M64" s="113"/>
    </row>
    <row r="65" spans="10:13" ht="17.25" customHeight="1" x14ac:dyDescent="0.25">
      <c r="J65" s="105"/>
      <c r="K65" s="106"/>
      <c r="L65" s="112"/>
      <c r="M65" s="112"/>
    </row>
    <row r="66" spans="10:13" ht="17.25" customHeight="1" x14ac:dyDescent="0.25">
      <c r="J66" s="105"/>
      <c r="K66" s="106"/>
      <c r="L66" s="112"/>
      <c r="M66" s="112"/>
    </row>
    <row r="67" spans="10:13" ht="17.25" customHeight="1" x14ac:dyDescent="0.25">
      <c r="J67" s="105"/>
      <c r="K67" s="106"/>
      <c r="L67" s="112"/>
      <c r="M67" s="112"/>
    </row>
    <row r="68" spans="10:13" ht="17.25" customHeight="1" x14ac:dyDescent="0.25">
      <c r="J68" s="105"/>
      <c r="K68" s="106"/>
      <c r="L68" s="112"/>
      <c r="M68" s="112"/>
    </row>
    <row r="69" spans="10:13" ht="17.25" customHeight="1" x14ac:dyDescent="0.25">
      <c r="J69" s="105"/>
      <c r="K69" s="106"/>
      <c r="L69" s="112"/>
      <c r="M69" s="112"/>
    </row>
    <row r="70" spans="10:13" ht="17.25" customHeight="1" x14ac:dyDescent="0.25"/>
    <row r="71" spans="10:13" ht="17.25" customHeight="1" x14ac:dyDescent="0.25">
      <c r="J71" s="105"/>
      <c r="K71" s="106"/>
      <c r="L71" s="112"/>
      <c r="M71" s="112"/>
    </row>
    <row r="72" spans="10:13" ht="17.25" customHeight="1" x14ac:dyDescent="0.25">
      <c r="J72" s="105"/>
      <c r="K72" s="106"/>
      <c r="L72" s="112"/>
      <c r="M72" s="112"/>
    </row>
    <row r="73" spans="10:13" ht="17.25" customHeight="1" x14ac:dyDescent="0.25"/>
  </sheetData>
  <customSheetViews>
    <customSheetView guid="{7F1DC213-A29D-4C8C-BAC3-F1BD898020FD}" scale="89" hiddenColumns="1" topLeftCell="A7">
      <selection activeCell="B26" sqref="B26"/>
      <pageMargins left="0.47244094488188981" right="0.43307086614173229" top="0.74803149606299213" bottom="0.74803149606299213" header="0.31496062992125984" footer="0.31496062992125984"/>
      <printOptions horizontalCentered="1"/>
      <pageSetup paperSize="9" scale="65" orientation="landscape" r:id="rId1"/>
      <headerFooter>
        <oddHeader>&amp;C&amp;"-,Félkövér"&amp;16Sátoraljaújhely Város Önkormányzat költségvetési mérlege 2019. év&amp;RAdatok ezer forintban</oddHeader>
      </headerFooter>
    </customSheetView>
    <customSheetView guid="{4DCB1349-1166-4B69-AE14-D6B08F9FCE74}" scale="89" hiddenColumns="1" topLeftCell="A7">
      <selection activeCell="B26" sqref="B26"/>
      <pageMargins left="0.47244094488188981" right="0.43307086614173229" top="0.74803149606299213" bottom="0.74803149606299213" header="0.31496062992125984" footer="0.31496062992125984"/>
      <printOptions horizontalCentered="1"/>
      <pageSetup paperSize="9" scale="65" orientation="landscape" r:id="rId2"/>
      <headerFooter>
        <oddHeader>&amp;C&amp;"-,Félkövér"&amp;16Sátoraljaújhely Város Önkormányzat költségvetési mérlege 2019. év&amp;RAdatok ezer forintban</oddHeader>
      </headerFooter>
    </customSheetView>
  </customSheetViews>
  <printOptions horizontalCentered="1"/>
  <pageMargins left="0.47244094488188981" right="0.43307086614173229" top="0.74803149606299213" bottom="0.74803149606299213" header="0.31496062992125984" footer="0.31496062992125984"/>
  <pageSetup paperSize="9" scale="65" orientation="landscape" r:id="rId3"/>
  <headerFooter>
    <oddHeader>&amp;C&amp;"-,Félkövér"&amp;16Sátoraljaújhely Város Önkormányzat költségvetési mérlege 2019. év *&amp;RAdatok ezer forintban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AM46"/>
  <sheetViews>
    <sheetView view="pageLayout" zoomScaleNormal="82" zoomScaleSheetLayoutView="75" workbookViewId="0"/>
  </sheetViews>
  <sheetFormatPr defaultRowHeight="15" x14ac:dyDescent="0.25"/>
  <cols>
    <col min="1" max="1" width="6.7109375" style="31" customWidth="1"/>
    <col min="2" max="2" width="53.42578125" customWidth="1"/>
    <col min="3" max="3" width="11" style="40" hidden="1" customWidth="1"/>
    <col min="4" max="4" width="10" hidden="1" customWidth="1"/>
    <col min="5" max="5" width="9.140625" hidden="1" customWidth="1"/>
    <col min="6" max="6" width="10.85546875" hidden="1" customWidth="1"/>
    <col min="7" max="7" width="9.7109375" hidden="1" customWidth="1"/>
    <col min="8" max="9" width="9.140625" hidden="1" customWidth="1"/>
    <col min="10" max="10" width="10.85546875" hidden="1" customWidth="1"/>
    <col min="11" max="11" width="9.42578125" hidden="1" customWidth="1"/>
    <col min="12" max="13" width="9.140625" hidden="1" customWidth="1"/>
    <col min="14" max="14" width="10.7109375" hidden="1" customWidth="1"/>
    <col min="15" max="17" width="9.140625" hidden="1" customWidth="1"/>
    <col min="18" max="18" width="10.7109375" hidden="1" customWidth="1"/>
    <col min="19" max="19" width="9.140625" hidden="1" customWidth="1"/>
    <col min="20" max="20" width="11" hidden="1" customWidth="1"/>
    <col min="21" max="21" width="11.42578125" hidden="1" customWidth="1"/>
    <col min="22" max="22" width="11.7109375" hidden="1" customWidth="1"/>
    <col min="23" max="23" width="10.5703125" hidden="1" customWidth="1"/>
    <col min="24" max="24" width="14.85546875" customWidth="1"/>
    <col min="25" max="25" width="15.28515625" customWidth="1"/>
    <col min="26" max="26" width="15.140625" customWidth="1"/>
    <col min="27" max="27" width="14.7109375" customWidth="1"/>
    <col min="28" max="28" width="11" customWidth="1"/>
    <col min="29" max="29" width="14.7109375" customWidth="1"/>
    <col min="30" max="30" width="11.85546875" customWidth="1"/>
    <col min="31" max="31" width="11.7109375" customWidth="1"/>
    <col min="32" max="33" width="11.85546875" customWidth="1"/>
    <col min="34" max="34" width="11" customWidth="1"/>
    <col min="35" max="35" width="11.42578125" customWidth="1"/>
    <col min="36" max="36" width="11.42578125" hidden="1" customWidth="1"/>
    <col min="37" max="37" width="12.85546875" hidden="1" customWidth="1"/>
    <col min="38" max="38" width="11.28515625" hidden="1" customWidth="1"/>
    <col min="39" max="39" width="11.5703125" hidden="1" customWidth="1"/>
  </cols>
  <sheetData>
    <row r="1" spans="1:39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X1" s="742" t="s">
        <v>1366</v>
      </c>
      <c r="Y1" s="742" t="s">
        <v>1376</v>
      </c>
      <c r="Z1" s="742" t="s">
        <v>1377</v>
      </c>
      <c r="AA1" s="745" t="s">
        <v>1378</v>
      </c>
      <c r="AB1" s="745" t="s">
        <v>1379</v>
      </c>
      <c r="AC1" s="745" t="s">
        <v>1380</v>
      </c>
      <c r="AD1" s="745" t="s">
        <v>1381</v>
      </c>
      <c r="AE1" s="745" t="s">
        <v>1382</v>
      </c>
      <c r="AF1" s="745" t="s">
        <v>1450</v>
      </c>
      <c r="AG1" s="745" t="s">
        <v>1384</v>
      </c>
      <c r="AH1" s="745" t="s">
        <v>1385</v>
      </c>
      <c r="AI1" s="745" t="s">
        <v>1386</v>
      </c>
      <c r="AJ1" s="745" t="s">
        <v>1379</v>
      </c>
      <c r="AK1" s="745" t="s">
        <v>1459</v>
      </c>
      <c r="AL1" s="745" t="s">
        <v>1381</v>
      </c>
      <c r="AM1" s="745" t="s">
        <v>1382</v>
      </c>
    </row>
    <row r="2" spans="1:39" ht="30" x14ac:dyDescent="0.25">
      <c r="A2" s="646" t="s">
        <v>303</v>
      </c>
      <c r="B2" s="646" t="s">
        <v>1306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D2" s="674"/>
      <c r="AE2" s="674"/>
      <c r="AF2" s="674"/>
      <c r="AG2" s="674"/>
      <c r="AH2" s="674"/>
      <c r="AI2" s="674"/>
      <c r="AJ2" s="674"/>
      <c r="AK2" s="674"/>
      <c r="AL2" s="674"/>
      <c r="AM2" s="674"/>
    </row>
    <row r="3" spans="1:39" x14ac:dyDescent="0.25">
      <c r="A3" s="646" t="s">
        <v>304</v>
      </c>
      <c r="B3" s="646" t="s">
        <v>1307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674"/>
    </row>
    <row r="4" spans="1:39" ht="30" customHeight="1" x14ac:dyDescent="0.25">
      <c r="A4" s="897" t="s">
        <v>305</v>
      </c>
      <c r="B4" s="942" t="s">
        <v>306</v>
      </c>
      <c r="C4" s="591" t="s">
        <v>1193</v>
      </c>
      <c r="D4" s="898" t="s">
        <v>1279</v>
      </c>
      <c r="E4" s="918"/>
      <c r="F4" s="918"/>
      <c r="G4" s="919"/>
      <c r="H4" s="898" t="s">
        <v>1395</v>
      </c>
      <c r="I4" s="918"/>
      <c r="J4" s="918"/>
      <c r="K4" s="919"/>
      <c r="L4" s="898" t="s">
        <v>1397</v>
      </c>
      <c r="M4" s="918"/>
      <c r="N4" s="918"/>
      <c r="O4" s="919"/>
      <c r="P4" s="898" t="s">
        <v>1246</v>
      </c>
      <c r="Q4" s="901"/>
      <c r="R4" s="901"/>
      <c r="S4" s="902"/>
      <c r="T4" s="898" t="s">
        <v>1387</v>
      </c>
      <c r="U4" s="901"/>
      <c r="V4" s="901"/>
      <c r="W4" s="902"/>
      <c r="X4" s="898" t="s">
        <v>1414</v>
      </c>
      <c r="Y4" s="918"/>
      <c r="Z4" s="918"/>
      <c r="AA4" s="919"/>
      <c r="AB4" s="898" t="s">
        <v>1455</v>
      </c>
      <c r="AC4" s="918"/>
      <c r="AD4" s="918"/>
      <c r="AE4" s="919"/>
      <c r="AF4" s="898" t="s">
        <v>1445</v>
      </c>
      <c r="AG4" s="918"/>
      <c r="AH4" s="918"/>
      <c r="AI4" s="919"/>
      <c r="AJ4" s="898" t="s">
        <v>1456</v>
      </c>
      <c r="AK4" s="918"/>
      <c r="AL4" s="918"/>
      <c r="AM4" s="919"/>
    </row>
    <row r="5" spans="1:39" ht="60" x14ac:dyDescent="0.25">
      <c r="A5" s="897"/>
      <c r="B5" s="942"/>
      <c r="C5" s="591" t="s">
        <v>546</v>
      </c>
      <c r="D5" s="591" t="s">
        <v>1209</v>
      </c>
      <c r="E5" s="591" t="s">
        <v>1210</v>
      </c>
      <c r="F5" s="591" t="s">
        <v>1211</v>
      </c>
      <c r="G5" s="591" t="s">
        <v>546</v>
      </c>
      <c r="H5" s="591" t="s">
        <v>1209</v>
      </c>
      <c r="I5" s="591" t="s">
        <v>1210</v>
      </c>
      <c r="J5" s="591" t="s">
        <v>1211</v>
      </c>
      <c r="K5" s="591" t="s">
        <v>546</v>
      </c>
      <c r="L5" s="591" t="s">
        <v>1209</v>
      </c>
      <c r="M5" s="591" t="s">
        <v>1210</v>
      </c>
      <c r="N5" s="591" t="s">
        <v>1211</v>
      </c>
      <c r="O5" s="591" t="s">
        <v>546</v>
      </c>
      <c r="P5" s="591" t="s">
        <v>1209</v>
      </c>
      <c r="Q5" s="591" t="s">
        <v>1210</v>
      </c>
      <c r="R5" s="591" t="s">
        <v>1211</v>
      </c>
      <c r="S5" s="591" t="s">
        <v>546</v>
      </c>
      <c r="T5" s="591" t="s">
        <v>1209</v>
      </c>
      <c r="U5" s="591" t="s">
        <v>1210</v>
      </c>
      <c r="V5" s="591" t="s">
        <v>1211</v>
      </c>
      <c r="W5" s="591" t="s">
        <v>546</v>
      </c>
      <c r="X5" s="811" t="s">
        <v>1209</v>
      </c>
      <c r="Y5" s="811" t="s">
        <v>1210</v>
      </c>
      <c r="Z5" s="811" t="s">
        <v>1211</v>
      </c>
      <c r="AA5" s="811" t="s">
        <v>546</v>
      </c>
      <c r="AB5" s="857" t="s">
        <v>1209</v>
      </c>
      <c r="AC5" s="857" t="s">
        <v>1210</v>
      </c>
      <c r="AD5" s="857" t="s">
        <v>1211</v>
      </c>
      <c r="AE5" s="857" t="s">
        <v>546</v>
      </c>
      <c r="AF5" s="883" t="s">
        <v>1209</v>
      </c>
      <c r="AG5" s="883" t="s">
        <v>1210</v>
      </c>
      <c r="AH5" s="883" t="s">
        <v>1211</v>
      </c>
      <c r="AI5" s="883" t="s">
        <v>546</v>
      </c>
      <c r="AJ5" s="883" t="s">
        <v>1209</v>
      </c>
      <c r="AK5" s="883" t="s">
        <v>1210</v>
      </c>
      <c r="AL5" s="883" t="s">
        <v>1211</v>
      </c>
      <c r="AM5" s="883" t="s">
        <v>546</v>
      </c>
    </row>
    <row r="6" spans="1:39" hidden="1" x14ac:dyDescent="0.25">
      <c r="A6" s="290"/>
      <c r="B6" s="291" t="s">
        <v>307</v>
      </c>
      <c r="C6" s="292"/>
      <c r="D6" s="292">
        <v>4</v>
      </c>
      <c r="E6" s="292">
        <v>1</v>
      </c>
      <c r="F6" s="292"/>
      <c r="G6" s="292">
        <f>SUM(D6:F6)</f>
        <v>5</v>
      </c>
      <c r="H6" s="292">
        <v>4</v>
      </c>
      <c r="I6" s="292">
        <v>1</v>
      </c>
      <c r="J6" s="292"/>
      <c r="K6" s="292">
        <f>SUM(H6:J6)</f>
        <v>5</v>
      </c>
      <c r="L6" s="292">
        <v>4</v>
      </c>
      <c r="M6" s="292">
        <v>1</v>
      </c>
      <c r="N6" s="292"/>
      <c r="O6" s="292">
        <f>SUM(L6:N6)</f>
        <v>5</v>
      </c>
      <c r="P6" s="292">
        <v>4</v>
      </c>
      <c r="Q6" s="292">
        <v>1</v>
      </c>
      <c r="R6" s="292"/>
      <c r="S6" s="292">
        <f>SUM(P6:R6)</f>
        <v>5</v>
      </c>
      <c r="T6" s="292">
        <v>0</v>
      </c>
      <c r="U6" s="292">
        <v>0</v>
      </c>
      <c r="V6" s="292"/>
      <c r="W6" s="292">
        <f>SUM(T6:V6)</f>
        <v>0</v>
      </c>
      <c r="X6" s="292">
        <v>4</v>
      </c>
      <c r="Y6" s="292">
        <v>1</v>
      </c>
      <c r="Z6" s="292"/>
      <c r="AA6" s="292">
        <f>SUM(X6:Z6)</f>
        <v>5</v>
      </c>
      <c r="AB6" s="292">
        <v>4</v>
      </c>
      <c r="AC6" s="292">
        <v>1</v>
      </c>
      <c r="AD6" s="292"/>
      <c r="AE6" s="292">
        <v>5</v>
      </c>
      <c r="AF6" s="292">
        <v>4.8571428571428603</v>
      </c>
      <c r="AG6" s="292">
        <v>5.4285714285714297</v>
      </c>
      <c r="AH6" s="292">
        <v>6</v>
      </c>
      <c r="AI6" s="292">
        <v>6.5714285714285703</v>
      </c>
      <c r="AJ6" s="292">
        <v>7.1428571428571397</v>
      </c>
      <c r="AK6" s="292">
        <v>7.71428571428571</v>
      </c>
      <c r="AL6" s="292">
        <v>8.2857142857142794</v>
      </c>
      <c r="AM6" s="292">
        <v>8.8571428571428505</v>
      </c>
    </row>
    <row r="7" spans="1:39" hidden="1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42" si="2">SUM(L7:N7)</f>
        <v>0</v>
      </c>
      <c r="P7" s="292"/>
      <c r="Q7" s="292"/>
      <c r="R7" s="292"/>
      <c r="S7" s="292">
        <f t="shared" ref="S7:S42" si="3">SUM(P7:R7)</f>
        <v>0</v>
      </c>
      <c r="T7" s="292"/>
      <c r="U7" s="292"/>
      <c r="V7" s="292"/>
      <c r="W7" s="292">
        <f t="shared" ref="W7:W42" si="4">SUM(T7:V7)</f>
        <v>0</v>
      </c>
      <c r="X7" s="292"/>
      <c r="Y7" s="292"/>
      <c r="Z7" s="292"/>
      <c r="AA7" s="292">
        <f t="shared" ref="AA7:AA42" si="5">SUM(X7:Z7)</f>
        <v>0</v>
      </c>
      <c r="AB7" s="292"/>
      <c r="AC7" s="292"/>
      <c r="AD7" s="292"/>
      <c r="AE7" s="292">
        <v>0</v>
      </c>
      <c r="AF7" s="292"/>
      <c r="AG7" s="292"/>
      <c r="AH7" s="292"/>
      <c r="AI7" s="292">
        <v>0</v>
      </c>
      <c r="AJ7" s="292"/>
      <c r="AK7" s="292"/>
      <c r="AL7" s="292"/>
      <c r="AM7" s="292">
        <v>0</v>
      </c>
    </row>
    <row r="8" spans="1:39" x14ac:dyDescent="0.25">
      <c r="A8" s="293" t="s">
        <v>309</v>
      </c>
      <c r="B8" s="294" t="s">
        <v>310</v>
      </c>
      <c r="C8" s="295">
        <f>C9+C11+C20</f>
        <v>170</v>
      </c>
      <c r="D8" s="295">
        <f t="shared" ref="D8:F8" si="6">D9+D11+D20</f>
        <v>700</v>
      </c>
      <c r="E8" s="295">
        <f t="shared" si="6"/>
        <v>0</v>
      </c>
      <c r="F8" s="295">
        <f t="shared" si="6"/>
        <v>0</v>
      </c>
      <c r="G8" s="295">
        <f t="shared" si="0"/>
        <v>700</v>
      </c>
      <c r="H8" s="295">
        <f t="shared" ref="H8:J8" si="7">H9+H11+H20</f>
        <v>1053</v>
      </c>
      <c r="I8" s="295">
        <f t="shared" si="7"/>
        <v>0</v>
      </c>
      <c r="J8" s="295">
        <f t="shared" si="7"/>
        <v>0</v>
      </c>
      <c r="K8" s="295">
        <f t="shared" si="1"/>
        <v>1053</v>
      </c>
      <c r="L8" s="295">
        <f t="shared" ref="L8:N8" si="8">L9+L11+L20</f>
        <v>1659</v>
      </c>
      <c r="M8" s="295">
        <f t="shared" si="8"/>
        <v>0</v>
      </c>
      <c r="N8" s="295">
        <f t="shared" si="8"/>
        <v>0</v>
      </c>
      <c r="O8" s="295">
        <f t="shared" si="2"/>
        <v>1659</v>
      </c>
      <c r="P8" s="295">
        <f t="shared" ref="P8:R8" si="9">P9+P11+P20</f>
        <v>93</v>
      </c>
      <c r="Q8" s="295">
        <f t="shared" si="9"/>
        <v>0</v>
      </c>
      <c r="R8" s="295">
        <f t="shared" si="9"/>
        <v>0</v>
      </c>
      <c r="S8" s="295">
        <f t="shared" si="3"/>
        <v>93</v>
      </c>
      <c r="T8" s="295">
        <f t="shared" ref="T8:V8" si="10">T9+T11+T20</f>
        <v>478</v>
      </c>
      <c r="U8" s="295">
        <f t="shared" si="10"/>
        <v>0</v>
      </c>
      <c r="V8" s="295">
        <f t="shared" si="10"/>
        <v>0</v>
      </c>
      <c r="W8" s="295">
        <f t="shared" si="4"/>
        <v>478</v>
      </c>
      <c r="X8" s="295">
        <f t="shared" ref="X8:AE8" si="11">X9+X11+X20</f>
        <v>700</v>
      </c>
      <c r="Y8" s="295">
        <f t="shared" si="11"/>
        <v>0</v>
      </c>
      <c r="Z8" s="295">
        <f t="shared" si="11"/>
        <v>0</v>
      </c>
      <c r="AA8" s="295">
        <f t="shared" si="11"/>
        <v>700</v>
      </c>
      <c r="AB8" s="295">
        <f t="shared" si="11"/>
        <v>2728</v>
      </c>
      <c r="AC8" s="295">
        <f t="shared" si="11"/>
        <v>0</v>
      </c>
      <c r="AD8" s="295">
        <f t="shared" si="11"/>
        <v>0</v>
      </c>
      <c r="AE8" s="295">
        <f t="shared" si="11"/>
        <v>2728</v>
      </c>
      <c r="AF8" s="295">
        <f t="shared" ref="AF8:AI8" si="12">AF9+AF11+AF20</f>
        <v>4448</v>
      </c>
      <c r="AG8" s="295">
        <f t="shared" si="12"/>
        <v>0</v>
      </c>
      <c r="AH8" s="295">
        <f t="shared" si="12"/>
        <v>0</v>
      </c>
      <c r="AI8" s="295">
        <f t="shared" si="12"/>
        <v>4448</v>
      </c>
      <c r="AJ8" s="295">
        <f t="shared" ref="AJ8:AM8" si="13">AJ9+AJ11+AJ20</f>
        <v>2972</v>
      </c>
      <c r="AK8" s="295">
        <f t="shared" si="13"/>
        <v>0</v>
      </c>
      <c r="AL8" s="295">
        <f t="shared" si="13"/>
        <v>0</v>
      </c>
      <c r="AM8" s="295">
        <f t="shared" si="13"/>
        <v>2972</v>
      </c>
    </row>
    <row r="9" spans="1:39" x14ac:dyDescent="0.25">
      <c r="A9" s="649" t="s">
        <v>311</v>
      </c>
      <c r="B9" s="681" t="s">
        <v>312</v>
      </c>
      <c r="C9" s="682">
        <f>C10</f>
        <v>0</v>
      </c>
      <c r="D9" s="682">
        <f t="shared" ref="D9:Z9" si="14">D10</f>
        <v>0</v>
      </c>
      <c r="E9" s="682">
        <f t="shared" si="14"/>
        <v>0</v>
      </c>
      <c r="F9" s="682">
        <f t="shared" si="14"/>
        <v>0</v>
      </c>
      <c r="G9" s="682">
        <f t="shared" si="0"/>
        <v>0</v>
      </c>
      <c r="H9" s="682">
        <f t="shared" si="14"/>
        <v>0</v>
      </c>
      <c r="I9" s="682">
        <f t="shared" si="14"/>
        <v>0</v>
      </c>
      <c r="J9" s="682">
        <f t="shared" si="14"/>
        <v>0</v>
      </c>
      <c r="K9" s="682">
        <f t="shared" si="1"/>
        <v>0</v>
      </c>
      <c r="L9" s="682">
        <f t="shared" si="14"/>
        <v>607</v>
      </c>
      <c r="M9" s="682">
        <f t="shared" si="14"/>
        <v>0</v>
      </c>
      <c r="N9" s="682">
        <f t="shared" si="14"/>
        <v>0</v>
      </c>
      <c r="O9" s="682">
        <f t="shared" si="2"/>
        <v>607</v>
      </c>
      <c r="P9" s="682">
        <f t="shared" si="14"/>
        <v>0</v>
      </c>
      <c r="Q9" s="682">
        <f t="shared" si="14"/>
        <v>0</v>
      </c>
      <c r="R9" s="682">
        <f t="shared" si="14"/>
        <v>0</v>
      </c>
      <c r="S9" s="682">
        <f t="shared" si="3"/>
        <v>0</v>
      </c>
      <c r="T9" s="682">
        <f t="shared" si="14"/>
        <v>0</v>
      </c>
      <c r="U9" s="682">
        <f t="shared" si="14"/>
        <v>0</v>
      </c>
      <c r="V9" s="682">
        <f t="shared" si="14"/>
        <v>0</v>
      </c>
      <c r="W9" s="682">
        <f t="shared" si="4"/>
        <v>0</v>
      </c>
      <c r="X9" s="682">
        <f t="shared" si="14"/>
        <v>0</v>
      </c>
      <c r="Y9" s="682">
        <f t="shared" si="14"/>
        <v>0</v>
      </c>
      <c r="Z9" s="682">
        <f t="shared" si="14"/>
        <v>0</v>
      </c>
      <c r="AA9" s="682">
        <f t="shared" si="5"/>
        <v>0</v>
      </c>
      <c r="AB9" s="682">
        <f>SUM(AB10)</f>
        <v>1934</v>
      </c>
      <c r="AC9" s="682">
        <v>0</v>
      </c>
      <c r="AD9" s="682">
        <v>0</v>
      </c>
      <c r="AE9" s="682">
        <f>SUM(AB9:AD9)</f>
        <v>1934</v>
      </c>
      <c r="AF9" s="682">
        <f>SUM(AF10)</f>
        <v>3654</v>
      </c>
      <c r="AG9" s="682">
        <v>0</v>
      </c>
      <c r="AH9" s="682">
        <v>0</v>
      </c>
      <c r="AI9" s="682">
        <f>SUM(AF9:AH9)</f>
        <v>3654</v>
      </c>
      <c r="AJ9" s="682">
        <f>SUM(AJ10)</f>
        <v>2635</v>
      </c>
      <c r="AK9" s="682">
        <v>0</v>
      </c>
      <c r="AL9" s="682">
        <v>0</v>
      </c>
      <c r="AM9" s="682">
        <f>SUM(AJ9:AL9)</f>
        <v>2635</v>
      </c>
    </row>
    <row r="10" spans="1:39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0</v>
      </c>
      <c r="I10" s="239">
        <v>0</v>
      </c>
      <c r="J10" s="239">
        <v>0</v>
      </c>
      <c r="K10" s="239">
        <f t="shared" si="1"/>
        <v>0</v>
      </c>
      <c r="L10" s="239">
        <v>607</v>
      </c>
      <c r="M10" s="239">
        <v>0</v>
      </c>
      <c r="N10" s="239">
        <v>0</v>
      </c>
      <c r="O10" s="239">
        <f t="shared" si="2"/>
        <v>607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0</v>
      </c>
      <c r="U10" s="239">
        <v>0</v>
      </c>
      <c r="V10" s="239">
        <v>0</v>
      </c>
      <c r="W10" s="239">
        <f t="shared" si="4"/>
        <v>0</v>
      </c>
      <c r="X10" s="239"/>
      <c r="Y10" s="239">
        <v>0</v>
      </c>
      <c r="Z10" s="239">
        <v>0</v>
      </c>
      <c r="AA10" s="239">
        <f t="shared" si="5"/>
        <v>0</v>
      </c>
      <c r="AB10" s="239">
        <v>1934</v>
      </c>
      <c r="AC10" s="239">
        <v>0</v>
      </c>
      <c r="AD10" s="239">
        <v>0</v>
      </c>
      <c r="AE10" s="239">
        <f>SUM(AB10:AD10)</f>
        <v>1934</v>
      </c>
      <c r="AF10" s="239">
        <v>3654</v>
      </c>
      <c r="AG10" s="239"/>
      <c r="AH10" s="239"/>
      <c r="AI10" s="239">
        <f>SUM(AF10:AH10)</f>
        <v>3654</v>
      </c>
      <c r="AJ10" s="239">
        <v>2635</v>
      </c>
      <c r="AK10" s="239"/>
      <c r="AL10" s="239"/>
      <c r="AM10" s="239">
        <f>SUM(AJ10:AL10)</f>
        <v>2635</v>
      </c>
    </row>
    <row r="11" spans="1:39" x14ac:dyDescent="0.25">
      <c r="A11" s="649" t="s">
        <v>322</v>
      </c>
      <c r="B11" s="681" t="s">
        <v>314</v>
      </c>
      <c r="C11" s="682">
        <f>C12+C13+C14+C15+C16+C17+C18+C19</f>
        <v>170</v>
      </c>
      <c r="D11" s="682">
        <f t="shared" ref="D11:F11" si="15">D12+D13+D14+D15+D16+D17+D18+D19</f>
        <v>700</v>
      </c>
      <c r="E11" s="682">
        <f t="shared" si="15"/>
        <v>0</v>
      </c>
      <c r="F11" s="682">
        <f t="shared" si="15"/>
        <v>0</v>
      </c>
      <c r="G11" s="682">
        <f t="shared" si="0"/>
        <v>700</v>
      </c>
      <c r="H11" s="682">
        <f t="shared" ref="H11:J11" si="16">H12+H13+H14+H15+H16+H17+H18+H19</f>
        <v>1053</v>
      </c>
      <c r="I11" s="682">
        <f t="shared" si="16"/>
        <v>0</v>
      </c>
      <c r="J11" s="682">
        <f t="shared" si="16"/>
        <v>0</v>
      </c>
      <c r="K11" s="682">
        <f t="shared" si="1"/>
        <v>1053</v>
      </c>
      <c r="L11" s="682">
        <f t="shared" ref="L11:N11" si="17">L12+L13+L14+L15+L16+L17+L18+L19</f>
        <v>1052</v>
      </c>
      <c r="M11" s="682">
        <f t="shared" si="17"/>
        <v>0</v>
      </c>
      <c r="N11" s="682">
        <f t="shared" si="17"/>
        <v>0</v>
      </c>
      <c r="O11" s="682">
        <f t="shared" si="2"/>
        <v>1052</v>
      </c>
      <c r="P11" s="682">
        <f t="shared" ref="P11:R11" si="18">P12+P13+P14+P15+P16+P17+P18+P19</f>
        <v>93</v>
      </c>
      <c r="Q11" s="682">
        <f t="shared" si="18"/>
        <v>0</v>
      </c>
      <c r="R11" s="682">
        <f t="shared" si="18"/>
        <v>0</v>
      </c>
      <c r="S11" s="682">
        <f t="shared" si="3"/>
        <v>93</v>
      </c>
      <c r="T11" s="682">
        <f t="shared" ref="T11:V11" si="19">T12+T13+T14+T15+T16+T17+T18+T19</f>
        <v>478</v>
      </c>
      <c r="U11" s="682">
        <f t="shared" si="19"/>
        <v>0</v>
      </c>
      <c r="V11" s="682">
        <f t="shared" si="19"/>
        <v>0</v>
      </c>
      <c r="W11" s="682">
        <f t="shared" si="4"/>
        <v>478</v>
      </c>
      <c r="X11" s="682">
        <f t="shared" ref="X11:Z11" si="20">X12+X13+X14+X15+X16+X17+X18+X19</f>
        <v>700</v>
      </c>
      <c r="Y11" s="682">
        <f t="shared" si="20"/>
        <v>0</v>
      </c>
      <c r="Z11" s="682">
        <f t="shared" si="20"/>
        <v>0</v>
      </c>
      <c r="AA11" s="682">
        <f t="shared" si="5"/>
        <v>700</v>
      </c>
      <c r="AB11" s="682">
        <v>700</v>
      </c>
      <c r="AC11" s="682">
        <v>0</v>
      </c>
      <c r="AD11" s="682">
        <v>0</v>
      </c>
      <c r="AE11" s="682">
        <v>700</v>
      </c>
      <c r="AF11" s="682">
        <f>SUM(AF12:AF19)</f>
        <v>700</v>
      </c>
      <c r="AG11" s="682">
        <f t="shared" ref="AG11:AH11" si="21">SUM(AG12:AG19)</f>
        <v>0</v>
      </c>
      <c r="AH11" s="682">
        <f t="shared" si="21"/>
        <v>0</v>
      </c>
      <c r="AI11" s="682">
        <f>SUM(AF11:AH11)</f>
        <v>700</v>
      </c>
      <c r="AJ11" s="682">
        <f>SUM(AJ12:AJ19)</f>
        <v>243</v>
      </c>
      <c r="AK11" s="682">
        <f t="shared" ref="AK11" si="22">SUM(AK12:AK19)</f>
        <v>0</v>
      </c>
      <c r="AL11" s="682">
        <f t="shared" ref="AL11" si="23">SUM(AL12:AL19)</f>
        <v>0</v>
      </c>
      <c r="AM11" s="682">
        <f>SUM(AJ11:AL11)</f>
        <v>243</v>
      </c>
    </row>
    <row r="12" spans="1:39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X12" s="239"/>
      <c r="Y12" s="239">
        <v>0</v>
      </c>
      <c r="Z12" s="239">
        <v>0</v>
      </c>
      <c r="AA12" s="239">
        <f t="shared" si="5"/>
        <v>0</v>
      </c>
      <c r="AB12" s="239"/>
      <c r="AC12" s="239">
        <v>0</v>
      </c>
      <c r="AD12" s="239">
        <v>0</v>
      </c>
      <c r="AE12" s="239">
        <v>0</v>
      </c>
      <c r="AF12" s="239"/>
      <c r="AG12" s="239"/>
      <c r="AH12" s="239"/>
      <c r="AI12" s="239">
        <f>SUM(AF12:AH12)</f>
        <v>0</v>
      </c>
      <c r="AJ12" s="239"/>
      <c r="AK12" s="239"/>
      <c r="AL12" s="239"/>
      <c r="AM12" s="239">
        <f>SUM(AJ12:AL12)</f>
        <v>0</v>
      </c>
    </row>
    <row r="13" spans="1:39" x14ac:dyDescent="0.25">
      <c r="A13" s="328"/>
      <c r="B13" s="299" t="s">
        <v>650</v>
      </c>
      <c r="C13" s="239">
        <v>170</v>
      </c>
      <c r="D13" s="239">
        <v>600</v>
      </c>
      <c r="E13" s="239">
        <v>0</v>
      </c>
      <c r="F13" s="239">
        <v>0</v>
      </c>
      <c r="G13" s="239">
        <f t="shared" si="0"/>
        <v>600</v>
      </c>
      <c r="H13" s="239">
        <v>600</v>
      </c>
      <c r="I13" s="239">
        <v>0</v>
      </c>
      <c r="J13" s="239">
        <v>0</v>
      </c>
      <c r="K13" s="239">
        <f t="shared" si="1"/>
        <v>600</v>
      </c>
      <c r="L13" s="239">
        <v>600</v>
      </c>
      <c r="M13" s="239">
        <v>0</v>
      </c>
      <c r="N13" s="239">
        <v>0</v>
      </c>
      <c r="O13" s="239">
        <f t="shared" si="2"/>
        <v>600</v>
      </c>
      <c r="P13" s="239">
        <v>89</v>
      </c>
      <c r="Q13" s="239">
        <v>0</v>
      </c>
      <c r="R13" s="239">
        <v>0</v>
      </c>
      <c r="S13" s="239">
        <f t="shared" si="3"/>
        <v>89</v>
      </c>
      <c r="T13" s="239">
        <v>79</v>
      </c>
      <c r="U13" s="239">
        <v>0</v>
      </c>
      <c r="V13" s="239">
        <v>0</v>
      </c>
      <c r="W13" s="239">
        <f t="shared" si="4"/>
        <v>79</v>
      </c>
      <c r="X13" s="239">
        <v>600</v>
      </c>
      <c r="Y13" s="239">
        <v>0</v>
      </c>
      <c r="Z13" s="239">
        <v>0</v>
      </c>
      <c r="AA13" s="239">
        <f t="shared" si="5"/>
        <v>600</v>
      </c>
      <c r="AB13" s="239">
        <v>600</v>
      </c>
      <c r="AC13" s="239">
        <v>0</v>
      </c>
      <c r="AD13" s="239">
        <v>0</v>
      </c>
      <c r="AE13" s="239">
        <v>600</v>
      </c>
      <c r="AF13" s="239">
        <v>600</v>
      </c>
      <c r="AG13" s="239"/>
      <c r="AH13" s="239"/>
      <c r="AI13" s="239">
        <f t="shared" ref="AI13:AI19" si="24">SUM(AF13:AH13)</f>
        <v>600</v>
      </c>
      <c r="AJ13" s="239">
        <v>243</v>
      </c>
      <c r="AK13" s="239"/>
      <c r="AL13" s="239"/>
      <c r="AM13" s="239">
        <f t="shared" ref="AM13:AM19" si="25">SUM(AJ13:AL13)</f>
        <v>243</v>
      </c>
    </row>
    <row r="14" spans="1:39" x14ac:dyDescent="0.25">
      <c r="A14" s="328"/>
      <c r="B14" s="299" t="s">
        <v>659</v>
      </c>
      <c r="C14" s="239">
        <v>0</v>
      </c>
      <c r="D14" s="239">
        <v>0</v>
      </c>
      <c r="E14" s="239">
        <v>0</v>
      </c>
      <c r="F14" s="239">
        <v>0</v>
      </c>
      <c r="G14" s="239">
        <f t="shared" si="0"/>
        <v>0</v>
      </c>
      <c r="H14" s="239">
        <v>0</v>
      </c>
      <c r="I14" s="239">
        <v>0</v>
      </c>
      <c r="J14" s="239">
        <v>0</v>
      </c>
      <c r="K14" s="239">
        <f t="shared" si="1"/>
        <v>0</v>
      </c>
      <c r="L14" s="239">
        <v>0</v>
      </c>
      <c r="M14" s="239">
        <v>0</v>
      </c>
      <c r="N14" s="239">
        <v>0</v>
      </c>
      <c r="O14" s="239">
        <f t="shared" si="2"/>
        <v>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  <c r="X14" s="239"/>
      <c r="Y14" s="239">
        <v>0</v>
      </c>
      <c r="Z14" s="239">
        <v>0</v>
      </c>
      <c r="AA14" s="239">
        <f t="shared" si="5"/>
        <v>0</v>
      </c>
      <c r="AB14" s="239"/>
      <c r="AC14" s="239">
        <v>0</v>
      </c>
      <c r="AD14" s="239">
        <v>0</v>
      </c>
      <c r="AE14" s="239">
        <v>0</v>
      </c>
      <c r="AF14" s="239"/>
      <c r="AG14" s="239"/>
      <c r="AH14" s="239"/>
      <c r="AI14" s="239">
        <f t="shared" si="24"/>
        <v>0</v>
      </c>
      <c r="AJ14" s="239"/>
      <c r="AK14" s="239"/>
      <c r="AL14" s="239"/>
      <c r="AM14" s="239">
        <f t="shared" si="25"/>
        <v>0</v>
      </c>
    </row>
    <row r="15" spans="1:39" x14ac:dyDescent="0.25">
      <c r="A15" s="328"/>
      <c r="B15" s="299" t="s">
        <v>660</v>
      </c>
      <c r="C15" s="239">
        <v>0</v>
      </c>
      <c r="D15" s="239">
        <v>0</v>
      </c>
      <c r="E15" s="239">
        <v>0</v>
      </c>
      <c r="F15" s="239">
        <v>0</v>
      </c>
      <c r="G15" s="239">
        <f t="shared" si="0"/>
        <v>0</v>
      </c>
      <c r="H15" s="239">
        <v>0</v>
      </c>
      <c r="I15" s="239">
        <v>0</v>
      </c>
      <c r="J15" s="239">
        <v>0</v>
      </c>
      <c r="K15" s="239">
        <f t="shared" si="1"/>
        <v>0</v>
      </c>
      <c r="L15" s="239">
        <v>0</v>
      </c>
      <c r="M15" s="239">
        <v>0</v>
      </c>
      <c r="N15" s="239">
        <v>0</v>
      </c>
      <c r="O15" s="239">
        <f t="shared" si="2"/>
        <v>0</v>
      </c>
      <c r="P15" s="239">
        <v>0</v>
      </c>
      <c r="Q15" s="239">
        <v>0</v>
      </c>
      <c r="R15" s="239">
        <v>0</v>
      </c>
      <c r="S15" s="239">
        <f t="shared" si="3"/>
        <v>0</v>
      </c>
      <c r="T15" s="239">
        <v>0</v>
      </c>
      <c r="U15" s="239">
        <v>0</v>
      </c>
      <c r="V15" s="239">
        <v>0</v>
      </c>
      <c r="W15" s="239">
        <f t="shared" si="4"/>
        <v>0</v>
      </c>
      <c r="X15" s="239"/>
      <c r="Y15" s="239">
        <v>0</v>
      </c>
      <c r="Z15" s="239">
        <v>0</v>
      </c>
      <c r="AA15" s="239">
        <f t="shared" si="5"/>
        <v>0</v>
      </c>
      <c r="AB15" s="239"/>
      <c r="AC15" s="239">
        <v>0</v>
      </c>
      <c r="AD15" s="239">
        <v>0</v>
      </c>
      <c r="AE15" s="239">
        <v>0</v>
      </c>
      <c r="AF15" s="239"/>
      <c r="AG15" s="239"/>
      <c r="AH15" s="239"/>
      <c r="AI15" s="239">
        <f t="shared" si="24"/>
        <v>0</v>
      </c>
      <c r="AJ15" s="239"/>
      <c r="AK15" s="239"/>
      <c r="AL15" s="239"/>
      <c r="AM15" s="239">
        <f t="shared" si="25"/>
        <v>0</v>
      </c>
    </row>
    <row r="16" spans="1:39" x14ac:dyDescent="0.25">
      <c r="A16" s="328"/>
      <c r="B16" s="299" t="s">
        <v>661</v>
      </c>
      <c r="C16" s="239">
        <v>0</v>
      </c>
      <c r="D16" s="239">
        <v>0</v>
      </c>
      <c r="E16" s="239">
        <v>0</v>
      </c>
      <c r="F16" s="239">
        <v>0</v>
      </c>
      <c r="G16" s="239">
        <f t="shared" si="0"/>
        <v>0</v>
      </c>
      <c r="H16" s="239">
        <v>0</v>
      </c>
      <c r="I16" s="239">
        <v>0</v>
      </c>
      <c r="J16" s="239">
        <v>0</v>
      </c>
      <c r="K16" s="239">
        <f t="shared" si="1"/>
        <v>0</v>
      </c>
      <c r="L16" s="239">
        <v>0</v>
      </c>
      <c r="M16" s="239">
        <v>0</v>
      </c>
      <c r="N16" s="239">
        <v>0</v>
      </c>
      <c r="O16" s="239">
        <f t="shared" si="2"/>
        <v>0</v>
      </c>
      <c r="P16" s="239">
        <v>0</v>
      </c>
      <c r="Q16" s="239">
        <v>0</v>
      </c>
      <c r="R16" s="239">
        <v>0</v>
      </c>
      <c r="S16" s="239">
        <f t="shared" si="3"/>
        <v>0</v>
      </c>
      <c r="T16" s="239">
        <v>0</v>
      </c>
      <c r="U16" s="239">
        <v>0</v>
      </c>
      <c r="V16" s="239">
        <v>0</v>
      </c>
      <c r="W16" s="239">
        <f t="shared" si="4"/>
        <v>0</v>
      </c>
      <c r="X16" s="239"/>
      <c r="Y16" s="239">
        <v>0</v>
      </c>
      <c r="Z16" s="239">
        <v>0</v>
      </c>
      <c r="AA16" s="239">
        <f t="shared" si="5"/>
        <v>0</v>
      </c>
      <c r="AB16" s="239"/>
      <c r="AC16" s="239">
        <v>0</v>
      </c>
      <c r="AD16" s="239">
        <v>0</v>
      </c>
      <c r="AE16" s="239">
        <v>0</v>
      </c>
      <c r="AF16" s="239"/>
      <c r="AG16" s="239"/>
      <c r="AH16" s="239"/>
      <c r="AI16" s="239">
        <f t="shared" si="24"/>
        <v>0</v>
      </c>
      <c r="AJ16" s="239"/>
      <c r="AK16" s="239"/>
      <c r="AL16" s="239"/>
      <c r="AM16" s="239">
        <f t="shared" si="25"/>
        <v>0</v>
      </c>
    </row>
    <row r="17" spans="1:39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0</v>
      </c>
      <c r="Q17" s="239">
        <v>0</v>
      </c>
      <c r="R17" s="239">
        <v>0</v>
      </c>
      <c r="S17" s="239">
        <f t="shared" si="3"/>
        <v>0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/>
      <c r="Y17" s="239">
        <v>0</v>
      </c>
      <c r="Z17" s="239">
        <v>0</v>
      </c>
      <c r="AA17" s="239">
        <f t="shared" si="5"/>
        <v>0</v>
      </c>
      <c r="AB17" s="239"/>
      <c r="AC17" s="239">
        <v>0</v>
      </c>
      <c r="AD17" s="239">
        <v>0</v>
      </c>
      <c r="AE17" s="239">
        <v>0</v>
      </c>
      <c r="AF17" s="239"/>
      <c r="AG17" s="239"/>
      <c r="AH17" s="239"/>
      <c r="AI17" s="239">
        <f t="shared" si="24"/>
        <v>0</v>
      </c>
      <c r="AJ17" s="239"/>
      <c r="AK17" s="239"/>
      <c r="AL17" s="239"/>
      <c r="AM17" s="239">
        <f t="shared" si="25"/>
        <v>0</v>
      </c>
    </row>
    <row r="18" spans="1:39" x14ac:dyDescent="0.25">
      <c r="A18" s="328"/>
      <c r="B18" s="299" t="s">
        <v>663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/>
      <c r="Y18" s="239">
        <v>0</v>
      </c>
      <c r="Z18" s="239">
        <v>0</v>
      </c>
      <c r="AA18" s="239">
        <f t="shared" si="5"/>
        <v>0</v>
      </c>
      <c r="AB18" s="239"/>
      <c r="AC18" s="239">
        <v>0</v>
      </c>
      <c r="AD18" s="239">
        <v>0</v>
      </c>
      <c r="AE18" s="239">
        <v>0</v>
      </c>
      <c r="AF18" s="239"/>
      <c r="AG18" s="239"/>
      <c r="AH18" s="239"/>
      <c r="AI18" s="239">
        <f t="shared" si="24"/>
        <v>0</v>
      </c>
      <c r="AJ18" s="239"/>
      <c r="AK18" s="239"/>
      <c r="AL18" s="239"/>
      <c r="AM18" s="239">
        <f t="shared" si="25"/>
        <v>0</v>
      </c>
    </row>
    <row r="19" spans="1:39" x14ac:dyDescent="0.25">
      <c r="A19" s="328"/>
      <c r="B19" s="299" t="s">
        <v>664</v>
      </c>
      <c r="C19" s="239">
        <v>0</v>
      </c>
      <c r="D19" s="239">
        <v>100</v>
      </c>
      <c r="E19" s="239">
        <v>0</v>
      </c>
      <c r="F19" s="239">
        <v>0</v>
      </c>
      <c r="G19" s="239">
        <f t="shared" si="0"/>
        <v>100</v>
      </c>
      <c r="H19" s="239">
        <v>453</v>
      </c>
      <c r="I19" s="239">
        <v>0</v>
      </c>
      <c r="J19" s="239">
        <v>0</v>
      </c>
      <c r="K19" s="239">
        <f t="shared" si="1"/>
        <v>453</v>
      </c>
      <c r="L19" s="239">
        <v>452</v>
      </c>
      <c r="M19" s="239">
        <v>0</v>
      </c>
      <c r="N19" s="239">
        <v>0</v>
      </c>
      <c r="O19" s="239">
        <f t="shared" si="2"/>
        <v>452</v>
      </c>
      <c r="P19" s="239">
        <v>4</v>
      </c>
      <c r="Q19" s="239">
        <v>0</v>
      </c>
      <c r="R19" s="239">
        <v>0</v>
      </c>
      <c r="S19" s="239">
        <f t="shared" si="3"/>
        <v>4</v>
      </c>
      <c r="T19" s="239">
        <v>399</v>
      </c>
      <c r="U19" s="239">
        <v>0</v>
      </c>
      <c r="V19" s="239">
        <v>0</v>
      </c>
      <c r="W19" s="239">
        <f t="shared" si="4"/>
        <v>399</v>
      </c>
      <c r="X19" s="239">
        <v>100</v>
      </c>
      <c r="Y19" s="239">
        <v>0</v>
      </c>
      <c r="Z19" s="239">
        <v>0</v>
      </c>
      <c r="AA19" s="239">
        <f t="shared" si="5"/>
        <v>100</v>
      </c>
      <c r="AB19" s="239">
        <v>100</v>
      </c>
      <c r="AC19" s="239">
        <v>0</v>
      </c>
      <c r="AD19" s="239">
        <v>0</v>
      </c>
      <c r="AE19" s="239">
        <v>100</v>
      </c>
      <c r="AF19" s="239">
        <v>100</v>
      </c>
      <c r="AG19" s="239"/>
      <c r="AH19" s="239"/>
      <c r="AI19" s="239">
        <f t="shared" si="24"/>
        <v>100</v>
      </c>
      <c r="AJ19" s="239"/>
      <c r="AK19" s="239"/>
      <c r="AL19" s="239"/>
      <c r="AM19" s="239">
        <f t="shared" si="25"/>
        <v>0</v>
      </c>
    </row>
    <row r="20" spans="1:39" x14ac:dyDescent="0.25">
      <c r="A20" s="649" t="s">
        <v>315</v>
      </c>
      <c r="B20" s="681" t="s">
        <v>316</v>
      </c>
      <c r="C20" s="682">
        <f>SUM(C21:C21)</f>
        <v>0</v>
      </c>
      <c r="D20" s="682">
        <f t="shared" ref="D20:Z20" si="26">SUM(D21:D21)</f>
        <v>0</v>
      </c>
      <c r="E20" s="682">
        <f t="shared" si="26"/>
        <v>0</v>
      </c>
      <c r="F20" s="682">
        <f t="shared" si="26"/>
        <v>0</v>
      </c>
      <c r="G20" s="682">
        <f t="shared" si="0"/>
        <v>0</v>
      </c>
      <c r="H20" s="682">
        <f t="shared" si="26"/>
        <v>0</v>
      </c>
      <c r="I20" s="682">
        <f t="shared" si="26"/>
        <v>0</v>
      </c>
      <c r="J20" s="682">
        <f t="shared" si="26"/>
        <v>0</v>
      </c>
      <c r="K20" s="682">
        <f t="shared" si="1"/>
        <v>0</v>
      </c>
      <c r="L20" s="682">
        <f t="shared" si="26"/>
        <v>0</v>
      </c>
      <c r="M20" s="682">
        <f t="shared" si="26"/>
        <v>0</v>
      </c>
      <c r="N20" s="682">
        <f t="shared" si="26"/>
        <v>0</v>
      </c>
      <c r="O20" s="682">
        <f t="shared" si="2"/>
        <v>0</v>
      </c>
      <c r="P20" s="682">
        <f t="shared" si="26"/>
        <v>0</v>
      </c>
      <c r="Q20" s="682">
        <f t="shared" si="26"/>
        <v>0</v>
      </c>
      <c r="R20" s="682">
        <f t="shared" si="26"/>
        <v>0</v>
      </c>
      <c r="S20" s="682">
        <f t="shared" si="3"/>
        <v>0</v>
      </c>
      <c r="T20" s="682">
        <f t="shared" si="26"/>
        <v>0</v>
      </c>
      <c r="U20" s="682">
        <f t="shared" si="26"/>
        <v>0</v>
      </c>
      <c r="V20" s="682">
        <f t="shared" si="26"/>
        <v>0</v>
      </c>
      <c r="W20" s="682">
        <f t="shared" si="4"/>
        <v>0</v>
      </c>
      <c r="X20" s="682">
        <f t="shared" si="26"/>
        <v>0</v>
      </c>
      <c r="Y20" s="682">
        <f t="shared" si="26"/>
        <v>0</v>
      </c>
      <c r="Z20" s="682">
        <f t="shared" si="26"/>
        <v>0</v>
      </c>
      <c r="AA20" s="682">
        <f t="shared" si="5"/>
        <v>0</v>
      </c>
      <c r="AB20" s="682">
        <v>94</v>
      </c>
      <c r="AC20" s="682">
        <v>0</v>
      </c>
      <c r="AD20" s="682">
        <v>0</v>
      </c>
      <c r="AE20" s="682">
        <f>SUM(AB20:AD20)</f>
        <v>94</v>
      </c>
      <c r="AF20" s="682">
        <f>AF21</f>
        <v>94</v>
      </c>
      <c r="AG20" s="682">
        <f t="shared" ref="AG20:AH20" si="27">AG21</f>
        <v>0</v>
      </c>
      <c r="AH20" s="682">
        <f t="shared" si="27"/>
        <v>0</v>
      </c>
      <c r="AI20" s="682">
        <f>SUM(AF20:AH20)</f>
        <v>94</v>
      </c>
      <c r="AJ20" s="682">
        <f>AJ21</f>
        <v>94</v>
      </c>
      <c r="AK20" s="682">
        <f t="shared" ref="AK20" si="28">AK21</f>
        <v>0</v>
      </c>
      <c r="AL20" s="682">
        <f t="shared" ref="AL20" si="29">AL21</f>
        <v>0</v>
      </c>
      <c r="AM20" s="682">
        <f>SUM(AJ20:AL20)</f>
        <v>94</v>
      </c>
    </row>
    <row r="21" spans="1:39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0</v>
      </c>
      <c r="I21" s="239">
        <v>0</v>
      </c>
      <c r="J21" s="239">
        <v>0</v>
      </c>
      <c r="K21" s="239">
        <f t="shared" si="1"/>
        <v>0</v>
      </c>
      <c r="L21" s="239">
        <v>0</v>
      </c>
      <c r="M21" s="239">
        <v>0</v>
      </c>
      <c r="N21" s="239">
        <v>0</v>
      </c>
      <c r="O21" s="239">
        <f t="shared" si="2"/>
        <v>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  <c r="X21" s="239">
        <v>0</v>
      </c>
      <c r="Y21" s="239">
        <v>0</v>
      </c>
      <c r="Z21" s="239">
        <v>0</v>
      </c>
      <c r="AA21" s="239">
        <f t="shared" si="5"/>
        <v>0</v>
      </c>
      <c r="AB21" s="239">
        <v>94</v>
      </c>
      <c r="AC21" s="239">
        <v>0</v>
      </c>
      <c r="AD21" s="239">
        <v>0</v>
      </c>
      <c r="AE21" s="239">
        <f>SUM(AB21:AD21)</f>
        <v>94</v>
      </c>
      <c r="AF21" s="239">
        <v>94</v>
      </c>
      <c r="AG21" s="239"/>
      <c r="AH21" s="239"/>
      <c r="AI21" s="239">
        <f>SUM(AF21:AH21)</f>
        <v>94</v>
      </c>
      <c r="AJ21" s="239">
        <v>94</v>
      </c>
      <c r="AK21" s="239"/>
      <c r="AL21" s="239"/>
      <c r="AM21" s="239">
        <f>SUM(AJ21:AL21)</f>
        <v>94</v>
      </c>
    </row>
    <row r="22" spans="1:39" x14ac:dyDescent="0.25">
      <c r="A22" s="293" t="s">
        <v>318</v>
      </c>
      <c r="B22" s="294" t="s">
        <v>319</v>
      </c>
      <c r="C22" s="295">
        <f t="shared" ref="C22:F22" si="30">C23+C25+C28</f>
        <v>0</v>
      </c>
      <c r="D22" s="295">
        <f t="shared" si="30"/>
        <v>0</v>
      </c>
      <c r="E22" s="295">
        <f t="shared" si="30"/>
        <v>0</v>
      </c>
      <c r="F22" s="295">
        <f t="shared" si="30"/>
        <v>0</v>
      </c>
      <c r="G22" s="295">
        <f t="shared" si="0"/>
        <v>0</v>
      </c>
      <c r="H22" s="295">
        <f t="shared" ref="H22:J22" si="31">H23+H25+H28</f>
        <v>0</v>
      </c>
      <c r="I22" s="295">
        <f t="shared" si="31"/>
        <v>0</v>
      </c>
      <c r="J22" s="295">
        <f t="shared" si="31"/>
        <v>0</v>
      </c>
      <c r="K22" s="295">
        <f t="shared" si="1"/>
        <v>0</v>
      </c>
      <c r="L22" s="295">
        <f t="shared" ref="L22:N22" si="32">L23+L25+L28</f>
        <v>6361</v>
      </c>
      <c r="M22" s="295">
        <f t="shared" si="32"/>
        <v>0</v>
      </c>
      <c r="N22" s="295">
        <f t="shared" si="32"/>
        <v>0</v>
      </c>
      <c r="O22" s="295">
        <f t="shared" si="2"/>
        <v>6361</v>
      </c>
      <c r="P22" s="295">
        <f t="shared" ref="P22:R22" si="33">P23+P25+P28</f>
        <v>0</v>
      </c>
      <c r="Q22" s="295">
        <f t="shared" si="33"/>
        <v>0</v>
      </c>
      <c r="R22" s="295">
        <f t="shared" si="33"/>
        <v>0</v>
      </c>
      <c r="S22" s="295">
        <f t="shared" si="3"/>
        <v>0</v>
      </c>
      <c r="T22" s="295">
        <f t="shared" ref="T22:V22" si="34">T23+T25+T28</f>
        <v>0</v>
      </c>
      <c r="U22" s="295">
        <f t="shared" si="34"/>
        <v>0</v>
      </c>
      <c r="V22" s="295">
        <f t="shared" si="34"/>
        <v>0</v>
      </c>
      <c r="W22" s="295">
        <f t="shared" si="4"/>
        <v>0</v>
      </c>
      <c r="X22" s="295">
        <f t="shared" ref="X22:Z22" si="35">X23+X25+X28</f>
        <v>0</v>
      </c>
      <c r="Y22" s="295">
        <f t="shared" si="35"/>
        <v>0</v>
      </c>
      <c r="Z22" s="295">
        <f t="shared" si="35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v>0</v>
      </c>
      <c r="AK22" s="295">
        <v>0</v>
      </c>
      <c r="AL22" s="295">
        <v>0</v>
      </c>
      <c r="AM22" s="295">
        <v>0</v>
      </c>
    </row>
    <row r="23" spans="1:39" x14ac:dyDescent="0.25">
      <c r="A23" s="649" t="s">
        <v>311</v>
      </c>
      <c r="B23" s="681" t="s">
        <v>320</v>
      </c>
      <c r="C23" s="682">
        <f>SUM(C24:C24)</f>
        <v>0</v>
      </c>
      <c r="D23" s="682">
        <f t="shared" ref="D23:Z23" si="36">SUM(D24:D24)</f>
        <v>0</v>
      </c>
      <c r="E23" s="682">
        <f t="shared" si="36"/>
        <v>0</v>
      </c>
      <c r="F23" s="682">
        <f t="shared" si="36"/>
        <v>0</v>
      </c>
      <c r="G23" s="682">
        <f t="shared" si="0"/>
        <v>0</v>
      </c>
      <c r="H23" s="682">
        <f t="shared" si="36"/>
        <v>0</v>
      </c>
      <c r="I23" s="682">
        <f t="shared" si="36"/>
        <v>0</v>
      </c>
      <c r="J23" s="682">
        <f t="shared" si="36"/>
        <v>0</v>
      </c>
      <c r="K23" s="682">
        <f t="shared" si="1"/>
        <v>0</v>
      </c>
      <c r="L23" s="682">
        <f t="shared" si="36"/>
        <v>6361</v>
      </c>
      <c r="M23" s="682">
        <f t="shared" si="36"/>
        <v>0</v>
      </c>
      <c r="N23" s="682">
        <f t="shared" si="36"/>
        <v>0</v>
      </c>
      <c r="O23" s="682">
        <f t="shared" si="2"/>
        <v>6361</v>
      </c>
      <c r="P23" s="682">
        <f t="shared" si="36"/>
        <v>0</v>
      </c>
      <c r="Q23" s="682">
        <f t="shared" si="36"/>
        <v>0</v>
      </c>
      <c r="R23" s="682">
        <f t="shared" si="36"/>
        <v>0</v>
      </c>
      <c r="S23" s="682">
        <f t="shared" si="3"/>
        <v>0</v>
      </c>
      <c r="T23" s="682">
        <f t="shared" si="36"/>
        <v>0</v>
      </c>
      <c r="U23" s="682">
        <f t="shared" si="36"/>
        <v>0</v>
      </c>
      <c r="V23" s="682">
        <f t="shared" si="36"/>
        <v>0</v>
      </c>
      <c r="W23" s="682">
        <f t="shared" si="4"/>
        <v>0</v>
      </c>
      <c r="X23" s="682">
        <f t="shared" si="36"/>
        <v>0</v>
      </c>
      <c r="Y23" s="682">
        <f t="shared" si="36"/>
        <v>0</v>
      </c>
      <c r="Z23" s="682">
        <f t="shared" si="36"/>
        <v>0</v>
      </c>
      <c r="AA23" s="682">
        <f t="shared" si="5"/>
        <v>0</v>
      </c>
      <c r="AB23" s="682">
        <v>0</v>
      </c>
      <c r="AC23" s="682">
        <v>0</v>
      </c>
      <c r="AD23" s="682">
        <v>0</v>
      </c>
      <c r="AE23" s="682">
        <v>0</v>
      </c>
      <c r="AF23" s="682">
        <v>0</v>
      </c>
      <c r="AG23" s="682">
        <v>0</v>
      </c>
      <c r="AH23" s="682">
        <v>0</v>
      </c>
      <c r="AI23" s="682">
        <v>0</v>
      </c>
      <c r="AJ23" s="682">
        <v>0</v>
      </c>
      <c r="AK23" s="682">
        <v>0</v>
      </c>
      <c r="AL23" s="682">
        <v>0</v>
      </c>
      <c r="AM23" s="682">
        <v>0</v>
      </c>
    </row>
    <row r="24" spans="1:39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6361</v>
      </c>
      <c r="M24" s="239">
        <v>0</v>
      </c>
      <c r="N24" s="239">
        <v>0</v>
      </c>
      <c r="O24" s="239">
        <f t="shared" si="2"/>
        <v>6361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X24" s="239"/>
      <c r="Y24" s="239">
        <v>0</v>
      </c>
      <c r="Z24" s="239">
        <v>0</v>
      </c>
      <c r="AA24" s="239">
        <f t="shared" si="5"/>
        <v>0</v>
      </c>
      <c r="AB24" s="239"/>
      <c r="AC24" s="239">
        <v>0</v>
      </c>
      <c r="AD24" s="239">
        <v>0</v>
      </c>
      <c r="AE24" s="239">
        <v>0</v>
      </c>
      <c r="AF24" s="239"/>
      <c r="AG24" s="239">
        <v>0</v>
      </c>
      <c r="AH24" s="239">
        <v>0</v>
      </c>
      <c r="AI24" s="239">
        <v>0</v>
      </c>
      <c r="AJ24" s="239"/>
      <c r="AK24" s="239">
        <v>0</v>
      </c>
      <c r="AL24" s="239">
        <v>0</v>
      </c>
      <c r="AM24" s="239">
        <v>0</v>
      </c>
    </row>
    <row r="25" spans="1:39" x14ac:dyDescent="0.25">
      <c r="A25" s="649" t="s">
        <v>322</v>
      </c>
      <c r="B25" s="681" t="s">
        <v>257</v>
      </c>
      <c r="C25" s="682">
        <f>SUM(C26:C27)</f>
        <v>0</v>
      </c>
      <c r="D25" s="682">
        <f t="shared" ref="D25:F25" si="37">SUM(D26:D27)</f>
        <v>0</v>
      </c>
      <c r="E25" s="682">
        <f t="shared" si="37"/>
        <v>0</v>
      </c>
      <c r="F25" s="682">
        <f t="shared" si="37"/>
        <v>0</v>
      </c>
      <c r="G25" s="682">
        <f t="shared" si="0"/>
        <v>0</v>
      </c>
      <c r="H25" s="682">
        <f t="shared" ref="H25:J25" si="38">SUM(H26:H27)</f>
        <v>0</v>
      </c>
      <c r="I25" s="682">
        <f t="shared" si="38"/>
        <v>0</v>
      </c>
      <c r="J25" s="682">
        <f t="shared" si="38"/>
        <v>0</v>
      </c>
      <c r="K25" s="682">
        <f t="shared" si="1"/>
        <v>0</v>
      </c>
      <c r="L25" s="682">
        <f t="shared" ref="L25:N25" si="39">SUM(L26:L27)</f>
        <v>0</v>
      </c>
      <c r="M25" s="682">
        <f t="shared" si="39"/>
        <v>0</v>
      </c>
      <c r="N25" s="682">
        <f t="shared" si="39"/>
        <v>0</v>
      </c>
      <c r="O25" s="682">
        <f t="shared" si="2"/>
        <v>0</v>
      </c>
      <c r="P25" s="682">
        <f t="shared" ref="P25:R25" si="40">SUM(P26:P27)</f>
        <v>0</v>
      </c>
      <c r="Q25" s="682">
        <f t="shared" si="40"/>
        <v>0</v>
      </c>
      <c r="R25" s="682">
        <f t="shared" si="40"/>
        <v>0</v>
      </c>
      <c r="S25" s="682">
        <f t="shared" si="3"/>
        <v>0</v>
      </c>
      <c r="T25" s="682">
        <f t="shared" ref="T25:V25" si="41">SUM(T26:T27)</f>
        <v>0</v>
      </c>
      <c r="U25" s="682">
        <f t="shared" si="41"/>
        <v>0</v>
      </c>
      <c r="V25" s="682">
        <f t="shared" si="41"/>
        <v>0</v>
      </c>
      <c r="W25" s="682">
        <f t="shared" si="4"/>
        <v>0</v>
      </c>
      <c r="X25" s="682">
        <f t="shared" ref="X25:Z25" si="42">SUM(X26:X27)</f>
        <v>0</v>
      </c>
      <c r="Y25" s="682">
        <f t="shared" si="42"/>
        <v>0</v>
      </c>
      <c r="Z25" s="682">
        <f t="shared" si="42"/>
        <v>0</v>
      </c>
      <c r="AA25" s="682">
        <f t="shared" si="5"/>
        <v>0</v>
      </c>
      <c r="AB25" s="682">
        <v>0</v>
      </c>
      <c r="AC25" s="682">
        <v>0</v>
      </c>
      <c r="AD25" s="682">
        <v>0</v>
      </c>
      <c r="AE25" s="682">
        <v>0</v>
      </c>
      <c r="AF25" s="682">
        <v>0</v>
      </c>
      <c r="AG25" s="682">
        <v>0</v>
      </c>
      <c r="AH25" s="682">
        <v>0</v>
      </c>
      <c r="AI25" s="682">
        <v>0</v>
      </c>
      <c r="AJ25" s="682">
        <v>0</v>
      </c>
      <c r="AK25" s="682">
        <v>0</v>
      </c>
      <c r="AL25" s="682">
        <v>0</v>
      </c>
      <c r="AM25" s="682">
        <v>0</v>
      </c>
    </row>
    <row r="26" spans="1:39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>
        <v>0</v>
      </c>
      <c r="Y26" s="239">
        <v>0</v>
      </c>
      <c r="Z26" s="239">
        <v>0</v>
      </c>
      <c r="AA26" s="239">
        <f t="shared" si="5"/>
        <v>0</v>
      </c>
      <c r="AB26" s="239">
        <v>0</v>
      </c>
      <c r="AC26" s="239">
        <v>0</v>
      </c>
      <c r="AD26" s="239">
        <v>0</v>
      </c>
      <c r="AE26" s="239">
        <v>0</v>
      </c>
      <c r="AF26" s="239">
        <v>0</v>
      </c>
      <c r="AG26" s="239">
        <v>0</v>
      </c>
      <c r="AH26" s="239">
        <v>0</v>
      </c>
      <c r="AI26" s="239">
        <v>0</v>
      </c>
      <c r="AJ26" s="239">
        <v>0</v>
      </c>
      <c r="AK26" s="239">
        <v>0</v>
      </c>
      <c r="AL26" s="239">
        <v>0</v>
      </c>
      <c r="AM26" s="239">
        <v>0</v>
      </c>
    </row>
    <row r="27" spans="1:39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0</v>
      </c>
      <c r="AK27" s="239">
        <v>0</v>
      </c>
      <c r="AL27" s="239">
        <v>0</v>
      </c>
      <c r="AM27" s="239">
        <v>0</v>
      </c>
    </row>
    <row r="28" spans="1:39" x14ac:dyDescent="0.25">
      <c r="A28" s="649" t="s">
        <v>315</v>
      </c>
      <c r="B28" s="681" t="s">
        <v>325</v>
      </c>
      <c r="C28" s="682">
        <f>SUM(C29:C29)</f>
        <v>0</v>
      </c>
      <c r="D28" s="682">
        <f t="shared" ref="D28:Z28" si="43">SUM(D29:D29)</f>
        <v>0</v>
      </c>
      <c r="E28" s="682">
        <f t="shared" si="43"/>
        <v>0</v>
      </c>
      <c r="F28" s="682">
        <f t="shared" si="43"/>
        <v>0</v>
      </c>
      <c r="G28" s="682">
        <f t="shared" si="0"/>
        <v>0</v>
      </c>
      <c r="H28" s="682">
        <f t="shared" si="43"/>
        <v>0</v>
      </c>
      <c r="I28" s="682">
        <f t="shared" si="43"/>
        <v>0</v>
      </c>
      <c r="J28" s="682">
        <f t="shared" si="43"/>
        <v>0</v>
      </c>
      <c r="K28" s="682">
        <f t="shared" si="1"/>
        <v>0</v>
      </c>
      <c r="L28" s="682">
        <f t="shared" si="43"/>
        <v>0</v>
      </c>
      <c r="M28" s="682">
        <f t="shared" si="43"/>
        <v>0</v>
      </c>
      <c r="N28" s="682">
        <f t="shared" si="43"/>
        <v>0</v>
      </c>
      <c r="O28" s="682">
        <f t="shared" si="2"/>
        <v>0</v>
      </c>
      <c r="P28" s="682">
        <f t="shared" si="43"/>
        <v>0</v>
      </c>
      <c r="Q28" s="682">
        <f t="shared" si="43"/>
        <v>0</v>
      </c>
      <c r="R28" s="682">
        <f t="shared" si="43"/>
        <v>0</v>
      </c>
      <c r="S28" s="682">
        <f t="shared" si="3"/>
        <v>0</v>
      </c>
      <c r="T28" s="682">
        <f t="shared" si="43"/>
        <v>0</v>
      </c>
      <c r="U28" s="682">
        <f t="shared" si="43"/>
        <v>0</v>
      </c>
      <c r="V28" s="682">
        <f t="shared" si="43"/>
        <v>0</v>
      </c>
      <c r="W28" s="682">
        <f t="shared" si="4"/>
        <v>0</v>
      </c>
      <c r="X28" s="682">
        <f t="shared" si="43"/>
        <v>0</v>
      </c>
      <c r="Y28" s="682">
        <f t="shared" si="43"/>
        <v>0</v>
      </c>
      <c r="Z28" s="682">
        <f t="shared" si="43"/>
        <v>0</v>
      </c>
      <c r="AA28" s="682">
        <f t="shared" si="5"/>
        <v>0</v>
      </c>
      <c r="AB28" s="682">
        <v>0</v>
      </c>
      <c r="AC28" s="682">
        <v>0</v>
      </c>
      <c r="AD28" s="682">
        <v>0</v>
      </c>
      <c r="AE28" s="682">
        <v>0</v>
      </c>
      <c r="AF28" s="682">
        <v>0</v>
      </c>
      <c r="AG28" s="682">
        <v>0</v>
      </c>
      <c r="AH28" s="682">
        <v>0</v>
      </c>
      <c r="AI28" s="682">
        <v>0</v>
      </c>
      <c r="AJ28" s="682">
        <v>0</v>
      </c>
      <c r="AK28" s="682">
        <v>0</v>
      </c>
      <c r="AL28" s="682">
        <v>0</v>
      </c>
      <c r="AM28" s="682">
        <v>0</v>
      </c>
    </row>
    <row r="29" spans="1:39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>
        <v>0</v>
      </c>
      <c r="Y29" s="239">
        <v>0</v>
      </c>
      <c r="Z29" s="239">
        <v>0</v>
      </c>
      <c r="AA29" s="239">
        <f t="shared" si="5"/>
        <v>0</v>
      </c>
      <c r="AB29" s="239">
        <v>0</v>
      </c>
      <c r="AC29" s="239">
        <v>0</v>
      </c>
      <c r="AD29" s="239">
        <v>0</v>
      </c>
      <c r="AE29" s="239">
        <v>0</v>
      </c>
      <c r="AF29" s="239">
        <v>0</v>
      </c>
      <c r="AG29" s="239">
        <v>0</v>
      </c>
      <c r="AH29" s="239">
        <v>0</v>
      </c>
      <c r="AI29" s="239">
        <v>0</v>
      </c>
      <c r="AJ29" s="239">
        <v>0</v>
      </c>
      <c r="AK29" s="239">
        <v>0</v>
      </c>
      <c r="AL29" s="239">
        <v>0</v>
      </c>
      <c r="AM29" s="239">
        <v>0</v>
      </c>
    </row>
    <row r="30" spans="1:39" x14ac:dyDescent="0.25">
      <c r="A30" s="595"/>
      <c r="B30" s="590" t="s">
        <v>327</v>
      </c>
      <c r="C30" s="622">
        <f>C22+C8</f>
        <v>170</v>
      </c>
      <c r="D30" s="622">
        <f t="shared" ref="D30:F30" si="44">D22+D8</f>
        <v>700</v>
      </c>
      <c r="E30" s="622">
        <f t="shared" si="44"/>
        <v>0</v>
      </c>
      <c r="F30" s="622">
        <f t="shared" si="44"/>
        <v>0</v>
      </c>
      <c r="G30" s="622">
        <f t="shared" si="0"/>
        <v>700</v>
      </c>
      <c r="H30" s="622">
        <f t="shared" ref="H30:J30" si="45">H22+H8</f>
        <v>1053</v>
      </c>
      <c r="I30" s="622">
        <f t="shared" si="45"/>
        <v>0</v>
      </c>
      <c r="J30" s="622">
        <f t="shared" si="45"/>
        <v>0</v>
      </c>
      <c r="K30" s="622">
        <f t="shared" si="1"/>
        <v>1053</v>
      </c>
      <c r="L30" s="622">
        <f t="shared" ref="L30:N30" si="46">L22+L8</f>
        <v>8020</v>
      </c>
      <c r="M30" s="622">
        <f t="shared" si="46"/>
        <v>0</v>
      </c>
      <c r="N30" s="622">
        <f t="shared" si="46"/>
        <v>0</v>
      </c>
      <c r="O30" s="622">
        <f t="shared" si="2"/>
        <v>8020</v>
      </c>
      <c r="P30" s="622">
        <f t="shared" ref="P30:R30" si="47">P22+P8</f>
        <v>93</v>
      </c>
      <c r="Q30" s="622">
        <f t="shared" si="47"/>
        <v>0</v>
      </c>
      <c r="R30" s="622">
        <f t="shared" si="47"/>
        <v>0</v>
      </c>
      <c r="S30" s="622">
        <f t="shared" si="3"/>
        <v>93</v>
      </c>
      <c r="T30" s="622">
        <f t="shared" ref="T30:V30" si="48">T22+T8</f>
        <v>478</v>
      </c>
      <c r="U30" s="622">
        <f t="shared" si="48"/>
        <v>0</v>
      </c>
      <c r="V30" s="622">
        <f t="shared" si="48"/>
        <v>0</v>
      </c>
      <c r="W30" s="622">
        <f t="shared" si="4"/>
        <v>478</v>
      </c>
      <c r="X30" s="622">
        <f t="shared" ref="X30:AE30" si="49">X22+X8</f>
        <v>700</v>
      </c>
      <c r="Y30" s="622">
        <f t="shared" si="49"/>
        <v>0</v>
      </c>
      <c r="Z30" s="622">
        <f t="shared" si="49"/>
        <v>0</v>
      </c>
      <c r="AA30" s="622">
        <f t="shared" si="49"/>
        <v>700</v>
      </c>
      <c r="AB30" s="622">
        <f t="shared" si="49"/>
        <v>2728</v>
      </c>
      <c r="AC30" s="622">
        <f t="shared" si="49"/>
        <v>0</v>
      </c>
      <c r="AD30" s="622">
        <f t="shared" si="49"/>
        <v>0</v>
      </c>
      <c r="AE30" s="622">
        <f t="shared" si="49"/>
        <v>2728</v>
      </c>
      <c r="AF30" s="622">
        <f t="shared" ref="AF30:AI30" si="50">AF22+AF8</f>
        <v>4448</v>
      </c>
      <c r="AG30" s="622">
        <f t="shared" si="50"/>
        <v>0</v>
      </c>
      <c r="AH30" s="622">
        <f t="shared" si="50"/>
        <v>0</v>
      </c>
      <c r="AI30" s="622">
        <f t="shared" si="50"/>
        <v>4448</v>
      </c>
      <c r="AJ30" s="622">
        <f t="shared" ref="AJ30:AM30" si="51">AJ22+AJ8</f>
        <v>2972</v>
      </c>
      <c r="AK30" s="622">
        <f t="shared" si="51"/>
        <v>0</v>
      </c>
      <c r="AL30" s="622">
        <f t="shared" si="51"/>
        <v>0</v>
      </c>
      <c r="AM30" s="622">
        <f t="shared" si="51"/>
        <v>2972</v>
      </c>
    </row>
    <row r="31" spans="1:39" x14ac:dyDescent="0.25">
      <c r="A31" s="293" t="s">
        <v>328</v>
      </c>
      <c r="B31" s="294" t="s">
        <v>329</v>
      </c>
      <c r="C31" s="295">
        <f t="shared" ref="C31:Z31" si="52">C32</f>
        <v>31320</v>
      </c>
      <c r="D31" s="295">
        <f t="shared" si="52"/>
        <v>28157</v>
      </c>
      <c r="E31" s="295">
        <f t="shared" si="52"/>
        <v>0</v>
      </c>
      <c r="F31" s="295">
        <f t="shared" si="52"/>
        <v>0</v>
      </c>
      <c r="G31" s="295">
        <f t="shared" si="0"/>
        <v>28157</v>
      </c>
      <c r="H31" s="295">
        <f t="shared" si="52"/>
        <v>28829</v>
      </c>
      <c r="I31" s="295">
        <f t="shared" si="52"/>
        <v>0</v>
      </c>
      <c r="J31" s="295">
        <f t="shared" si="52"/>
        <v>0</v>
      </c>
      <c r="K31" s="295">
        <f t="shared" si="1"/>
        <v>28829</v>
      </c>
      <c r="L31" s="295">
        <f t="shared" si="52"/>
        <v>29131</v>
      </c>
      <c r="M31" s="295">
        <f t="shared" si="52"/>
        <v>0</v>
      </c>
      <c r="N31" s="295">
        <f t="shared" si="52"/>
        <v>0</v>
      </c>
      <c r="O31" s="295">
        <f t="shared" si="2"/>
        <v>29131</v>
      </c>
      <c r="P31" s="295">
        <f t="shared" si="52"/>
        <v>22381</v>
      </c>
      <c r="Q31" s="295">
        <f t="shared" si="52"/>
        <v>9702</v>
      </c>
      <c r="R31" s="295">
        <f t="shared" si="52"/>
        <v>0</v>
      </c>
      <c r="S31" s="295">
        <f t="shared" si="3"/>
        <v>32083</v>
      </c>
      <c r="T31" s="295">
        <f t="shared" si="52"/>
        <v>9848</v>
      </c>
      <c r="U31" s="295">
        <f t="shared" si="52"/>
        <v>0</v>
      </c>
      <c r="V31" s="295">
        <f t="shared" si="52"/>
        <v>0</v>
      </c>
      <c r="W31" s="295">
        <f t="shared" si="4"/>
        <v>9848</v>
      </c>
      <c r="X31" s="295">
        <f t="shared" si="52"/>
        <v>31192</v>
      </c>
      <c r="Y31" s="295">
        <f t="shared" si="52"/>
        <v>0</v>
      </c>
      <c r="Z31" s="295">
        <f t="shared" si="52"/>
        <v>0</v>
      </c>
      <c r="AA31" s="295">
        <f t="shared" si="5"/>
        <v>31192</v>
      </c>
      <c r="AB31" s="295">
        <v>44036</v>
      </c>
      <c r="AC31" s="295">
        <v>0</v>
      </c>
      <c r="AD31" s="295">
        <v>0</v>
      </c>
      <c r="AE31" s="295">
        <v>44036</v>
      </c>
      <c r="AF31" s="295">
        <f>AF32</f>
        <v>44702</v>
      </c>
      <c r="AG31" s="295">
        <f t="shared" ref="AG31:AH31" si="53">AG32</f>
        <v>0</v>
      </c>
      <c r="AH31" s="295">
        <f t="shared" si="53"/>
        <v>0</v>
      </c>
      <c r="AI31" s="295">
        <f>SUM(AF31:AH31)</f>
        <v>44702</v>
      </c>
      <c r="AJ31" s="295">
        <f>AJ32</f>
        <v>29122</v>
      </c>
      <c r="AK31" s="295">
        <f t="shared" ref="AK31" si="54">AK32</f>
        <v>0</v>
      </c>
      <c r="AL31" s="295">
        <f t="shared" ref="AL31" si="55">AL32</f>
        <v>0</v>
      </c>
      <c r="AM31" s="295">
        <f>SUM(AJ31:AL31)</f>
        <v>29122</v>
      </c>
    </row>
    <row r="32" spans="1:39" x14ac:dyDescent="0.25">
      <c r="A32" s="649" t="s">
        <v>311</v>
      </c>
      <c r="B32" s="681" t="s">
        <v>330</v>
      </c>
      <c r="C32" s="682">
        <f>SUM(C33:C34)</f>
        <v>31320</v>
      </c>
      <c r="D32" s="682">
        <f t="shared" ref="D32:F32" si="56">SUM(D33:D34)</f>
        <v>28157</v>
      </c>
      <c r="E32" s="682">
        <f t="shared" si="56"/>
        <v>0</v>
      </c>
      <c r="F32" s="682">
        <f t="shared" si="56"/>
        <v>0</v>
      </c>
      <c r="G32" s="682">
        <f t="shared" si="0"/>
        <v>28157</v>
      </c>
      <c r="H32" s="682">
        <f t="shared" ref="H32:J32" si="57">SUM(H33:H34)</f>
        <v>28829</v>
      </c>
      <c r="I32" s="682">
        <f t="shared" si="57"/>
        <v>0</v>
      </c>
      <c r="J32" s="682">
        <f t="shared" si="57"/>
        <v>0</v>
      </c>
      <c r="K32" s="682">
        <f t="shared" si="1"/>
        <v>28829</v>
      </c>
      <c r="L32" s="682">
        <f t="shared" ref="L32:N32" si="58">SUM(L33:L34)</f>
        <v>29131</v>
      </c>
      <c r="M32" s="682">
        <f t="shared" si="58"/>
        <v>0</v>
      </c>
      <c r="N32" s="682">
        <f t="shared" si="58"/>
        <v>0</v>
      </c>
      <c r="O32" s="682">
        <f t="shared" si="2"/>
        <v>29131</v>
      </c>
      <c r="P32" s="682">
        <f t="shared" ref="P32:R32" si="59">SUM(P33:P34)</f>
        <v>22381</v>
      </c>
      <c r="Q32" s="682">
        <f t="shared" si="59"/>
        <v>9702</v>
      </c>
      <c r="R32" s="682">
        <f t="shared" si="59"/>
        <v>0</v>
      </c>
      <c r="S32" s="682">
        <f t="shared" si="3"/>
        <v>32083</v>
      </c>
      <c r="T32" s="682">
        <f t="shared" ref="T32:V32" si="60">SUM(T33:T34)</f>
        <v>9848</v>
      </c>
      <c r="U32" s="682">
        <f t="shared" si="60"/>
        <v>0</v>
      </c>
      <c r="V32" s="682">
        <f t="shared" si="60"/>
        <v>0</v>
      </c>
      <c r="W32" s="682">
        <f t="shared" si="4"/>
        <v>9848</v>
      </c>
      <c r="X32" s="682">
        <f t="shared" ref="X32:Z32" si="61">SUM(X33:X34)</f>
        <v>31192</v>
      </c>
      <c r="Y32" s="682">
        <f t="shared" si="61"/>
        <v>0</v>
      </c>
      <c r="Z32" s="682">
        <f t="shared" si="61"/>
        <v>0</v>
      </c>
      <c r="AA32" s="682">
        <f t="shared" si="5"/>
        <v>31192</v>
      </c>
      <c r="AB32" s="682">
        <f>SUM(AB33:AB34)</f>
        <v>44036</v>
      </c>
      <c r="AC32" s="682">
        <f t="shared" ref="AC32:AD32" si="62">SUM(AC33:AC34)</f>
        <v>0</v>
      </c>
      <c r="AD32" s="682">
        <f t="shared" si="62"/>
        <v>0</v>
      </c>
      <c r="AE32" s="682">
        <f>SUM(AE33:AE34)</f>
        <v>44036</v>
      </c>
      <c r="AF32" s="682">
        <f>SUM(AF33:AF34)</f>
        <v>44702</v>
      </c>
      <c r="AG32" s="682">
        <f t="shared" ref="AG32:AH32" si="63">SUM(AG33:AG34)</f>
        <v>0</v>
      </c>
      <c r="AH32" s="682">
        <f t="shared" si="63"/>
        <v>0</v>
      </c>
      <c r="AI32" s="682">
        <f>SUM(AF32:AH32)</f>
        <v>44702</v>
      </c>
      <c r="AJ32" s="682">
        <f>SUM(AJ33:AJ34)</f>
        <v>29122</v>
      </c>
      <c r="AK32" s="682">
        <f t="shared" ref="AK32" si="64">SUM(AK33:AK34)</f>
        <v>0</v>
      </c>
      <c r="AL32" s="682">
        <f t="shared" ref="AL32" si="65">SUM(AL33:AL34)</f>
        <v>0</v>
      </c>
      <c r="AM32" s="682">
        <f>SUM(AJ32:AL32)</f>
        <v>29122</v>
      </c>
    </row>
    <row r="33" spans="1:39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0</v>
      </c>
      <c r="I33" s="239">
        <v>0</v>
      </c>
      <c r="J33" s="239">
        <v>0</v>
      </c>
      <c r="K33" s="239">
        <f t="shared" si="1"/>
        <v>0</v>
      </c>
      <c r="L33" s="239">
        <v>0</v>
      </c>
      <c r="M33" s="239">
        <v>0</v>
      </c>
      <c r="N33" s="239">
        <v>0</v>
      </c>
      <c r="O33" s="239">
        <f t="shared" si="2"/>
        <v>0</v>
      </c>
      <c r="P33" s="239">
        <v>526</v>
      </c>
      <c r="Q33" s="239">
        <v>0</v>
      </c>
      <c r="R33" s="239">
        <v>0</v>
      </c>
      <c r="S33" s="239">
        <f t="shared" si="3"/>
        <v>526</v>
      </c>
      <c r="T33" s="239">
        <v>0</v>
      </c>
      <c r="U33" s="239">
        <v>0</v>
      </c>
      <c r="V33" s="239">
        <v>0</v>
      </c>
      <c r="W33" s="239">
        <f t="shared" si="4"/>
        <v>0</v>
      </c>
      <c r="X33" s="239">
        <v>0</v>
      </c>
      <c r="Y33" s="239">
        <v>0</v>
      </c>
      <c r="Z33" s="239">
        <v>0</v>
      </c>
      <c r="AA33" s="239">
        <f t="shared" si="5"/>
        <v>0</v>
      </c>
      <c r="AB33" s="239">
        <v>11950</v>
      </c>
      <c r="AC33" s="239">
        <v>0</v>
      </c>
      <c r="AD33" s="239">
        <v>0</v>
      </c>
      <c r="AE33" s="239">
        <f>SUM(AB33:AD33)</f>
        <v>11950</v>
      </c>
      <c r="AF33" s="239">
        <v>11950</v>
      </c>
      <c r="AG33" s="239"/>
      <c r="AH33" s="239"/>
      <c r="AI33" s="239">
        <f>SUM(AF33:AH33)</f>
        <v>11950</v>
      </c>
      <c r="AJ33" s="239">
        <v>11950</v>
      </c>
      <c r="AK33" s="239"/>
      <c r="AL33" s="239"/>
      <c r="AM33" s="239">
        <f>SUM(AJ33:AL33)</f>
        <v>11950</v>
      </c>
    </row>
    <row r="34" spans="1:39" x14ac:dyDescent="0.25">
      <c r="A34" s="328"/>
      <c r="B34" s="301" t="s">
        <v>332</v>
      </c>
      <c r="C34" s="239">
        <f>C46-C30-C33</f>
        <v>31320</v>
      </c>
      <c r="D34" s="239">
        <f t="shared" ref="D34:F34" si="66">D46-D30-D33</f>
        <v>28157</v>
      </c>
      <c r="E34" s="239">
        <f t="shared" si="66"/>
        <v>0</v>
      </c>
      <c r="F34" s="239">
        <f t="shared" si="66"/>
        <v>0</v>
      </c>
      <c r="G34" s="239">
        <f t="shared" si="0"/>
        <v>28157</v>
      </c>
      <c r="H34" s="239">
        <f t="shared" ref="H34:J34" si="67">H46-H30-H33</f>
        <v>28829</v>
      </c>
      <c r="I34" s="239">
        <f t="shared" si="67"/>
        <v>0</v>
      </c>
      <c r="J34" s="239">
        <f t="shared" si="67"/>
        <v>0</v>
      </c>
      <c r="K34" s="239">
        <f t="shared" si="1"/>
        <v>28829</v>
      </c>
      <c r="L34" s="239">
        <v>29131</v>
      </c>
      <c r="M34" s="239">
        <f t="shared" ref="M34:N34" si="68">M46-M30-M33</f>
        <v>0</v>
      </c>
      <c r="N34" s="239">
        <f t="shared" si="68"/>
        <v>0</v>
      </c>
      <c r="O34" s="239">
        <f t="shared" si="2"/>
        <v>29131</v>
      </c>
      <c r="P34" s="239">
        <f t="shared" ref="P34:R34" si="69">P46-P30-P33</f>
        <v>21855</v>
      </c>
      <c r="Q34" s="239">
        <f t="shared" si="69"/>
        <v>9702</v>
      </c>
      <c r="R34" s="239">
        <f t="shared" si="69"/>
        <v>0</v>
      </c>
      <c r="S34" s="239">
        <f t="shared" si="3"/>
        <v>31557</v>
      </c>
      <c r="T34" s="239">
        <v>9848</v>
      </c>
      <c r="U34" s="239">
        <f t="shared" ref="U34:V34" si="70">U46-U30-U33</f>
        <v>0</v>
      </c>
      <c r="V34" s="239">
        <f t="shared" si="70"/>
        <v>0</v>
      </c>
      <c r="W34" s="239">
        <f t="shared" si="4"/>
        <v>9848</v>
      </c>
      <c r="X34" s="239">
        <f t="shared" ref="X34:AD34" si="71">X46-X30-X33</f>
        <v>31192</v>
      </c>
      <c r="Y34" s="239">
        <f t="shared" si="71"/>
        <v>0</v>
      </c>
      <c r="Z34" s="239">
        <f t="shared" si="71"/>
        <v>0</v>
      </c>
      <c r="AA34" s="239">
        <f t="shared" si="71"/>
        <v>31192</v>
      </c>
      <c r="AB34" s="239">
        <v>32086</v>
      </c>
      <c r="AC34" s="239">
        <f t="shared" si="71"/>
        <v>0</v>
      </c>
      <c r="AD34" s="239">
        <f t="shared" si="71"/>
        <v>0</v>
      </c>
      <c r="AE34" s="239">
        <f>SUM(AB34:AD34)</f>
        <v>32086</v>
      </c>
      <c r="AF34" s="239">
        <v>32752</v>
      </c>
      <c r="AG34" s="239"/>
      <c r="AH34" s="239"/>
      <c r="AI34" s="239">
        <f>SUM(AF34:AH34)</f>
        <v>32752</v>
      </c>
      <c r="AJ34" s="239">
        <v>17172</v>
      </c>
      <c r="AK34" s="239"/>
      <c r="AL34" s="239"/>
      <c r="AM34" s="239">
        <f>SUM(AJ34:AL34)</f>
        <v>17172</v>
      </c>
    </row>
    <row r="35" spans="1:39" x14ac:dyDescent="0.25">
      <c r="A35" s="649"/>
      <c r="B35" s="650" t="s">
        <v>333</v>
      </c>
      <c r="C35" s="638">
        <f>C31+C22+C8</f>
        <v>31490</v>
      </c>
      <c r="D35" s="638">
        <f t="shared" ref="D35:F35" si="72">D31+D22+D8</f>
        <v>28857</v>
      </c>
      <c r="E35" s="638">
        <f t="shared" si="72"/>
        <v>0</v>
      </c>
      <c r="F35" s="638">
        <f t="shared" si="72"/>
        <v>0</v>
      </c>
      <c r="G35" s="638">
        <f t="shared" si="0"/>
        <v>28857</v>
      </c>
      <c r="H35" s="638">
        <f t="shared" ref="H35:J35" si="73">H31+H22+H8</f>
        <v>29882</v>
      </c>
      <c r="I35" s="638">
        <f t="shared" si="73"/>
        <v>0</v>
      </c>
      <c r="J35" s="638">
        <f t="shared" si="73"/>
        <v>0</v>
      </c>
      <c r="K35" s="638">
        <f t="shared" si="1"/>
        <v>29882</v>
      </c>
      <c r="L35" s="638">
        <f t="shared" ref="L35:N35" si="74">L31+L22+L8</f>
        <v>37151</v>
      </c>
      <c r="M35" s="638">
        <f t="shared" si="74"/>
        <v>0</v>
      </c>
      <c r="N35" s="638">
        <f t="shared" si="74"/>
        <v>0</v>
      </c>
      <c r="O35" s="638">
        <f t="shared" si="2"/>
        <v>37151</v>
      </c>
      <c r="P35" s="638">
        <f t="shared" ref="P35:R35" si="75">P31+P22+P8</f>
        <v>22474</v>
      </c>
      <c r="Q35" s="638">
        <f t="shared" si="75"/>
        <v>9702</v>
      </c>
      <c r="R35" s="638">
        <f t="shared" si="75"/>
        <v>0</v>
      </c>
      <c r="S35" s="638">
        <f t="shared" si="3"/>
        <v>32176</v>
      </c>
      <c r="T35" s="638">
        <f t="shared" ref="T35:V35" si="76">T31+T22+T8</f>
        <v>10326</v>
      </c>
      <c r="U35" s="638">
        <f t="shared" si="76"/>
        <v>0</v>
      </c>
      <c r="V35" s="638">
        <f t="shared" si="76"/>
        <v>0</v>
      </c>
      <c r="W35" s="638">
        <f t="shared" si="4"/>
        <v>10326</v>
      </c>
      <c r="X35" s="638">
        <f t="shared" ref="X35:AE35" si="77">X31+X22+X8</f>
        <v>31892</v>
      </c>
      <c r="Y35" s="638">
        <f t="shared" si="77"/>
        <v>0</v>
      </c>
      <c r="Z35" s="638">
        <f t="shared" si="77"/>
        <v>0</v>
      </c>
      <c r="AA35" s="638">
        <f t="shared" si="77"/>
        <v>31892</v>
      </c>
      <c r="AB35" s="638">
        <f t="shared" si="77"/>
        <v>46764</v>
      </c>
      <c r="AC35" s="638">
        <f t="shared" si="77"/>
        <v>0</v>
      </c>
      <c r="AD35" s="638">
        <f t="shared" si="77"/>
        <v>0</v>
      </c>
      <c r="AE35" s="638">
        <f t="shared" si="77"/>
        <v>46764</v>
      </c>
      <c r="AF35" s="638">
        <f t="shared" ref="AF35:AI35" si="78">AF31+AF22+AF8</f>
        <v>49150</v>
      </c>
      <c r="AG35" s="638">
        <f t="shared" si="78"/>
        <v>0</v>
      </c>
      <c r="AH35" s="638">
        <f t="shared" si="78"/>
        <v>0</v>
      </c>
      <c r="AI35" s="638">
        <f t="shared" si="78"/>
        <v>49150</v>
      </c>
      <c r="AJ35" s="638">
        <f t="shared" ref="AJ35:AM35" si="79">AJ31+AJ22+AJ8</f>
        <v>32094</v>
      </c>
      <c r="AK35" s="638">
        <f t="shared" si="79"/>
        <v>0</v>
      </c>
      <c r="AL35" s="638">
        <f t="shared" si="79"/>
        <v>0</v>
      </c>
      <c r="AM35" s="638">
        <f t="shared" si="79"/>
        <v>32094</v>
      </c>
    </row>
    <row r="36" spans="1:39" x14ac:dyDescent="0.25">
      <c r="A36" s="293" t="s">
        <v>309</v>
      </c>
      <c r="B36" s="294" t="s">
        <v>334</v>
      </c>
      <c r="C36" s="295">
        <f t="shared" ref="C36:F36" si="80">SUM(C37:C41)</f>
        <v>28779</v>
      </c>
      <c r="D36" s="295">
        <f t="shared" si="80"/>
        <v>28857</v>
      </c>
      <c r="E36" s="295">
        <f t="shared" si="80"/>
        <v>0</v>
      </c>
      <c r="F36" s="295">
        <f t="shared" si="80"/>
        <v>0</v>
      </c>
      <c r="G36" s="295">
        <f t="shared" si="0"/>
        <v>28857</v>
      </c>
      <c r="H36" s="295">
        <f t="shared" ref="H36:J36" si="81">SUM(H37:H41)</f>
        <v>29882</v>
      </c>
      <c r="I36" s="295">
        <f t="shared" si="81"/>
        <v>0</v>
      </c>
      <c r="J36" s="295">
        <f t="shared" si="81"/>
        <v>0</v>
      </c>
      <c r="K36" s="295">
        <f t="shared" si="1"/>
        <v>29882</v>
      </c>
      <c r="L36" s="295">
        <f t="shared" ref="L36:N36" si="82">SUM(L37:L41)</f>
        <v>37151</v>
      </c>
      <c r="M36" s="295">
        <f t="shared" si="82"/>
        <v>0</v>
      </c>
      <c r="N36" s="295">
        <f t="shared" si="82"/>
        <v>0</v>
      </c>
      <c r="O36" s="295">
        <f t="shared" si="2"/>
        <v>37151</v>
      </c>
      <c r="P36" s="295">
        <f t="shared" ref="P36:R36" si="83">SUM(P37:P41)</f>
        <v>19987</v>
      </c>
      <c r="Q36" s="295">
        <f t="shared" si="83"/>
        <v>9083</v>
      </c>
      <c r="R36" s="295">
        <f t="shared" si="83"/>
        <v>0</v>
      </c>
      <c r="S36" s="295">
        <f t="shared" si="3"/>
        <v>29070</v>
      </c>
      <c r="T36" s="295">
        <f t="shared" ref="T36:V36" si="84">SUM(T37:T41)</f>
        <v>9883</v>
      </c>
      <c r="U36" s="295">
        <f t="shared" si="84"/>
        <v>0</v>
      </c>
      <c r="V36" s="295">
        <f t="shared" si="84"/>
        <v>0</v>
      </c>
      <c r="W36" s="295">
        <f t="shared" si="4"/>
        <v>9883</v>
      </c>
      <c r="X36" s="295">
        <f t="shared" ref="X36:AE36" si="85">SUM(X37:X41)</f>
        <v>31892</v>
      </c>
      <c r="Y36" s="295">
        <f t="shared" si="85"/>
        <v>0</v>
      </c>
      <c r="Z36" s="295">
        <f t="shared" si="85"/>
        <v>0</v>
      </c>
      <c r="AA36" s="295">
        <f t="shared" si="85"/>
        <v>31892</v>
      </c>
      <c r="AB36" s="295">
        <f t="shared" si="85"/>
        <v>46764</v>
      </c>
      <c r="AC36" s="295">
        <f t="shared" si="85"/>
        <v>0</v>
      </c>
      <c r="AD36" s="295">
        <f t="shared" si="85"/>
        <v>0</v>
      </c>
      <c r="AE36" s="295">
        <f t="shared" si="85"/>
        <v>46764</v>
      </c>
      <c r="AF36" s="295">
        <f t="shared" ref="AF36:AI36" si="86">SUM(AF37:AF41)</f>
        <v>49066</v>
      </c>
      <c r="AG36" s="295">
        <f t="shared" si="86"/>
        <v>0</v>
      </c>
      <c r="AH36" s="295">
        <f t="shared" si="86"/>
        <v>0</v>
      </c>
      <c r="AI36" s="295">
        <f t="shared" si="86"/>
        <v>49066</v>
      </c>
      <c r="AJ36" s="295">
        <f>SUM(AJ37:AJ41)</f>
        <v>22429</v>
      </c>
      <c r="AK36" s="295">
        <f t="shared" ref="AK36:AL36" si="87">SUM(AK37:AK41)</f>
        <v>0</v>
      </c>
      <c r="AL36" s="295">
        <f t="shared" si="87"/>
        <v>0</v>
      </c>
      <c r="AM36" s="295">
        <f>SUM(AJ36:AL36)</f>
        <v>22429</v>
      </c>
    </row>
    <row r="37" spans="1:39" x14ac:dyDescent="0.25">
      <c r="A37" s="582" t="s">
        <v>311</v>
      </c>
      <c r="B37" s="675" t="s">
        <v>286</v>
      </c>
      <c r="C37" s="676">
        <f>'5H GSZNR fel'!C75+'5H GSZNR fel'!C81+'5H GSZNR fel'!C92</f>
        <v>13623</v>
      </c>
      <c r="D37" s="676">
        <v>17092</v>
      </c>
      <c r="E37" s="676">
        <v>0</v>
      </c>
      <c r="F37" s="676">
        <v>0</v>
      </c>
      <c r="G37" s="676">
        <f t="shared" si="0"/>
        <v>17092</v>
      </c>
      <c r="H37" s="676">
        <v>18164</v>
      </c>
      <c r="I37" s="676">
        <v>0</v>
      </c>
      <c r="J37" s="676">
        <v>0</v>
      </c>
      <c r="K37" s="676">
        <f t="shared" si="1"/>
        <v>18164</v>
      </c>
      <c r="L37" s="676">
        <v>19236</v>
      </c>
      <c r="M37" s="676">
        <v>0</v>
      </c>
      <c r="N37" s="676">
        <v>0</v>
      </c>
      <c r="O37" s="676">
        <f t="shared" si="2"/>
        <v>19236</v>
      </c>
      <c r="P37" s="676">
        <f>'5H GSZNR fel'!O75+'5H GSZNR fel'!O81</f>
        <v>10227</v>
      </c>
      <c r="Q37" s="676">
        <f>'5H GSZNR fel'!O92</f>
        <v>4361</v>
      </c>
      <c r="R37" s="676">
        <v>0</v>
      </c>
      <c r="S37" s="676">
        <f t="shared" si="3"/>
        <v>14588</v>
      </c>
      <c r="T37" s="676">
        <v>6677</v>
      </c>
      <c r="U37" s="676">
        <f>'5H GSZNR fel'!R92</f>
        <v>0</v>
      </c>
      <c r="V37" s="676">
        <v>0</v>
      </c>
      <c r="W37" s="676">
        <f t="shared" si="4"/>
        <v>6677</v>
      </c>
      <c r="X37" s="676">
        <v>19560</v>
      </c>
      <c r="Y37" s="676">
        <v>0</v>
      </c>
      <c r="Z37" s="676">
        <v>0</v>
      </c>
      <c r="AA37" s="676">
        <f t="shared" si="5"/>
        <v>19560</v>
      </c>
      <c r="AB37" s="676">
        <v>22513</v>
      </c>
      <c r="AC37" s="676">
        <v>0</v>
      </c>
      <c r="AD37" s="676">
        <v>0</v>
      </c>
      <c r="AE37" s="676">
        <f>SUM(AB37:AD37)</f>
        <v>22513</v>
      </c>
      <c r="AF37" s="676">
        <v>29457</v>
      </c>
      <c r="AG37" s="676"/>
      <c r="AH37" s="676"/>
      <c r="AI37" s="676">
        <f>SUM(AF37:AH37)</f>
        <v>29457</v>
      </c>
      <c r="AJ37" s="676">
        <v>14022</v>
      </c>
      <c r="AK37" s="676"/>
      <c r="AL37" s="676"/>
      <c r="AM37" s="676">
        <f>SUM(AJ37:AL37)</f>
        <v>14022</v>
      </c>
    </row>
    <row r="38" spans="1:39" x14ac:dyDescent="0.25">
      <c r="A38" s="582" t="s">
        <v>322</v>
      </c>
      <c r="B38" s="675" t="s">
        <v>335</v>
      </c>
      <c r="C38" s="676">
        <f>'5H GSZNR fel'!C76+'5H GSZNR fel'!C82+'5H GSZNR fel'!C93</f>
        <v>3205</v>
      </c>
      <c r="D38" s="676">
        <v>3355</v>
      </c>
      <c r="E38" s="676">
        <v>0</v>
      </c>
      <c r="F38" s="676">
        <v>0</v>
      </c>
      <c r="G38" s="676">
        <f t="shared" si="0"/>
        <v>3355</v>
      </c>
      <c r="H38" s="676">
        <v>3465</v>
      </c>
      <c r="I38" s="676">
        <v>0</v>
      </c>
      <c r="J38" s="676">
        <v>0</v>
      </c>
      <c r="K38" s="676">
        <f t="shared" si="1"/>
        <v>3465</v>
      </c>
      <c r="L38" s="676">
        <v>3515</v>
      </c>
      <c r="M38" s="676">
        <v>0</v>
      </c>
      <c r="N38" s="676">
        <v>0</v>
      </c>
      <c r="O38" s="676">
        <f t="shared" si="2"/>
        <v>3515</v>
      </c>
      <c r="P38" s="676">
        <f>'5H GSZNR fel'!O76+'5H GSZNR fel'!O82</f>
        <v>2356</v>
      </c>
      <c r="Q38" s="676">
        <f>'5H GSZNR fel'!O93</f>
        <v>1087</v>
      </c>
      <c r="R38" s="676">
        <v>0</v>
      </c>
      <c r="S38" s="676">
        <f t="shared" si="3"/>
        <v>3443</v>
      </c>
      <c r="T38" s="676">
        <v>1361</v>
      </c>
      <c r="U38" s="676">
        <f>'5H GSZNR fel'!R93</f>
        <v>0</v>
      </c>
      <c r="V38" s="676">
        <v>0</v>
      </c>
      <c r="W38" s="676">
        <f t="shared" si="4"/>
        <v>1361</v>
      </c>
      <c r="X38" s="676">
        <v>3738</v>
      </c>
      <c r="Y38" s="676">
        <v>0</v>
      </c>
      <c r="Z38" s="676">
        <v>0</v>
      </c>
      <c r="AA38" s="676">
        <f t="shared" si="5"/>
        <v>3738</v>
      </c>
      <c r="AB38" s="676">
        <v>4571</v>
      </c>
      <c r="AC38" s="676">
        <v>0</v>
      </c>
      <c r="AD38" s="676">
        <v>0</v>
      </c>
      <c r="AE38" s="676">
        <f t="shared" ref="AE38:AE39" si="88">SUM(AB38:AD38)</f>
        <v>4571</v>
      </c>
      <c r="AF38" s="676">
        <v>5384</v>
      </c>
      <c r="AG38" s="676"/>
      <c r="AH38" s="676"/>
      <c r="AI38" s="676">
        <f t="shared" ref="AI38:AI41" si="89">SUM(AF38:AH38)</f>
        <v>5384</v>
      </c>
      <c r="AJ38" s="676">
        <v>2773</v>
      </c>
      <c r="AK38" s="676"/>
      <c r="AL38" s="676"/>
      <c r="AM38" s="676">
        <f t="shared" ref="AM38:AM39" si="90">SUM(AJ38:AL38)</f>
        <v>2773</v>
      </c>
    </row>
    <row r="39" spans="1:39" x14ac:dyDescent="0.25">
      <c r="A39" s="582" t="s">
        <v>315</v>
      </c>
      <c r="B39" s="675" t="s">
        <v>292</v>
      </c>
      <c r="C39" s="676">
        <f>'5H GSZNR fel'!C77+'5H GSZNR fel'!C83+'5H GSZNR fel'!C94</f>
        <v>11951</v>
      </c>
      <c r="D39" s="676">
        <v>8410</v>
      </c>
      <c r="E39" s="676">
        <v>0</v>
      </c>
      <c r="F39" s="676">
        <v>0</v>
      </c>
      <c r="G39" s="676">
        <f t="shared" si="0"/>
        <v>8410</v>
      </c>
      <c r="H39" s="676">
        <v>8253</v>
      </c>
      <c r="I39" s="676">
        <v>0</v>
      </c>
      <c r="J39" s="676">
        <v>0</v>
      </c>
      <c r="K39" s="676">
        <f t="shared" si="1"/>
        <v>8253</v>
      </c>
      <c r="L39" s="676">
        <v>14400</v>
      </c>
      <c r="M39" s="676">
        <v>0</v>
      </c>
      <c r="N39" s="676">
        <v>0</v>
      </c>
      <c r="O39" s="676">
        <f t="shared" si="2"/>
        <v>14400</v>
      </c>
      <c r="P39" s="676">
        <f>'5H GSZNR fel'!O77+'5H GSZNR fel'!O83</f>
        <v>7074</v>
      </c>
      <c r="Q39" s="676">
        <f>'5H GSZNR fel'!O94</f>
        <v>3635</v>
      </c>
      <c r="R39" s="676">
        <v>0</v>
      </c>
      <c r="S39" s="676">
        <f t="shared" si="3"/>
        <v>10709</v>
      </c>
      <c r="T39" s="676">
        <v>1845</v>
      </c>
      <c r="U39" s="676">
        <f>'5H GSZNR fel'!R94</f>
        <v>0</v>
      </c>
      <c r="V39" s="676">
        <v>0</v>
      </c>
      <c r="W39" s="676">
        <f t="shared" si="4"/>
        <v>1845</v>
      </c>
      <c r="X39" s="676">
        <v>8594</v>
      </c>
      <c r="Y39" s="676">
        <v>0</v>
      </c>
      <c r="Z39" s="676">
        <v>0</v>
      </c>
      <c r="AA39" s="676">
        <f t="shared" si="5"/>
        <v>8594</v>
      </c>
      <c r="AB39" s="676">
        <v>19604</v>
      </c>
      <c r="AC39" s="676">
        <v>0</v>
      </c>
      <c r="AD39" s="676">
        <v>0</v>
      </c>
      <c r="AE39" s="676">
        <f t="shared" si="88"/>
        <v>19604</v>
      </c>
      <c r="AF39" s="676">
        <v>14225</v>
      </c>
      <c r="AG39" s="676"/>
      <c r="AH39" s="676"/>
      <c r="AI39" s="676">
        <f t="shared" si="89"/>
        <v>14225</v>
      </c>
      <c r="AJ39" s="676">
        <v>5558</v>
      </c>
      <c r="AK39" s="676"/>
      <c r="AL39" s="676"/>
      <c r="AM39" s="676">
        <f t="shared" si="90"/>
        <v>5558</v>
      </c>
    </row>
    <row r="40" spans="1:39" x14ac:dyDescent="0.25">
      <c r="A40" s="582" t="s">
        <v>336</v>
      </c>
      <c r="B40" s="675" t="s">
        <v>337</v>
      </c>
      <c r="C40" s="676">
        <v>0</v>
      </c>
      <c r="D40" s="676">
        <v>0</v>
      </c>
      <c r="E40" s="676">
        <v>0</v>
      </c>
      <c r="F40" s="676">
        <v>0</v>
      </c>
      <c r="G40" s="676">
        <f t="shared" si="0"/>
        <v>0</v>
      </c>
      <c r="H40" s="676">
        <v>0</v>
      </c>
      <c r="I40" s="676">
        <v>0</v>
      </c>
      <c r="J40" s="676">
        <v>0</v>
      </c>
      <c r="K40" s="676">
        <f t="shared" si="1"/>
        <v>0</v>
      </c>
      <c r="L40" s="676">
        <v>0</v>
      </c>
      <c r="M40" s="676">
        <v>0</v>
      </c>
      <c r="N40" s="676">
        <v>0</v>
      </c>
      <c r="O40" s="676">
        <f t="shared" si="2"/>
        <v>0</v>
      </c>
      <c r="P40" s="676">
        <v>0</v>
      </c>
      <c r="Q40" s="676">
        <v>0</v>
      </c>
      <c r="R40" s="676">
        <v>0</v>
      </c>
      <c r="S40" s="676">
        <f t="shared" si="3"/>
        <v>0</v>
      </c>
      <c r="T40" s="676">
        <v>0</v>
      </c>
      <c r="U40" s="676">
        <v>0</v>
      </c>
      <c r="V40" s="676">
        <v>0</v>
      </c>
      <c r="W40" s="676">
        <f t="shared" si="4"/>
        <v>0</v>
      </c>
      <c r="X40" s="676">
        <v>0</v>
      </c>
      <c r="Y40" s="676">
        <v>0</v>
      </c>
      <c r="Z40" s="676">
        <v>0</v>
      </c>
      <c r="AA40" s="676">
        <f t="shared" si="5"/>
        <v>0</v>
      </c>
      <c r="AB40" s="676">
        <v>76</v>
      </c>
      <c r="AC40" s="676">
        <v>0</v>
      </c>
      <c r="AD40" s="676">
        <v>0</v>
      </c>
      <c r="AE40" s="676">
        <v>76</v>
      </c>
      <c r="AF40" s="676">
        <v>0</v>
      </c>
      <c r="AG40" s="676">
        <v>0</v>
      </c>
      <c r="AH40" s="676">
        <v>0</v>
      </c>
      <c r="AI40" s="676">
        <f t="shared" si="89"/>
        <v>0</v>
      </c>
      <c r="AJ40" s="676">
        <v>76</v>
      </c>
      <c r="AK40" s="676">
        <v>0</v>
      </c>
      <c r="AL40" s="676">
        <v>0</v>
      </c>
      <c r="AM40" s="676">
        <v>0</v>
      </c>
    </row>
    <row r="41" spans="1:39" x14ac:dyDescent="0.25">
      <c r="A41" s="582" t="s">
        <v>338</v>
      </c>
      <c r="B41" s="675" t="s">
        <v>339</v>
      </c>
      <c r="C41" s="676">
        <v>0</v>
      </c>
      <c r="D41" s="676">
        <v>0</v>
      </c>
      <c r="E41" s="676">
        <v>0</v>
      </c>
      <c r="F41" s="676">
        <v>0</v>
      </c>
      <c r="G41" s="676">
        <f t="shared" si="0"/>
        <v>0</v>
      </c>
      <c r="H41" s="676">
        <f>+'5H GSZNR fel'!F78</f>
        <v>0</v>
      </c>
      <c r="I41" s="676">
        <v>0</v>
      </c>
      <c r="J41" s="676">
        <v>0</v>
      </c>
      <c r="K41" s="676">
        <f t="shared" si="1"/>
        <v>0</v>
      </c>
      <c r="L41" s="676">
        <v>0</v>
      </c>
      <c r="M41" s="676">
        <v>0</v>
      </c>
      <c r="N41" s="676">
        <v>0</v>
      </c>
      <c r="O41" s="676">
        <f t="shared" si="2"/>
        <v>0</v>
      </c>
      <c r="P41" s="676">
        <f>+'5H GSZNR fel'!O78</f>
        <v>330</v>
      </c>
      <c r="Q41" s="676">
        <v>0</v>
      </c>
      <c r="R41" s="676">
        <v>0</v>
      </c>
      <c r="S41" s="676">
        <f t="shared" si="3"/>
        <v>330</v>
      </c>
      <c r="T41" s="676">
        <f>+'5H GSZNR fel'!R78</f>
        <v>0</v>
      </c>
      <c r="U41" s="676">
        <v>0</v>
      </c>
      <c r="V41" s="676">
        <v>0</v>
      </c>
      <c r="W41" s="676">
        <f t="shared" si="4"/>
        <v>0</v>
      </c>
      <c r="X41" s="676">
        <v>0</v>
      </c>
      <c r="Y41" s="676">
        <v>0</v>
      </c>
      <c r="Z41" s="676">
        <v>0</v>
      </c>
      <c r="AA41" s="676">
        <f t="shared" si="5"/>
        <v>0</v>
      </c>
      <c r="AB41" s="676">
        <v>0</v>
      </c>
      <c r="AC41" s="676">
        <v>0</v>
      </c>
      <c r="AD41" s="676">
        <v>0</v>
      </c>
      <c r="AE41" s="676">
        <v>0</v>
      </c>
      <c r="AF41" s="676">
        <v>0</v>
      </c>
      <c r="AG41" s="676">
        <v>0</v>
      </c>
      <c r="AH41" s="676">
        <v>0</v>
      </c>
      <c r="AI41" s="676">
        <f t="shared" si="89"/>
        <v>0</v>
      </c>
      <c r="AJ41" s="676">
        <v>0</v>
      </c>
      <c r="AK41" s="676">
        <v>0</v>
      </c>
      <c r="AL41" s="676">
        <v>0</v>
      </c>
      <c r="AM41" s="676">
        <v>0</v>
      </c>
    </row>
    <row r="42" spans="1:39" x14ac:dyDescent="0.25">
      <c r="A42" s="293" t="s">
        <v>318</v>
      </c>
      <c r="B42" s="294" t="s">
        <v>340</v>
      </c>
      <c r="C42" s="295">
        <f t="shared" ref="C42:F42" si="91">SUM(C43:C45)</f>
        <v>2711</v>
      </c>
      <c r="D42" s="295">
        <f t="shared" si="91"/>
        <v>0</v>
      </c>
      <c r="E42" s="295">
        <f t="shared" si="91"/>
        <v>0</v>
      </c>
      <c r="F42" s="295">
        <f t="shared" si="91"/>
        <v>0</v>
      </c>
      <c r="G42" s="295">
        <f t="shared" si="0"/>
        <v>0</v>
      </c>
      <c r="H42" s="295">
        <f>SUM(H43:H45)</f>
        <v>0</v>
      </c>
      <c r="I42" s="295">
        <f t="shared" ref="I42:J42" si="92">SUM(I43:I45)</f>
        <v>0</v>
      </c>
      <c r="J42" s="295">
        <f t="shared" si="92"/>
        <v>0</v>
      </c>
      <c r="K42" s="295">
        <f t="shared" si="1"/>
        <v>0</v>
      </c>
      <c r="L42" s="295">
        <f>SUM(L43:L45)</f>
        <v>0</v>
      </c>
      <c r="M42" s="295">
        <f t="shared" ref="M42:N42" si="93">SUM(M43:M45)</f>
        <v>0</v>
      </c>
      <c r="N42" s="295">
        <f t="shared" si="93"/>
        <v>0</v>
      </c>
      <c r="O42" s="295">
        <f t="shared" si="2"/>
        <v>0</v>
      </c>
      <c r="P42" s="295">
        <f>SUM(P43:P45)</f>
        <v>2487</v>
      </c>
      <c r="Q42" s="295">
        <f t="shared" ref="Q42:R42" si="94">SUM(Q43:Q45)</f>
        <v>619</v>
      </c>
      <c r="R42" s="295">
        <f t="shared" si="94"/>
        <v>0</v>
      </c>
      <c r="S42" s="295">
        <f t="shared" si="3"/>
        <v>3106</v>
      </c>
      <c r="T42" s="295">
        <f>SUM(T43:T45)</f>
        <v>0</v>
      </c>
      <c r="U42" s="295">
        <f t="shared" ref="U42:V42" si="95">SUM(U43:U45)</f>
        <v>0</v>
      </c>
      <c r="V42" s="295">
        <f t="shared" si="95"/>
        <v>0</v>
      </c>
      <c r="W42" s="295">
        <f t="shared" si="4"/>
        <v>0</v>
      </c>
      <c r="X42" s="295">
        <f>SUM(X43:X45)</f>
        <v>0</v>
      </c>
      <c r="Y42" s="295">
        <f t="shared" ref="Y42:Z42" si="96">SUM(Y43:Y45)</f>
        <v>0</v>
      </c>
      <c r="Z42" s="295">
        <f t="shared" si="96"/>
        <v>0</v>
      </c>
      <c r="AA42" s="295">
        <f t="shared" si="5"/>
        <v>0</v>
      </c>
      <c r="AB42" s="295">
        <v>0</v>
      </c>
      <c r="AC42" s="295">
        <v>0</v>
      </c>
      <c r="AD42" s="295">
        <v>0</v>
      </c>
      <c r="AE42" s="295">
        <v>0</v>
      </c>
      <c r="AF42" s="295">
        <f>+AF43+AF44+AF45</f>
        <v>84</v>
      </c>
      <c r="AG42" s="295">
        <v>0</v>
      </c>
      <c r="AH42" s="295">
        <v>0</v>
      </c>
      <c r="AI42" s="295">
        <f>+AF42+AG42+AH42</f>
        <v>84</v>
      </c>
      <c r="AJ42" s="295">
        <v>0</v>
      </c>
      <c r="AK42" s="295">
        <v>0</v>
      </c>
      <c r="AL42" s="295">
        <v>0</v>
      </c>
      <c r="AM42" s="295">
        <v>0</v>
      </c>
    </row>
    <row r="43" spans="1:39" x14ac:dyDescent="0.25">
      <c r="A43" s="582" t="s">
        <v>311</v>
      </c>
      <c r="B43" s="675" t="s">
        <v>341</v>
      </c>
      <c r="C43" s="676">
        <f>'5H GSZNR fel'!C79+'5H GSZNR fel'!C84+'5H GSZNR fel'!C95</f>
        <v>2711</v>
      </c>
      <c r="D43" s="676">
        <v>0</v>
      </c>
      <c r="E43" s="676">
        <v>0</v>
      </c>
      <c r="F43" s="676">
        <v>0</v>
      </c>
      <c r="G43" s="676">
        <f t="shared" si="0"/>
        <v>0</v>
      </c>
      <c r="H43" s="676">
        <v>0</v>
      </c>
      <c r="I43" s="676">
        <v>0</v>
      </c>
      <c r="J43" s="676">
        <v>0</v>
      </c>
      <c r="K43" s="676">
        <f>SUM(H43:J43)</f>
        <v>0</v>
      </c>
      <c r="L43" s="676">
        <v>0</v>
      </c>
      <c r="M43" s="676">
        <v>0</v>
      </c>
      <c r="N43" s="676">
        <v>0</v>
      </c>
      <c r="O43" s="676">
        <f>SUM(L43:N43)</f>
        <v>0</v>
      </c>
      <c r="P43" s="676">
        <f>'5H GSZNR fel'!O79+'5H GSZNR fel'!O84</f>
        <v>2487</v>
      </c>
      <c r="Q43" s="676">
        <f>'5H GSZNR fel'!O95</f>
        <v>619</v>
      </c>
      <c r="R43" s="676">
        <f>'5H GSZNR fel'!N79+'5H GSZNR fel'!N84</f>
        <v>0</v>
      </c>
      <c r="S43" s="676">
        <f>SUM(P43:R43)</f>
        <v>3106</v>
      </c>
      <c r="T43" s="676">
        <f>'5H GSZNR fel'!R79+'5H GSZNR fel'!R84</f>
        <v>0</v>
      </c>
      <c r="U43" s="676">
        <f>'5H GSZNR fel'!R95</f>
        <v>0</v>
      </c>
      <c r="V43" s="676">
        <f>'5H GSZNR fel'!V95</f>
        <v>0</v>
      </c>
      <c r="W43" s="676">
        <f>SUM(T43:V43)</f>
        <v>0</v>
      </c>
      <c r="X43" s="676"/>
      <c r="Y43" s="676">
        <v>0</v>
      </c>
      <c r="Z43" s="676">
        <v>0</v>
      </c>
      <c r="AA43" s="676">
        <f>SUM(X43:Z43)</f>
        <v>0</v>
      </c>
      <c r="AB43" s="676"/>
      <c r="AC43" s="676">
        <v>0</v>
      </c>
      <c r="AD43" s="676">
        <v>0</v>
      </c>
      <c r="AE43" s="676">
        <v>0</v>
      </c>
      <c r="AF43" s="676">
        <v>84</v>
      </c>
      <c r="AG43" s="676">
        <v>0</v>
      </c>
      <c r="AH43" s="676">
        <v>0</v>
      </c>
      <c r="AI43" s="676">
        <v>0</v>
      </c>
      <c r="AJ43" s="676"/>
      <c r="AK43" s="676">
        <v>0</v>
      </c>
      <c r="AL43" s="676">
        <v>0</v>
      </c>
      <c r="AM43" s="676">
        <v>0</v>
      </c>
    </row>
    <row r="44" spans="1:39" x14ac:dyDescent="0.25">
      <c r="A44" s="582" t="s">
        <v>322</v>
      </c>
      <c r="B44" s="675" t="s">
        <v>342</v>
      </c>
      <c r="C44" s="676">
        <v>0</v>
      </c>
      <c r="D44" s="676">
        <v>0</v>
      </c>
      <c r="E44" s="676">
        <v>0</v>
      </c>
      <c r="F44" s="676">
        <v>0</v>
      </c>
      <c r="G44" s="676">
        <f t="shared" si="0"/>
        <v>0</v>
      </c>
      <c r="H44" s="676">
        <v>0</v>
      </c>
      <c r="I44" s="676">
        <v>0</v>
      </c>
      <c r="J44" s="676">
        <v>0</v>
      </c>
      <c r="K44" s="676">
        <f t="shared" si="1"/>
        <v>0</v>
      </c>
      <c r="L44" s="676">
        <v>0</v>
      </c>
      <c r="M44" s="676">
        <v>0</v>
      </c>
      <c r="N44" s="676">
        <v>0</v>
      </c>
      <c r="O44" s="676">
        <f t="shared" ref="O44:O46" si="97">SUM(L44:N44)</f>
        <v>0</v>
      </c>
      <c r="P44" s="676">
        <v>0</v>
      </c>
      <c r="Q44" s="676">
        <v>0</v>
      </c>
      <c r="R44" s="676">
        <v>0</v>
      </c>
      <c r="S44" s="676">
        <f t="shared" ref="S44:S46" si="98">SUM(P44:R44)</f>
        <v>0</v>
      </c>
      <c r="T44" s="676">
        <v>0</v>
      </c>
      <c r="U44" s="676">
        <v>0</v>
      </c>
      <c r="V44" s="676">
        <v>0</v>
      </c>
      <c r="W44" s="676">
        <f t="shared" ref="W44:W46" si="99">SUM(T44:V44)</f>
        <v>0</v>
      </c>
      <c r="X44" s="676">
        <v>0</v>
      </c>
      <c r="Y44" s="676">
        <v>0</v>
      </c>
      <c r="Z44" s="676">
        <v>0</v>
      </c>
      <c r="AA44" s="676">
        <f t="shared" ref="AA44:AA45" si="100">SUM(X44:Z44)</f>
        <v>0</v>
      </c>
      <c r="AB44" s="676">
        <v>0</v>
      </c>
      <c r="AC44" s="676">
        <v>0</v>
      </c>
      <c r="AD44" s="676">
        <v>0</v>
      </c>
      <c r="AE44" s="676">
        <v>0</v>
      </c>
      <c r="AF44" s="676">
        <v>0</v>
      </c>
      <c r="AG44" s="676">
        <v>0</v>
      </c>
      <c r="AH44" s="676">
        <v>0</v>
      </c>
      <c r="AI44" s="676">
        <v>0</v>
      </c>
      <c r="AJ44" s="676">
        <v>0</v>
      </c>
      <c r="AK44" s="676">
        <v>0</v>
      </c>
      <c r="AL44" s="676">
        <v>0</v>
      </c>
      <c r="AM44" s="676">
        <v>0</v>
      </c>
    </row>
    <row r="45" spans="1:39" x14ac:dyDescent="0.25">
      <c r="A45" s="582" t="s">
        <v>315</v>
      </c>
      <c r="B45" s="675" t="s">
        <v>343</v>
      </c>
      <c r="C45" s="676">
        <v>0</v>
      </c>
      <c r="D45" s="676">
        <v>0</v>
      </c>
      <c r="E45" s="676">
        <v>0</v>
      </c>
      <c r="F45" s="676">
        <v>0</v>
      </c>
      <c r="G45" s="676">
        <f t="shared" si="0"/>
        <v>0</v>
      </c>
      <c r="H45" s="676">
        <v>0</v>
      </c>
      <c r="I45" s="676">
        <v>0</v>
      </c>
      <c r="J45" s="676">
        <v>0</v>
      </c>
      <c r="K45" s="676">
        <f t="shared" si="1"/>
        <v>0</v>
      </c>
      <c r="L45" s="676">
        <v>0</v>
      </c>
      <c r="M45" s="676">
        <v>0</v>
      </c>
      <c r="N45" s="676">
        <v>0</v>
      </c>
      <c r="O45" s="676">
        <f t="shared" si="97"/>
        <v>0</v>
      </c>
      <c r="P45" s="676">
        <v>0</v>
      </c>
      <c r="Q45" s="676">
        <v>0</v>
      </c>
      <c r="R45" s="676">
        <v>0</v>
      </c>
      <c r="S45" s="676">
        <f t="shared" si="98"/>
        <v>0</v>
      </c>
      <c r="T45" s="676">
        <v>0</v>
      </c>
      <c r="U45" s="676">
        <v>0</v>
      </c>
      <c r="V45" s="676">
        <v>0</v>
      </c>
      <c r="W45" s="676">
        <f t="shared" si="99"/>
        <v>0</v>
      </c>
      <c r="X45" s="676">
        <v>0</v>
      </c>
      <c r="Y45" s="676">
        <v>0</v>
      </c>
      <c r="Z45" s="676">
        <v>0</v>
      </c>
      <c r="AA45" s="676">
        <f t="shared" si="100"/>
        <v>0</v>
      </c>
      <c r="AB45" s="676">
        <v>0</v>
      </c>
      <c r="AC45" s="676">
        <v>0</v>
      </c>
      <c r="AD45" s="676">
        <v>0</v>
      </c>
      <c r="AE45" s="676">
        <v>0</v>
      </c>
      <c r="AF45" s="676">
        <v>0</v>
      </c>
      <c r="AG45" s="676">
        <v>0</v>
      </c>
      <c r="AH45" s="676">
        <v>0</v>
      </c>
      <c r="AI45" s="676">
        <v>0</v>
      </c>
      <c r="AJ45" s="676">
        <v>0</v>
      </c>
      <c r="AK45" s="676">
        <v>0</v>
      </c>
      <c r="AL45" s="676">
        <v>0</v>
      </c>
      <c r="AM45" s="676">
        <v>0</v>
      </c>
    </row>
    <row r="46" spans="1:39" x14ac:dyDescent="0.25">
      <c r="A46" s="649"/>
      <c r="B46" s="650" t="s">
        <v>344</v>
      </c>
      <c r="C46" s="638">
        <f t="shared" ref="C46:F46" si="101">C36+C42</f>
        <v>31490</v>
      </c>
      <c r="D46" s="638">
        <f t="shared" si="101"/>
        <v>28857</v>
      </c>
      <c r="E46" s="638">
        <f t="shared" si="101"/>
        <v>0</v>
      </c>
      <c r="F46" s="638">
        <f t="shared" si="101"/>
        <v>0</v>
      </c>
      <c r="G46" s="638">
        <f t="shared" si="0"/>
        <v>28857</v>
      </c>
      <c r="H46" s="638">
        <f t="shared" ref="H46:J46" si="102">H36+H42</f>
        <v>29882</v>
      </c>
      <c r="I46" s="638">
        <f t="shared" si="102"/>
        <v>0</v>
      </c>
      <c r="J46" s="638">
        <f t="shared" si="102"/>
        <v>0</v>
      </c>
      <c r="K46" s="638">
        <f t="shared" si="1"/>
        <v>29882</v>
      </c>
      <c r="L46" s="638">
        <f t="shared" ref="L46:N46" si="103">L36+L42</f>
        <v>37151</v>
      </c>
      <c r="M46" s="638">
        <f t="shared" si="103"/>
        <v>0</v>
      </c>
      <c r="N46" s="638">
        <f t="shared" si="103"/>
        <v>0</v>
      </c>
      <c r="O46" s="638">
        <f t="shared" si="97"/>
        <v>37151</v>
      </c>
      <c r="P46" s="638">
        <f t="shared" ref="P46:R46" si="104">P36+P42</f>
        <v>22474</v>
      </c>
      <c r="Q46" s="638">
        <f t="shared" si="104"/>
        <v>9702</v>
      </c>
      <c r="R46" s="638">
        <f t="shared" si="104"/>
        <v>0</v>
      </c>
      <c r="S46" s="638">
        <f t="shared" si="98"/>
        <v>32176</v>
      </c>
      <c r="T46" s="638">
        <f t="shared" ref="T46:V46" si="105">T36+T42</f>
        <v>9883</v>
      </c>
      <c r="U46" s="638">
        <f t="shared" si="105"/>
        <v>0</v>
      </c>
      <c r="V46" s="638">
        <f t="shared" si="105"/>
        <v>0</v>
      </c>
      <c r="W46" s="638">
        <f t="shared" si="99"/>
        <v>9883</v>
      </c>
      <c r="X46" s="638">
        <f t="shared" ref="X46:AE46" si="106">X36+X42</f>
        <v>31892</v>
      </c>
      <c r="Y46" s="638">
        <f t="shared" si="106"/>
        <v>0</v>
      </c>
      <c r="Z46" s="638">
        <f t="shared" si="106"/>
        <v>0</v>
      </c>
      <c r="AA46" s="638">
        <f t="shared" si="106"/>
        <v>31892</v>
      </c>
      <c r="AB46" s="638">
        <f t="shared" si="106"/>
        <v>46764</v>
      </c>
      <c r="AC46" s="638">
        <f t="shared" si="106"/>
        <v>0</v>
      </c>
      <c r="AD46" s="638">
        <f t="shared" si="106"/>
        <v>0</v>
      </c>
      <c r="AE46" s="638">
        <f t="shared" si="106"/>
        <v>46764</v>
      </c>
      <c r="AF46" s="638">
        <f t="shared" ref="AF46:AI46" si="107">AF36+AF42</f>
        <v>49150</v>
      </c>
      <c r="AG46" s="638">
        <f t="shared" si="107"/>
        <v>0</v>
      </c>
      <c r="AH46" s="638">
        <f t="shared" si="107"/>
        <v>0</v>
      </c>
      <c r="AI46" s="638">
        <f t="shared" si="107"/>
        <v>49150</v>
      </c>
      <c r="AJ46" s="638">
        <f t="shared" ref="AJ46:AM46" si="108">AJ36+AJ42</f>
        <v>22429</v>
      </c>
      <c r="AK46" s="638">
        <f t="shared" si="108"/>
        <v>0</v>
      </c>
      <c r="AL46" s="638">
        <f t="shared" si="108"/>
        <v>0</v>
      </c>
      <c r="AM46" s="638">
        <f t="shared" si="108"/>
        <v>22429</v>
      </c>
    </row>
  </sheetData>
  <customSheetViews>
    <customSheetView guid="{7F1DC213-A29D-4C8C-BAC3-F1BD898020FD}" scale="82" hiddenRows="1" hiddenColumns="1">
      <selection activeCell="AR24" sqref="AR24"/>
      <pageMargins left="0.19685039370078741" right="0.19685039370078741" top="1.2204724409448819" bottom="0.19685039370078741" header="0.31496062992125984" footer="0.31496062992125984"/>
      <printOptions horizontalCentered="1"/>
      <pageSetup paperSize="9" scale="55" fitToWidth="0" fitToHeight="0" orientation="landscape" copies="2" r:id="rId1"/>
      <headerFooter>
        <oddHeader>&amp;L6.4. melléklet ...../2019. (.....) önkormányzati rendelethez&amp;C&amp;"-,Félkövér"&amp;16Sátoraljaújhelyi Városi Könyvtár 2019. évi bevételei és kiadásai jogcímenként és feladatonként&amp;RAdatok ezer forintban</oddHeader>
      </headerFooter>
    </customSheetView>
    <customSheetView guid="{4DCB1349-1166-4B69-AE14-D6B08F9FCE74}" scale="82" hiddenRows="1" hiddenColumns="1" topLeftCell="A2">
      <selection activeCell="AE41" sqref="AE41"/>
      <pageMargins left="0.19685039370078741" right="0.19685039370078741" top="1.2204724409448819" bottom="0.19685039370078741" header="0.31496062992125984" footer="0.31496062992125984"/>
      <printOptions horizontalCentered="1"/>
      <pageSetup paperSize="9" scale="55" fitToWidth="0" fitToHeight="0" orientation="landscape" copies="2" r:id="rId2"/>
      <headerFooter>
        <oddHeader>&amp;L6.4. melléklet ...../2019. (.....) önkormányzati rendelethez&amp;C&amp;"-,Félkövér"&amp;16Sátoraljaújhelyi Városi Könyvtár 2019. évi bevételei és kiadásai jogcímenként és feladatonként&amp;RAdatok ezer forintban</oddHeader>
      </headerFooter>
    </customSheetView>
  </customSheetViews>
  <mergeCells count="11">
    <mergeCell ref="AF4:AI4"/>
    <mergeCell ref="AJ4:AM4"/>
    <mergeCell ref="A4:A5"/>
    <mergeCell ref="B4:B5"/>
    <mergeCell ref="H4:K4"/>
    <mergeCell ref="D4:G4"/>
    <mergeCell ref="AB4:AE4"/>
    <mergeCell ref="X4:AA4"/>
    <mergeCell ref="P4:S4"/>
    <mergeCell ref="T4:W4"/>
    <mergeCell ref="L4:O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5" fitToWidth="0" fitToHeight="0" orientation="landscape" copies="2" r:id="rId3"/>
  <headerFooter>
    <oddHeader>&amp;L6.4. melléklet a 3/2019. (II.20.) önkormányzati rendelethez&amp;C&amp;"-,Félkövér"&amp;16Sátoraljaújhelyi Városi Könyvtár 2019. évi bevételei és kiadásai jogcímenként és feladatonként&amp;RAdatok ezer forintban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46"/>
  <sheetViews>
    <sheetView zoomScaleSheetLayoutView="75" workbookViewId="0">
      <selection activeCell="B15" sqref="B15"/>
    </sheetView>
  </sheetViews>
  <sheetFormatPr defaultRowHeight="15" x14ac:dyDescent="0.25"/>
  <cols>
    <col min="1" max="1" width="7.140625" style="31" customWidth="1"/>
    <col min="2" max="2" width="51.85546875" customWidth="1"/>
    <col min="3" max="3" width="12.5703125" style="40" hidden="1" customWidth="1"/>
    <col min="4" max="4" width="11.140625" hidden="1" customWidth="1"/>
    <col min="5" max="5" width="0" hidden="1" customWidth="1"/>
    <col min="6" max="6" width="9.7109375" hidden="1" customWidth="1"/>
    <col min="7" max="7" width="0" hidden="1" customWidth="1"/>
    <col min="8" max="8" width="9.5703125" hidden="1" customWidth="1"/>
    <col min="9" max="9" width="0" hidden="1" customWidth="1"/>
    <col min="10" max="10" width="9.7109375" hidden="1" customWidth="1"/>
    <col min="11" max="13" width="0" hidden="1" customWidth="1"/>
    <col min="14" max="14" width="9.85546875" hidden="1" customWidth="1"/>
    <col min="15" max="17" width="0" hidden="1" customWidth="1"/>
    <col min="18" max="18" width="9.85546875" hidden="1" customWidth="1"/>
    <col min="19" max="19" width="0" hidden="1" customWidth="1"/>
    <col min="22" max="22" width="9.85546875" customWidth="1"/>
  </cols>
  <sheetData>
    <row r="1" spans="1:23" x14ac:dyDescent="0.25">
      <c r="G1" s="32"/>
      <c r="O1" s="32"/>
      <c r="S1" s="32"/>
      <c r="W1" s="32" t="s">
        <v>302</v>
      </c>
    </row>
    <row r="2" spans="1:23" ht="15" customHeight="1" x14ac:dyDescent="0.25">
      <c r="A2" s="289" t="s">
        <v>303</v>
      </c>
      <c r="B2" s="289" t="s">
        <v>1265</v>
      </c>
      <c r="C2" s="330"/>
      <c r="D2" s="335"/>
      <c r="E2" s="335"/>
      <c r="F2" s="335"/>
      <c r="G2" s="335"/>
      <c r="H2" s="413"/>
      <c r="I2" s="413"/>
      <c r="J2" s="413"/>
      <c r="K2" s="413"/>
      <c r="L2" s="431"/>
      <c r="M2" s="431"/>
      <c r="N2" s="431"/>
      <c r="O2" s="431"/>
      <c r="P2" s="504"/>
      <c r="Q2" s="504"/>
      <c r="R2" s="504"/>
      <c r="S2" s="504"/>
      <c r="T2" s="504"/>
      <c r="U2" s="504"/>
      <c r="V2" s="504"/>
      <c r="W2" s="504"/>
    </row>
    <row r="3" spans="1:23" x14ac:dyDescent="0.25">
      <c r="A3" s="289" t="s">
        <v>304</v>
      </c>
      <c r="B3" s="289" t="s">
        <v>1267</v>
      </c>
      <c r="C3" s="330"/>
      <c r="D3" s="335"/>
      <c r="E3" s="335"/>
      <c r="F3" s="335"/>
      <c r="G3" s="335"/>
      <c r="H3" s="413"/>
      <c r="I3" s="413"/>
      <c r="J3" s="413"/>
      <c r="K3" s="413"/>
      <c r="L3" s="431"/>
      <c r="M3" s="431"/>
      <c r="N3" s="431"/>
      <c r="O3" s="431"/>
      <c r="P3" s="504"/>
      <c r="Q3" s="504"/>
      <c r="R3" s="504"/>
      <c r="S3" s="504"/>
      <c r="T3" s="504"/>
      <c r="U3" s="504"/>
      <c r="V3" s="504"/>
      <c r="W3" s="504"/>
    </row>
    <row r="4" spans="1:23" ht="66" customHeight="1" x14ac:dyDescent="0.25">
      <c r="A4" s="951" t="s">
        <v>305</v>
      </c>
      <c r="B4" s="950" t="s">
        <v>306</v>
      </c>
      <c r="C4" s="326" t="s">
        <v>1193</v>
      </c>
      <c r="D4" s="947" t="s">
        <v>1208</v>
      </c>
      <c r="E4" s="948"/>
      <c r="F4" s="948"/>
      <c r="G4" s="949"/>
      <c r="H4" s="947" t="s">
        <v>1236</v>
      </c>
      <c r="I4" s="948"/>
      <c r="J4" s="948"/>
      <c r="K4" s="949"/>
      <c r="L4" s="947" t="s">
        <v>1237</v>
      </c>
      <c r="M4" s="948"/>
      <c r="N4" s="948"/>
      <c r="O4" s="949"/>
      <c r="P4" s="947" t="s">
        <v>1246</v>
      </c>
      <c r="Q4" s="948"/>
      <c r="R4" s="948"/>
      <c r="S4" s="949"/>
      <c r="T4" s="947" t="s">
        <v>1247</v>
      </c>
      <c r="U4" s="948"/>
      <c r="V4" s="948"/>
      <c r="W4" s="949"/>
    </row>
    <row r="5" spans="1:23" ht="60" x14ac:dyDescent="0.25">
      <c r="A5" s="951"/>
      <c r="B5" s="950"/>
      <c r="C5" s="326" t="s">
        <v>546</v>
      </c>
      <c r="D5" s="334" t="s">
        <v>1209</v>
      </c>
      <c r="E5" s="334" t="s">
        <v>1210</v>
      </c>
      <c r="F5" s="334" t="s">
        <v>1211</v>
      </c>
      <c r="G5" s="334" t="s">
        <v>546</v>
      </c>
      <c r="H5" s="412" t="s">
        <v>1209</v>
      </c>
      <c r="I5" s="412" t="s">
        <v>1210</v>
      </c>
      <c r="J5" s="412" t="s">
        <v>1211</v>
      </c>
      <c r="K5" s="412" t="s">
        <v>546</v>
      </c>
      <c r="L5" s="429" t="s">
        <v>1209</v>
      </c>
      <c r="M5" s="429" t="s">
        <v>1210</v>
      </c>
      <c r="N5" s="429" t="s">
        <v>1211</v>
      </c>
      <c r="O5" s="429" t="s">
        <v>546</v>
      </c>
      <c r="P5" s="503" t="s">
        <v>1209</v>
      </c>
      <c r="Q5" s="503" t="s">
        <v>1210</v>
      </c>
      <c r="R5" s="503" t="s">
        <v>1211</v>
      </c>
      <c r="S5" s="503" t="s">
        <v>546</v>
      </c>
      <c r="T5" s="503" t="s">
        <v>1209</v>
      </c>
      <c r="U5" s="503" t="s">
        <v>1210</v>
      </c>
      <c r="V5" s="503" t="s">
        <v>1211</v>
      </c>
      <c r="W5" s="503" t="s">
        <v>546</v>
      </c>
    </row>
    <row r="6" spans="1:23" x14ac:dyDescent="0.25">
      <c r="A6" s="290"/>
      <c r="B6" s="291" t="s">
        <v>307</v>
      </c>
      <c r="C6" s="292"/>
      <c r="D6" s="292">
        <v>17</v>
      </c>
      <c r="E6" s="292"/>
      <c r="F6" s="292"/>
      <c r="G6" s="292">
        <f>SUM(D6:F6)</f>
        <v>17</v>
      </c>
      <c r="H6" s="292">
        <v>17</v>
      </c>
      <c r="I6" s="292"/>
      <c r="J6" s="292"/>
      <c r="K6" s="292">
        <f>SUM(H6:J6)</f>
        <v>17</v>
      </c>
      <c r="L6" s="292">
        <v>17</v>
      </c>
      <c r="M6" s="292"/>
      <c r="N6" s="292"/>
      <c r="O6" s="292">
        <f>SUM(L6:N6)</f>
        <v>17</v>
      </c>
      <c r="P6" s="292">
        <v>17</v>
      </c>
      <c r="Q6" s="292"/>
      <c r="R6" s="292"/>
      <c r="S6" s="292">
        <f>SUM(P6:R6)</f>
        <v>17</v>
      </c>
      <c r="T6" s="292">
        <v>0</v>
      </c>
      <c r="U6" s="292"/>
      <c r="V6" s="292"/>
      <c r="W6" s="292">
        <f>SUM(T6:V6)</f>
        <v>0</v>
      </c>
    </row>
    <row r="7" spans="1:23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36" si="2">SUM(L7:N7)</f>
        <v>0</v>
      </c>
      <c r="P7" s="292"/>
      <c r="Q7" s="292"/>
      <c r="R7" s="292"/>
      <c r="S7" s="292">
        <f t="shared" ref="S7:S36" si="3">SUM(P7:R7)</f>
        <v>0</v>
      </c>
      <c r="T7" s="292"/>
      <c r="U7" s="292"/>
      <c r="V7" s="292"/>
      <c r="W7" s="292">
        <f t="shared" ref="W7:W36" si="4">SUM(T7:V7)</f>
        <v>0</v>
      </c>
    </row>
    <row r="8" spans="1:23" x14ac:dyDescent="0.25">
      <c r="A8" s="293" t="s">
        <v>309</v>
      </c>
      <c r="B8" s="294" t="s">
        <v>310</v>
      </c>
      <c r="C8" s="295">
        <f>C9+C11+C20</f>
        <v>6731</v>
      </c>
      <c r="D8" s="295">
        <f t="shared" ref="D8:F8" si="5">D9+D11+D20</f>
        <v>6731</v>
      </c>
      <c r="E8" s="295">
        <f t="shared" si="5"/>
        <v>0</v>
      </c>
      <c r="F8" s="295">
        <f t="shared" si="5"/>
        <v>0</v>
      </c>
      <c r="G8" s="295">
        <f t="shared" si="0"/>
        <v>6731</v>
      </c>
      <c r="H8" s="295">
        <f t="shared" ref="H8:J8" si="6">H9+H11+H20</f>
        <v>6731</v>
      </c>
      <c r="I8" s="295">
        <f t="shared" si="6"/>
        <v>0</v>
      </c>
      <c r="J8" s="295">
        <f t="shared" si="6"/>
        <v>0</v>
      </c>
      <c r="K8" s="295">
        <f t="shared" si="1"/>
        <v>6731</v>
      </c>
      <c r="L8" s="295">
        <f t="shared" ref="L8:N8" si="7">L9+L11+L20</f>
        <v>6731</v>
      </c>
      <c r="M8" s="295">
        <f t="shared" si="7"/>
        <v>0</v>
      </c>
      <c r="N8" s="295">
        <f t="shared" si="7"/>
        <v>0</v>
      </c>
      <c r="O8" s="295">
        <f t="shared" si="2"/>
        <v>6731</v>
      </c>
      <c r="P8" s="295">
        <f t="shared" ref="P8:R8" si="8">P9+P11+P20</f>
        <v>7665</v>
      </c>
      <c r="Q8" s="295">
        <f t="shared" si="8"/>
        <v>0</v>
      </c>
      <c r="R8" s="295">
        <f t="shared" si="8"/>
        <v>0</v>
      </c>
      <c r="S8" s="295">
        <f t="shared" si="3"/>
        <v>7665</v>
      </c>
      <c r="T8" s="295">
        <f t="shared" ref="T8:V8" si="9">T9+T11+T20</f>
        <v>0</v>
      </c>
      <c r="U8" s="295">
        <f t="shared" si="9"/>
        <v>0</v>
      </c>
      <c r="V8" s="295">
        <f t="shared" si="9"/>
        <v>0</v>
      </c>
      <c r="W8" s="295">
        <f t="shared" si="4"/>
        <v>0</v>
      </c>
    </row>
    <row r="9" spans="1:23" x14ac:dyDescent="0.25">
      <c r="A9" s="296" t="s">
        <v>311</v>
      </c>
      <c r="B9" s="297" t="s">
        <v>312</v>
      </c>
      <c r="C9" s="298">
        <f>C10</f>
        <v>0</v>
      </c>
      <c r="D9" s="298">
        <f t="shared" ref="D9:V9" si="10">D10</f>
        <v>0</v>
      </c>
      <c r="E9" s="298">
        <f t="shared" si="10"/>
        <v>0</v>
      </c>
      <c r="F9" s="298">
        <f t="shared" si="10"/>
        <v>0</v>
      </c>
      <c r="G9" s="298">
        <f t="shared" si="0"/>
        <v>0</v>
      </c>
      <c r="H9" s="298">
        <f t="shared" si="10"/>
        <v>0</v>
      </c>
      <c r="I9" s="298">
        <f t="shared" si="10"/>
        <v>0</v>
      </c>
      <c r="J9" s="298">
        <f t="shared" si="10"/>
        <v>0</v>
      </c>
      <c r="K9" s="298">
        <f t="shared" si="1"/>
        <v>0</v>
      </c>
      <c r="L9" s="298">
        <f t="shared" si="10"/>
        <v>0</v>
      </c>
      <c r="M9" s="298">
        <f t="shared" si="10"/>
        <v>0</v>
      </c>
      <c r="N9" s="298">
        <f t="shared" si="10"/>
        <v>0</v>
      </c>
      <c r="O9" s="298">
        <f t="shared" si="2"/>
        <v>0</v>
      </c>
      <c r="P9" s="298">
        <f t="shared" si="10"/>
        <v>0</v>
      </c>
      <c r="Q9" s="298">
        <f t="shared" si="10"/>
        <v>0</v>
      </c>
      <c r="R9" s="298">
        <f t="shared" si="10"/>
        <v>0</v>
      </c>
      <c r="S9" s="298">
        <f t="shared" si="3"/>
        <v>0</v>
      </c>
      <c r="T9" s="298">
        <f t="shared" si="10"/>
        <v>0</v>
      </c>
      <c r="U9" s="298">
        <f t="shared" si="10"/>
        <v>0</v>
      </c>
      <c r="V9" s="298">
        <f t="shared" si="10"/>
        <v>0</v>
      </c>
      <c r="W9" s="298">
        <f t="shared" si="4"/>
        <v>0</v>
      </c>
    </row>
    <row r="10" spans="1:23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0</v>
      </c>
      <c r="I10" s="239">
        <v>0</v>
      </c>
      <c r="J10" s="239">
        <v>0</v>
      </c>
      <c r="K10" s="239">
        <f t="shared" si="1"/>
        <v>0</v>
      </c>
      <c r="L10" s="239">
        <v>0</v>
      </c>
      <c r="M10" s="239">
        <v>0</v>
      </c>
      <c r="N10" s="239">
        <v>0</v>
      </c>
      <c r="O10" s="239">
        <f t="shared" si="2"/>
        <v>0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0</v>
      </c>
      <c r="U10" s="239">
        <v>0</v>
      </c>
      <c r="V10" s="239">
        <v>0</v>
      </c>
      <c r="W10" s="239">
        <f t="shared" si="4"/>
        <v>0</v>
      </c>
    </row>
    <row r="11" spans="1:23" x14ac:dyDescent="0.25">
      <c r="A11" s="296" t="s">
        <v>322</v>
      </c>
      <c r="B11" s="297" t="s">
        <v>314</v>
      </c>
      <c r="C11" s="298">
        <f>C12+C13+C14+C15+C16+C17+C18+C19</f>
        <v>6731</v>
      </c>
      <c r="D11" s="298">
        <f t="shared" ref="D11:F11" si="11">D12+D13+D14+D15+D16+D17+D18+D19</f>
        <v>6731</v>
      </c>
      <c r="E11" s="298">
        <f t="shared" si="11"/>
        <v>0</v>
      </c>
      <c r="F11" s="298">
        <f t="shared" si="11"/>
        <v>0</v>
      </c>
      <c r="G11" s="298">
        <f t="shared" si="0"/>
        <v>6731</v>
      </c>
      <c r="H11" s="298">
        <f t="shared" ref="H11:J11" si="12">H12+H13+H14+H15+H16+H17+H18+H19</f>
        <v>6731</v>
      </c>
      <c r="I11" s="298">
        <f t="shared" si="12"/>
        <v>0</v>
      </c>
      <c r="J11" s="298">
        <f t="shared" si="12"/>
        <v>0</v>
      </c>
      <c r="K11" s="298">
        <f t="shared" si="1"/>
        <v>6731</v>
      </c>
      <c r="L11" s="298">
        <f t="shared" ref="L11:N11" si="13">L12+L13+L14+L15+L16+L17+L18+L19</f>
        <v>6731</v>
      </c>
      <c r="M11" s="298">
        <f t="shared" si="13"/>
        <v>0</v>
      </c>
      <c r="N11" s="298">
        <f t="shared" si="13"/>
        <v>0</v>
      </c>
      <c r="O11" s="298">
        <f t="shared" si="2"/>
        <v>6731</v>
      </c>
      <c r="P11" s="298">
        <f t="shared" ref="P11:R11" si="14">P12+P13+P14+P15+P16+P17+P18+P19</f>
        <v>7665</v>
      </c>
      <c r="Q11" s="298">
        <f t="shared" si="14"/>
        <v>0</v>
      </c>
      <c r="R11" s="298">
        <f t="shared" si="14"/>
        <v>0</v>
      </c>
      <c r="S11" s="298">
        <f t="shared" si="3"/>
        <v>7665</v>
      </c>
      <c r="T11" s="298">
        <f t="shared" ref="T11:V11" si="15">T12+T13+T14+T15+T16+T17+T18+T19</f>
        <v>0</v>
      </c>
      <c r="U11" s="298">
        <f t="shared" si="15"/>
        <v>0</v>
      </c>
      <c r="V11" s="298">
        <f t="shared" si="15"/>
        <v>0</v>
      </c>
      <c r="W11" s="298">
        <f t="shared" si="4"/>
        <v>0</v>
      </c>
    </row>
    <row r="12" spans="1:23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</row>
    <row r="13" spans="1:23" x14ac:dyDescent="0.25">
      <c r="A13" s="328"/>
      <c r="B13" s="299" t="s">
        <v>650</v>
      </c>
      <c r="C13" s="239">
        <v>0</v>
      </c>
      <c r="D13" s="239">
        <v>0</v>
      </c>
      <c r="E13" s="239">
        <v>0</v>
      </c>
      <c r="F13" s="239">
        <v>0</v>
      </c>
      <c r="G13" s="239">
        <f t="shared" si="0"/>
        <v>0</v>
      </c>
      <c r="H13" s="239">
        <v>0</v>
      </c>
      <c r="I13" s="239">
        <v>0</v>
      </c>
      <c r="J13" s="239">
        <v>0</v>
      </c>
      <c r="K13" s="239">
        <f t="shared" si="1"/>
        <v>0</v>
      </c>
      <c r="L13" s="239">
        <v>0</v>
      </c>
      <c r="M13" s="239">
        <v>0</v>
      </c>
      <c r="N13" s="239">
        <v>0</v>
      </c>
      <c r="O13" s="239">
        <f t="shared" si="2"/>
        <v>0</v>
      </c>
      <c r="P13" s="239">
        <v>0</v>
      </c>
      <c r="Q13" s="239">
        <v>0</v>
      </c>
      <c r="R13" s="239">
        <v>0</v>
      </c>
      <c r="S13" s="239">
        <f t="shared" si="3"/>
        <v>0</v>
      </c>
      <c r="T13" s="239">
        <v>0</v>
      </c>
      <c r="U13" s="239">
        <v>0</v>
      </c>
      <c r="V13" s="239">
        <v>0</v>
      </c>
      <c r="W13" s="239">
        <f t="shared" si="4"/>
        <v>0</v>
      </c>
    </row>
    <row r="14" spans="1:23" x14ac:dyDescent="0.25">
      <c r="A14" s="328"/>
      <c r="B14" s="299" t="s">
        <v>659</v>
      </c>
      <c r="C14" s="239">
        <v>0</v>
      </c>
      <c r="D14" s="239">
        <v>0</v>
      </c>
      <c r="E14" s="239">
        <v>0</v>
      </c>
      <c r="F14" s="239">
        <v>0</v>
      </c>
      <c r="G14" s="239">
        <f t="shared" si="0"/>
        <v>0</v>
      </c>
      <c r="H14" s="239">
        <v>0</v>
      </c>
      <c r="I14" s="239">
        <v>0</v>
      </c>
      <c r="J14" s="239">
        <v>0</v>
      </c>
      <c r="K14" s="239">
        <f t="shared" si="1"/>
        <v>0</v>
      </c>
      <c r="L14" s="239">
        <v>0</v>
      </c>
      <c r="M14" s="239">
        <v>0</v>
      </c>
      <c r="N14" s="239">
        <v>0</v>
      </c>
      <c r="O14" s="239">
        <f t="shared" si="2"/>
        <v>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</row>
    <row r="15" spans="1:23" x14ac:dyDescent="0.25">
      <c r="A15" s="328"/>
      <c r="B15" s="299" t="s">
        <v>660</v>
      </c>
      <c r="C15" s="239">
        <v>5300</v>
      </c>
      <c r="D15" s="239">
        <v>5300</v>
      </c>
      <c r="E15" s="239">
        <v>0</v>
      </c>
      <c r="F15" s="239">
        <v>0</v>
      </c>
      <c r="G15" s="239">
        <f t="shared" si="0"/>
        <v>5300</v>
      </c>
      <c r="H15" s="239">
        <v>5300</v>
      </c>
      <c r="I15" s="239">
        <v>0</v>
      </c>
      <c r="J15" s="239">
        <v>0</v>
      </c>
      <c r="K15" s="239">
        <f t="shared" si="1"/>
        <v>5300</v>
      </c>
      <c r="L15" s="239">
        <v>5300</v>
      </c>
      <c r="M15" s="239">
        <v>0</v>
      </c>
      <c r="N15" s="239">
        <v>0</v>
      </c>
      <c r="O15" s="239">
        <f t="shared" si="2"/>
        <v>5300</v>
      </c>
      <c r="P15" s="239">
        <v>6176</v>
      </c>
      <c r="Q15" s="239">
        <v>0</v>
      </c>
      <c r="R15" s="239">
        <v>0</v>
      </c>
      <c r="S15" s="239">
        <f t="shared" si="3"/>
        <v>6176</v>
      </c>
      <c r="T15" s="239">
        <v>0</v>
      </c>
      <c r="U15" s="239">
        <v>0</v>
      </c>
      <c r="V15" s="239">
        <v>0</v>
      </c>
      <c r="W15" s="239">
        <f t="shared" si="4"/>
        <v>0</v>
      </c>
    </row>
    <row r="16" spans="1:23" x14ac:dyDescent="0.25">
      <c r="A16" s="328"/>
      <c r="B16" s="299" t="s">
        <v>661</v>
      </c>
      <c r="C16" s="239">
        <v>1431</v>
      </c>
      <c r="D16" s="239">
        <v>1431</v>
      </c>
      <c r="E16" s="239">
        <v>0</v>
      </c>
      <c r="F16" s="239">
        <v>0</v>
      </c>
      <c r="G16" s="239">
        <f t="shared" si="0"/>
        <v>1431</v>
      </c>
      <c r="H16" s="239">
        <v>1431</v>
      </c>
      <c r="I16" s="239">
        <v>0</v>
      </c>
      <c r="J16" s="239">
        <v>0</v>
      </c>
      <c r="K16" s="239">
        <f t="shared" si="1"/>
        <v>1431</v>
      </c>
      <c r="L16" s="239">
        <v>1431</v>
      </c>
      <c r="M16" s="239">
        <v>0</v>
      </c>
      <c r="N16" s="239">
        <v>0</v>
      </c>
      <c r="O16" s="239">
        <f t="shared" si="2"/>
        <v>1431</v>
      </c>
      <c r="P16" s="239">
        <v>1489</v>
      </c>
      <c r="Q16" s="239">
        <v>0</v>
      </c>
      <c r="R16" s="239">
        <v>0</v>
      </c>
      <c r="S16" s="239">
        <f t="shared" si="3"/>
        <v>1489</v>
      </c>
      <c r="T16" s="239">
        <v>0</v>
      </c>
      <c r="U16" s="239">
        <v>0</v>
      </c>
      <c r="V16" s="239">
        <v>0</v>
      </c>
      <c r="W16" s="239">
        <f t="shared" si="4"/>
        <v>0</v>
      </c>
    </row>
    <row r="17" spans="1:23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0</v>
      </c>
      <c r="Q17" s="239">
        <v>0</v>
      </c>
      <c r="R17" s="239">
        <v>0</v>
      </c>
      <c r="S17" s="239">
        <f t="shared" si="3"/>
        <v>0</v>
      </c>
      <c r="T17" s="239">
        <v>0</v>
      </c>
      <c r="U17" s="239">
        <v>0</v>
      </c>
      <c r="V17" s="239">
        <v>0</v>
      </c>
      <c r="W17" s="239">
        <f t="shared" si="4"/>
        <v>0</v>
      </c>
    </row>
    <row r="18" spans="1:23" x14ac:dyDescent="0.25">
      <c r="A18" s="328"/>
      <c r="B18" s="299" t="s">
        <v>663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</row>
    <row r="19" spans="1:23" x14ac:dyDescent="0.25">
      <c r="A19" s="328"/>
      <c r="B19" s="299" t="s">
        <v>664</v>
      </c>
      <c r="C19" s="239">
        <v>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0</v>
      </c>
      <c r="I19" s="239">
        <v>0</v>
      </c>
      <c r="J19" s="239">
        <v>0</v>
      </c>
      <c r="K19" s="239">
        <f t="shared" si="1"/>
        <v>0</v>
      </c>
      <c r="L19" s="239">
        <v>0</v>
      </c>
      <c r="M19" s="239">
        <v>0</v>
      </c>
      <c r="N19" s="239">
        <v>0</v>
      </c>
      <c r="O19" s="239">
        <f t="shared" si="2"/>
        <v>0</v>
      </c>
      <c r="P19" s="239">
        <v>0</v>
      </c>
      <c r="Q19" s="239">
        <v>0</v>
      </c>
      <c r="R19" s="239">
        <v>0</v>
      </c>
      <c r="S19" s="239">
        <f t="shared" si="3"/>
        <v>0</v>
      </c>
      <c r="T19" s="239">
        <v>0</v>
      </c>
      <c r="U19" s="239">
        <v>0</v>
      </c>
      <c r="V19" s="239">
        <v>0</v>
      </c>
      <c r="W19" s="239">
        <f t="shared" si="4"/>
        <v>0</v>
      </c>
    </row>
    <row r="20" spans="1:23" x14ac:dyDescent="0.25">
      <c r="A20" s="296" t="s">
        <v>315</v>
      </c>
      <c r="B20" s="297" t="s">
        <v>316</v>
      </c>
      <c r="C20" s="298">
        <f>SUM(C21:C21)</f>
        <v>0</v>
      </c>
      <c r="D20" s="298">
        <f t="shared" ref="D20:V20" si="16">SUM(D21:D21)</f>
        <v>0</v>
      </c>
      <c r="E20" s="298">
        <f t="shared" si="16"/>
        <v>0</v>
      </c>
      <c r="F20" s="298">
        <f t="shared" si="16"/>
        <v>0</v>
      </c>
      <c r="G20" s="298">
        <f t="shared" si="0"/>
        <v>0</v>
      </c>
      <c r="H20" s="298">
        <f t="shared" si="16"/>
        <v>0</v>
      </c>
      <c r="I20" s="298">
        <f t="shared" si="16"/>
        <v>0</v>
      </c>
      <c r="J20" s="298">
        <f t="shared" si="16"/>
        <v>0</v>
      </c>
      <c r="K20" s="298">
        <f t="shared" si="1"/>
        <v>0</v>
      </c>
      <c r="L20" s="298">
        <f t="shared" si="16"/>
        <v>0</v>
      </c>
      <c r="M20" s="298">
        <f t="shared" si="16"/>
        <v>0</v>
      </c>
      <c r="N20" s="298">
        <f t="shared" si="16"/>
        <v>0</v>
      </c>
      <c r="O20" s="298">
        <f t="shared" si="2"/>
        <v>0</v>
      </c>
      <c r="P20" s="298">
        <f t="shared" si="16"/>
        <v>0</v>
      </c>
      <c r="Q20" s="298">
        <f t="shared" si="16"/>
        <v>0</v>
      </c>
      <c r="R20" s="298">
        <f t="shared" si="16"/>
        <v>0</v>
      </c>
      <c r="S20" s="298">
        <f t="shared" si="3"/>
        <v>0</v>
      </c>
      <c r="T20" s="298">
        <f t="shared" si="16"/>
        <v>0</v>
      </c>
      <c r="U20" s="298">
        <f t="shared" si="16"/>
        <v>0</v>
      </c>
      <c r="V20" s="298">
        <f t="shared" si="16"/>
        <v>0</v>
      </c>
      <c r="W20" s="298">
        <f t="shared" si="4"/>
        <v>0</v>
      </c>
    </row>
    <row r="21" spans="1:23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0</v>
      </c>
      <c r="I21" s="239">
        <v>0</v>
      </c>
      <c r="J21" s="239">
        <v>0</v>
      </c>
      <c r="K21" s="239">
        <f t="shared" si="1"/>
        <v>0</v>
      </c>
      <c r="L21" s="239">
        <v>0</v>
      </c>
      <c r="M21" s="239">
        <v>0</v>
      </c>
      <c r="N21" s="239">
        <v>0</v>
      </c>
      <c r="O21" s="239">
        <f t="shared" si="2"/>
        <v>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</row>
    <row r="22" spans="1:23" x14ac:dyDescent="0.25">
      <c r="A22" s="293" t="s">
        <v>318</v>
      </c>
      <c r="B22" s="294" t="s">
        <v>319</v>
      </c>
      <c r="C22" s="295">
        <f t="shared" ref="C22:F22" si="17">C23+C25+C28</f>
        <v>0</v>
      </c>
      <c r="D22" s="295">
        <f t="shared" si="17"/>
        <v>0</v>
      </c>
      <c r="E22" s="295">
        <f t="shared" si="17"/>
        <v>0</v>
      </c>
      <c r="F22" s="295">
        <f t="shared" si="17"/>
        <v>0</v>
      </c>
      <c r="G22" s="295">
        <f t="shared" si="0"/>
        <v>0</v>
      </c>
      <c r="H22" s="295">
        <f t="shared" ref="H22:J22" si="18">H23+H25+H28</f>
        <v>0</v>
      </c>
      <c r="I22" s="295">
        <f t="shared" si="18"/>
        <v>0</v>
      </c>
      <c r="J22" s="295">
        <f t="shared" si="18"/>
        <v>0</v>
      </c>
      <c r="K22" s="295">
        <f t="shared" si="1"/>
        <v>0</v>
      </c>
      <c r="L22" s="295">
        <f t="shared" ref="L22:N22" si="19">L23+L25+L28</f>
        <v>0</v>
      </c>
      <c r="M22" s="295">
        <f t="shared" si="19"/>
        <v>0</v>
      </c>
      <c r="N22" s="295">
        <f t="shared" si="19"/>
        <v>0</v>
      </c>
      <c r="O22" s="295">
        <f t="shared" si="2"/>
        <v>0</v>
      </c>
      <c r="P22" s="295">
        <f t="shared" ref="P22:R22" si="20">P23+P25+P28</f>
        <v>0</v>
      </c>
      <c r="Q22" s="295">
        <f t="shared" si="20"/>
        <v>0</v>
      </c>
      <c r="R22" s="295">
        <f t="shared" si="20"/>
        <v>0</v>
      </c>
      <c r="S22" s="295">
        <f t="shared" si="3"/>
        <v>0</v>
      </c>
      <c r="T22" s="295">
        <f t="shared" ref="T22:V22" si="21">T23+T25+T28</f>
        <v>0</v>
      </c>
      <c r="U22" s="295">
        <f t="shared" si="21"/>
        <v>0</v>
      </c>
      <c r="V22" s="295">
        <f t="shared" si="21"/>
        <v>0</v>
      </c>
      <c r="W22" s="295">
        <f t="shared" si="4"/>
        <v>0</v>
      </c>
    </row>
    <row r="23" spans="1:23" x14ac:dyDescent="0.25">
      <c r="A23" s="296" t="s">
        <v>311</v>
      </c>
      <c r="B23" s="297" t="s">
        <v>320</v>
      </c>
      <c r="C23" s="298">
        <f>SUM(C24:C24)</f>
        <v>0</v>
      </c>
      <c r="D23" s="298">
        <f t="shared" ref="D23:V23" si="22">SUM(D24:D24)</f>
        <v>0</v>
      </c>
      <c r="E23" s="298">
        <f t="shared" si="22"/>
        <v>0</v>
      </c>
      <c r="F23" s="298">
        <f t="shared" si="22"/>
        <v>0</v>
      </c>
      <c r="G23" s="298">
        <f t="shared" si="0"/>
        <v>0</v>
      </c>
      <c r="H23" s="298">
        <f t="shared" si="22"/>
        <v>0</v>
      </c>
      <c r="I23" s="298">
        <f t="shared" si="22"/>
        <v>0</v>
      </c>
      <c r="J23" s="298">
        <f t="shared" si="22"/>
        <v>0</v>
      </c>
      <c r="K23" s="298">
        <f t="shared" si="1"/>
        <v>0</v>
      </c>
      <c r="L23" s="298">
        <f t="shared" si="22"/>
        <v>0</v>
      </c>
      <c r="M23" s="298">
        <f t="shared" si="22"/>
        <v>0</v>
      </c>
      <c r="N23" s="298">
        <f t="shared" si="22"/>
        <v>0</v>
      </c>
      <c r="O23" s="298">
        <f t="shared" si="2"/>
        <v>0</v>
      </c>
      <c r="P23" s="298">
        <f t="shared" si="22"/>
        <v>0</v>
      </c>
      <c r="Q23" s="298">
        <f t="shared" si="22"/>
        <v>0</v>
      </c>
      <c r="R23" s="298">
        <f t="shared" si="22"/>
        <v>0</v>
      </c>
      <c r="S23" s="298">
        <f t="shared" si="3"/>
        <v>0</v>
      </c>
      <c r="T23" s="298">
        <f t="shared" si="22"/>
        <v>0</v>
      </c>
      <c r="U23" s="298">
        <f t="shared" si="22"/>
        <v>0</v>
      </c>
      <c r="V23" s="298">
        <f t="shared" si="22"/>
        <v>0</v>
      </c>
      <c r="W23" s="298">
        <f t="shared" si="4"/>
        <v>0</v>
      </c>
    </row>
    <row r="24" spans="1:23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</row>
    <row r="25" spans="1:23" x14ac:dyDescent="0.25">
      <c r="A25" s="296" t="s">
        <v>322</v>
      </c>
      <c r="B25" s="297" t="s">
        <v>257</v>
      </c>
      <c r="C25" s="298">
        <f>SUM(C26:C27)</f>
        <v>0</v>
      </c>
      <c r="D25" s="298">
        <f t="shared" ref="D25:F25" si="23">SUM(D26:D27)</f>
        <v>0</v>
      </c>
      <c r="E25" s="298">
        <f t="shared" si="23"/>
        <v>0</v>
      </c>
      <c r="F25" s="298">
        <f t="shared" si="23"/>
        <v>0</v>
      </c>
      <c r="G25" s="298">
        <f t="shared" si="0"/>
        <v>0</v>
      </c>
      <c r="H25" s="298">
        <f t="shared" ref="H25:J25" si="24">SUM(H26:H27)</f>
        <v>0</v>
      </c>
      <c r="I25" s="298">
        <f t="shared" si="24"/>
        <v>0</v>
      </c>
      <c r="J25" s="298">
        <f t="shared" si="24"/>
        <v>0</v>
      </c>
      <c r="K25" s="298">
        <f t="shared" si="1"/>
        <v>0</v>
      </c>
      <c r="L25" s="298">
        <f t="shared" ref="L25:N25" si="25">SUM(L26:L27)</f>
        <v>0</v>
      </c>
      <c r="M25" s="298">
        <f t="shared" si="25"/>
        <v>0</v>
      </c>
      <c r="N25" s="298">
        <f t="shared" si="25"/>
        <v>0</v>
      </c>
      <c r="O25" s="298">
        <f t="shared" si="2"/>
        <v>0</v>
      </c>
      <c r="P25" s="298">
        <f t="shared" ref="P25:R25" si="26">SUM(P26:P27)</f>
        <v>0</v>
      </c>
      <c r="Q25" s="298">
        <f t="shared" si="26"/>
        <v>0</v>
      </c>
      <c r="R25" s="298">
        <f t="shared" si="26"/>
        <v>0</v>
      </c>
      <c r="S25" s="298">
        <f t="shared" si="3"/>
        <v>0</v>
      </c>
      <c r="T25" s="298">
        <f t="shared" ref="T25:V25" si="27">SUM(T26:T27)</f>
        <v>0</v>
      </c>
      <c r="U25" s="298">
        <f t="shared" si="27"/>
        <v>0</v>
      </c>
      <c r="V25" s="298">
        <f t="shared" si="27"/>
        <v>0</v>
      </c>
      <c r="W25" s="298">
        <f t="shared" si="4"/>
        <v>0</v>
      </c>
    </row>
    <row r="26" spans="1:23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</row>
    <row r="27" spans="1:23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</row>
    <row r="28" spans="1:23" x14ac:dyDescent="0.25">
      <c r="A28" s="296" t="s">
        <v>315</v>
      </c>
      <c r="B28" s="297" t="s">
        <v>325</v>
      </c>
      <c r="C28" s="298">
        <f>SUM(C29:C29)</f>
        <v>0</v>
      </c>
      <c r="D28" s="298">
        <f t="shared" ref="D28:V28" si="28">SUM(D29:D29)</f>
        <v>0</v>
      </c>
      <c r="E28" s="298">
        <f t="shared" si="28"/>
        <v>0</v>
      </c>
      <c r="F28" s="298">
        <f t="shared" si="28"/>
        <v>0</v>
      </c>
      <c r="G28" s="298">
        <f t="shared" si="0"/>
        <v>0</v>
      </c>
      <c r="H28" s="298">
        <f t="shared" si="28"/>
        <v>0</v>
      </c>
      <c r="I28" s="298">
        <f t="shared" si="28"/>
        <v>0</v>
      </c>
      <c r="J28" s="298">
        <f t="shared" si="28"/>
        <v>0</v>
      </c>
      <c r="K28" s="298">
        <f t="shared" si="1"/>
        <v>0</v>
      </c>
      <c r="L28" s="298">
        <f t="shared" si="28"/>
        <v>0</v>
      </c>
      <c r="M28" s="298">
        <f t="shared" si="28"/>
        <v>0</v>
      </c>
      <c r="N28" s="298">
        <f t="shared" si="28"/>
        <v>0</v>
      </c>
      <c r="O28" s="298">
        <f t="shared" si="2"/>
        <v>0</v>
      </c>
      <c r="P28" s="298">
        <f t="shared" si="28"/>
        <v>0</v>
      </c>
      <c r="Q28" s="298">
        <f t="shared" si="28"/>
        <v>0</v>
      </c>
      <c r="R28" s="298">
        <f t="shared" si="28"/>
        <v>0</v>
      </c>
      <c r="S28" s="298">
        <f t="shared" si="3"/>
        <v>0</v>
      </c>
      <c r="T28" s="298">
        <f t="shared" si="28"/>
        <v>0</v>
      </c>
      <c r="U28" s="298">
        <f t="shared" si="28"/>
        <v>0</v>
      </c>
      <c r="V28" s="298">
        <f t="shared" si="28"/>
        <v>0</v>
      </c>
      <c r="W28" s="298">
        <f t="shared" si="4"/>
        <v>0</v>
      </c>
    </row>
    <row r="29" spans="1:23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</row>
    <row r="30" spans="1:23" x14ac:dyDescent="0.25">
      <c r="A30" s="327"/>
      <c r="B30" s="302" t="s">
        <v>327</v>
      </c>
      <c r="C30" s="303">
        <f>C22+C8</f>
        <v>6731</v>
      </c>
      <c r="D30" s="303">
        <f t="shared" ref="D30:F30" si="29">D22+D8</f>
        <v>6731</v>
      </c>
      <c r="E30" s="303">
        <f t="shared" si="29"/>
        <v>0</v>
      </c>
      <c r="F30" s="303">
        <f t="shared" si="29"/>
        <v>0</v>
      </c>
      <c r="G30" s="303">
        <f t="shared" si="0"/>
        <v>6731</v>
      </c>
      <c r="H30" s="303">
        <f t="shared" ref="H30:J30" si="30">H22+H8</f>
        <v>6731</v>
      </c>
      <c r="I30" s="303">
        <f t="shared" si="30"/>
        <v>0</v>
      </c>
      <c r="J30" s="303">
        <f t="shared" si="30"/>
        <v>0</v>
      </c>
      <c r="K30" s="303">
        <f t="shared" si="1"/>
        <v>6731</v>
      </c>
      <c r="L30" s="303">
        <f t="shared" ref="L30:N30" si="31">L22+L8</f>
        <v>6731</v>
      </c>
      <c r="M30" s="303">
        <f t="shared" si="31"/>
        <v>0</v>
      </c>
      <c r="N30" s="303">
        <f t="shared" si="31"/>
        <v>0</v>
      </c>
      <c r="O30" s="303">
        <f t="shared" si="2"/>
        <v>6731</v>
      </c>
      <c r="P30" s="303">
        <f t="shared" ref="P30:R30" si="32">P22+P8</f>
        <v>7665</v>
      </c>
      <c r="Q30" s="303">
        <f t="shared" si="32"/>
        <v>0</v>
      </c>
      <c r="R30" s="303">
        <f t="shared" si="32"/>
        <v>0</v>
      </c>
      <c r="S30" s="303">
        <f t="shared" si="3"/>
        <v>7665</v>
      </c>
      <c r="T30" s="303">
        <f t="shared" ref="T30:V30" si="33">T22+T8</f>
        <v>0</v>
      </c>
      <c r="U30" s="303">
        <f t="shared" si="33"/>
        <v>0</v>
      </c>
      <c r="V30" s="303">
        <f t="shared" si="33"/>
        <v>0</v>
      </c>
      <c r="W30" s="303">
        <f t="shared" si="4"/>
        <v>0</v>
      </c>
    </row>
    <row r="31" spans="1:23" x14ac:dyDescent="0.25">
      <c r="A31" s="293" t="s">
        <v>328</v>
      </c>
      <c r="B31" s="294" t="s">
        <v>329</v>
      </c>
      <c r="C31" s="295">
        <f t="shared" ref="C31:V31" si="34">C32</f>
        <v>105807</v>
      </c>
      <c r="D31" s="295">
        <f t="shared" si="34"/>
        <v>105807</v>
      </c>
      <c r="E31" s="295">
        <f t="shared" si="34"/>
        <v>0</v>
      </c>
      <c r="F31" s="295">
        <f t="shared" si="34"/>
        <v>0</v>
      </c>
      <c r="G31" s="295">
        <f t="shared" si="0"/>
        <v>105807</v>
      </c>
      <c r="H31" s="295">
        <f t="shared" si="34"/>
        <v>108688</v>
      </c>
      <c r="I31" s="295">
        <f t="shared" si="34"/>
        <v>0</v>
      </c>
      <c r="J31" s="295">
        <f t="shared" si="34"/>
        <v>0</v>
      </c>
      <c r="K31" s="295">
        <f t="shared" si="1"/>
        <v>108688</v>
      </c>
      <c r="L31" s="295">
        <f t="shared" si="34"/>
        <v>109616</v>
      </c>
      <c r="M31" s="295">
        <f t="shared" si="34"/>
        <v>0</v>
      </c>
      <c r="N31" s="295">
        <f t="shared" si="34"/>
        <v>0</v>
      </c>
      <c r="O31" s="295">
        <f t="shared" si="2"/>
        <v>109616</v>
      </c>
      <c r="P31" s="295">
        <f t="shared" si="34"/>
        <v>111398</v>
      </c>
      <c r="Q31" s="295">
        <f t="shared" si="34"/>
        <v>0</v>
      </c>
      <c r="R31" s="295">
        <f t="shared" si="34"/>
        <v>0</v>
      </c>
      <c r="S31" s="295">
        <f t="shared" si="3"/>
        <v>111398</v>
      </c>
      <c r="T31" s="295">
        <f t="shared" si="34"/>
        <v>0</v>
      </c>
      <c r="U31" s="295">
        <f t="shared" si="34"/>
        <v>0</v>
      </c>
      <c r="V31" s="295">
        <f t="shared" si="34"/>
        <v>0</v>
      </c>
      <c r="W31" s="295">
        <f t="shared" si="4"/>
        <v>0</v>
      </c>
    </row>
    <row r="32" spans="1:23" x14ac:dyDescent="0.25">
      <c r="A32" s="296" t="s">
        <v>311</v>
      </c>
      <c r="B32" s="297" t="s">
        <v>330</v>
      </c>
      <c r="C32" s="298">
        <f>SUM(C33:C34)</f>
        <v>105807</v>
      </c>
      <c r="D32" s="298">
        <f t="shared" ref="D32:F32" si="35">SUM(D33:D34)</f>
        <v>105807</v>
      </c>
      <c r="E32" s="298">
        <f t="shared" si="35"/>
        <v>0</v>
      </c>
      <c r="F32" s="298">
        <f t="shared" si="35"/>
        <v>0</v>
      </c>
      <c r="G32" s="298">
        <f t="shared" si="0"/>
        <v>105807</v>
      </c>
      <c r="H32" s="298">
        <f t="shared" ref="H32:J32" si="36">SUM(H33:H34)</f>
        <v>108688</v>
      </c>
      <c r="I32" s="298">
        <f t="shared" si="36"/>
        <v>0</v>
      </c>
      <c r="J32" s="298">
        <f t="shared" si="36"/>
        <v>0</v>
      </c>
      <c r="K32" s="298">
        <f t="shared" si="1"/>
        <v>108688</v>
      </c>
      <c r="L32" s="298">
        <f t="shared" ref="L32:N32" si="37">SUM(L33:L34)</f>
        <v>109616</v>
      </c>
      <c r="M32" s="298">
        <f t="shared" si="37"/>
        <v>0</v>
      </c>
      <c r="N32" s="298">
        <f t="shared" si="37"/>
        <v>0</v>
      </c>
      <c r="O32" s="298">
        <f t="shared" si="2"/>
        <v>109616</v>
      </c>
      <c r="P32" s="298">
        <f t="shared" ref="P32:R32" si="38">SUM(P33:P34)</f>
        <v>111398</v>
      </c>
      <c r="Q32" s="298">
        <f t="shared" si="38"/>
        <v>0</v>
      </c>
      <c r="R32" s="298">
        <f t="shared" si="38"/>
        <v>0</v>
      </c>
      <c r="S32" s="298">
        <f t="shared" si="3"/>
        <v>111398</v>
      </c>
      <c r="T32" s="298">
        <f t="shared" ref="T32:V32" si="39">SUM(T33:T34)</f>
        <v>0</v>
      </c>
      <c r="U32" s="298">
        <f t="shared" si="39"/>
        <v>0</v>
      </c>
      <c r="V32" s="298">
        <f t="shared" si="39"/>
        <v>0</v>
      </c>
      <c r="W32" s="298">
        <f t="shared" si="4"/>
        <v>0</v>
      </c>
    </row>
    <row r="33" spans="1:23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3839</v>
      </c>
      <c r="I33" s="239">
        <v>0</v>
      </c>
      <c r="J33" s="239">
        <v>0</v>
      </c>
      <c r="K33" s="239">
        <f t="shared" si="1"/>
        <v>3839</v>
      </c>
      <c r="L33" s="239">
        <v>3839</v>
      </c>
      <c r="M33" s="239">
        <v>0</v>
      </c>
      <c r="N33" s="239">
        <v>0</v>
      </c>
      <c r="O33" s="239">
        <f t="shared" si="2"/>
        <v>3839</v>
      </c>
      <c r="P33" s="239">
        <v>3839</v>
      </c>
      <c r="Q33" s="239">
        <v>0</v>
      </c>
      <c r="R33" s="239">
        <v>0</v>
      </c>
      <c r="S33" s="239">
        <f t="shared" si="3"/>
        <v>3839</v>
      </c>
      <c r="T33" s="239">
        <v>0</v>
      </c>
      <c r="U33" s="239">
        <v>0</v>
      </c>
      <c r="V33" s="239">
        <v>0</v>
      </c>
      <c r="W33" s="239">
        <f t="shared" si="4"/>
        <v>0</v>
      </c>
    </row>
    <row r="34" spans="1:23" x14ac:dyDescent="0.25">
      <c r="A34" s="328"/>
      <c r="B34" s="301" t="s">
        <v>332</v>
      </c>
      <c r="C34" s="239">
        <f>C36+C42-C30-C33</f>
        <v>105807</v>
      </c>
      <c r="D34" s="239">
        <f t="shared" ref="D34:F34" si="40">D36+D42-D30-D33</f>
        <v>105807</v>
      </c>
      <c r="E34" s="239">
        <f t="shared" si="40"/>
        <v>0</v>
      </c>
      <c r="F34" s="239">
        <f t="shared" si="40"/>
        <v>0</v>
      </c>
      <c r="G34" s="239">
        <f t="shared" si="0"/>
        <v>105807</v>
      </c>
      <c r="H34" s="239">
        <f t="shared" ref="H34:J34" si="41">H36+H42-H30-H33</f>
        <v>104849</v>
      </c>
      <c r="I34" s="239">
        <f t="shared" si="41"/>
        <v>0</v>
      </c>
      <c r="J34" s="239">
        <f t="shared" si="41"/>
        <v>0</v>
      </c>
      <c r="K34" s="239">
        <f t="shared" si="1"/>
        <v>104849</v>
      </c>
      <c r="L34" s="239">
        <f t="shared" ref="L34:N34" si="42">L36+L42-L30-L33</f>
        <v>105777</v>
      </c>
      <c r="M34" s="239">
        <f t="shared" si="42"/>
        <v>0</v>
      </c>
      <c r="N34" s="239">
        <f t="shared" si="42"/>
        <v>0</v>
      </c>
      <c r="O34" s="239">
        <f t="shared" si="2"/>
        <v>105777</v>
      </c>
      <c r="P34" s="239">
        <f t="shared" ref="P34:R34" si="43">P36+P42-P30-P33</f>
        <v>107559</v>
      </c>
      <c r="Q34" s="239">
        <f t="shared" si="43"/>
        <v>0</v>
      </c>
      <c r="R34" s="239">
        <f t="shared" si="43"/>
        <v>0</v>
      </c>
      <c r="S34" s="239">
        <f t="shared" si="3"/>
        <v>107559</v>
      </c>
      <c r="T34" s="239">
        <v>0</v>
      </c>
      <c r="U34" s="239">
        <f t="shared" ref="U34:V34" si="44">U36+U42-U30-U33</f>
        <v>0</v>
      </c>
      <c r="V34" s="239">
        <f t="shared" si="44"/>
        <v>0</v>
      </c>
      <c r="W34" s="239">
        <f t="shared" si="4"/>
        <v>0</v>
      </c>
    </row>
    <row r="35" spans="1:23" x14ac:dyDescent="0.25">
      <c r="A35" s="304"/>
      <c r="B35" s="305" t="s">
        <v>333</v>
      </c>
      <c r="C35" s="276">
        <f>C31+C22+C8</f>
        <v>112538</v>
      </c>
      <c r="D35" s="276">
        <f t="shared" ref="D35:F35" si="45">D31+D22+D8</f>
        <v>112538</v>
      </c>
      <c r="E35" s="276">
        <f t="shared" si="45"/>
        <v>0</v>
      </c>
      <c r="F35" s="276">
        <f t="shared" si="45"/>
        <v>0</v>
      </c>
      <c r="G35" s="276">
        <f t="shared" si="0"/>
        <v>112538</v>
      </c>
      <c r="H35" s="276">
        <f t="shared" ref="H35:J35" si="46">H31+H22+H8</f>
        <v>115419</v>
      </c>
      <c r="I35" s="276">
        <f t="shared" si="46"/>
        <v>0</v>
      </c>
      <c r="J35" s="276">
        <f t="shared" si="46"/>
        <v>0</v>
      </c>
      <c r="K35" s="276">
        <f t="shared" si="1"/>
        <v>115419</v>
      </c>
      <c r="L35" s="276">
        <f t="shared" ref="L35:N35" si="47">L31+L22+L8</f>
        <v>116347</v>
      </c>
      <c r="M35" s="276">
        <f t="shared" si="47"/>
        <v>0</v>
      </c>
      <c r="N35" s="276">
        <f t="shared" si="47"/>
        <v>0</v>
      </c>
      <c r="O35" s="276">
        <f t="shared" si="2"/>
        <v>116347</v>
      </c>
      <c r="P35" s="276">
        <f t="shared" ref="P35:R35" si="48">P31+P22+P8</f>
        <v>119063</v>
      </c>
      <c r="Q35" s="276">
        <f t="shared" si="48"/>
        <v>0</v>
      </c>
      <c r="R35" s="276">
        <f t="shared" si="48"/>
        <v>0</v>
      </c>
      <c r="S35" s="276">
        <f t="shared" si="3"/>
        <v>119063</v>
      </c>
      <c r="T35" s="276">
        <f t="shared" ref="T35:V35" si="49">T31+T22+T8</f>
        <v>0</v>
      </c>
      <c r="U35" s="276">
        <f t="shared" si="49"/>
        <v>0</v>
      </c>
      <c r="V35" s="276">
        <f t="shared" si="49"/>
        <v>0</v>
      </c>
      <c r="W35" s="276">
        <f t="shared" si="4"/>
        <v>0</v>
      </c>
    </row>
    <row r="36" spans="1:23" x14ac:dyDescent="0.25">
      <c r="A36" s="293" t="s">
        <v>309</v>
      </c>
      <c r="B36" s="294" t="s">
        <v>334</v>
      </c>
      <c r="C36" s="295">
        <f t="shared" ref="C36:F36" si="50">SUM(C37:C41)</f>
        <v>111153</v>
      </c>
      <c r="D36" s="295">
        <f t="shared" si="50"/>
        <v>111153</v>
      </c>
      <c r="E36" s="295">
        <f t="shared" si="50"/>
        <v>0</v>
      </c>
      <c r="F36" s="295">
        <f t="shared" si="50"/>
        <v>0</v>
      </c>
      <c r="G36" s="295">
        <f t="shared" si="0"/>
        <v>111153</v>
      </c>
      <c r="H36" s="295">
        <f>SUM(H37:H41)</f>
        <v>114034</v>
      </c>
      <c r="I36" s="295">
        <f t="shared" ref="I36:J36" si="51">SUM(I37:I41)</f>
        <v>0</v>
      </c>
      <c r="J36" s="295">
        <f t="shared" si="51"/>
        <v>0</v>
      </c>
      <c r="K36" s="295">
        <f t="shared" si="1"/>
        <v>114034</v>
      </c>
      <c r="L36" s="295">
        <f>SUM(L37:L41)</f>
        <v>114962</v>
      </c>
      <c r="M36" s="295">
        <f t="shared" ref="M36:N36" si="52">SUM(M37:M41)</f>
        <v>0</v>
      </c>
      <c r="N36" s="295">
        <f t="shared" si="52"/>
        <v>0</v>
      </c>
      <c r="O36" s="295">
        <f t="shared" si="2"/>
        <v>114962</v>
      </c>
      <c r="P36" s="295">
        <f>SUM(P37:P41)</f>
        <v>117841</v>
      </c>
      <c r="Q36" s="295">
        <f t="shared" ref="Q36:R36" si="53">SUM(Q37:Q41)</f>
        <v>0</v>
      </c>
      <c r="R36" s="295">
        <f t="shared" si="53"/>
        <v>0</v>
      </c>
      <c r="S36" s="295">
        <f t="shared" si="3"/>
        <v>117841</v>
      </c>
      <c r="T36" s="295">
        <f>SUM(T37:T41)</f>
        <v>0</v>
      </c>
      <c r="U36" s="295">
        <f t="shared" ref="U36:V36" si="54">SUM(U37:U41)</f>
        <v>0</v>
      </c>
      <c r="V36" s="295">
        <f t="shared" si="54"/>
        <v>0</v>
      </c>
      <c r="W36" s="295">
        <f t="shared" si="4"/>
        <v>0</v>
      </c>
    </row>
    <row r="37" spans="1:23" x14ac:dyDescent="0.25">
      <c r="A37" s="296" t="s">
        <v>311</v>
      </c>
      <c r="B37" s="297" t="s">
        <v>286</v>
      </c>
      <c r="C37" s="298">
        <f>'5H GSZNR fel'!C99+'5H GSZNR fel'!C105+'5H GSZNR fel'!C110</f>
        <v>62143</v>
      </c>
      <c r="D37" s="298">
        <f>'5H GSZNR fel'!C99+'5H GSZNR fel'!C105+'5H GSZNR fel'!C110</f>
        <v>62143</v>
      </c>
      <c r="E37" s="298">
        <f>'5H GSZNR fel'!E99+'5H GSZNR fel'!E105+'5H GSZNR fel'!E110</f>
        <v>0</v>
      </c>
      <c r="F37" s="298">
        <v>0</v>
      </c>
      <c r="G37" s="298">
        <f t="shared" si="0"/>
        <v>62143</v>
      </c>
      <c r="H37" s="298">
        <f>'5H GSZNR fel'!I99+'5H GSZNR fel'!I105+'5H GSZNR fel'!I110</f>
        <v>62259</v>
      </c>
      <c r="J37" s="298">
        <v>0</v>
      </c>
      <c r="K37" s="298">
        <f>SUM(H37:J37)</f>
        <v>62259</v>
      </c>
      <c r="L37" s="298">
        <f>'5H GSZNR fel'!L99+'5H GSZNR fel'!L105+'5H GSZNR fel'!L110</f>
        <v>62364</v>
      </c>
      <c r="N37" s="298">
        <v>0</v>
      </c>
      <c r="O37" s="298">
        <f>SUM(L37:N37)</f>
        <v>62364</v>
      </c>
      <c r="P37" s="298">
        <f>'5H GSZNR fel'!O99+'5H GSZNR fel'!O105+'5H GSZNR fel'!O110</f>
        <v>63641</v>
      </c>
      <c r="R37" s="298">
        <v>0</v>
      </c>
      <c r="S37" s="298">
        <f>SUM(P37:R37)</f>
        <v>63641</v>
      </c>
      <c r="T37" s="298">
        <f>'5H GSZNR fel'!R99+'5H GSZNR fel'!R105+'5H GSZNR fel'!R110</f>
        <v>0</v>
      </c>
      <c r="U37" s="298">
        <f>'5H GSZNR fel'!Q99+'5H GSZNR fel'!Q105+'5H GSZNR fel'!Q110</f>
        <v>0</v>
      </c>
      <c r="V37" s="298">
        <v>0</v>
      </c>
      <c r="W37" s="298">
        <f>SUM(T37:V37)</f>
        <v>0</v>
      </c>
    </row>
    <row r="38" spans="1:23" x14ac:dyDescent="0.25">
      <c r="A38" s="296" t="s">
        <v>322</v>
      </c>
      <c r="B38" s="297" t="s">
        <v>335</v>
      </c>
      <c r="C38" s="298">
        <f>'5H GSZNR fel'!C100+'5H GSZNR fel'!C106+'5H GSZNR fel'!C111</f>
        <v>13643</v>
      </c>
      <c r="D38" s="298">
        <f>'5H GSZNR fel'!C100+'5H GSZNR fel'!C106+'5H GSZNR fel'!C111</f>
        <v>13643</v>
      </c>
      <c r="E38" s="298">
        <f>'5H GSZNR fel'!E100+'5H GSZNR fel'!E106+'5H GSZNR fel'!E111</f>
        <v>0</v>
      </c>
      <c r="F38" s="298">
        <v>0</v>
      </c>
      <c r="G38" s="298">
        <f t="shared" si="0"/>
        <v>13643</v>
      </c>
      <c r="H38" s="298">
        <f>'5H GSZNR fel'!I100+'5H GSZNR fel'!I106+'5H GSZNR fel'!I111</f>
        <v>13669</v>
      </c>
      <c r="I38" s="298">
        <f>'5H GSZNR fel'!J100+'5H GSZNR fel'!J106+'5H GSZNR fel'!J111</f>
        <v>0</v>
      </c>
      <c r="J38" s="298">
        <v>0</v>
      </c>
      <c r="K38" s="298">
        <f t="shared" si="1"/>
        <v>13669</v>
      </c>
      <c r="L38" s="298">
        <f>'5H GSZNR fel'!L100+'5H GSZNR fel'!L106+'5H GSZNR fel'!L111</f>
        <v>13692</v>
      </c>
      <c r="M38" s="298">
        <f>'5H GSZNR fel'!N100+'5H GSZNR fel'!N106+'5H GSZNR fel'!N111</f>
        <v>0</v>
      </c>
      <c r="N38" s="298">
        <v>0</v>
      </c>
      <c r="O38" s="298">
        <f t="shared" ref="O38:O42" si="55">SUM(L38:N38)</f>
        <v>13692</v>
      </c>
      <c r="P38" s="298">
        <f>'5H GSZNR fel'!O100+'5H GSZNR fel'!O106+'5H GSZNR fel'!O111</f>
        <v>14905</v>
      </c>
      <c r="Q38" s="298">
        <f>'5H GSZNR fel'!M100+'5H GSZNR fel'!M106+'5H GSZNR fel'!M111</f>
        <v>0</v>
      </c>
      <c r="R38" s="298">
        <v>0</v>
      </c>
      <c r="S38" s="298">
        <f t="shared" ref="S38:S42" si="56">SUM(P38:R38)</f>
        <v>14905</v>
      </c>
      <c r="T38" s="298">
        <f>'5H GSZNR fel'!R100+'5H GSZNR fel'!R106+'5H GSZNR fel'!R111</f>
        <v>0</v>
      </c>
      <c r="U38" s="298">
        <f>'5H GSZNR fel'!Q100+'5H GSZNR fel'!Q106+'5H GSZNR fel'!Q111</f>
        <v>0</v>
      </c>
      <c r="V38" s="298">
        <v>0</v>
      </c>
      <c r="W38" s="298">
        <f t="shared" ref="W38:W42" si="57">SUM(T38:V38)</f>
        <v>0</v>
      </c>
    </row>
    <row r="39" spans="1:23" x14ac:dyDescent="0.25">
      <c r="A39" s="296" t="s">
        <v>315</v>
      </c>
      <c r="B39" s="297" t="s">
        <v>292</v>
      </c>
      <c r="C39" s="298">
        <f>'5H GSZNR fel'!C101+'5H GSZNR fel'!C107+'5H GSZNR fel'!C112</f>
        <v>35367</v>
      </c>
      <c r="D39" s="298">
        <f>'5H GSZNR fel'!C101+'5H GSZNR fel'!C107+'5H GSZNR fel'!C112</f>
        <v>35367</v>
      </c>
      <c r="E39" s="298">
        <f>'5H GSZNR fel'!E101+'5H GSZNR fel'!E107+'5H GSZNR fel'!E112</f>
        <v>0</v>
      </c>
      <c r="F39" s="298">
        <v>0</v>
      </c>
      <c r="G39" s="298">
        <f t="shared" si="0"/>
        <v>35367</v>
      </c>
      <c r="H39" s="298">
        <f>'5H GSZNR fel'!I101+'5H GSZNR fel'!I107+'5H GSZNR fel'!I112</f>
        <v>35110</v>
      </c>
      <c r="I39" s="298">
        <f>'5H GSZNR fel'!J101+'5H GSZNR fel'!J107+'5H GSZNR fel'!J112</f>
        <v>0</v>
      </c>
      <c r="J39" s="298">
        <v>0</v>
      </c>
      <c r="K39" s="298">
        <f t="shared" si="1"/>
        <v>35110</v>
      </c>
      <c r="L39" s="298">
        <f>'5H GSZNR fel'!L101+'5H GSZNR fel'!L107+'5H GSZNR fel'!L112</f>
        <v>35910</v>
      </c>
      <c r="M39" s="298">
        <f>'5H GSZNR fel'!N101+'5H GSZNR fel'!N107+'5H GSZNR fel'!N112</f>
        <v>0</v>
      </c>
      <c r="N39" s="298">
        <v>0</v>
      </c>
      <c r="O39" s="298">
        <f t="shared" si="55"/>
        <v>35910</v>
      </c>
      <c r="P39" s="298">
        <f>'5H GSZNR fel'!O101+'5H GSZNR fel'!O107+'5H GSZNR fel'!O112</f>
        <v>36299</v>
      </c>
      <c r="Q39" s="298">
        <f>'5H GSZNR fel'!M101+'5H GSZNR fel'!M107+'5H GSZNR fel'!M112</f>
        <v>0</v>
      </c>
      <c r="R39" s="298">
        <v>0</v>
      </c>
      <c r="S39" s="298">
        <f t="shared" si="56"/>
        <v>36299</v>
      </c>
      <c r="T39" s="298">
        <f>'5H GSZNR fel'!R101+'5H GSZNR fel'!R107+'5H GSZNR fel'!R112</f>
        <v>0</v>
      </c>
      <c r="U39" s="298">
        <f>'5H GSZNR fel'!Q101+'5H GSZNR fel'!Q107+'5H GSZNR fel'!Q112</f>
        <v>0</v>
      </c>
      <c r="V39" s="298">
        <v>0</v>
      </c>
      <c r="W39" s="298">
        <f t="shared" si="57"/>
        <v>0</v>
      </c>
    </row>
    <row r="40" spans="1:23" x14ac:dyDescent="0.25">
      <c r="A40" s="296" t="s">
        <v>336</v>
      </c>
      <c r="B40" s="297" t="s">
        <v>337</v>
      </c>
      <c r="C40" s="298">
        <v>0</v>
      </c>
      <c r="D40" s="298">
        <v>0</v>
      </c>
      <c r="E40" s="298">
        <v>0</v>
      </c>
      <c r="F40" s="298">
        <v>0</v>
      </c>
      <c r="G40" s="298">
        <f t="shared" si="0"/>
        <v>0</v>
      </c>
      <c r="H40" s="298">
        <v>0</v>
      </c>
      <c r="I40" s="298">
        <v>0</v>
      </c>
      <c r="J40" s="298">
        <v>0</v>
      </c>
      <c r="K40" s="298">
        <f t="shared" si="1"/>
        <v>0</v>
      </c>
      <c r="L40" s="298">
        <v>0</v>
      </c>
      <c r="M40" s="298">
        <v>0</v>
      </c>
      <c r="N40" s="298">
        <v>0</v>
      </c>
      <c r="O40" s="298">
        <f t="shared" si="55"/>
        <v>0</v>
      </c>
      <c r="P40" s="298">
        <v>0</v>
      </c>
      <c r="Q40" s="298">
        <v>0</v>
      </c>
      <c r="R40" s="298">
        <v>0</v>
      </c>
      <c r="S40" s="298">
        <f t="shared" si="56"/>
        <v>0</v>
      </c>
      <c r="T40" s="298">
        <v>0</v>
      </c>
      <c r="U40" s="298">
        <v>0</v>
      </c>
      <c r="V40" s="298">
        <v>0</v>
      </c>
      <c r="W40" s="298">
        <f t="shared" si="57"/>
        <v>0</v>
      </c>
    </row>
    <row r="41" spans="1:23" x14ac:dyDescent="0.25">
      <c r="A41" s="296" t="s">
        <v>338</v>
      </c>
      <c r="B41" s="297" t="s">
        <v>339</v>
      </c>
      <c r="C41" s="298">
        <v>0</v>
      </c>
      <c r="D41" s="298">
        <v>0</v>
      </c>
      <c r="E41" s="298">
        <v>0</v>
      </c>
      <c r="F41" s="298">
        <v>0</v>
      </c>
      <c r="G41" s="298">
        <f t="shared" si="0"/>
        <v>0</v>
      </c>
      <c r="H41" s="298">
        <f>+'5H GSZNR fel'!I102</f>
        <v>2996</v>
      </c>
      <c r="I41" s="298">
        <v>0</v>
      </c>
      <c r="J41" s="298">
        <v>0</v>
      </c>
      <c r="K41" s="298">
        <f t="shared" si="1"/>
        <v>2996</v>
      </c>
      <c r="L41" s="298">
        <f>+'5H GSZNR fel'!L102</f>
        <v>2996</v>
      </c>
      <c r="M41" s="298">
        <v>0</v>
      </c>
      <c r="N41" s="298">
        <v>0</v>
      </c>
      <c r="O41" s="298">
        <f t="shared" si="55"/>
        <v>2996</v>
      </c>
      <c r="P41" s="298">
        <f>+'5H GSZNR fel'!O102</f>
        <v>2996</v>
      </c>
      <c r="Q41" s="298">
        <v>0</v>
      </c>
      <c r="R41" s="298">
        <v>0</v>
      </c>
      <c r="S41" s="298">
        <f t="shared" si="56"/>
        <v>2996</v>
      </c>
      <c r="T41" s="298">
        <f>+'5H GSZNR fel'!R102</f>
        <v>0</v>
      </c>
      <c r="U41" s="298">
        <v>0</v>
      </c>
      <c r="V41" s="298">
        <v>0</v>
      </c>
      <c r="W41" s="298">
        <f t="shared" si="57"/>
        <v>0</v>
      </c>
    </row>
    <row r="42" spans="1:23" x14ac:dyDescent="0.25">
      <c r="A42" s="293" t="s">
        <v>318</v>
      </c>
      <c r="B42" s="294" t="s">
        <v>340</v>
      </c>
      <c r="C42" s="295">
        <f t="shared" ref="C42:F42" si="58">SUM(C43:C45)</f>
        <v>1385</v>
      </c>
      <c r="D42" s="295">
        <f t="shared" si="58"/>
        <v>1385</v>
      </c>
      <c r="E42" s="295">
        <f t="shared" si="58"/>
        <v>0</v>
      </c>
      <c r="F42" s="295">
        <f t="shared" si="58"/>
        <v>0</v>
      </c>
      <c r="G42" s="295">
        <f t="shared" si="0"/>
        <v>1385</v>
      </c>
      <c r="H42" s="295">
        <f>SUM(H43:H45)</f>
        <v>1385</v>
      </c>
      <c r="I42" s="295">
        <f>SUM(I43:I45)</f>
        <v>0</v>
      </c>
      <c r="J42" s="295">
        <f t="shared" ref="J42" si="59">SUM(J43:J45)</f>
        <v>0</v>
      </c>
      <c r="K42" s="295">
        <f t="shared" si="1"/>
        <v>1385</v>
      </c>
      <c r="L42" s="295">
        <f>SUM(L43:L45)</f>
        <v>1385</v>
      </c>
      <c r="M42" s="295">
        <f>SUM(M43:M45)</f>
        <v>0</v>
      </c>
      <c r="N42" s="295">
        <f t="shared" ref="N42" si="60">SUM(N43:N45)</f>
        <v>0</v>
      </c>
      <c r="O42" s="295">
        <f t="shared" si="55"/>
        <v>1385</v>
      </c>
      <c r="P42" s="295">
        <f>SUM(P43:P45)</f>
        <v>1222</v>
      </c>
      <c r="Q42" s="295">
        <f>SUM(Q43:Q45)</f>
        <v>0</v>
      </c>
      <c r="R42" s="295">
        <f t="shared" ref="R42" si="61">SUM(R43:R45)</f>
        <v>0</v>
      </c>
      <c r="S42" s="295">
        <f t="shared" si="56"/>
        <v>1222</v>
      </c>
      <c r="T42" s="295">
        <f>SUM(T43:T45)</f>
        <v>0</v>
      </c>
      <c r="U42" s="295">
        <f>SUM(U43:U45)</f>
        <v>0</v>
      </c>
      <c r="V42" s="295">
        <f t="shared" ref="V42" si="62">SUM(V43:V45)</f>
        <v>0</v>
      </c>
      <c r="W42" s="295">
        <f t="shared" si="57"/>
        <v>0</v>
      </c>
    </row>
    <row r="43" spans="1:23" x14ac:dyDescent="0.25">
      <c r="A43" s="296" t="s">
        <v>311</v>
      </c>
      <c r="B43" s="297" t="s">
        <v>341</v>
      </c>
      <c r="C43" s="298">
        <f>'5H GSZNR fel'!C103+'5H GSZNR fel'!C108+'5H GSZNR fel'!C113</f>
        <v>1385</v>
      </c>
      <c r="D43" s="298">
        <f>'5H GSZNR fel'!F103+'5H GSZNR fel'!F108+'5H GSZNR fel'!F113</f>
        <v>1385</v>
      </c>
      <c r="E43" s="298">
        <f>'5H GSZNR fel'!E103+'5H GSZNR fel'!E108+'5H GSZNR fel'!E113</f>
        <v>0</v>
      </c>
      <c r="F43" s="298">
        <v>0</v>
      </c>
      <c r="G43" s="298">
        <f t="shared" si="0"/>
        <v>1385</v>
      </c>
      <c r="H43" s="298">
        <f>'5H GSZNR fel'!I103+'5H GSZNR fel'!I108+'5H GSZNR fel'!I113</f>
        <v>1385</v>
      </c>
      <c r="I43" s="298">
        <f>'5H GSZNR fel'!J103+'5H GSZNR fel'!J108+'5H GSZNR fel'!J113</f>
        <v>0</v>
      </c>
      <c r="J43" s="298">
        <v>0</v>
      </c>
      <c r="K43" s="298">
        <f>SUM(H43:J43)</f>
        <v>1385</v>
      </c>
      <c r="L43" s="298">
        <f>'5H GSZNR fel'!L103+'5H GSZNR fel'!L108+'5H GSZNR fel'!L113</f>
        <v>1385</v>
      </c>
      <c r="M43" s="298">
        <f>'5H GSZNR fel'!N103+'5H GSZNR fel'!N108+'5H GSZNR fel'!N113</f>
        <v>0</v>
      </c>
      <c r="N43" s="298">
        <v>0</v>
      </c>
      <c r="O43" s="298">
        <f>SUM(L43:N43)</f>
        <v>1385</v>
      </c>
      <c r="P43" s="298">
        <f>'5H GSZNR fel'!O103+'5H GSZNR fel'!O108+'5H GSZNR fel'!O113</f>
        <v>1222</v>
      </c>
      <c r="Q43" s="298">
        <f>'5H GSZNR fel'!M103+'5H GSZNR fel'!M108+'5H GSZNR fel'!M113</f>
        <v>0</v>
      </c>
      <c r="R43" s="298">
        <v>0</v>
      </c>
      <c r="S43" s="298">
        <f>SUM(P43:R43)</f>
        <v>1222</v>
      </c>
      <c r="T43" s="298">
        <f>'5H GSZNR fel'!R103+'5H GSZNR fel'!R108+'5H GSZNR fel'!R113</f>
        <v>0</v>
      </c>
      <c r="U43" s="298">
        <f>'5H GSZNR fel'!Q103+'5H GSZNR fel'!Q108+'5H GSZNR fel'!Q113</f>
        <v>0</v>
      </c>
      <c r="V43" s="298">
        <v>0</v>
      </c>
      <c r="W43" s="298">
        <f>SUM(T43:V43)</f>
        <v>0</v>
      </c>
    </row>
    <row r="44" spans="1:23" x14ac:dyDescent="0.25">
      <c r="A44" s="296" t="s">
        <v>322</v>
      </c>
      <c r="B44" s="297" t="s">
        <v>342</v>
      </c>
      <c r="C44" s="298">
        <v>0</v>
      </c>
      <c r="D44" s="298">
        <v>0</v>
      </c>
      <c r="E44" s="298">
        <v>0</v>
      </c>
      <c r="F44" s="298">
        <v>0</v>
      </c>
      <c r="G44" s="298">
        <f t="shared" si="0"/>
        <v>0</v>
      </c>
      <c r="H44" s="298">
        <v>0</v>
      </c>
      <c r="I44" s="298">
        <v>0</v>
      </c>
      <c r="J44" s="298">
        <v>0</v>
      </c>
      <c r="K44" s="298">
        <f t="shared" si="1"/>
        <v>0</v>
      </c>
      <c r="L44" s="298">
        <v>0</v>
      </c>
      <c r="M44" s="298">
        <v>0</v>
      </c>
      <c r="N44" s="298">
        <v>0</v>
      </c>
      <c r="O44" s="298">
        <f t="shared" ref="O44:O46" si="63">SUM(L44:N44)</f>
        <v>0</v>
      </c>
      <c r="P44" s="298">
        <v>0</v>
      </c>
      <c r="Q44" s="298">
        <v>0</v>
      </c>
      <c r="R44" s="298">
        <v>0</v>
      </c>
      <c r="S44" s="298">
        <f t="shared" ref="S44:S46" si="64">SUM(P44:R44)</f>
        <v>0</v>
      </c>
      <c r="T44" s="298">
        <v>0</v>
      </c>
      <c r="U44" s="298">
        <v>0</v>
      </c>
      <c r="V44" s="298">
        <v>0</v>
      </c>
      <c r="W44" s="298">
        <f t="shared" ref="W44:W46" si="65">SUM(T44:V44)</f>
        <v>0</v>
      </c>
    </row>
    <row r="45" spans="1:23" x14ac:dyDescent="0.25">
      <c r="A45" s="296" t="s">
        <v>315</v>
      </c>
      <c r="B45" s="297" t="s">
        <v>343</v>
      </c>
      <c r="C45" s="298">
        <v>0</v>
      </c>
      <c r="D45" s="298">
        <v>0</v>
      </c>
      <c r="E45" s="298">
        <v>0</v>
      </c>
      <c r="F45" s="298">
        <v>0</v>
      </c>
      <c r="G45" s="298">
        <f t="shared" si="0"/>
        <v>0</v>
      </c>
      <c r="H45" s="298">
        <v>0</v>
      </c>
      <c r="I45" s="298">
        <v>0</v>
      </c>
      <c r="J45" s="298">
        <v>0</v>
      </c>
      <c r="K45" s="298">
        <f t="shared" si="1"/>
        <v>0</v>
      </c>
      <c r="L45" s="298">
        <v>0</v>
      </c>
      <c r="M45" s="298">
        <v>0</v>
      </c>
      <c r="N45" s="298">
        <v>0</v>
      </c>
      <c r="O45" s="298">
        <f t="shared" si="63"/>
        <v>0</v>
      </c>
      <c r="P45" s="298">
        <v>0</v>
      </c>
      <c r="Q45" s="298">
        <v>0</v>
      </c>
      <c r="R45" s="298">
        <v>0</v>
      </c>
      <c r="S45" s="298">
        <f t="shared" si="64"/>
        <v>0</v>
      </c>
      <c r="T45" s="298">
        <v>0</v>
      </c>
      <c r="U45" s="298">
        <v>0</v>
      </c>
      <c r="V45" s="298">
        <v>0</v>
      </c>
      <c r="W45" s="298">
        <f t="shared" si="65"/>
        <v>0</v>
      </c>
    </row>
    <row r="46" spans="1:23" x14ac:dyDescent="0.25">
      <c r="A46" s="304"/>
      <c r="B46" s="305" t="s">
        <v>344</v>
      </c>
      <c r="C46" s="276">
        <f t="shared" ref="C46:F46" si="66">C36+C42</f>
        <v>112538</v>
      </c>
      <c r="D46" s="276">
        <f t="shared" si="66"/>
        <v>112538</v>
      </c>
      <c r="E46" s="276">
        <f t="shared" si="66"/>
        <v>0</v>
      </c>
      <c r="F46" s="276">
        <f t="shared" si="66"/>
        <v>0</v>
      </c>
      <c r="G46" s="276">
        <f t="shared" si="0"/>
        <v>112538</v>
      </c>
      <c r="H46" s="276">
        <f t="shared" ref="H46:J46" si="67">H36+H42</f>
        <v>115419</v>
      </c>
      <c r="I46" s="276">
        <f t="shared" si="67"/>
        <v>0</v>
      </c>
      <c r="J46" s="276">
        <f t="shared" si="67"/>
        <v>0</v>
      </c>
      <c r="K46" s="276">
        <f t="shared" si="1"/>
        <v>115419</v>
      </c>
      <c r="L46" s="276">
        <f t="shared" ref="L46:N46" si="68">L36+L42</f>
        <v>116347</v>
      </c>
      <c r="M46" s="276">
        <f t="shared" si="68"/>
        <v>0</v>
      </c>
      <c r="N46" s="276">
        <f t="shared" si="68"/>
        <v>0</v>
      </c>
      <c r="O46" s="276">
        <f t="shared" si="63"/>
        <v>116347</v>
      </c>
      <c r="P46" s="276">
        <f t="shared" ref="P46:R46" si="69">P36+P42</f>
        <v>119063</v>
      </c>
      <c r="Q46" s="276">
        <f t="shared" si="69"/>
        <v>0</v>
      </c>
      <c r="R46" s="276">
        <f t="shared" si="69"/>
        <v>0</v>
      </c>
      <c r="S46" s="276">
        <f t="shared" si="64"/>
        <v>119063</v>
      </c>
      <c r="T46" s="276">
        <f t="shared" ref="T46:V46" si="70">T36+T42</f>
        <v>0</v>
      </c>
      <c r="U46" s="276">
        <f t="shared" si="70"/>
        <v>0</v>
      </c>
      <c r="V46" s="276">
        <f t="shared" si="70"/>
        <v>0</v>
      </c>
      <c r="W46" s="276">
        <f t="shared" si="65"/>
        <v>0</v>
      </c>
    </row>
  </sheetData>
  <customSheetViews>
    <customSheetView guid="{7F1DC213-A29D-4C8C-BAC3-F1BD898020FD}" hiddenColumns="1" state="hidden">
      <selection activeCell="B15" sqref="B15"/>
      <pageMargins left="0.19685039370078741" right="0.19685039370078741" top="1.2204724409448819" bottom="0.19685039370078741" header="0.31496062992125984" footer="0.31496062992125984"/>
      <printOptions horizontalCentered="1"/>
      <pageSetup paperSize="9" scale="70" fitToWidth="0" fitToHeight="0" orientation="portrait" horizontalDpi="300" verticalDpi="300" copies="2" r:id="rId1"/>
      <headerFooter>
        <oddHeader>&amp;L5/F. melléklet a ...../2018. (.......) önkormányzati rendelethez&amp;C&amp;"-,Félkövér"&amp;16A Segítő Kéz Szolgálat 2018. évi bevételei és kiadásai jogcímenként és feladatonként</oddHeader>
        <oddFooter>&amp;C&amp;P</oddFooter>
      </headerFooter>
    </customSheetView>
    <customSheetView guid="{4DCB1349-1166-4B69-AE14-D6B08F9FCE74}" hiddenColumns="1" state="hidden">
      <selection activeCell="B15" sqref="B15"/>
      <pageMargins left="0.19685039370078741" right="0.19685039370078741" top="1.2204724409448819" bottom="0.19685039370078741" header="0.31496062992125984" footer="0.31496062992125984"/>
      <printOptions horizontalCentered="1"/>
      <pageSetup paperSize="9" scale="70" fitToWidth="0" fitToHeight="0" orientation="portrait" horizontalDpi="300" verticalDpi="300" copies="2" r:id="rId2"/>
      <headerFooter>
        <oddHeader>&amp;L5/F. melléklet a ...../2018. (.......) önkormányzati rendelethez&amp;C&amp;"-,Félkövér"&amp;16A Segítő Kéz Szolgálat 2018. évi bevételei és kiadásai jogcímenként és feladatonként</oddHeader>
        <oddFooter>&amp;C&amp;P</oddFooter>
      </headerFooter>
    </customSheetView>
  </customSheetViews>
  <mergeCells count="7">
    <mergeCell ref="P4:S4"/>
    <mergeCell ref="T4:W4"/>
    <mergeCell ref="L4:O4"/>
    <mergeCell ref="B4:B5"/>
    <mergeCell ref="A4:A5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70" fitToWidth="0" fitToHeight="0" orientation="portrait" horizontalDpi="300" verticalDpi="300" copies="2" r:id="rId3"/>
  <headerFooter>
    <oddHeader>&amp;L5/F. melléklet a ...../2018. (.......) önkormányzati rendelethez&amp;C&amp;"-,Félkövér"&amp;16A Segítő Kéz Szolgálat 2018. évi bevételei és kiadásai jogcímenként és feladatonként</oddHead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46"/>
  <sheetViews>
    <sheetView view="pageBreakPreview" topLeftCell="B1" zoomScale="75" zoomScaleSheetLayoutView="75" workbookViewId="0">
      <selection activeCell="T6" sqref="T6"/>
    </sheetView>
  </sheetViews>
  <sheetFormatPr defaultRowHeight="15" x14ac:dyDescent="0.25"/>
  <cols>
    <col min="1" max="1" width="7.140625" style="31" customWidth="1"/>
    <col min="2" max="2" width="53.85546875" customWidth="1"/>
    <col min="3" max="3" width="12.5703125" style="40" hidden="1" customWidth="1"/>
    <col min="4" max="4" width="10.42578125" hidden="1" customWidth="1"/>
    <col min="5" max="5" width="0" hidden="1" customWidth="1"/>
    <col min="6" max="6" width="9.7109375" hidden="1" customWidth="1"/>
    <col min="7" max="7" width="9.42578125" hidden="1" customWidth="1"/>
    <col min="8" max="9" width="0" hidden="1" customWidth="1"/>
    <col min="10" max="10" width="9.85546875" hidden="1" customWidth="1"/>
    <col min="11" max="11" width="9.5703125" hidden="1" customWidth="1"/>
    <col min="12" max="12" width="10.42578125" hidden="1" customWidth="1"/>
    <col min="13" max="13" width="0" hidden="1" customWidth="1"/>
    <col min="14" max="14" width="10" hidden="1" customWidth="1"/>
    <col min="15" max="15" width="0" hidden="1" customWidth="1"/>
    <col min="16" max="16" width="10.42578125" hidden="1" customWidth="1"/>
    <col min="17" max="17" width="0" hidden="1" customWidth="1"/>
    <col min="18" max="18" width="10" hidden="1" customWidth="1"/>
    <col min="19" max="19" width="0" hidden="1" customWidth="1"/>
    <col min="20" max="20" width="10.42578125" customWidth="1"/>
    <col min="22" max="22" width="10" customWidth="1"/>
  </cols>
  <sheetData>
    <row r="1" spans="1:23" x14ac:dyDescent="0.25">
      <c r="G1" s="32"/>
      <c r="O1" s="32" t="s">
        <v>302</v>
      </c>
      <c r="S1" s="32" t="s">
        <v>302</v>
      </c>
      <c r="W1" s="32" t="s">
        <v>302</v>
      </c>
    </row>
    <row r="2" spans="1:23" ht="30" x14ac:dyDescent="0.25">
      <c r="A2" s="289" t="s">
        <v>303</v>
      </c>
      <c r="B2" s="289" t="s">
        <v>1265</v>
      </c>
      <c r="C2" s="330"/>
      <c r="D2" s="335"/>
      <c r="E2" s="335"/>
      <c r="F2" s="335"/>
      <c r="G2" s="335"/>
      <c r="H2" s="413"/>
      <c r="I2" s="413"/>
      <c r="J2" s="413"/>
      <c r="K2" s="413"/>
      <c r="L2" s="431"/>
      <c r="M2" s="431"/>
      <c r="N2" s="431"/>
      <c r="O2" s="431"/>
      <c r="P2" s="504"/>
      <c r="Q2" s="504"/>
      <c r="R2" s="504"/>
      <c r="S2" s="504"/>
      <c r="T2" s="504"/>
      <c r="U2" s="504"/>
      <c r="V2" s="504"/>
      <c r="W2" s="504"/>
    </row>
    <row r="3" spans="1:23" x14ac:dyDescent="0.25">
      <c r="A3" s="289" t="s">
        <v>304</v>
      </c>
      <c r="B3" s="289" t="s">
        <v>1268</v>
      </c>
      <c r="C3" s="330"/>
      <c r="D3" s="335"/>
      <c r="E3" s="335"/>
      <c r="F3" s="335"/>
      <c r="G3" s="335"/>
      <c r="H3" s="413"/>
      <c r="I3" s="413"/>
      <c r="J3" s="413"/>
      <c r="K3" s="413"/>
      <c r="L3" s="431"/>
      <c r="M3" s="431"/>
      <c r="N3" s="431"/>
      <c r="O3" s="431"/>
      <c r="P3" s="504"/>
      <c r="Q3" s="504"/>
      <c r="R3" s="504"/>
      <c r="S3" s="504"/>
      <c r="T3" s="504"/>
      <c r="U3" s="504"/>
      <c r="V3" s="504"/>
      <c r="W3" s="504"/>
    </row>
    <row r="4" spans="1:23" ht="30" x14ac:dyDescent="0.25">
      <c r="A4" s="951" t="s">
        <v>305</v>
      </c>
      <c r="B4" s="950" t="s">
        <v>306</v>
      </c>
      <c r="C4" s="326" t="s">
        <v>1193</v>
      </c>
      <c r="D4" s="947" t="s">
        <v>1208</v>
      </c>
      <c r="E4" s="948"/>
      <c r="F4" s="948"/>
      <c r="G4" s="949"/>
      <c r="H4" s="947" t="s">
        <v>1232</v>
      </c>
      <c r="I4" s="948"/>
      <c r="J4" s="948"/>
      <c r="K4" s="949"/>
      <c r="L4" s="947" t="s">
        <v>1233</v>
      </c>
      <c r="M4" s="948"/>
      <c r="N4" s="948"/>
      <c r="O4" s="949"/>
      <c r="P4" s="947" t="s">
        <v>1246</v>
      </c>
      <c r="Q4" s="948"/>
      <c r="R4" s="948"/>
      <c r="S4" s="949"/>
      <c r="T4" s="947" t="s">
        <v>1247</v>
      </c>
      <c r="U4" s="948"/>
      <c r="V4" s="948"/>
      <c r="W4" s="949"/>
    </row>
    <row r="5" spans="1:23" ht="60" x14ac:dyDescent="0.25">
      <c r="A5" s="951"/>
      <c r="B5" s="950"/>
      <c r="C5" s="326" t="s">
        <v>546</v>
      </c>
      <c r="D5" s="334" t="s">
        <v>1209</v>
      </c>
      <c r="E5" s="334" t="s">
        <v>1210</v>
      </c>
      <c r="F5" s="334" t="s">
        <v>1211</v>
      </c>
      <c r="G5" s="334" t="s">
        <v>546</v>
      </c>
      <c r="H5" s="412" t="s">
        <v>1209</v>
      </c>
      <c r="I5" s="412" t="s">
        <v>1210</v>
      </c>
      <c r="J5" s="412" t="s">
        <v>1211</v>
      </c>
      <c r="K5" s="412" t="s">
        <v>546</v>
      </c>
      <c r="L5" s="429" t="s">
        <v>1209</v>
      </c>
      <c r="M5" s="429" t="s">
        <v>1210</v>
      </c>
      <c r="N5" s="429" t="s">
        <v>1211</v>
      </c>
      <c r="O5" s="429" t="s">
        <v>546</v>
      </c>
      <c r="P5" s="503" t="s">
        <v>1209</v>
      </c>
      <c r="Q5" s="503" t="s">
        <v>1210</v>
      </c>
      <c r="R5" s="503" t="s">
        <v>1211</v>
      </c>
      <c r="S5" s="503" t="s">
        <v>546</v>
      </c>
      <c r="T5" s="503" t="s">
        <v>1209</v>
      </c>
      <c r="U5" s="503" t="s">
        <v>1210</v>
      </c>
      <c r="V5" s="503" t="s">
        <v>1211</v>
      </c>
      <c r="W5" s="503" t="s">
        <v>546</v>
      </c>
    </row>
    <row r="6" spans="1:23" x14ac:dyDescent="0.25">
      <c r="A6" s="290"/>
      <c r="B6" s="291" t="s">
        <v>307</v>
      </c>
      <c r="C6" s="292"/>
      <c r="D6" s="292">
        <v>24</v>
      </c>
      <c r="E6" s="292"/>
      <c r="F6" s="292"/>
      <c r="G6" s="292">
        <f>SUM(D6:F6)</f>
        <v>24</v>
      </c>
      <c r="H6" s="292">
        <v>24</v>
      </c>
      <c r="I6" s="292"/>
      <c r="J6" s="292"/>
      <c r="K6" s="292">
        <f>SUM(H6:J6)</f>
        <v>24</v>
      </c>
      <c r="L6" s="292">
        <v>24</v>
      </c>
      <c r="M6" s="292"/>
      <c r="N6" s="292"/>
      <c r="O6" s="292">
        <f>SUM(L6:N6)</f>
        <v>24</v>
      </c>
      <c r="P6" s="292">
        <v>24</v>
      </c>
      <c r="Q6" s="292"/>
      <c r="R6" s="292"/>
      <c r="S6" s="292">
        <f>SUM(P6:R6)</f>
        <v>24</v>
      </c>
      <c r="T6" s="292">
        <v>0</v>
      </c>
      <c r="U6" s="292"/>
      <c r="V6" s="292"/>
      <c r="W6" s="292">
        <f>SUM(T6:V6)</f>
        <v>0</v>
      </c>
    </row>
    <row r="7" spans="1:23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46" si="2">SUM(L7:N7)</f>
        <v>0</v>
      </c>
      <c r="P7" s="292"/>
      <c r="Q7" s="292"/>
      <c r="R7" s="292"/>
      <c r="S7" s="292">
        <f t="shared" ref="S7:S46" si="3">SUM(P7:R7)</f>
        <v>0</v>
      </c>
      <c r="T7" s="292"/>
      <c r="U7" s="292"/>
      <c r="V7" s="292"/>
      <c r="W7" s="292">
        <f t="shared" ref="W7:W46" si="4">SUM(T7:V7)</f>
        <v>0</v>
      </c>
    </row>
    <row r="8" spans="1:23" x14ac:dyDescent="0.25">
      <c r="A8" s="293" t="s">
        <v>309</v>
      </c>
      <c r="B8" s="294" t="s">
        <v>310</v>
      </c>
      <c r="C8" s="295">
        <f>C9+C11+C20</f>
        <v>4786</v>
      </c>
      <c r="D8" s="295">
        <f t="shared" ref="D8:F8" si="5">D9+D11+D20</f>
        <v>4786</v>
      </c>
      <c r="E8" s="295">
        <f t="shared" si="5"/>
        <v>0</v>
      </c>
      <c r="F8" s="295">
        <f t="shared" si="5"/>
        <v>0</v>
      </c>
      <c r="G8" s="295">
        <f t="shared" si="0"/>
        <v>4786</v>
      </c>
      <c r="H8" s="295">
        <f t="shared" ref="H8:J8" si="6">H9+H11+H20</f>
        <v>4786</v>
      </c>
      <c r="I8" s="295">
        <f t="shared" si="6"/>
        <v>0</v>
      </c>
      <c r="J8" s="295">
        <f t="shared" si="6"/>
        <v>0</v>
      </c>
      <c r="K8" s="295">
        <f t="shared" si="1"/>
        <v>4786</v>
      </c>
      <c r="L8" s="295">
        <f t="shared" ref="L8:N8" si="7">L9+L11+L20</f>
        <v>4786</v>
      </c>
      <c r="M8" s="295">
        <f t="shared" si="7"/>
        <v>0</v>
      </c>
      <c r="N8" s="295">
        <f t="shared" si="7"/>
        <v>0</v>
      </c>
      <c r="O8" s="295">
        <f t="shared" si="2"/>
        <v>4786</v>
      </c>
      <c r="P8" s="295">
        <f t="shared" ref="P8:R8" si="8">P9+P11+P20</f>
        <v>6301</v>
      </c>
      <c r="Q8" s="295">
        <f t="shared" si="8"/>
        <v>0</v>
      </c>
      <c r="R8" s="295">
        <f t="shared" si="8"/>
        <v>0</v>
      </c>
      <c r="S8" s="295">
        <f t="shared" si="3"/>
        <v>6301</v>
      </c>
      <c r="T8" s="295">
        <f t="shared" ref="T8:V8" si="9">T9+T11+T20</f>
        <v>0</v>
      </c>
      <c r="U8" s="295">
        <f t="shared" si="9"/>
        <v>0</v>
      </c>
      <c r="V8" s="295">
        <f t="shared" si="9"/>
        <v>0</v>
      </c>
      <c r="W8" s="295">
        <f t="shared" si="4"/>
        <v>0</v>
      </c>
    </row>
    <row r="9" spans="1:23" x14ac:dyDescent="0.25">
      <c r="A9" s="296" t="s">
        <v>311</v>
      </c>
      <c r="B9" s="297" t="s">
        <v>312</v>
      </c>
      <c r="C9" s="298">
        <f>C10</f>
        <v>0</v>
      </c>
      <c r="D9" s="298">
        <f t="shared" ref="D9:V9" si="10">D10</f>
        <v>0</v>
      </c>
      <c r="E9" s="298">
        <f t="shared" si="10"/>
        <v>0</v>
      </c>
      <c r="F9" s="298">
        <f t="shared" si="10"/>
        <v>0</v>
      </c>
      <c r="G9" s="298">
        <f t="shared" si="0"/>
        <v>0</v>
      </c>
      <c r="H9" s="298">
        <f t="shared" si="10"/>
        <v>0</v>
      </c>
      <c r="I9" s="298">
        <f t="shared" si="10"/>
        <v>0</v>
      </c>
      <c r="J9" s="298">
        <f t="shared" si="10"/>
        <v>0</v>
      </c>
      <c r="K9" s="298">
        <f t="shared" si="1"/>
        <v>0</v>
      </c>
      <c r="L9" s="298">
        <f t="shared" si="10"/>
        <v>0</v>
      </c>
      <c r="M9" s="298">
        <f t="shared" si="10"/>
        <v>0</v>
      </c>
      <c r="N9" s="298">
        <f t="shared" si="10"/>
        <v>0</v>
      </c>
      <c r="O9" s="298">
        <f t="shared" si="2"/>
        <v>0</v>
      </c>
      <c r="P9" s="298">
        <f t="shared" si="10"/>
        <v>0</v>
      </c>
      <c r="Q9" s="298">
        <f t="shared" si="10"/>
        <v>0</v>
      </c>
      <c r="R9" s="298">
        <f t="shared" si="10"/>
        <v>0</v>
      </c>
      <c r="S9" s="298">
        <f t="shared" si="3"/>
        <v>0</v>
      </c>
      <c r="T9" s="298">
        <f t="shared" si="10"/>
        <v>0</v>
      </c>
      <c r="U9" s="298">
        <f t="shared" si="10"/>
        <v>0</v>
      </c>
      <c r="V9" s="298">
        <f t="shared" si="10"/>
        <v>0</v>
      </c>
      <c r="W9" s="298">
        <f t="shared" si="4"/>
        <v>0</v>
      </c>
    </row>
    <row r="10" spans="1:23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0</v>
      </c>
      <c r="I10" s="239">
        <v>0</v>
      </c>
      <c r="J10" s="239">
        <v>0</v>
      </c>
      <c r="K10" s="239">
        <f t="shared" si="1"/>
        <v>0</v>
      </c>
      <c r="L10" s="239">
        <v>0</v>
      </c>
      <c r="M10" s="239">
        <v>0</v>
      </c>
      <c r="N10" s="239">
        <v>0</v>
      </c>
      <c r="O10" s="239">
        <f t="shared" si="2"/>
        <v>0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0</v>
      </c>
      <c r="U10" s="239">
        <v>0</v>
      </c>
      <c r="V10" s="239">
        <v>0</v>
      </c>
      <c r="W10" s="239">
        <f t="shared" si="4"/>
        <v>0</v>
      </c>
    </row>
    <row r="11" spans="1:23" x14ac:dyDescent="0.25">
      <c r="A11" s="296" t="s">
        <v>322</v>
      </c>
      <c r="B11" s="297" t="s">
        <v>314</v>
      </c>
      <c r="C11" s="298">
        <f>C12+C13+C14+C15+C16+C17+C18+C19</f>
        <v>4786</v>
      </c>
      <c r="D11" s="298">
        <f t="shared" ref="D11:F11" si="11">D12+D13+D14+D15+D16+D17+D18+D19</f>
        <v>4786</v>
      </c>
      <c r="E11" s="298">
        <f t="shared" si="11"/>
        <v>0</v>
      </c>
      <c r="F11" s="298">
        <f t="shared" si="11"/>
        <v>0</v>
      </c>
      <c r="G11" s="298">
        <f t="shared" si="0"/>
        <v>4786</v>
      </c>
      <c r="H11" s="298">
        <f t="shared" ref="H11:J11" si="12">H12+H13+H14+H15+H16+H17+H18+H19</f>
        <v>4786</v>
      </c>
      <c r="I11" s="298">
        <f t="shared" si="12"/>
        <v>0</v>
      </c>
      <c r="J11" s="298">
        <f t="shared" si="12"/>
        <v>0</v>
      </c>
      <c r="K11" s="298">
        <f t="shared" si="1"/>
        <v>4786</v>
      </c>
      <c r="L11" s="298">
        <f t="shared" ref="L11:N11" si="13">L12+L13+L14+L15+L16+L17+L18+L19</f>
        <v>4786</v>
      </c>
      <c r="M11" s="298">
        <f t="shared" si="13"/>
        <v>0</v>
      </c>
      <c r="N11" s="298">
        <f t="shared" si="13"/>
        <v>0</v>
      </c>
      <c r="O11" s="298">
        <f t="shared" si="2"/>
        <v>4786</v>
      </c>
      <c r="P11" s="298">
        <f t="shared" ref="P11:R11" si="14">P12+P13+P14+P15+P16+P17+P18+P19</f>
        <v>6301</v>
      </c>
      <c r="Q11" s="298">
        <f t="shared" si="14"/>
        <v>0</v>
      </c>
      <c r="R11" s="298">
        <f t="shared" si="14"/>
        <v>0</v>
      </c>
      <c r="S11" s="298">
        <f t="shared" si="3"/>
        <v>6301</v>
      </c>
      <c r="T11" s="298">
        <f t="shared" ref="T11:V11" si="15">T12+T13+T14+T15+T16+T17+T18+T19</f>
        <v>0</v>
      </c>
      <c r="U11" s="298">
        <f t="shared" si="15"/>
        <v>0</v>
      </c>
      <c r="V11" s="298">
        <f t="shared" si="15"/>
        <v>0</v>
      </c>
      <c r="W11" s="298">
        <f t="shared" si="4"/>
        <v>0</v>
      </c>
    </row>
    <row r="12" spans="1:23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</row>
    <row r="13" spans="1:23" x14ac:dyDescent="0.25">
      <c r="A13" s="328"/>
      <c r="B13" s="299" t="s">
        <v>650</v>
      </c>
      <c r="C13" s="239">
        <v>0</v>
      </c>
      <c r="D13" s="239">
        <v>0</v>
      </c>
      <c r="E13" s="239">
        <v>0</v>
      </c>
      <c r="F13" s="239">
        <v>0</v>
      </c>
      <c r="G13" s="239">
        <f t="shared" si="0"/>
        <v>0</v>
      </c>
      <c r="H13" s="239">
        <v>0</v>
      </c>
      <c r="I13" s="239">
        <v>0</v>
      </c>
      <c r="J13" s="239">
        <v>0</v>
      </c>
      <c r="K13" s="239">
        <f t="shared" si="1"/>
        <v>0</v>
      </c>
      <c r="L13" s="239">
        <v>0</v>
      </c>
      <c r="M13" s="239">
        <v>0</v>
      </c>
      <c r="N13" s="239">
        <v>0</v>
      </c>
      <c r="O13" s="239">
        <f t="shared" si="2"/>
        <v>0</v>
      </c>
      <c r="P13" s="239">
        <v>0</v>
      </c>
      <c r="Q13" s="239">
        <v>0</v>
      </c>
      <c r="R13" s="239">
        <v>0</v>
      </c>
      <c r="S13" s="239">
        <f t="shared" si="3"/>
        <v>0</v>
      </c>
      <c r="T13" s="239">
        <v>0</v>
      </c>
      <c r="U13" s="239">
        <v>0</v>
      </c>
      <c r="V13" s="239">
        <v>0</v>
      </c>
      <c r="W13" s="239">
        <f t="shared" si="4"/>
        <v>0</v>
      </c>
    </row>
    <row r="14" spans="1:23" x14ac:dyDescent="0.25">
      <c r="A14" s="328"/>
      <c r="B14" s="299" t="s">
        <v>659</v>
      </c>
      <c r="C14" s="239">
        <v>0</v>
      </c>
      <c r="D14" s="239">
        <v>0</v>
      </c>
      <c r="E14" s="239">
        <v>0</v>
      </c>
      <c r="F14" s="239">
        <v>0</v>
      </c>
      <c r="G14" s="239">
        <f t="shared" si="0"/>
        <v>0</v>
      </c>
      <c r="H14" s="239">
        <v>0</v>
      </c>
      <c r="I14" s="239">
        <v>0</v>
      </c>
      <c r="J14" s="239">
        <v>0</v>
      </c>
      <c r="K14" s="239">
        <f t="shared" si="1"/>
        <v>0</v>
      </c>
      <c r="L14" s="239">
        <v>0</v>
      </c>
      <c r="M14" s="239">
        <v>0</v>
      </c>
      <c r="N14" s="239">
        <v>0</v>
      </c>
      <c r="O14" s="239">
        <f t="shared" si="2"/>
        <v>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</row>
    <row r="15" spans="1:23" x14ac:dyDescent="0.25">
      <c r="A15" s="328"/>
      <c r="B15" s="299" t="s">
        <v>660</v>
      </c>
      <c r="C15" s="239">
        <v>4300</v>
      </c>
      <c r="D15" s="239">
        <v>4300</v>
      </c>
      <c r="E15" s="239">
        <v>0</v>
      </c>
      <c r="F15" s="239">
        <v>0</v>
      </c>
      <c r="G15" s="239">
        <f t="shared" si="0"/>
        <v>4300</v>
      </c>
      <c r="H15" s="239">
        <v>4300</v>
      </c>
      <c r="I15" s="239">
        <v>0</v>
      </c>
      <c r="J15" s="239">
        <v>0</v>
      </c>
      <c r="K15" s="239">
        <f t="shared" si="1"/>
        <v>4300</v>
      </c>
      <c r="L15" s="239">
        <v>4300</v>
      </c>
      <c r="M15" s="239">
        <v>0</v>
      </c>
      <c r="N15" s="239">
        <v>0</v>
      </c>
      <c r="O15" s="239">
        <f t="shared" si="2"/>
        <v>4300</v>
      </c>
      <c r="P15" s="239">
        <v>5661</v>
      </c>
      <c r="Q15" s="239">
        <v>0</v>
      </c>
      <c r="R15" s="239">
        <v>0</v>
      </c>
      <c r="S15" s="239">
        <f t="shared" si="3"/>
        <v>5661</v>
      </c>
      <c r="T15" s="239">
        <v>0</v>
      </c>
      <c r="U15" s="239">
        <v>0</v>
      </c>
      <c r="V15" s="239">
        <v>0</v>
      </c>
      <c r="W15" s="239">
        <f t="shared" si="4"/>
        <v>0</v>
      </c>
    </row>
    <row r="16" spans="1:23" x14ac:dyDescent="0.25">
      <c r="A16" s="328"/>
      <c r="B16" s="299" t="s">
        <v>661</v>
      </c>
      <c r="C16" s="239">
        <v>486</v>
      </c>
      <c r="D16" s="239">
        <v>486</v>
      </c>
      <c r="E16" s="239">
        <v>0</v>
      </c>
      <c r="F16" s="239">
        <v>0</v>
      </c>
      <c r="G16" s="239">
        <f t="shared" si="0"/>
        <v>486</v>
      </c>
      <c r="H16" s="239">
        <v>486</v>
      </c>
      <c r="I16" s="239">
        <v>0</v>
      </c>
      <c r="J16" s="239">
        <v>0</v>
      </c>
      <c r="K16" s="239">
        <f t="shared" si="1"/>
        <v>486</v>
      </c>
      <c r="L16" s="239">
        <v>486</v>
      </c>
      <c r="M16" s="239">
        <v>0</v>
      </c>
      <c r="N16" s="239">
        <v>0</v>
      </c>
      <c r="O16" s="239">
        <f t="shared" si="2"/>
        <v>486</v>
      </c>
      <c r="P16" s="239">
        <v>627</v>
      </c>
      <c r="Q16" s="239">
        <v>0</v>
      </c>
      <c r="R16" s="239">
        <v>0</v>
      </c>
      <c r="S16" s="239">
        <f t="shared" si="3"/>
        <v>627</v>
      </c>
      <c r="T16" s="239">
        <v>0</v>
      </c>
      <c r="U16" s="239">
        <v>0</v>
      </c>
      <c r="V16" s="239">
        <v>0</v>
      </c>
      <c r="W16" s="239">
        <f t="shared" si="4"/>
        <v>0</v>
      </c>
    </row>
    <row r="17" spans="1:23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0</v>
      </c>
      <c r="Q17" s="239">
        <v>0</v>
      </c>
      <c r="R17" s="239">
        <v>0</v>
      </c>
      <c r="S17" s="239">
        <f t="shared" si="3"/>
        <v>0</v>
      </c>
      <c r="T17" s="239">
        <v>0</v>
      </c>
      <c r="U17" s="239">
        <v>0</v>
      </c>
      <c r="V17" s="239">
        <v>0</v>
      </c>
      <c r="W17" s="239">
        <f t="shared" si="4"/>
        <v>0</v>
      </c>
    </row>
    <row r="18" spans="1:23" x14ac:dyDescent="0.25">
      <c r="A18" s="328"/>
      <c r="B18" s="299" t="s">
        <v>663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</row>
    <row r="19" spans="1:23" x14ac:dyDescent="0.25">
      <c r="A19" s="328"/>
      <c r="B19" s="299" t="s">
        <v>664</v>
      </c>
      <c r="C19" s="239">
        <v>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0</v>
      </c>
      <c r="I19" s="239">
        <v>0</v>
      </c>
      <c r="J19" s="239">
        <v>0</v>
      </c>
      <c r="K19" s="239">
        <f t="shared" si="1"/>
        <v>0</v>
      </c>
      <c r="L19" s="239">
        <v>0</v>
      </c>
      <c r="M19" s="239">
        <v>0</v>
      </c>
      <c r="N19" s="239">
        <v>0</v>
      </c>
      <c r="O19" s="239">
        <f t="shared" si="2"/>
        <v>0</v>
      </c>
      <c r="P19" s="239">
        <v>13</v>
      </c>
      <c r="Q19" s="239">
        <v>0</v>
      </c>
      <c r="R19" s="239">
        <v>0</v>
      </c>
      <c r="S19" s="239">
        <f t="shared" si="3"/>
        <v>13</v>
      </c>
      <c r="T19" s="239">
        <v>0</v>
      </c>
      <c r="U19" s="239">
        <v>0</v>
      </c>
      <c r="V19" s="239">
        <v>0</v>
      </c>
      <c r="W19" s="239">
        <f t="shared" si="4"/>
        <v>0</v>
      </c>
    </row>
    <row r="20" spans="1:23" x14ac:dyDescent="0.25">
      <c r="A20" s="296" t="s">
        <v>315</v>
      </c>
      <c r="B20" s="297" t="s">
        <v>316</v>
      </c>
      <c r="C20" s="298">
        <f>SUM(C21:C21)</f>
        <v>0</v>
      </c>
      <c r="D20" s="298">
        <f t="shared" ref="D20:V20" si="16">SUM(D21:D21)</f>
        <v>0</v>
      </c>
      <c r="E20" s="298">
        <f t="shared" si="16"/>
        <v>0</v>
      </c>
      <c r="F20" s="298">
        <f t="shared" si="16"/>
        <v>0</v>
      </c>
      <c r="G20" s="298">
        <f t="shared" si="0"/>
        <v>0</v>
      </c>
      <c r="H20" s="298">
        <f t="shared" si="16"/>
        <v>0</v>
      </c>
      <c r="I20" s="298">
        <f t="shared" si="16"/>
        <v>0</v>
      </c>
      <c r="J20" s="298">
        <f t="shared" si="16"/>
        <v>0</v>
      </c>
      <c r="K20" s="298">
        <f t="shared" si="1"/>
        <v>0</v>
      </c>
      <c r="L20" s="298">
        <f t="shared" si="16"/>
        <v>0</v>
      </c>
      <c r="M20" s="298">
        <f t="shared" si="16"/>
        <v>0</v>
      </c>
      <c r="N20" s="298">
        <f t="shared" si="16"/>
        <v>0</v>
      </c>
      <c r="O20" s="298">
        <f t="shared" si="2"/>
        <v>0</v>
      </c>
      <c r="P20" s="298">
        <f t="shared" si="16"/>
        <v>0</v>
      </c>
      <c r="Q20" s="298">
        <f t="shared" si="16"/>
        <v>0</v>
      </c>
      <c r="R20" s="298">
        <f t="shared" si="16"/>
        <v>0</v>
      </c>
      <c r="S20" s="298">
        <f t="shared" si="3"/>
        <v>0</v>
      </c>
      <c r="T20" s="298">
        <f t="shared" si="16"/>
        <v>0</v>
      </c>
      <c r="U20" s="298">
        <f t="shared" si="16"/>
        <v>0</v>
      </c>
      <c r="V20" s="298">
        <f t="shared" si="16"/>
        <v>0</v>
      </c>
      <c r="W20" s="298">
        <f t="shared" si="4"/>
        <v>0</v>
      </c>
    </row>
    <row r="21" spans="1:23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0</v>
      </c>
      <c r="I21" s="239">
        <v>0</v>
      </c>
      <c r="J21" s="239">
        <v>0</v>
      </c>
      <c r="K21" s="239">
        <f t="shared" si="1"/>
        <v>0</v>
      </c>
      <c r="L21" s="239">
        <v>0</v>
      </c>
      <c r="M21" s="239">
        <v>0</v>
      </c>
      <c r="N21" s="239">
        <v>0</v>
      </c>
      <c r="O21" s="239">
        <f t="shared" si="2"/>
        <v>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</row>
    <row r="22" spans="1:23" x14ac:dyDescent="0.25">
      <c r="A22" s="293" t="s">
        <v>318</v>
      </c>
      <c r="B22" s="294" t="s">
        <v>319</v>
      </c>
      <c r="C22" s="295">
        <f t="shared" ref="C22:F22" si="17">C23+C25+C28</f>
        <v>0</v>
      </c>
      <c r="D22" s="295">
        <f t="shared" si="17"/>
        <v>0</v>
      </c>
      <c r="E22" s="295">
        <f t="shared" si="17"/>
        <v>0</v>
      </c>
      <c r="F22" s="295">
        <f t="shared" si="17"/>
        <v>0</v>
      </c>
      <c r="G22" s="295">
        <f t="shared" si="0"/>
        <v>0</v>
      </c>
      <c r="H22" s="295">
        <f t="shared" ref="H22:J22" si="18">H23+H25+H28</f>
        <v>0</v>
      </c>
      <c r="I22" s="295">
        <f t="shared" si="18"/>
        <v>0</v>
      </c>
      <c r="J22" s="295">
        <f t="shared" si="18"/>
        <v>0</v>
      </c>
      <c r="K22" s="295">
        <f t="shared" si="1"/>
        <v>0</v>
      </c>
      <c r="L22" s="295">
        <f t="shared" ref="L22:N22" si="19">L23+L25+L28</f>
        <v>0</v>
      </c>
      <c r="M22" s="295">
        <f t="shared" si="19"/>
        <v>0</v>
      </c>
      <c r="N22" s="295">
        <f t="shared" si="19"/>
        <v>0</v>
      </c>
      <c r="O22" s="295">
        <f t="shared" si="2"/>
        <v>0</v>
      </c>
      <c r="P22" s="295">
        <f t="shared" ref="P22:R22" si="20">P23+P25+P28</f>
        <v>0</v>
      </c>
      <c r="Q22" s="295">
        <f t="shared" si="20"/>
        <v>0</v>
      </c>
      <c r="R22" s="295">
        <f t="shared" si="20"/>
        <v>0</v>
      </c>
      <c r="S22" s="295">
        <f t="shared" si="3"/>
        <v>0</v>
      </c>
      <c r="T22" s="295">
        <f t="shared" ref="T22:V22" si="21">T23+T25+T28</f>
        <v>0</v>
      </c>
      <c r="U22" s="295">
        <f t="shared" si="21"/>
        <v>0</v>
      </c>
      <c r="V22" s="295">
        <f t="shared" si="21"/>
        <v>0</v>
      </c>
      <c r="W22" s="295">
        <f t="shared" si="4"/>
        <v>0</v>
      </c>
    </row>
    <row r="23" spans="1:23" x14ac:dyDescent="0.25">
      <c r="A23" s="296" t="s">
        <v>311</v>
      </c>
      <c r="B23" s="297" t="s">
        <v>320</v>
      </c>
      <c r="C23" s="298">
        <f>SUM(C24:C24)</f>
        <v>0</v>
      </c>
      <c r="D23" s="298">
        <f t="shared" ref="D23:V23" si="22">SUM(D24:D24)</f>
        <v>0</v>
      </c>
      <c r="E23" s="298">
        <f t="shared" si="22"/>
        <v>0</v>
      </c>
      <c r="F23" s="298">
        <f t="shared" si="22"/>
        <v>0</v>
      </c>
      <c r="G23" s="298">
        <f t="shared" si="0"/>
        <v>0</v>
      </c>
      <c r="H23" s="298">
        <f t="shared" si="22"/>
        <v>0</v>
      </c>
      <c r="I23" s="298">
        <f t="shared" si="22"/>
        <v>0</v>
      </c>
      <c r="J23" s="298">
        <f t="shared" si="22"/>
        <v>0</v>
      </c>
      <c r="K23" s="298">
        <f t="shared" si="1"/>
        <v>0</v>
      </c>
      <c r="L23" s="298">
        <f t="shared" si="22"/>
        <v>0</v>
      </c>
      <c r="M23" s="298">
        <f t="shared" si="22"/>
        <v>0</v>
      </c>
      <c r="N23" s="298">
        <f t="shared" si="22"/>
        <v>0</v>
      </c>
      <c r="O23" s="298">
        <f t="shared" si="2"/>
        <v>0</v>
      </c>
      <c r="P23" s="298">
        <f t="shared" si="22"/>
        <v>0</v>
      </c>
      <c r="Q23" s="298">
        <f t="shared" si="22"/>
        <v>0</v>
      </c>
      <c r="R23" s="298">
        <f t="shared" si="22"/>
        <v>0</v>
      </c>
      <c r="S23" s="298">
        <f t="shared" si="3"/>
        <v>0</v>
      </c>
      <c r="T23" s="298">
        <f t="shared" si="22"/>
        <v>0</v>
      </c>
      <c r="U23" s="298">
        <f t="shared" si="22"/>
        <v>0</v>
      </c>
      <c r="V23" s="298">
        <f t="shared" si="22"/>
        <v>0</v>
      </c>
      <c r="W23" s="298">
        <f t="shared" si="4"/>
        <v>0</v>
      </c>
    </row>
    <row r="24" spans="1:23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</row>
    <row r="25" spans="1:23" x14ac:dyDescent="0.25">
      <c r="A25" s="296" t="s">
        <v>322</v>
      </c>
      <c r="B25" s="297" t="s">
        <v>257</v>
      </c>
      <c r="C25" s="298">
        <f>SUM(C26:C27)</f>
        <v>0</v>
      </c>
      <c r="D25" s="298">
        <f t="shared" ref="D25:F25" si="23">SUM(D26:D27)</f>
        <v>0</v>
      </c>
      <c r="E25" s="298">
        <f t="shared" si="23"/>
        <v>0</v>
      </c>
      <c r="F25" s="298">
        <f t="shared" si="23"/>
        <v>0</v>
      </c>
      <c r="G25" s="298">
        <f t="shared" si="0"/>
        <v>0</v>
      </c>
      <c r="H25" s="298">
        <f t="shared" ref="H25:J25" si="24">SUM(H26:H27)</f>
        <v>0</v>
      </c>
      <c r="I25" s="298">
        <f t="shared" si="24"/>
        <v>0</v>
      </c>
      <c r="J25" s="298">
        <f t="shared" si="24"/>
        <v>0</v>
      </c>
      <c r="K25" s="298">
        <f t="shared" si="1"/>
        <v>0</v>
      </c>
      <c r="L25" s="298">
        <f t="shared" ref="L25:N25" si="25">SUM(L26:L27)</f>
        <v>0</v>
      </c>
      <c r="M25" s="298">
        <f t="shared" si="25"/>
        <v>0</v>
      </c>
      <c r="N25" s="298">
        <f t="shared" si="25"/>
        <v>0</v>
      </c>
      <c r="O25" s="298">
        <f t="shared" si="2"/>
        <v>0</v>
      </c>
      <c r="P25" s="298">
        <f t="shared" ref="P25:R25" si="26">SUM(P26:P27)</f>
        <v>0</v>
      </c>
      <c r="Q25" s="298">
        <f t="shared" si="26"/>
        <v>0</v>
      </c>
      <c r="R25" s="298">
        <f t="shared" si="26"/>
        <v>0</v>
      </c>
      <c r="S25" s="298">
        <f t="shared" si="3"/>
        <v>0</v>
      </c>
      <c r="T25" s="298">
        <f t="shared" ref="T25:V25" si="27">SUM(T26:T27)</f>
        <v>0</v>
      </c>
      <c r="U25" s="298">
        <f t="shared" si="27"/>
        <v>0</v>
      </c>
      <c r="V25" s="298">
        <f t="shared" si="27"/>
        <v>0</v>
      </c>
      <c r="W25" s="298">
        <f t="shared" si="4"/>
        <v>0</v>
      </c>
    </row>
    <row r="26" spans="1:23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</row>
    <row r="27" spans="1:23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</row>
    <row r="28" spans="1:23" x14ac:dyDescent="0.25">
      <c r="A28" s="296" t="s">
        <v>315</v>
      </c>
      <c r="B28" s="297" t="s">
        <v>325</v>
      </c>
      <c r="C28" s="298">
        <f>SUM(C29:C29)</f>
        <v>0</v>
      </c>
      <c r="D28" s="298">
        <f t="shared" ref="D28:V28" si="28">SUM(D29:D29)</f>
        <v>0</v>
      </c>
      <c r="E28" s="298">
        <f t="shared" si="28"/>
        <v>0</v>
      </c>
      <c r="F28" s="298">
        <f t="shared" si="28"/>
        <v>0</v>
      </c>
      <c r="G28" s="298">
        <f t="shared" si="0"/>
        <v>0</v>
      </c>
      <c r="H28" s="298">
        <f t="shared" si="28"/>
        <v>0</v>
      </c>
      <c r="I28" s="298">
        <f t="shared" si="28"/>
        <v>0</v>
      </c>
      <c r="J28" s="298">
        <f t="shared" si="28"/>
        <v>0</v>
      </c>
      <c r="K28" s="298">
        <f t="shared" si="1"/>
        <v>0</v>
      </c>
      <c r="L28" s="298">
        <f t="shared" si="28"/>
        <v>0</v>
      </c>
      <c r="M28" s="298">
        <f t="shared" si="28"/>
        <v>0</v>
      </c>
      <c r="N28" s="298">
        <f t="shared" si="28"/>
        <v>0</v>
      </c>
      <c r="O28" s="298">
        <f t="shared" si="2"/>
        <v>0</v>
      </c>
      <c r="P28" s="298">
        <f t="shared" si="28"/>
        <v>0</v>
      </c>
      <c r="Q28" s="298">
        <f t="shared" si="28"/>
        <v>0</v>
      </c>
      <c r="R28" s="298">
        <f t="shared" si="28"/>
        <v>0</v>
      </c>
      <c r="S28" s="298">
        <f t="shared" si="3"/>
        <v>0</v>
      </c>
      <c r="T28" s="298">
        <f t="shared" si="28"/>
        <v>0</v>
      </c>
      <c r="U28" s="298">
        <f t="shared" si="28"/>
        <v>0</v>
      </c>
      <c r="V28" s="298">
        <f t="shared" si="28"/>
        <v>0</v>
      </c>
      <c r="W28" s="298">
        <f t="shared" si="4"/>
        <v>0</v>
      </c>
    </row>
    <row r="29" spans="1:23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</row>
    <row r="30" spans="1:23" x14ac:dyDescent="0.25">
      <c r="A30" s="327"/>
      <c r="B30" s="302" t="s">
        <v>327</v>
      </c>
      <c r="C30" s="303">
        <f>C22+C8</f>
        <v>4786</v>
      </c>
      <c r="D30" s="303">
        <f t="shared" ref="D30:F30" si="29">D22+D8</f>
        <v>4786</v>
      </c>
      <c r="E30" s="303">
        <f t="shared" si="29"/>
        <v>0</v>
      </c>
      <c r="F30" s="303">
        <f t="shared" si="29"/>
        <v>0</v>
      </c>
      <c r="G30" s="303">
        <f t="shared" si="0"/>
        <v>4786</v>
      </c>
      <c r="H30" s="303">
        <f t="shared" ref="H30:J30" si="30">H22+H8</f>
        <v>4786</v>
      </c>
      <c r="I30" s="303">
        <f t="shared" si="30"/>
        <v>0</v>
      </c>
      <c r="J30" s="303">
        <f t="shared" si="30"/>
        <v>0</v>
      </c>
      <c r="K30" s="303">
        <f t="shared" si="1"/>
        <v>4786</v>
      </c>
      <c r="L30" s="303">
        <f t="shared" ref="L30:N30" si="31">L22+L8</f>
        <v>4786</v>
      </c>
      <c r="M30" s="303">
        <f t="shared" si="31"/>
        <v>0</v>
      </c>
      <c r="N30" s="303">
        <f t="shared" si="31"/>
        <v>0</v>
      </c>
      <c r="O30" s="303">
        <f t="shared" si="2"/>
        <v>4786</v>
      </c>
      <c r="P30" s="303">
        <f t="shared" ref="P30:R30" si="32">P22+P8</f>
        <v>6301</v>
      </c>
      <c r="Q30" s="303">
        <f t="shared" si="32"/>
        <v>0</v>
      </c>
      <c r="R30" s="303">
        <f t="shared" si="32"/>
        <v>0</v>
      </c>
      <c r="S30" s="303">
        <f t="shared" si="3"/>
        <v>6301</v>
      </c>
      <c r="T30" s="303">
        <f t="shared" ref="T30:V30" si="33">T22+T8</f>
        <v>0</v>
      </c>
      <c r="U30" s="303">
        <f t="shared" si="33"/>
        <v>0</v>
      </c>
      <c r="V30" s="303">
        <f t="shared" si="33"/>
        <v>0</v>
      </c>
      <c r="W30" s="303">
        <f t="shared" si="4"/>
        <v>0</v>
      </c>
    </row>
    <row r="31" spans="1:23" x14ac:dyDescent="0.25">
      <c r="A31" s="293" t="s">
        <v>328</v>
      </c>
      <c r="B31" s="294" t="s">
        <v>329</v>
      </c>
      <c r="C31" s="295">
        <f t="shared" ref="C31:V31" si="34">C32</f>
        <v>107308</v>
      </c>
      <c r="D31" s="295">
        <f t="shared" si="34"/>
        <v>107308</v>
      </c>
      <c r="E31" s="295">
        <f t="shared" si="34"/>
        <v>0</v>
      </c>
      <c r="F31" s="295">
        <f t="shared" si="34"/>
        <v>0</v>
      </c>
      <c r="G31" s="295">
        <f t="shared" si="0"/>
        <v>107308</v>
      </c>
      <c r="H31" s="295">
        <f t="shared" si="34"/>
        <v>109259</v>
      </c>
      <c r="I31" s="295">
        <f t="shared" si="34"/>
        <v>0</v>
      </c>
      <c r="J31" s="295">
        <f t="shared" si="34"/>
        <v>0</v>
      </c>
      <c r="K31" s="295">
        <f t="shared" si="1"/>
        <v>109259</v>
      </c>
      <c r="L31" s="295">
        <f t="shared" si="34"/>
        <v>109542</v>
      </c>
      <c r="M31" s="295">
        <f t="shared" si="34"/>
        <v>0</v>
      </c>
      <c r="N31" s="295">
        <f t="shared" si="34"/>
        <v>0</v>
      </c>
      <c r="O31" s="295">
        <f t="shared" si="2"/>
        <v>109542</v>
      </c>
      <c r="P31" s="295">
        <f t="shared" si="34"/>
        <v>104535</v>
      </c>
      <c r="Q31" s="295">
        <f t="shared" si="34"/>
        <v>0</v>
      </c>
      <c r="R31" s="295">
        <f t="shared" si="34"/>
        <v>0</v>
      </c>
      <c r="S31" s="295">
        <f t="shared" si="3"/>
        <v>104535</v>
      </c>
      <c r="T31" s="295">
        <f t="shared" si="34"/>
        <v>0</v>
      </c>
      <c r="U31" s="295">
        <f t="shared" si="34"/>
        <v>0</v>
      </c>
      <c r="V31" s="295">
        <f t="shared" si="34"/>
        <v>0</v>
      </c>
      <c r="W31" s="295">
        <f t="shared" si="4"/>
        <v>0</v>
      </c>
    </row>
    <row r="32" spans="1:23" x14ac:dyDescent="0.25">
      <c r="A32" s="296" t="s">
        <v>311</v>
      </c>
      <c r="B32" s="297" t="s">
        <v>330</v>
      </c>
      <c r="C32" s="298">
        <f>SUM(C33:C34)</f>
        <v>107308</v>
      </c>
      <c r="D32" s="298">
        <f t="shared" ref="D32:F32" si="35">SUM(D33:D34)</f>
        <v>107308</v>
      </c>
      <c r="E32" s="298">
        <f t="shared" si="35"/>
        <v>0</v>
      </c>
      <c r="F32" s="298">
        <f t="shared" si="35"/>
        <v>0</v>
      </c>
      <c r="G32" s="298">
        <f t="shared" si="0"/>
        <v>107308</v>
      </c>
      <c r="H32" s="298">
        <f t="shared" ref="H32:J32" si="36">SUM(H33:H34)</f>
        <v>109259</v>
      </c>
      <c r="I32" s="298">
        <f t="shared" si="36"/>
        <v>0</v>
      </c>
      <c r="J32" s="298">
        <f t="shared" si="36"/>
        <v>0</v>
      </c>
      <c r="K32" s="298">
        <f t="shared" si="1"/>
        <v>109259</v>
      </c>
      <c r="L32" s="298">
        <f t="shared" ref="L32:N32" si="37">SUM(L33:L34)</f>
        <v>109542</v>
      </c>
      <c r="M32" s="298">
        <f t="shared" si="37"/>
        <v>0</v>
      </c>
      <c r="N32" s="298">
        <f t="shared" si="37"/>
        <v>0</v>
      </c>
      <c r="O32" s="298">
        <f t="shared" si="2"/>
        <v>109542</v>
      </c>
      <c r="P32" s="298">
        <f t="shared" ref="P32:R32" si="38">SUM(P33:P34)</f>
        <v>104535</v>
      </c>
      <c r="Q32" s="298">
        <f t="shared" si="38"/>
        <v>0</v>
      </c>
      <c r="R32" s="298">
        <f t="shared" si="38"/>
        <v>0</v>
      </c>
      <c r="S32" s="298">
        <f t="shared" si="3"/>
        <v>104535</v>
      </c>
      <c r="T32" s="298">
        <f t="shared" ref="T32:V32" si="39">SUM(T33:T34)</f>
        <v>0</v>
      </c>
      <c r="U32" s="298">
        <f t="shared" si="39"/>
        <v>0</v>
      </c>
      <c r="V32" s="298">
        <f t="shared" si="39"/>
        <v>0</v>
      </c>
      <c r="W32" s="298">
        <f t="shared" si="4"/>
        <v>0</v>
      </c>
    </row>
    <row r="33" spans="1:23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638</v>
      </c>
      <c r="I33" s="239">
        <v>0</v>
      </c>
      <c r="J33" s="239">
        <v>0</v>
      </c>
      <c r="K33" s="239">
        <f t="shared" si="1"/>
        <v>638</v>
      </c>
      <c r="L33" s="239">
        <v>638</v>
      </c>
      <c r="M33" s="239">
        <v>0</v>
      </c>
      <c r="N33" s="239">
        <v>0</v>
      </c>
      <c r="O33" s="239">
        <f t="shared" si="2"/>
        <v>638</v>
      </c>
      <c r="P33" s="239">
        <v>638</v>
      </c>
      <c r="Q33" s="239">
        <v>0</v>
      </c>
      <c r="R33" s="239">
        <v>0</v>
      </c>
      <c r="S33" s="239">
        <f t="shared" si="3"/>
        <v>638</v>
      </c>
      <c r="T33" s="239">
        <v>0</v>
      </c>
      <c r="U33" s="239">
        <v>0</v>
      </c>
      <c r="V33" s="239">
        <v>0</v>
      </c>
      <c r="W33" s="239">
        <f t="shared" si="4"/>
        <v>0</v>
      </c>
    </row>
    <row r="34" spans="1:23" x14ac:dyDescent="0.25">
      <c r="A34" s="328"/>
      <c r="B34" s="301" t="s">
        <v>332</v>
      </c>
      <c r="C34" s="239">
        <f>C36+C42-C30-C33</f>
        <v>107308</v>
      </c>
      <c r="D34" s="239">
        <f t="shared" ref="D34:F34" si="40">D36+D42-D30-D33</f>
        <v>107308</v>
      </c>
      <c r="E34" s="239">
        <f t="shared" si="40"/>
        <v>0</v>
      </c>
      <c r="F34" s="239">
        <f t="shared" si="40"/>
        <v>0</v>
      </c>
      <c r="G34" s="239">
        <f t="shared" si="0"/>
        <v>107308</v>
      </c>
      <c r="H34" s="239">
        <f t="shared" ref="H34:J34" si="41">H36+H42-H30-H33</f>
        <v>108621</v>
      </c>
      <c r="I34" s="239">
        <f t="shared" si="41"/>
        <v>0</v>
      </c>
      <c r="J34" s="239">
        <f t="shared" si="41"/>
        <v>0</v>
      </c>
      <c r="K34" s="239">
        <f t="shared" si="1"/>
        <v>108621</v>
      </c>
      <c r="L34" s="239">
        <f t="shared" ref="L34:N34" si="42">L36+L42-L30-L33</f>
        <v>108904</v>
      </c>
      <c r="M34" s="239">
        <f t="shared" si="42"/>
        <v>0</v>
      </c>
      <c r="N34" s="239">
        <f t="shared" si="42"/>
        <v>0</v>
      </c>
      <c r="O34" s="239">
        <f t="shared" si="2"/>
        <v>108904</v>
      </c>
      <c r="P34" s="239">
        <f t="shared" ref="P34:R34" si="43">P36+P42-P30-P33</f>
        <v>103897</v>
      </c>
      <c r="Q34" s="239">
        <f t="shared" si="43"/>
        <v>0</v>
      </c>
      <c r="R34" s="239">
        <f t="shared" si="43"/>
        <v>0</v>
      </c>
      <c r="S34" s="239">
        <f t="shared" si="3"/>
        <v>103897</v>
      </c>
      <c r="T34" s="239">
        <f t="shared" ref="T34:V34" si="44">T36+T42-T30-T33</f>
        <v>0</v>
      </c>
      <c r="U34" s="239">
        <f t="shared" si="44"/>
        <v>0</v>
      </c>
      <c r="V34" s="239">
        <f t="shared" si="44"/>
        <v>0</v>
      </c>
      <c r="W34" s="239">
        <f t="shared" si="4"/>
        <v>0</v>
      </c>
    </row>
    <row r="35" spans="1:23" x14ac:dyDescent="0.25">
      <c r="A35" s="304"/>
      <c r="B35" s="305" t="s">
        <v>333</v>
      </c>
      <c r="C35" s="276">
        <f>C31+C22+C8</f>
        <v>112094</v>
      </c>
      <c r="D35" s="276">
        <f t="shared" ref="D35:F35" si="45">D31+D22+D8</f>
        <v>112094</v>
      </c>
      <c r="E35" s="276">
        <f t="shared" si="45"/>
        <v>0</v>
      </c>
      <c r="F35" s="276">
        <f t="shared" si="45"/>
        <v>0</v>
      </c>
      <c r="G35" s="276">
        <f t="shared" si="0"/>
        <v>112094</v>
      </c>
      <c r="H35" s="276">
        <f t="shared" ref="H35:J35" si="46">H31+H22+H8</f>
        <v>114045</v>
      </c>
      <c r="I35" s="276">
        <f t="shared" si="46"/>
        <v>0</v>
      </c>
      <c r="J35" s="276">
        <f t="shared" si="46"/>
        <v>0</v>
      </c>
      <c r="K35" s="276">
        <f t="shared" si="1"/>
        <v>114045</v>
      </c>
      <c r="L35" s="276">
        <f t="shared" ref="L35:N35" si="47">L31+L22+L8</f>
        <v>114328</v>
      </c>
      <c r="M35" s="276">
        <f t="shared" si="47"/>
        <v>0</v>
      </c>
      <c r="N35" s="276">
        <f t="shared" si="47"/>
        <v>0</v>
      </c>
      <c r="O35" s="276">
        <f t="shared" si="2"/>
        <v>114328</v>
      </c>
      <c r="P35" s="276">
        <f t="shared" ref="P35:R35" si="48">P31+P22+P8</f>
        <v>110836</v>
      </c>
      <c r="Q35" s="276">
        <f t="shared" si="48"/>
        <v>0</v>
      </c>
      <c r="R35" s="276">
        <f t="shared" si="48"/>
        <v>0</v>
      </c>
      <c r="S35" s="276">
        <f t="shared" si="3"/>
        <v>110836</v>
      </c>
      <c r="T35" s="276">
        <f t="shared" ref="T35:V35" si="49">T31+T22+T8</f>
        <v>0</v>
      </c>
      <c r="U35" s="276">
        <f t="shared" si="49"/>
        <v>0</v>
      </c>
      <c r="V35" s="276">
        <f t="shared" si="49"/>
        <v>0</v>
      </c>
      <c r="W35" s="276">
        <f t="shared" si="4"/>
        <v>0</v>
      </c>
    </row>
    <row r="36" spans="1:23" x14ac:dyDescent="0.25">
      <c r="A36" s="293" t="s">
        <v>309</v>
      </c>
      <c r="B36" s="294" t="s">
        <v>334</v>
      </c>
      <c r="C36" s="295">
        <f t="shared" ref="C36:F36" si="50">SUM(C37:C41)</f>
        <v>111637</v>
      </c>
      <c r="D36" s="295">
        <f t="shared" si="50"/>
        <v>111637</v>
      </c>
      <c r="E36" s="295">
        <f t="shared" si="50"/>
        <v>0</v>
      </c>
      <c r="F36" s="295">
        <f t="shared" si="50"/>
        <v>0</v>
      </c>
      <c r="G36" s="295">
        <f t="shared" si="0"/>
        <v>111637</v>
      </c>
      <c r="H36" s="295">
        <f t="shared" ref="H36:J36" si="51">SUM(H37:H41)</f>
        <v>113588</v>
      </c>
      <c r="I36" s="295">
        <f t="shared" si="51"/>
        <v>0</v>
      </c>
      <c r="J36" s="295">
        <f t="shared" si="51"/>
        <v>0</v>
      </c>
      <c r="K36" s="295">
        <f t="shared" si="1"/>
        <v>113588</v>
      </c>
      <c r="L36" s="295">
        <f t="shared" ref="L36:N36" si="52">SUM(L37:L41)</f>
        <v>113871</v>
      </c>
      <c r="M36" s="295">
        <f t="shared" si="52"/>
        <v>0</v>
      </c>
      <c r="N36" s="295">
        <f t="shared" si="52"/>
        <v>0</v>
      </c>
      <c r="O36" s="295">
        <f t="shared" si="2"/>
        <v>113871</v>
      </c>
      <c r="P36" s="295">
        <f t="shared" ref="P36:R36" si="53">SUM(P37:P41)</f>
        <v>109795</v>
      </c>
      <c r="Q36" s="295">
        <f t="shared" si="53"/>
        <v>0</v>
      </c>
      <c r="R36" s="295">
        <f t="shared" si="53"/>
        <v>0</v>
      </c>
      <c r="S36" s="295">
        <f t="shared" si="3"/>
        <v>109795</v>
      </c>
      <c r="T36" s="295">
        <f t="shared" ref="T36:V36" si="54">SUM(T37:T41)</f>
        <v>0</v>
      </c>
      <c r="U36" s="295">
        <f t="shared" si="54"/>
        <v>0</v>
      </c>
      <c r="V36" s="295">
        <f t="shared" si="54"/>
        <v>0</v>
      </c>
      <c r="W36" s="295">
        <f t="shared" si="4"/>
        <v>0</v>
      </c>
    </row>
    <row r="37" spans="1:23" x14ac:dyDescent="0.25">
      <c r="A37" s="296" t="s">
        <v>311</v>
      </c>
      <c r="B37" s="297" t="s">
        <v>286</v>
      </c>
      <c r="C37" s="298">
        <f>'5H GSZNR fel'!C118+'5H GSZNR fel'!C124</f>
        <v>73361</v>
      </c>
      <c r="D37" s="298">
        <f>'5H GSZNR fel'!F118+'5H GSZNR fel'!F124</f>
        <v>73361</v>
      </c>
      <c r="E37" s="298">
        <f>'5H GSZNR fel'!E118+'5H GSZNR fel'!E124</f>
        <v>0</v>
      </c>
      <c r="F37" s="298">
        <v>0</v>
      </c>
      <c r="G37" s="298">
        <f t="shared" si="0"/>
        <v>73361</v>
      </c>
      <c r="H37" s="298">
        <f>'5H GSZNR fel'!I118+'5H GSZNR fel'!I124</f>
        <v>74434</v>
      </c>
      <c r="I37" s="298">
        <f>'5H GSZNR fel'!J118+'5H GSZNR fel'!J124</f>
        <v>0</v>
      </c>
      <c r="J37" s="298">
        <v>0</v>
      </c>
      <c r="K37" s="298">
        <f t="shared" si="1"/>
        <v>74434</v>
      </c>
      <c r="L37" s="298">
        <f>'5H GSZNR fel'!L118+'5H GSZNR fel'!L124</f>
        <v>74666</v>
      </c>
      <c r="M37" s="298">
        <f>'5H GSZNR fel'!N118+'5H GSZNR fel'!N124</f>
        <v>0</v>
      </c>
      <c r="N37" s="298">
        <v>0</v>
      </c>
      <c r="O37" s="298">
        <f t="shared" si="2"/>
        <v>74666</v>
      </c>
      <c r="P37" s="298">
        <f>'5H GSZNR fel'!O118+'5H GSZNR fel'!O124</f>
        <v>73565</v>
      </c>
      <c r="Q37" s="298">
        <f>'5H GSZNR fel'!M118+'5H GSZNR fel'!M124</f>
        <v>0</v>
      </c>
      <c r="R37" s="298">
        <v>0</v>
      </c>
      <c r="S37" s="298">
        <f t="shared" si="3"/>
        <v>73565</v>
      </c>
      <c r="T37" s="298">
        <f>'5H GSZNR fel'!R118+'5H GSZNR fel'!R124</f>
        <v>0</v>
      </c>
      <c r="U37" s="298">
        <f>'5H GSZNR fel'!Q118+'5H GSZNR fel'!Q124</f>
        <v>0</v>
      </c>
      <c r="V37" s="298">
        <v>0</v>
      </c>
      <c r="W37" s="298">
        <f t="shared" si="4"/>
        <v>0</v>
      </c>
    </row>
    <row r="38" spans="1:23" x14ac:dyDescent="0.25">
      <c r="A38" s="296" t="s">
        <v>322</v>
      </c>
      <c r="B38" s="297" t="s">
        <v>335</v>
      </c>
      <c r="C38" s="298">
        <f>'5H GSZNR fel'!C119+'5H GSZNR fel'!C125</f>
        <v>16189</v>
      </c>
      <c r="D38" s="298">
        <f>'5H GSZNR fel'!F119+'5H GSZNR fel'!F125</f>
        <v>16189</v>
      </c>
      <c r="E38" s="298">
        <f>'5H GSZNR fel'!E119+'5H GSZNR fel'!E125</f>
        <v>0</v>
      </c>
      <c r="F38" s="298">
        <v>0</v>
      </c>
      <c r="G38" s="298">
        <f t="shared" si="0"/>
        <v>16189</v>
      </c>
      <c r="H38" s="298">
        <f>'5H GSZNR fel'!I119+'5H GSZNR fel'!I125</f>
        <v>16429</v>
      </c>
      <c r="I38" s="298">
        <f>'5H GSZNR fel'!J119+'5H GSZNR fel'!J125</f>
        <v>0</v>
      </c>
      <c r="J38" s="298">
        <v>0</v>
      </c>
      <c r="K38" s="298">
        <f t="shared" si="1"/>
        <v>16429</v>
      </c>
      <c r="L38" s="298">
        <f>'5H GSZNR fel'!L119+'5H GSZNR fel'!L125</f>
        <v>16480</v>
      </c>
      <c r="M38" s="298">
        <f>'5H GSZNR fel'!N119+'5H GSZNR fel'!N125</f>
        <v>0</v>
      </c>
      <c r="N38" s="298">
        <v>0</v>
      </c>
      <c r="O38" s="298">
        <f t="shared" si="2"/>
        <v>16480</v>
      </c>
      <c r="P38" s="298">
        <f>'5H GSZNR fel'!O119+'5H GSZNR fel'!O125</f>
        <v>16731</v>
      </c>
      <c r="Q38" s="298">
        <f>'5H GSZNR fel'!M119+'5H GSZNR fel'!M125</f>
        <v>0</v>
      </c>
      <c r="R38" s="298">
        <v>0</v>
      </c>
      <c r="S38" s="298">
        <f t="shared" si="3"/>
        <v>16731</v>
      </c>
      <c r="T38" s="298">
        <f>'5H GSZNR fel'!R119+'5H GSZNR fel'!R125</f>
        <v>0</v>
      </c>
      <c r="U38" s="298">
        <f>'5H GSZNR fel'!Q119+'5H GSZNR fel'!Q125</f>
        <v>0</v>
      </c>
      <c r="V38" s="298">
        <v>0</v>
      </c>
      <c r="W38" s="298">
        <f t="shared" si="4"/>
        <v>0</v>
      </c>
    </row>
    <row r="39" spans="1:23" x14ac:dyDescent="0.25">
      <c r="A39" s="296" t="s">
        <v>315</v>
      </c>
      <c r="B39" s="297" t="s">
        <v>292</v>
      </c>
      <c r="C39" s="298">
        <f>'5H GSZNR fel'!C120+'5H GSZNR fel'!C126</f>
        <v>22087</v>
      </c>
      <c r="D39" s="298">
        <f>'5H GSZNR fel'!F120+'5H GSZNR fel'!F126</f>
        <v>22087</v>
      </c>
      <c r="E39" s="298">
        <f>'5H GSZNR fel'!E120+'5H GSZNR fel'!E126</f>
        <v>0</v>
      </c>
      <c r="F39" s="298">
        <v>0</v>
      </c>
      <c r="G39" s="298">
        <f t="shared" si="0"/>
        <v>22087</v>
      </c>
      <c r="H39" s="298">
        <f>'5H GSZNR fel'!I120+'5H GSZNR fel'!I126</f>
        <v>22097</v>
      </c>
      <c r="I39" s="298">
        <f>'5H GSZNR fel'!J120+'5H GSZNR fel'!J126</f>
        <v>0</v>
      </c>
      <c r="J39" s="298">
        <v>0</v>
      </c>
      <c r="K39" s="298">
        <f t="shared" si="1"/>
        <v>22097</v>
      </c>
      <c r="L39" s="298">
        <f>'5H GSZNR fel'!L120+'5H GSZNR fel'!L126</f>
        <v>22097</v>
      </c>
      <c r="M39" s="298">
        <f>'5H GSZNR fel'!N120+'5H GSZNR fel'!N126</f>
        <v>0</v>
      </c>
      <c r="N39" s="298">
        <v>0</v>
      </c>
      <c r="O39" s="298">
        <f t="shared" si="2"/>
        <v>22097</v>
      </c>
      <c r="P39" s="298">
        <f>'5H GSZNR fel'!O120+'5H GSZNR fel'!O126</f>
        <v>18871</v>
      </c>
      <c r="Q39" s="298">
        <f>'5H GSZNR fel'!M120+'5H GSZNR fel'!M126</f>
        <v>0</v>
      </c>
      <c r="R39" s="298">
        <v>0</v>
      </c>
      <c r="S39" s="298">
        <f t="shared" si="3"/>
        <v>18871</v>
      </c>
      <c r="T39" s="298">
        <f>'5H GSZNR fel'!R120+'5H GSZNR fel'!R126</f>
        <v>0</v>
      </c>
      <c r="U39" s="298">
        <f>'5H GSZNR fel'!Q120+'5H GSZNR fel'!Q126</f>
        <v>0</v>
      </c>
      <c r="V39" s="298">
        <v>0</v>
      </c>
      <c r="W39" s="298">
        <f t="shared" si="4"/>
        <v>0</v>
      </c>
    </row>
    <row r="40" spans="1:23" x14ac:dyDescent="0.25">
      <c r="A40" s="296" t="s">
        <v>336</v>
      </c>
      <c r="B40" s="297" t="s">
        <v>337</v>
      </c>
      <c r="C40" s="298">
        <v>0</v>
      </c>
      <c r="D40" s="298">
        <v>0</v>
      </c>
      <c r="E40" s="298">
        <v>0</v>
      </c>
      <c r="F40" s="298">
        <v>0</v>
      </c>
      <c r="G40" s="298">
        <f t="shared" si="0"/>
        <v>0</v>
      </c>
      <c r="H40" s="298">
        <v>0</v>
      </c>
      <c r="I40" s="298">
        <v>0</v>
      </c>
      <c r="J40" s="298">
        <v>0</v>
      </c>
      <c r="K40" s="298">
        <f t="shared" si="1"/>
        <v>0</v>
      </c>
      <c r="L40" s="298">
        <v>0</v>
      </c>
      <c r="M40" s="298">
        <v>0</v>
      </c>
      <c r="N40" s="298">
        <v>0</v>
      </c>
      <c r="O40" s="298">
        <f t="shared" si="2"/>
        <v>0</v>
      </c>
      <c r="P40" s="298">
        <v>0</v>
      </c>
      <c r="Q40" s="298">
        <v>0</v>
      </c>
      <c r="R40" s="298">
        <v>0</v>
      </c>
      <c r="S40" s="298">
        <f t="shared" si="3"/>
        <v>0</v>
      </c>
      <c r="T40" s="298">
        <v>0</v>
      </c>
      <c r="U40" s="298">
        <v>0</v>
      </c>
      <c r="V40" s="298">
        <v>0</v>
      </c>
      <c r="W40" s="298">
        <f t="shared" si="4"/>
        <v>0</v>
      </c>
    </row>
    <row r="41" spans="1:23" x14ac:dyDescent="0.25">
      <c r="A41" s="296" t="s">
        <v>338</v>
      </c>
      <c r="B41" s="297" t="s">
        <v>339</v>
      </c>
      <c r="C41" s="298">
        <v>0</v>
      </c>
      <c r="D41" s="298">
        <v>0</v>
      </c>
      <c r="E41" s="298">
        <v>0</v>
      </c>
      <c r="F41" s="298">
        <v>0</v>
      </c>
      <c r="G41" s="298">
        <f t="shared" si="0"/>
        <v>0</v>
      </c>
      <c r="H41" s="298">
        <f>+'5H GSZNR fel'!I121</f>
        <v>628</v>
      </c>
      <c r="I41" s="298">
        <v>0</v>
      </c>
      <c r="J41" s="298">
        <v>0</v>
      </c>
      <c r="K41" s="298">
        <f t="shared" si="1"/>
        <v>628</v>
      </c>
      <c r="L41" s="298">
        <f>+'5H GSZNR fel'!L121</f>
        <v>628</v>
      </c>
      <c r="M41" s="298">
        <v>0</v>
      </c>
      <c r="N41" s="298">
        <v>0</v>
      </c>
      <c r="O41" s="298">
        <f t="shared" si="2"/>
        <v>628</v>
      </c>
      <c r="P41" s="298">
        <f>+'5H GSZNR fel'!O121</f>
        <v>628</v>
      </c>
      <c r="Q41" s="298">
        <v>0</v>
      </c>
      <c r="R41" s="298">
        <v>0</v>
      </c>
      <c r="S41" s="298">
        <f t="shared" si="3"/>
        <v>628</v>
      </c>
      <c r="T41" s="298">
        <f>+'5H GSZNR fel'!R121</f>
        <v>0</v>
      </c>
      <c r="U41" s="298">
        <v>0</v>
      </c>
      <c r="V41" s="298">
        <v>0</v>
      </c>
      <c r="W41" s="298">
        <f t="shared" si="4"/>
        <v>0</v>
      </c>
    </row>
    <row r="42" spans="1:23" x14ac:dyDescent="0.25">
      <c r="A42" s="293" t="s">
        <v>318</v>
      </c>
      <c r="B42" s="294" t="s">
        <v>340</v>
      </c>
      <c r="C42" s="295">
        <f t="shared" ref="C42:F42" si="55">SUM(C43:C45)</f>
        <v>457</v>
      </c>
      <c r="D42" s="295">
        <f t="shared" ref="D42" si="56">SUM(D43:D45)</f>
        <v>457</v>
      </c>
      <c r="E42" s="295">
        <f t="shared" si="55"/>
        <v>0</v>
      </c>
      <c r="F42" s="295">
        <f t="shared" si="55"/>
        <v>0</v>
      </c>
      <c r="G42" s="295">
        <f t="shared" si="0"/>
        <v>457</v>
      </c>
      <c r="H42" s="295">
        <f t="shared" ref="H42:J42" si="57">SUM(H43:H45)</f>
        <v>457</v>
      </c>
      <c r="I42" s="295">
        <f t="shared" si="57"/>
        <v>0</v>
      </c>
      <c r="J42" s="295">
        <f t="shared" si="57"/>
        <v>0</v>
      </c>
      <c r="K42" s="295">
        <f t="shared" si="1"/>
        <v>457</v>
      </c>
      <c r="L42" s="295">
        <f t="shared" ref="L42:N42" si="58">SUM(L43:L45)</f>
        <v>457</v>
      </c>
      <c r="M42" s="295">
        <f t="shared" si="58"/>
        <v>0</v>
      </c>
      <c r="N42" s="295">
        <f t="shared" si="58"/>
        <v>0</v>
      </c>
      <c r="O42" s="295">
        <f t="shared" si="2"/>
        <v>457</v>
      </c>
      <c r="P42" s="295">
        <f t="shared" ref="P42:R42" si="59">SUM(P43:P45)</f>
        <v>1041</v>
      </c>
      <c r="Q42" s="295">
        <f t="shared" si="59"/>
        <v>0</v>
      </c>
      <c r="R42" s="295">
        <f t="shared" si="59"/>
        <v>0</v>
      </c>
      <c r="S42" s="295">
        <f t="shared" si="3"/>
        <v>1041</v>
      </c>
      <c r="T42" s="295">
        <f t="shared" ref="T42:V42" si="60">SUM(T43:T45)</f>
        <v>0</v>
      </c>
      <c r="U42" s="295">
        <f t="shared" si="60"/>
        <v>0</v>
      </c>
      <c r="V42" s="295">
        <f t="shared" si="60"/>
        <v>0</v>
      </c>
      <c r="W42" s="295">
        <f t="shared" si="4"/>
        <v>0</v>
      </c>
    </row>
    <row r="43" spans="1:23" x14ac:dyDescent="0.25">
      <c r="A43" s="296" t="s">
        <v>311</v>
      </c>
      <c r="B43" s="297" t="s">
        <v>341</v>
      </c>
      <c r="C43" s="298">
        <f>'5H GSZNR fel'!C122+'5H GSZNR fel'!C127</f>
        <v>457</v>
      </c>
      <c r="D43" s="298">
        <f>'5H GSZNR fel'!F122+'5H GSZNR fel'!F127</f>
        <v>457</v>
      </c>
      <c r="E43" s="298">
        <f>'5H GSZNR fel'!E122+'5H GSZNR fel'!E127</f>
        <v>0</v>
      </c>
      <c r="F43" s="298">
        <v>0</v>
      </c>
      <c r="G43" s="298">
        <f t="shared" si="0"/>
        <v>457</v>
      </c>
      <c r="H43" s="298">
        <f>'5H GSZNR fel'!I122+'5H GSZNR fel'!I127</f>
        <v>457</v>
      </c>
      <c r="I43" s="298">
        <f>'5H GSZNR fel'!J122+'5H GSZNR fel'!J127</f>
        <v>0</v>
      </c>
      <c r="J43" s="298">
        <v>0</v>
      </c>
      <c r="K43" s="298">
        <f t="shared" si="1"/>
        <v>457</v>
      </c>
      <c r="L43" s="298">
        <f>'5H GSZNR fel'!L122+'5H GSZNR fel'!L127</f>
        <v>457</v>
      </c>
      <c r="M43" s="298">
        <f>'5H GSZNR fel'!N122+'5H GSZNR fel'!N127</f>
        <v>0</v>
      </c>
      <c r="N43" s="298">
        <v>0</v>
      </c>
      <c r="O43" s="298">
        <f t="shared" si="2"/>
        <v>457</v>
      </c>
      <c r="P43" s="298">
        <f>'5H GSZNR fel'!O122+'5H GSZNR fel'!O127</f>
        <v>1041</v>
      </c>
      <c r="Q43" s="298">
        <f>'5H GSZNR fel'!M122+'5H GSZNR fel'!M127</f>
        <v>0</v>
      </c>
      <c r="R43" s="298">
        <v>0</v>
      </c>
      <c r="S43" s="298">
        <f t="shared" si="3"/>
        <v>1041</v>
      </c>
      <c r="T43" s="298">
        <f>'5H GSZNR fel'!R122+'5H GSZNR fel'!R127</f>
        <v>0</v>
      </c>
      <c r="U43" s="298">
        <f>'5H GSZNR fel'!Q122+'5H GSZNR fel'!Q127</f>
        <v>0</v>
      </c>
      <c r="V43" s="298">
        <v>0</v>
      </c>
      <c r="W43" s="298">
        <f t="shared" si="4"/>
        <v>0</v>
      </c>
    </row>
    <row r="44" spans="1:23" x14ac:dyDescent="0.25">
      <c r="A44" s="296" t="s">
        <v>322</v>
      </c>
      <c r="B44" s="297" t="s">
        <v>342</v>
      </c>
      <c r="C44" s="298">
        <v>0</v>
      </c>
      <c r="D44" s="298">
        <v>0</v>
      </c>
      <c r="E44" s="298">
        <v>0</v>
      </c>
      <c r="F44" s="298">
        <v>0</v>
      </c>
      <c r="G44" s="298">
        <f t="shared" si="0"/>
        <v>0</v>
      </c>
      <c r="H44" s="298">
        <v>0</v>
      </c>
      <c r="I44" s="298">
        <v>0</v>
      </c>
      <c r="J44" s="298">
        <v>0</v>
      </c>
      <c r="K44" s="298">
        <f t="shared" si="1"/>
        <v>0</v>
      </c>
      <c r="L44" s="298">
        <v>0</v>
      </c>
      <c r="M44" s="298">
        <v>0</v>
      </c>
      <c r="N44" s="298">
        <v>0</v>
      </c>
      <c r="O44" s="298">
        <f t="shared" si="2"/>
        <v>0</v>
      </c>
      <c r="P44" s="298">
        <v>0</v>
      </c>
      <c r="Q44" s="298">
        <v>0</v>
      </c>
      <c r="R44" s="298">
        <v>0</v>
      </c>
      <c r="S44" s="298">
        <f t="shared" si="3"/>
        <v>0</v>
      </c>
      <c r="T44" s="298">
        <v>0</v>
      </c>
      <c r="U44" s="298">
        <v>0</v>
      </c>
      <c r="V44" s="298">
        <v>0</v>
      </c>
      <c r="W44" s="298">
        <f t="shared" si="4"/>
        <v>0</v>
      </c>
    </row>
    <row r="45" spans="1:23" x14ac:dyDescent="0.25">
      <c r="A45" s="296" t="s">
        <v>315</v>
      </c>
      <c r="B45" s="297" t="s">
        <v>343</v>
      </c>
      <c r="C45" s="298">
        <v>0</v>
      </c>
      <c r="D45" s="298">
        <f>'5H GSZNR fel'!F127+'5H GSZNR fel'!F132</f>
        <v>0</v>
      </c>
      <c r="E45" s="298">
        <v>0</v>
      </c>
      <c r="F45" s="298">
        <v>0</v>
      </c>
      <c r="G45" s="298">
        <f t="shared" si="0"/>
        <v>0</v>
      </c>
      <c r="H45" s="298">
        <f>'5H GSZNR fel'!J127+'5H GSZNR fel'!J132</f>
        <v>0</v>
      </c>
      <c r="I45" s="298">
        <v>0</v>
      </c>
      <c r="J45" s="298">
        <v>0</v>
      </c>
      <c r="K45" s="298">
        <f t="shared" si="1"/>
        <v>0</v>
      </c>
      <c r="L45" s="298">
        <f>'5H GSZNR fel'!M127+'5H GSZNR fel'!M132</f>
        <v>0</v>
      </c>
      <c r="M45" s="298">
        <v>0</v>
      </c>
      <c r="N45" s="298">
        <v>0</v>
      </c>
      <c r="O45" s="298">
        <f t="shared" si="2"/>
        <v>0</v>
      </c>
      <c r="P45" s="298">
        <f>'5H GSZNR fel'!L127+'5H GSZNR fel'!L132</f>
        <v>0</v>
      </c>
      <c r="Q45" s="298">
        <v>0</v>
      </c>
      <c r="R45" s="298">
        <v>0</v>
      </c>
      <c r="S45" s="298">
        <f t="shared" si="3"/>
        <v>0</v>
      </c>
      <c r="T45" s="298">
        <f>'5H GSZNR fel'!P127+'5H GSZNR fel'!P132</f>
        <v>0</v>
      </c>
      <c r="U45" s="298">
        <v>0</v>
      </c>
      <c r="V45" s="298">
        <v>0</v>
      </c>
      <c r="W45" s="298">
        <f t="shared" si="4"/>
        <v>0</v>
      </c>
    </row>
    <row r="46" spans="1:23" x14ac:dyDescent="0.25">
      <c r="A46" s="304"/>
      <c r="B46" s="305" t="s">
        <v>344</v>
      </c>
      <c r="C46" s="276">
        <f t="shared" ref="C46:F46" si="61">C36+C42</f>
        <v>112094</v>
      </c>
      <c r="D46" s="276">
        <f t="shared" si="61"/>
        <v>112094</v>
      </c>
      <c r="E46" s="276">
        <f t="shared" si="61"/>
        <v>0</v>
      </c>
      <c r="F46" s="276">
        <f t="shared" si="61"/>
        <v>0</v>
      </c>
      <c r="G46" s="276">
        <f t="shared" si="0"/>
        <v>112094</v>
      </c>
      <c r="H46" s="276">
        <f t="shared" ref="H46:J46" si="62">H36+H42</f>
        <v>114045</v>
      </c>
      <c r="I46" s="276">
        <f t="shared" si="62"/>
        <v>0</v>
      </c>
      <c r="J46" s="276">
        <f t="shared" si="62"/>
        <v>0</v>
      </c>
      <c r="K46" s="276">
        <f t="shared" si="1"/>
        <v>114045</v>
      </c>
      <c r="L46" s="276">
        <f t="shared" ref="L46:N46" si="63">L36+L42</f>
        <v>114328</v>
      </c>
      <c r="M46" s="276">
        <f t="shared" si="63"/>
        <v>0</v>
      </c>
      <c r="N46" s="276">
        <f t="shared" si="63"/>
        <v>0</v>
      </c>
      <c r="O46" s="276">
        <f t="shared" si="2"/>
        <v>114328</v>
      </c>
      <c r="P46" s="276">
        <f t="shared" ref="P46:R46" si="64">P36+P42</f>
        <v>110836</v>
      </c>
      <c r="Q46" s="276">
        <f t="shared" si="64"/>
        <v>0</v>
      </c>
      <c r="R46" s="276">
        <f t="shared" si="64"/>
        <v>0</v>
      </c>
      <c r="S46" s="276">
        <f t="shared" si="3"/>
        <v>110836</v>
      </c>
      <c r="T46" s="276">
        <f t="shared" ref="T46:V46" si="65">T36+T42</f>
        <v>0</v>
      </c>
      <c r="U46" s="276">
        <f t="shared" si="65"/>
        <v>0</v>
      </c>
      <c r="V46" s="276">
        <f t="shared" si="65"/>
        <v>0</v>
      </c>
      <c r="W46" s="276">
        <f t="shared" si="4"/>
        <v>0</v>
      </c>
    </row>
  </sheetData>
  <customSheetViews>
    <customSheetView guid="{7F1DC213-A29D-4C8C-BAC3-F1BD898020FD}" scale="75" showPageBreaks="1" printArea="1" hiddenColumns="1" state="hidden" view="pageBreakPreview" topLeftCell="B1">
      <selection activeCell="T6" sqref="T6"/>
      <pageMargins left="0.19685039370078741" right="0.19685039370078741" top="1.2204724409448819" bottom="0.19685039370078741" header="0.31496062992125984" footer="0.31496062992125984"/>
      <printOptions horizontalCentered="1"/>
      <pageSetup paperSize="9" scale="70" fitToWidth="0" fitToHeight="0" orientation="portrait" horizontalDpi="300" verticalDpi="300" copies="2" r:id="rId1"/>
      <headerFooter>
        <oddHeader>&amp;L5/G. melléklet a ...../2018. (.......) önkormányzati rendelethez&amp;C&amp;"-,Félkövér"&amp;16A Szérűskert Bölcsőde 2018. évi bevételei és kiadásai jogcímenként és feladatonként</oddHeader>
        <oddFooter>&amp;C&amp;P</oddFooter>
      </headerFooter>
    </customSheetView>
    <customSheetView guid="{4DCB1349-1166-4B69-AE14-D6B08F9FCE74}" scale="75" showPageBreaks="1" printArea="1" hiddenColumns="1" state="hidden" view="pageBreakPreview" topLeftCell="B1">
      <selection activeCell="T6" sqref="T6"/>
      <pageMargins left="0.19685039370078741" right="0.19685039370078741" top="1.2204724409448819" bottom="0.19685039370078741" header="0.31496062992125984" footer="0.31496062992125984"/>
      <printOptions horizontalCentered="1"/>
      <pageSetup paperSize="9" scale="70" fitToWidth="0" fitToHeight="0" orientation="portrait" horizontalDpi="300" verticalDpi="300" copies="2" r:id="rId2"/>
      <headerFooter>
        <oddHeader>&amp;L5/G. melléklet a ...../2018. (.......) önkormányzati rendelethez&amp;C&amp;"-,Félkövér"&amp;16A Szérűskert Bölcsőde 2018. évi bevételei és kiadásai jogcímenként és feladatonként</oddHeader>
        <oddFooter>&amp;C&amp;P</oddFooter>
      </headerFooter>
    </customSheetView>
  </customSheetViews>
  <mergeCells count="7">
    <mergeCell ref="A4:A5"/>
    <mergeCell ref="B4:B5"/>
    <mergeCell ref="P4:S4"/>
    <mergeCell ref="T4:W4"/>
    <mergeCell ref="L4:O4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70" fitToWidth="0" fitToHeight="0" orientation="portrait" horizontalDpi="300" verticalDpi="300" copies="2" r:id="rId3"/>
  <headerFooter>
    <oddHeader>&amp;L5/G. melléklet a ...../2018. (.......) önkormányzati rendelethez&amp;C&amp;"-,Félkövér"&amp;16A Szérűskert Bölcsőde 2018. évi bevételei és kiadásai jogcímenként és feladatonként</oddHead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R186"/>
  <sheetViews>
    <sheetView zoomScale="150" zoomScaleNormal="150" zoomScaleSheetLayoutView="100" workbookViewId="0">
      <pane ySplit="4" topLeftCell="A29" activePane="bottomLeft" state="frozen"/>
      <selection pane="bottomLeft" activeCell="G39" sqref="G3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957" t="s">
        <v>258</v>
      </c>
      <c r="B1" s="957"/>
      <c r="C1" s="957"/>
      <c r="D1" s="957"/>
      <c r="E1" s="957"/>
      <c r="F1" s="957"/>
      <c r="G1" s="957"/>
      <c r="H1" s="957"/>
      <c r="I1" s="957"/>
    </row>
    <row r="2" spans="1:9" s="1" customFormat="1" ht="14.1" customHeight="1" x14ac:dyDescent="0.25">
      <c r="A2" s="957" t="s">
        <v>0</v>
      </c>
      <c r="B2" s="961" t="s">
        <v>1</v>
      </c>
      <c r="C2" s="957" t="s">
        <v>2</v>
      </c>
      <c r="D2" s="962" t="s">
        <v>260</v>
      </c>
      <c r="E2" s="952" t="s">
        <v>259</v>
      </c>
      <c r="F2" s="954" t="s">
        <v>261</v>
      </c>
      <c r="G2" s="955"/>
      <c r="H2" s="954" t="s">
        <v>262</v>
      </c>
      <c r="I2" s="955"/>
    </row>
    <row r="3" spans="1:9" s="3" customFormat="1" ht="25.5" customHeight="1" x14ac:dyDescent="0.25">
      <c r="A3" s="957"/>
      <c r="B3" s="961"/>
      <c r="C3" s="957"/>
      <c r="D3" s="962"/>
      <c r="E3" s="953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956" t="s">
        <v>3</v>
      </c>
      <c r="B5" s="956"/>
      <c r="C5" s="956"/>
      <c r="D5" s="956"/>
      <c r="E5" s="956"/>
      <c r="F5" s="956"/>
      <c r="G5" s="956"/>
      <c r="H5" s="956"/>
      <c r="I5" s="956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34533</v>
      </c>
      <c r="E6" s="9">
        <f>G6+I6</f>
        <v>35647</v>
      </c>
      <c r="F6" s="10">
        <v>34533</v>
      </c>
      <c r="G6" s="10">
        <f>SUM(G7:G19)</f>
        <v>35647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266</v>
      </c>
      <c r="D7" s="13"/>
      <c r="E7" s="13"/>
      <c r="F7" s="14"/>
      <c r="G7" s="14">
        <v>1541</v>
      </c>
      <c r="H7" s="14"/>
      <c r="I7" s="14"/>
    </row>
    <row r="8" spans="1:9" s="15" customFormat="1" ht="11.45" customHeight="1" x14ac:dyDescent="0.25">
      <c r="A8" s="11"/>
      <c r="B8" s="11"/>
      <c r="C8" s="12" t="s">
        <v>267</v>
      </c>
      <c r="D8" s="13"/>
      <c r="E8" s="13"/>
      <c r="F8" s="14"/>
      <c r="G8" s="14">
        <v>3283</v>
      </c>
      <c r="H8" s="14"/>
      <c r="I8" s="14"/>
    </row>
    <row r="9" spans="1:9" s="15" customFormat="1" ht="11.45" customHeight="1" x14ac:dyDescent="0.25">
      <c r="A9" s="11"/>
      <c r="B9" s="11"/>
      <c r="C9" s="12" t="s">
        <v>268</v>
      </c>
      <c r="D9" s="13"/>
      <c r="E9" s="13"/>
      <c r="F9" s="14"/>
      <c r="G9" s="14">
        <v>3489</v>
      </c>
      <c r="H9" s="14"/>
      <c r="I9" s="14"/>
    </row>
    <row r="10" spans="1:9" s="15" customFormat="1" ht="11.45" customHeight="1" x14ac:dyDescent="0.25">
      <c r="A10" s="11"/>
      <c r="B10" s="11"/>
      <c r="C10" s="12" t="s">
        <v>269</v>
      </c>
      <c r="D10" s="13"/>
      <c r="E10" s="13"/>
      <c r="F10" s="14"/>
      <c r="G10" s="14">
        <v>3497</v>
      </c>
      <c r="H10" s="14"/>
      <c r="I10" s="14"/>
    </row>
    <row r="11" spans="1:9" s="15" customFormat="1" ht="11.45" customHeight="1" x14ac:dyDescent="0.25">
      <c r="A11" s="11"/>
      <c r="B11" s="11"/>
      <c r="C11" s="12" t="s">
        <v>270</v>
      </c>
      <c r="D11" s="13"/>
      <c r="E11" s="13"/>
      <c r="F11" s="14"/>
      <c r="G11" s="14">
        <f>1699+7*12</f>
        <v>1783</v>
      </c>
      <c r="H11" s="14"/>
      <c r="I11" s="14"/>
    </row>
    <row r="12" spans="1:9" s="15" customFormat="1" ht="11.45" customHeight="1" x14ac:dyDescent="0.25">
      <c r="A12" s="11"/>
      <c r="B12" s="11"/>
      <c r="C12" s="12" t="s">
        <v>271</v>
      </c>
      <c r="D12" s="13"/>
      <c r="E12" s="13"/>
      <c r="F12" s="14"/>
      <c r="G12" s="14">
        <v>1541</v>
      </c>
      <c r="H12" s="14"/>
      <c r="I12" s="14"/>
    </row>
    <row r="13" spans="1:9" s="15" customFormat="1" ht="11.45" customHeight="1" x14ac:dyDescent="0.25">
      <c r="A13" s="11"/>
      <c r="B13" s="11"/>
      <c r="C13" s="12" t="s">
        <v>272</v>
      </c>
      <c r="D13" s="13"/>
      <c r="E13" s="13"/>
      <c r="F13" s="14"/>
      <c r="G13" s="14">
        <f>2704+7*12</f>
        <v>2788</v>
      </c>
      <c r="H13" s="14"/>
      <c r="I13" s="14"/>
    </row>
    <row r="14" spans="1:9" s="15" customFormat="1" ht="11.45" customHeight="1" x14ac:dyDescent="0.25">
      <c r="A14" s="11"/>
      <c r="B14" s="11"/>
      <c r="C14" s="12" t="s">
        <v>273</v>
      </c>
      <c r="D14" s="13"/>
      <c r="E14" s="13"/>
      <c r="F14" s="14"/>
      <c r="G14" s="14">
        <v>3806</v>
      </c>
      <c r="H14" s="14"/>
      <c r="I14" s="14"/>
    </row>
    <row r="15" spans="1:9" s="15" customFormat="1" ht="11.45" customHeight="1" x14ac:dyDescent="0.25">
      <c r="A15" s="11"/>
      <c r="B15" s="11"/>
      <c r="C15" s="12" t="s">
        <v>265</v>
      </c>
      <c r="D15" s="13"/>
      <c r="E15" s="13"/>
      <c r="F15" s="14"/>
      <c r="G15" s="14">
        <v>771</v>
      </c>
      <c r="H15" s="14"/>
      <c r="I15" s="14"/>
    </row>
    <row r="16" spans="1:9" s="15" customFormat="1" ht="11.45" customHeight="1" x14ac:dyDescent="0.25">
      <c r="A16" s="11"/>
      <c r="B16" s="11"/>
      <c r="C16" s="12" t="s">
        <v>274</v>
      </c>
      <c r="D16" s="13"/>
      <c r="E16" s="13"/>
      <c r="F16" s="14"/>
      <c r="G16" s="14">
        <v>4621</v>
      </c>
      <c r="H16" s="14"/>
      <c r="I16" s="14"/>
    </row>
    <row r="17" spans="1:9" s="15" customFormat="1" ht="11.45" customHeight="1" x14ac:dyDescent="0.25">
      <c r="A17" s="11"/>
      <c r="B17" s="11"/>
      <c r="C17" s="12" t="s">
        <v>275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276</v>
      </c>
      <c r="D18" s="13"/>
      <c r="E18" s="13"/>
      <c r="F18" s="14"/>
      <c r="G18" s="14">
        <v>3798</v>
      </c>
      <c r="H18" s="14"/>
      <c r="I18" s="14"/>
    </row>
    <row r="19" spans="1:9" s="15" customFormat="1" ht="11.45" customHeight="1" x14ac:dyDescent="0.25">
      <c r="A19" s="11"/>
      <c r="B19" s="11"/>
      <c r="C19" s="12" t="s">
        <v>277</v>
      </c>
      <c r="D19" s="13"/>
      <c r="E19" s="13"/>
      <c r="F19" s="14"/>
      <c r="G19" s="14">
        <v>3188</v>
      </c>
      <c r="H19" s="14"/>
      <c r="I19" s="14"/>
    </row>
    <row r="20" spans="1:9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1000</v>
      </c>
      <c r="E22" s="9">
        <f t="shared" si="0"/>
        <v>900</v>
      </c>
      <c r="F22" s="10">
        <f>SUM(F23:F24)</f>
        <v>1000</v>
      </c>
      <c r="G22" s="10">
        <f>SUM(G23:G24)</f>
        <v>900</v>
      </c>
      <c r="H22" s="10">
        <v>0</v>
      </c>
      <c r="I22" s="10">
        <f t="shared" ref="I22" si="1">SUM(I23:I24)</f>
        <v>0</v>
      </c>
    </row>
    <row r="23" spans="1:9" s="15" customFormat="1" ht="11.45" customHeight="1" x14ac:dyDescent="0.25">
      <c r="A23" s="11"/>
      <c r="B23" s="11"/>
      <c r="C23" s="12" t="s">
        <v>16</v>
      </c>
      <c r="D23" s="13"/>
      <c r="E23" s="13"/>
      <c r="F23" s="14">
        <v>700</v>
      </c>
      <c r="G23" s="14">
        <v>600</v>
      </c>
      <c r="H23" s="14"/>
      <c r="I23" s="14"/>
    </row>
    <row r="24" spans="1:9" s="15" customFormat="1" ht="11.45" customHeight="1" x14ac:dyDescent="0.25">
      <c r="A24" s="11"/>
      <c r="B24" s="11"/>
      <c r="C24" s="12" t="s">
        <v>17</v>
      </c>
      <c r="D24" s="13"/>
      <c r="E24" s="13"/>
      <c r="F24" s="14">
        <v>300</v>
      </c>
      <c r="G24" s="14">
        <v>300</v>
      </c>
      <c r="H24" s="14"/>
      <c r="I24" s="14"/>
    </row>
    <row r="25" spans="1:9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2">F25+H25</f>
        <v>0</v>
      </c>
      <c r="E25" s="9">
        <f t="shared" si="2"/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2"/>
        <v>895</v>
      </c>
      <c r="E26" s="9">
        <f t="shared" si="2"/>
        <v>0</v>
      </c>
      <c r="F26" s="10">
        <v>895</v>
      </c>
      <c r="G26" s="10">
        <v>0</v>
      </c>
      <c r="H26" s="10">
        <v>0</v>
      </c>
      <c r="I26" s="10">
        <v>0</v>
      </c>
    </row>
    <row r="27" spans="1:9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2"/>
        <v>1200</v>
      </c>
      <c r="E27" s="9">
        <f t="shared" si="2"/>
        <v>1200</v>
      </c>
      <c r="F27" s="10">
        <v>1200</v>
      </c>
      <c r="G27" s="10">
        <f>G28</f>
        <v>1200</v>
      </c>
      <c r="H27" s="10">
        <v>0</v>
      </c>
      <c r="I27" s="10">
        <f t="shared" ref="I27" si="3">I28</f>
        <v>0</v>
      </c>
    </row>
    <row r="28" spans="1:9" s="15" customFormat="1" ht="11.45" customHeight="1" x14ac:dyDescent="0.25">
      <c r="A28" s="11"/>
      <c r="B28" s="11"/>
      <c r="C28" s="12" t="s">
        <v>278</v>
      </c>
      <c r="D28" s="13"/>
      <c r="E28" s="13"/>
      <c r="F28" s="14"/>
      <c r="G28" s="14">
        <f>ROUND(12.5*8000*12/1000,0)</f>
        <v>1200</v>
      </c>
      <c r="H28" s="14"/>
      <c r="I28" s="14"/>
    </row>
    <row r="29" spans="1:9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4">F29+H29</f>
        <v>0</v>
      </c>
      <c r="E29" s="9">
        <f t="shared" si="4"/>
        <v>0</v>
      </c>
      <c r="F29" s="10">
        <v>0</v>
      </c>
      <c r="G29" s="10">
        <v>0</v>
      </c>
      <c r="H29" s="10">
        <v>0</v>
      </c>
      <c r="I29" s="10">
        <v>0</v>
      </c>
    </row>
    <row r="30" spans="1:9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4"/>
        <v>250</v>
      </c>
      <c r="E30" s="9">
        <f t="shared" si="4"/>
        <v>250</v>
      </c>
      <c r="F30" s="10">
        <v>250</v>
      </c>
      <c r="G30" s="10">
        <v>250</v>
      </c>
      <c r="H30" s="10">
        <v>0</v>
      </c>
      <c r="I30" s="10">
        <v>0</v>
      </c>
    </row>
    <row r="31" spans="1:9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4"/>
        <v>0</v>
      </c>
      <c r="E31" s="9">
        <f t="shared" si="4"/>
        <v>276</v>
      </c>
      <c r="F31" s="10">
        <v>0</v>
      </c>
      <c r="G31" s="10">
        <f>G32+G33</f>
        <v>276</v>
      </c>
      <c r="H31" s="10">
        <v>0</v>
      </c>
      <c r="I31" s="10">
        <f>I32</f>
        <v>0</v>
      </c>
    </row>
    <row r="32" spans="1:9" s="3" customFormat="1" ht="12.75" customHeight="1" x14ac:dyDescent="0.25">
      <c r="A32" s="11"/>
      <c r="B32" s="11"/>
      <c r="C32" s="12" t="s">
        <v>279</v>
      </c>
      <c r="D32" s="13"/>
      <c r="E32" s="13"/>
      <c r="F32" s="14"/>
      <c r="G32" s="14">
        <v>120</v>
      </c>
      <c r="H32" s="14"/>
      <c r="I32" s="14"/>
    </row>
    <row r="33" spans="1:9" s="3" customFormat="1" ht="12.75" customHeight="1" x14ac:dyDescent="0.25">
      <c r="A33" s="11"/>
      <c r="B33" s="11"/>
      <c r="C33" s="12" t="s">
        <v>1179</v>
      </c>
      <c r="D33" s="13"/>
      <c r="E33" s="13"/>
      <c r="F33" s="14"/>
      <c r="G33" s="14">
        <v>156</v>
      </c>
      <c r="H33" s="14"/>
      <c r="I33" s="14"/>
    </row>
    <row r="34" spans="1:9" s="3" customFormat="1" ht="12.75" customHeight="1" x14ac:dyDescent="0.25">
      <c r="A34" s="7" t="s">
        <v>36</v>
      </c>
      <c r="B34" s="7" t="s">
        <v>37</v>
      </c>
      <c r="C34" s="8" t="s">
        <v>38</v>
      </c>
      <c r="D34" s="9">
        <f>F34+H34</f>
        <v>0</v>
      </c>
      <c r="E34" s="9">
        <f>G34+I34</f>
        <v>0</v>
      </c>
      <c r="F34" s="10">
        <v>0</v>
      </c>
      <c r="G34" s="10">
        <v>0</v>
      </c>
      <c r="H34" s="10">
        <v>0</v>
      </c>
      <c r="I34" s="10">
        <v>0</v>
      </c>
    </row>
    <row r="35" spans="1:9" s="3" customFormat="1" ht="12.75" customHeight="1" x14ac:dyDescent="0.25">
      <c r="A35" s="7" t="s">
        <v>39</v>
      </c>
      <c r="B35" s="7" t="s">
        <v>40</v>
      </c>
      <c r="C35" s="8" t="s">
        <v>41</v>
      </c>
      <c r="D35" s="9">
        <f>F35+H35</f>
        <v>173</v>
      </c>
      <c r="E35" s="9">
        <f>G35+I35</f>
        <v>143</v>
      </c>
      <c r="F35" s="10">
        <f>F36</f>
        <v>173</v>
      </c>
      <c r="G35" s="10">
        <f t="shared" ref="G35:I35" si="5">G36</f>
        <v>143</v>
      </c>
      <c r="H35" s="10">
        <f t="shared" si="5"/>
        <v>0</v>
      </c>
      <c r="I35" s="10">
        <f t="shared" si="5"/>
        <v>0</v>
      </c>
    </row>
    <row r="36" spans="1:9" s="3" customFormat="1" ht="12.75" customHeight="1" x14ac:dyDescent="0.25">
      <c r="A36" s="11"/>
      <c r="B36" s="11"/>
      <c r="C36" s="12" t="s">
        <v>280</v>
      </c>
      <c r="D36" s="13"/>
      <c r="E36" s="13"/>
      <c r="F36" s="14">
        <v>173</v>
      </c>
      <c r="G36" s="14">
        <f>ROUND(G6*0.004,0)</f>
        <v>143</v>
      </c>
      <c r="H36" s="14"/>
      <c r="I36" s="14"/>
    </row>
    <row r="37" spans="1:9" s="3" customFormat="1" ht="12.75" customHeight="1" x14ac:dyDescent="0.25">
      <c r="A37" s="7" t="s">
        <v>42</v>
      </c>
      <c r="B37" s="7" t="s">
        <v>43</v>
      </c>
      <c r="C37" s="8" t="s">
        <v>44</v>
      </c>
      <c r="D37" s="9">
        <f>F37+H37</f>
        <v>300</v>
      </c>
      <c r="E37" s="9">
        <f>G37+I37</f>
        <v>1390</v>
      </c>
      <c r="F37" s="10">
        <v>300</v>
      </c>
      <c r="G37" s="10">
        <f>G38+G39</f>
        <v>1390</v>
      </c>
      <c r="H37" s="10">
        <v>0</v>
      </c>
      <c r="I37" s="10">
        <f>I38</f>
        <v>0</v>
      </c>
    </row>
    <row r="38" spans="1:9" s="15" customFormat="1" ht="11.45" customHeight="1" x14ac:dyDescent="0.25">
      <c r="A38" s="11"/>
      <c r="B38" s="11"/>
      <c r="C38" s="12" t="s">
        <v>281</v>
      </c>
      <c r="D38" s="13"/>
      <c r="E38" s="13"/>
      <c r="F38" s="14"/>
      <c r="G38" s="14">
        <v>325</v>
      </c>
      <c r="H38" s="14"/>
      <c r="I38" s="14"/>
    </row>
    <row r="39" spans="1:9" s="15" customFormat="1" ht="11.45" customHeight="1" x14ac:dyDescent="0.25">
      <c r="A39" s="11"/>
      <c r="B39" s="11"/>
      <c r="C39" s="12" t="s">
        <v>1180</v>
      </c>
      <c r="D39" s="13"/>
      <c r="E39" s="13"/>
      <c r="F39" s="14"/>
      <c r="G39" s="14">
        <v>1065</v>
      </c>
      <c r="H39" s="14"/>
      <c r="I39" s="14"/>
    </row>
    <row r="40" spans="1:9" s="3" customFormat="1" ht="12.75" customHeight="1" x14ac:dyDescent="0.25">
      <c r="A40" s="16" t="s">
        <v>45</v>
      </c>
      <c r="B40" s="16" t="s">
        <v>46</v>
      </c>
      <c r="C40" s="17" t="s">
        <v>47</v>
      </c>
      <c r="D40" s="18">
        <f>D6+D20+D21+D22+D25+D26+D27+D29+D30+D31+D34+D35+D37</f>
        <v>38351</v>
      </c>
      <c r="E40" s="18">
        <f t="shared" ref="E40:I40" si="6">E6+E20+E21+E22+E25+E26+E27+E29+E30+E31+E34+E35+E37</f>
        <v>39806</v>
      </c>
      <c r="F40" s="18">
        <f t="shared" si="6"/>
        <v>38351</v>
      </c>
      <c r="G40" s="18">
        <f>G6+G20+G21+G22+G25+G26+G27+G29+G30+G31+G34+G35+G37</f>
        <v>39806</v>
      </c>
      <c r="H40" s="18">
        <f t="shared" si="6"/>
        <v>0</v>
      </c>
      <c r="I40" s="18">
        <f t="shared" si="6"/>
        <v>0</v>
      </c>
    </row>
    <row r="41" spans="1:9" s="3" customFormat="1" ht="12.75" customHeight="1" x14ac:dyDescent="0.25">
      <c r="A41" s="7" t="s">
        <v>48</v>
      </c>
      <c r="B41" s="7" t="s">
        <v>49</v>
      </c>
      <c r="C41" s="8" t="s">
        <v>50</v>
      </c>
      <c r="D41" s="9">
        <f>F41+H41</f>
        <v>0</v>
      </c>
      <c r="E41" s="9">
        <f>G41+I41</f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51</v>
      </c>
      <c r="B42" s="7" t="s">
        <v>52</v>
      </c>
      <c r="C42" s="8" t="s">
        <v>53</v>
      </c>
      <c r="D42" s="9">
        <f>F42+H42</f>
        <v>300</v>
      </c>
      <c r="E42" s="9">
        <f>G42+I42</f>
        <v>300</v>
      </c>
      <c r="F42" s="10">
        <f>F43</f>
        <v>300</v>
      </c>
      <c r="G42" s="10">
        <f t="shared" ref="G42:I42" si="7">G43</f>
        <v>300</v>
      </c>
      <c r="H42" s="10">
        <f t="shared" si="7"/>
        <v>0</v>
      </c>
      <c r="I42" s="10">
        <f t="shared" si="7"/>
        <v>0</v>
      </c>
    </row>
    <row r="43" spans="1:9" s="15" customFormat="1" ht="11.45" customHeight="1" x14ac:dyDescent="0.25">
      <c r="A43" s="11"/>
      <c r="B43" s="11"/>
      <c r="C43" s="12" t="s">
        <v>282</v>
      </c>
      <c r="D43" s="13"/>
      <c r="E43" s="13"/>
      <c r="F43" s="14">
        <v>300</v>
      </c>
      <c r="G43" s="14">
        <v>300</v>
      </c>
      <c r="H43" s="14"/>
      <c r="I43" s="14"/>
    </row>
    <row r="44" spans="1:9" s="3" customFormat="1" ht="12.75" customHeight="1" x14ac:dyDescent="0.25">
      <c r="A44" s="7" t="s">
        <v>54</v>
      </c>
      <c r="B44" s="7" t="s">
        <v>55</v>
      </c>
      <c r="C44" s="8" t="s">
        <v>285</v>
      </c>
      <c r="D44" s="9">
        <f>F44+H44</f>
        <v>100</v>
      </c>
      <c r="E44" s="9">
        <f>G44+I44</f>
        <v>50</v>
      </c>
      <c r="F44" s="10">
        <f>F45</f>
        <v>100</v>
      </c>
      <c r="G44" s="10">
        <f t="shared" ref="G44:I44" si="8">G45</f>
        <v>50</v>
      </c>
      <c r="H44" s="10">
        <f t="shared" si="8"/>
        <v>0</v>
      </c>
      <c r="I44" s="10">
        <f t="shared" si="8"/>
        <v>0</v>
      </c>
    </row>
    <row r="45" spans="1:9" s="15" customFormat="1" ht="11.45" customHeight="1" x14ac:dyDescent="0.25">
      <c r="A45" s="11"/>
      <c r="B45" s="11"/>
      <c r="C45" s="12" t="s">
        <v>283</v>
      </c>
      <c r="D45" s="13"/>
      <c r="E45" s="13"/>
      <c r="F45" s="14">
        <v>100</v>
      </c>
      <c r="G45" s="14">
        <v>50</v>
      </c>
      <c r="H45" s="14"/>
      <c r="I45" s="14"/>
    </row>
    <row r="46" spans="1:9" s="3" customFormat="1" ht="12.75" customHeight="1" x14ac:dyDescent="0.25">
      <c r="A46" s="16" t="s">
        <v>56</v>
      </c>
      <c r="B46" s="16" t="s">
        <v>57</v>
      </c>
      <c r="C46" s="17" t="s">
        <v>58</v>
      </c>
      <c r="D46" s="18">
        <f>D41+D42+D44</f>
        <v>400</v>
      </c>
      <c r="E46" s="18">
        <f t="shared" ref="E46:I46" si="9">E41+E42+E44</f>
        <v>350</v>
      </c>
      <c r="F46" s="18">
        <f t="shared" si="9"/>
        <v>400</v>
      </c>
      <c r="G46" s="18">
        <f t="shared" si="9"/>
        <v>350</v>
      </c>
      <c r="H46" s="18">
        <f t="shared" si="9"/>
        <v>0</v>
      </c>
      <c r="I46" s="18">
        <f t="shared" si="9"/>
        <v>0</v>
      </c>
    </row>
    <row r="47" spans="1:9" s="3" customFormat="1" ht="12.75" customHeight="1" x14ac:dyDescent="0.25">
      <c r="A47" s="20" t="s">
        <v>59</v>
      </c>
      <c r="B47" s="20" t="s">
        <v>60</v>
      </c>
      <c r="C47" s="21" t="s">
        <v>286</v>
      </c>
      <c r="D47" s="22">
        <f>D40+D46</f>
        <v>38751</v>
      </c>
      <c r="E47" s="22">
        <f t="shared" ref="E47:I47" si="10">E40+E46</f>
        <v>40156</v>
      </c>
      <c r="F47" s="22">
        <f t="shared" si="10"/>
        <v>38751</v>
      </c>
      <c r="G47" s="22">
        <f t="shared" si="10"/>
        <v>40156</v>
      </c>
      <c r="H47" s="22">
        <f t="shared" si="10"/>
        <v>0</v>
      </c>
      <c r="I47" s="22">
        <f t="shared" si="10"/>
        <v>0</v>
      </c>
    </row>
    <row r="48" spans="1:9" s="15" customFormat="1" ht="11.45" customHeight="1" x14ac:dyDescent="0.25">
      <c r="A48" s="11"/>
      <c r="B48" s="11"/>
      <c r="C48" s="12" t="s">
        <v>284</v>
      </c>
      <c r="D48" s="13">
        <f>H48+F48</f>
        <v>10025</v>
      </c>
      <c r="E48" s="13">
        <f>I48+G48</f>
        <v>9987</v>
      </c>
      <c r="F48" s="13">
        <v>10025</v>
      </c>
      <c r="G48" s="13">
        <f>ROUND((G6+G20+G21+G22+G25+G26+G35+G42)*0.27,0)</f>
        <v>9987</v>
      </c>
      <c r="H48" s="13">
        <f t="shared" ref="H48:I48" si="11">ROUND((H6+H20+H21+H22+H25+H26+H42)*0.27,0)</f>
        <v>0</v>
      </c>
      <c r="I48" s="13">
        <f t="shared" si="11"/>
        <v>0</v>
      </c>
    </row>
    <row r="49" spans="1:9" s="15" customFormat="1" ht="11.45" customHeight="1" x14ac:dyDescent="0.25">
      <c r="A49" s="11"/>
      <c r="B49" s="11"/>
      <c r="C49" s="12" t="s">
        <v>61</v>
      </c>
      <c r="D49" s="13">
        <f t="shared" ref="D49:E51" si="12">H49+F49</f>
        <v>232</v>
      </c>
      <c r="E49" s="13">
        <f t="shared" si="12"/>
        <v>663</v>
      </c>
      <c r="F49" s="14">
        <v>232</v>
      </c>
      <c r="G49" s="13">
        <f>ROUND(G27*1.19*0.14+(G44+G37)*1.19*0.27,0)</f>
        <v>663</v>
      </c>
      <c r="H49" s="14"/>
      <c r="I49" s="14"/>
    </row>
    <row r="50" spans="1:9" s="15" customFormat="1" ht="11.45" customHeight="1" x14ac:dyDescent="0.25">
      <c r="A50" s="11"/>
      <c r="B50" s="11"/>
      <c r="C50" s="12" t="s">
        <v>62</v>
      </c>
      <c r="D50" s="13">
        <f t="shared" si="12"/>
        <v>0</v>
      </c>
      <c r="E50" s="13">
        <f t="shared" si="12"/>
        <v>0</v>
      </c>
      <c r="F50" s="14">
        <v>0</v>
      </c>
      <c r="G50" s="14"/>
      <c r="H50" s="14"/>
      <c r="I50" s="14"/>
    </row>
    <row r="51" spans="1:9" s="15" customFormat="1" ht="11.45" customHeight="1" x14ac:dyDescent="0.25">
      <c r="A51" s="11"/>
      <c r="B51" s="11"/>
      <c r="C51" s="12" t="s">
        <v>63</v>
      </c>
      <c r="D51" s="13">
        <f t="shared" si="12"/>
        <v>248</v>
      </c>
      <c r="E51" s="13">
        <f t="shared" si="12"/>
        <v>300</v>
      </c>
      <c r="F51" s="14">
        <v>248</v>
      </c>
      <c r="G51" s="14">
        <f>ROUND((G45+G38+G28)*1.19*0.16,0)</f>
        <v>300</v>
      </c>
      <c r="H51" s="14"/>
      <c r="I51" s="14"/>
    </row>
    <row r="52" spans="1:9" s="3" customFormat="1" ht="12.75" customHeight="1" x14ac:dyDescent="0.25">
      <c r="A52" s="20" t="s">
        <v>64</v>
      </c>
      <c r="B52" s="20" t="s">
        <v>65</v>
      </c>
      <c r="C52" s="21" t="s">
        <v>287</v>
      </c>
      <c r="D52" s="22">
        <f>D48+D49+D50+D51</f>
        <v>10505</v>
      </c>
      <c r="E52" s="22">
        <f t="shared" ref="E52:I52" si="13">E48+E49+E50+E51</f>
        <v>10950</v>
      </c>
      <c r="F52" s="22">
        <f t="shared" si="13"/>
        <v>10505</v>
      </c>
      <c r="G52" s="22">
        <f t="shared" si="13"/>
        <v>10950</v>
      </c>
      <c r="H52" s="22">
        <f t="shared" si="13"/>
        <v>0</v>
      </c>
      <c r="I52" s="22">
        <f t="shared" si="13"/>
        <v>0</v>
      </c>
    </row>
    <row r="53" spans="1:9" s="3" customFormat="1" ht="14.1" customHeight="1" x14ac:dyDescent="0.25">
      <c r="A53" s="958" t="s">
        <v>66</v>
      </c>
      <c r="B53" s="959"/>
      <c r="C53" s="960"/>
      <c r="D53" s="30">
        <f>D47+D52</f>
        <v>49256</v>
      </c>
      <c r="E53" s="30">
        <f t="shared" ref="E53:I53" si="14">E47+E52</f>
        <v>51106</v>
      </c>
      <c r="F53" s="30">
        <f t="shared" si="14"/>
        <v>49256</v>
      </c>
      <c r="G53" s="30">
        <f t="shared" si="14"/>
        <v>51106</v>
      </c>
      <c r="H53" s="30">
        <f t="shared" si="14"/>
        <v>0</v>
      </c>
      <c r="I53" s="30">
        <f t="shared" si="14"/>
        <v>0</v>
      </c>
    </row>
    <row r="54" spans="1:9" s="1" customFormat="1" ht="12.75" customHeight="1" x14ac:dyDescent="0.25">
      <c r="A54" s="957" t="s">
        <v>264</v>
      </c>
      <c r="B54" s="957"/>
      <c r="C54" s="957"/>
      <c r="D54" s="957"/>
      <c r="E54" s="957"/>
      <c r="F54" s="957"/>
      <c r="G54" s="957"/>
      <c r="H54" s="957"/>
      <c r="I54" s="957"/>
    </row>
    <row r="55" spans="1:9" s="1" customFormat="1" ht="14.1" customHeight="1" x14ac:dyDescent="0.25">
      <c r="A55" s="957" t="s">
        <v>0</v>
      </c>
      <c r="B55" s="961" t="s">
        <v>1</v>
      </c>
      <c r="C55" s="957" t="s">
        <v>2</v>
      </c>
      <c r="D55" s="962" t="s">
        <v>260</v>
      </c>
      <c r="E55" s="952" t="s">
        <v>259</v>
      </c>
      <c r="F55" s="954" t="s">
        <v>261</v>
      </c>
      <c r="G55" s="955"/>
      <c r="H55" s="954" t="s">
        <v>262</v>
      </c>
      <c r="I55" s="955"/>
    </row>
    <row r="56" spans="1:9" s="3" customFormat="1" ht="33" customHeight="1" x14ac:dyDescent="0.25">
      <c r="A56" s="957"/>
      <c r="B56" s="961"/>
      <c r="C56" s="957"/>
      <c r="D56" s="962"/>
      <c r="E56" s="953"/>
      <c r="F56" s="2" t="s">
        <v>260</v>
      </c>
      <c r="G56" s="2" t="s">
        <v>259</v>
      </c>
      <c r="H56" s="2" t="s">
        <v>260</v>
      </c>
      <c r="I56" s="2" t="s">
        <v>259</v>
      </c>
    </row>
    <row r="57" spans="1:9" ht="5.65" customHeight="1" x14ac:dyDescent="0.25"/>
    <row r="58" spans="1:9" ht="14.1" customHeight="1" x14ac:dyDescent="0.25">
      <c r="A58" s="956" t="s">
        <v>288</v>
      </c>
      <c r="B58" s="956"/>
      <c r="C58" s="956"/>
      <c r="D58" s="956"/>
      <c r="E58" s="956"/>
      <c r="F58" s="956"/>
      <c r="G58" s="956"/>
      <c r="H58" s="956"/>
      <c r="I58" s="956"/>
    </row>
    <row r="59" spans="1:9" s="3" customFormat="1" ht="14.1" customHeight="1" x14ac:dyDescent="0.25">
      <c r="A59" s="7" t="s">
        <v>67</v>
      </c>
      <c r="B59" s="7" t="s">
        <v>68</v>
      </c>
      <c r="C59" s="8" t="s">
        <v>69</v>
      </c>
      <c r="D59" s="9">
        <f>F59+H59</f>
        <v>136</v>
      </c>
      <c r="E59" s="9">
        <f>G59+I59</f>
        <v>205</v>
      </c>
      <c r="F59" s="10">
        <f>SUM(F60:F65)</f>
        <v>136</v>
      </c>
      <c r="G59" s="10">
        <f t="shared" ref="G59:I59" si="15">SUM(G60:G65)</f>
        <v>205</v>
      </c>
      <c r="H59" s="10">
        <f t="shared" si="15"/>
        <v>0</v>
      </c>
      <c r="I59" s="10">
        <f t="shared" si="15"/>
        <v>0</v>
      </c>
    </row>
    <row r="60" spans="1:9" ht="14.1" customHeight="1" x14ac:dyDescent="0.25">
      <c r="A60" s="24"/>
      <c r="B60" s="24"/>
      <c r="C60" s="25" t="s">
        <v>70</v>
      </c>
      <c r="D60" s="26"/>
      <c r="E60" s="26"/>
      <c r="F60" s="26">
        <v>6</v>
      </c>
      <c r="G60" s="26"/>
      <c r="H60" s="26"/>
      <c r="I60" s="26"/>
    </row>
    <row r="61" spans="1:9" ht="14.1" customHeight="1" x14ac:dyDescent="0.25">
      <c r="A61" s="24"/>
      <c r="B61" s="24"/>
      <c r="C61" s="25" t="s">
        <v>71</v>
      </c>
      <c r="D61" s="26"/>
      <c r="E61" s="26"/>
      <c r="F61" s="26">
        <v>0</v>
      </c>
      <c r="G61" s="26"/>
      <c r="H61" s="26"/>
      <c r="I61" s="26"/>
    </row>
    <row r="62" spans="1:9" ht="14.1" customHeight="1" x14ac:dyDescent="0.25">
      <c r="A62" s="24"/>
      <c r="B62" s="24"/>
      <c r="C62" s="25" t="s">
        <v>72</v>
      </c>
      <c r="D62" s="26"/>
      <c r="E62" s="26"/>
      <c r="F62" s="26">
        <v>70</v>
      </c>
      <c r="G62" s="26">
        <v>180</v>
      </c>
      <c r="H62" s="26"/>
      <c r="I62" s="26"/>
    </row>
    <row r="63" spans="1:9" ht="14.1" customHeight="1" x14ac:dyDescent="0.25">
      <c r="A63" s="24"/>
      <c r="B63" s="24"/>
      <c r="C63" s="25" t="s">
        <v>73</v>
      </c>
      <c r="D63" s="26"/>
      <c r="E63" s="26"/>
      <c r="F63" s="26">
        <v>30</v>
      </c>
      <c r="G63" s="26">
        <v>5</v>
      </c>
      <c r="H63" s="26"/>
      <c r="I63" s="26"/>
    </row>
    <row r="64" spans="1:9" ht="14.1" customHeight="1" x14ac:dyDescent="0.25">
      <c r="A64" s="24"/>
      <c r="B64" s="24"/>
      <c r="C64" s="25" t="s">
        <v>74</v>
      </c>
      <c r="D64" s="26"/>
      <c r="E64" s="26"/>
      <c r="F64" s="26">
        <v>10</v>
      </c>
      <c r="G64" s="26"/>
      <c r="H64" s="26"/>
      <c r="I64" s="26"/>
    </row>
    <row r="65" spans="1:9" ht="14.1" customHeight="1" x14ac:dyDescent="0.25">
      <c r="A65" s="24"/>
      <c r="B65" s="24"/>
      <c r="C65" s="25" t="s">
        <v>75</v>
      </c>
      <c r="D65" s="26"/>
      <c r="E65" s="26"/>
      <c r="F65" s="26">
        <v>20</v>
      </c>
      <c r="G65" s="26">
        <v>20</v>
      </c>
      <c r="H65" s="26"/>
      <c r="I65" s="26"/>
    </row>
    <row r="66" spans="1:9" s="3" customFormat="1" ht="14.1" customHeight="1" x14ac:dyDescent="0.25">
      <c r="A66" s="7" t="s">
        <v>76</v>
      </c>
      <c r="B66" s="7" t="s">
        <v>77</v>
      </c>
      <c r="C66" s="8" t="s">
        <v>78</v>
      </c>
      <c r="D66" s="9">
        <f>F66+H66</f>
        <v>1215</v>
      </c>
      <c r="E66" s="9">
        <f>G66+I66</f>
        <v>1205</v>
      </c>
      <c r="F66" s="10">
        <f>SUM(F67:F72)</f>
        <v>1215</v>
      </c>
      <c r="G66" s="10">
        <f>SUM(G67:G72)</f>
        <v>1205</v>
      </c>
      <c r="H66" s="10">
        <f>SUM(H67:H72)</f>
        <v>0</v>
      </c>
      <c r="I66" s="10">
        <f>SUM(I67:I72)</f>
        <v>0</v>
      </c>
    </row>
    <row r="67" spans="1:9" ht="14.1" customHeight="1" x14ac:dyDescent="0.25">
      <c r="A67" s="24"/>
      <c r="B67" s="24"/>
      <c r="C67" s="25" t="s">
        <v>79</v>
      </c>
      <c r="D67" s="26"/>
      <c r="E67" s="26"/>
      <c r="F67" s="26"/>
      <c r="G67" s="26"/>
      <c r="H67" s="26"/>
      <c r="I67" s="26"/>
    </row>
    <row r="68" spans="1:9" ht="14.1" customHeight="1" x14ac:dyDescent="0.25">
      <c r="A68" s="24"/>
      <c r="B68" s="24"/>
      <c r="C68" s="25" t="s">
        <v>80</v>
      </c>
      <c r="D68" s="26"/>
      <c r="E68" s="26"/>
      <c r="F68" s="26">
        <v>115</v>
      </c>
      <c r="G68" s="26">
        <v>100</v>
      </c>
      <c r="H68" s="26"/>
      <c r="I68" s="26"/>
    </row>
    <row r="69" spans="1:9" ht="14.1" customHeight="1" x14ac:dyDescent="0.25">
      <c r="A69" s="24"/>
      <c r="B69" s="24"/>
      <c r="C69" s="25" t="s">
        <v>81</v>
      </c>
      <c r="D69" s="26"/>
      <c r="E69" s="26"/>
      <c r="F69" s="26"/>
      <c r="G69" s="26"/>
      <c r="H69" s="26"/>
      <c r="I69" s="26"/>
    </row>
    <row r="70" spans="1:9" ht="14.1" customHeight="1" x14ac:dyDescent="0.25">
      <c r="A70" s="24"/>
      <c r="B70" s="24"/>
      <c r="C70" s="25" t="s">
        <v>82</v>
      </c>
      <c r="D70" s="26"/>
      <c r="E70" s="26"/>
      <c r="F70" s="26">
        <v>5</v>
      </c>
      <c r="G70" s="26">
        <v>5</v>
      </c>
      <c r="H70" s="26"/>
      <c r="I70" s="26"/>
    </row>
    <row r="71" spans="1:9" ht="14.1" customHeight="1" x14ac:dyDescent="0.25">
      <c r="A71" s="24"/>
      <c r="B71" s="24"/>
      <c r="C71" s="25" t="s">
        <v>83</v>
      </c>
      <c r="D71" s="26"/>
      <c r="E71" s="26"/>
      <c r="F71" s="26">
        <v>195</v>
      </c>
      <c r="G71" s="26">
        <v>195</v>
      </c>
      <c r="H71" s="26"/>
      <c r="I71" s="26"/>
    </row>
    <row r="72" spans="1:9" ht="14.1" customHeight="1" x14ac:dyDescent="0.25">
      <c r="A72" s="24"/>
      <c r="B72" s="24"/>
      <c r="C72" s="25" t="s">
        <v>84</v>
      </c>
      <c r="D72" s="26"/>
      <c r="E72" s="26"/>
      <c r="F72" s="26">
        <v>900</v>
      </c>
      <c r="G72" s="26">
        <v>905</v>
      </c>
      <c r="H72" s="26"/>
      <c r="I72" s="26"/>
    </row>
    <row r="73" spans="1:9" s="3" customFormat="1" ht="14.1" customHeight="1" x14ac:dyDescent="0.25">
      <c r="A73" s="7" t="s">
        <v>85</v>
      </c>
      <c r="B73" s="7" t="s">
        <v>86</v>
      </c>
      <c r="C73" s="8" t="s">
        <v>87</v>
      </c>
      <c r="D73" s="9">
        <f>F73+H73</f>
        <v>0</v>
      </c>
      <c r="E73" s="9">
        <f>G73+I73</f>
        <v>0</v>
      </c>
      <c r="F73" s="10">
        <f>SUM(F74:F75)</f>
        <v>0</v>
      </c>
      <c r="G73" s="10">
        <f t="shared" ref="G73:I73" si="16">SUM(G74:G75)</f>
        <v>0</v>
      </c>
      <c r="H73" s="10">
        <f t="shared" si="16"/>
        <v>0</v>
      </c>
      <c r="I73" s="10">
        <f t="shared" si="16"/>
        <v>0</v>
      </c>
    </row>
    <row r="74" spans="1:9" ht="14.1" customHeight="1" x14ac:dyDescent="0.25">
      <c r="A74" s="24"/>
      <c r="B74" s="24"/>
      <c r="C74" s="25" t="s">
        <v>88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89</v>
      </c>
      <c r="D75" s="26"/>
      <c r="E75" s="26"/>
      <c r="F75" s="26"/>
      <c r="G75" s="26"/>
      <c r="H75" s="26"/>
      <c r="I75" s="26"/>
    </row>
    <row r="76" spans="1:9" s="3" customFormat="1" ht="14.1" customHeight="1" x14ac:dyDescent="0.25">
      <c r="A76" s="16" t="s">
        <v>90</v>
      </c>
      <c r="B76" s="16" t="s">
        <v>91</v>
      </c>
      <c r="C76" s="17" t="s">
        <v>92</v>
      </c>
      <c r="D76" s="19">
        <f>D59+D66</f>
        <v>1351</v>
      </c>
      <c r="E76" s="19">
        <f t="shared" ref="E76:I76" si="17">E59+E66</f>
        <v>1410</v>
      </c>
      <c r="F76" s="19">
        <f t="shared" si="17"/>
        <v>1351</v>
      </c>
      <c r="G76" s="19">
        <f t="shared" si="17"/>
        <v>1410</v>
      </c>
      <c r="H76" s="19">
        <f t="shared" si="17"/>
        <v>0</v>
      </c>
      <c r="I76" s="19">
        <f t="shared" si="17"/>
        <v>0</v>
      </c>
    </row>
    <row r="77" spans="1:9" s="3" customFormat="1" ht="14.1" customHeight="1" x14ac:dyDescent="0.25">
      <c r="A77" s="7" t="s">
        <v>93</v>
      </c>
      <c r="B77" s="7" t="s">
        <v>94</v>
      </c>
      <c r="C77" s="8" t="s">
        <v>95</v>
      </c>
      <c r="D77" s="9">
        <f>F77+H77</f>
        <v>60</v>
      </c>
      <c r="E77" s="9">
        <f>G77+I77</f>
        <v>20</v>
      </c>
      <c r="F77" s="10">
        <f>SUM(F78:F83)</f>
        <v>60</v>
      </c>
      <c r="G77" s="10">
        <f>SUM(G78:G83)</f>
        <v>20</v>
      </c>
      <c r="H77" s="10">
        <f t="shared" ref="H77:I77" si="18">SUM(H78:H83)</f>
        <v>0</v>
      </c>
      <c r="I77" s="10">
        <f t="shared" si="18"/>
        <v>0</v>
      </c>
    </row>
    <row r="78" spans="1:9" ht="14.1" customHeight="1" x14ac:dyDescent="0.25">
      <c r="A78" s="24"/>
      <c r="B78" s="24"/>
      <c r="C78" s="25" t="s">
        <v>96</v>
      </c>
      <c r="D78" s="26"/>
      <c r="E78" s="26"/>
      <c r="F78" s="26"/>
      <c r="G78" s="26"/>
      <c r="H78" s="26"/>
      <c r="I78" s="26"/>
    </row>
    <row r="79" spans="1:9" ht="14.1" customHeight="1" x14ac:dyDescent="0.25">
      <c r="A79" s="24"/>
      <c r="B79" s="24"/>
      <c r="C79" s="25" t="s">
        <v>97</v>
      </c>
      <c r="D79" s="26"/>
      <c r="E79" s="26"/>
      <c r="F79" s="26">
        <v>10</v>
      </c>
      <c r="G79" s="26"/>
      <c r="H79" s="26"/>
      <c r="I79" s="26"/>
    </row>
    <row r="80" spans="1:9" ht="14.1" customHeight="1" x14ac:dyDescent="0.25">
      <c r="A80" s="24"/>
      <c r="B80" s="24"/>
      <c r="C80" s="25" t="s">
        <v>98</v>
      </c>
      <c r="D80" s="26"/>
      <c r="E80" s="26"/>
      <c r="F80" s="26"/>
      <c r="G80" s="26"/>
      <c r="H80" s="26"/>
      <c r="I80" s="26"/>
    </row>
    <row r="81" spans="1:9" ht="14.1" customHeight="1" x14ac:dyDescent="0.25">
      <c r="A81" s="24"/>
      <c r="B81" s="24"/>
      <c r="C81" s="25" t="s">
        <v>99</v>
      </c>
      <c r="D81" s="26"/>
      <c r="E81" s="26"/>
      <c r="F81" s="26">
        <v>20</v>
      </c>
      <c r="G81" s="26">
        <v>20</v>
      </c>
      <c r="H81" s="26"/>
      <c r="I81" s="26"/>
    </row>
    <row r="82" spans="1:9" ht="14.1" customHeight="1" x14ac:dyDescent="0.25">
      <c r="A82" s="24"/>
      <c r="B82" s="24"/>
      <c r="C82" s="25" t="s">
        <v>100</v>
      </c>
      <c r="D82" s="26"/>
      <c r="E82" s="26"/>
      <c r="F82" s="26">
        <v>15</v>
      </c>
      <c r="G82" s="26"/>
      <c r="H82" s="26"/>
      <c r="I82" s="26"/>
    </row>
    <row r="83" spans="1:9" ht="14.1" customHeight="1" x14ac:dyDescent="0.25">
      <c r="A83" s="24"/>
      <c r="B83" s="24"/>
      <c r="C83" s="25" t="s">
        <v>101</v>
      </c>
      <c r="D83" s="26"/>
      <c r="E83" s="26"/>
      <c r="F83" s="26">
        <v>15</v>
      </c>
      <c r="G83" s="26"/>
      <c r="H83" s="26"/>
      <c r="I83" s="26"/>
    </row>
    <row r="84" spans="1:9" s="3" customFormat="1" ht="14.1" customHeight="1" x14ac:dyDescent="0.25">
      <c r="A84" s="7" t="s">
        <v>102</v>
      </c>
      <c r="B84" s="7" t="s">
        <v>103</v>
      </c>
      <c r="C84" s="8" t="s">
        <v>104</v>
      </c>
      <c r="D84" s="9">
        <f>F84+H84</f>
        <v>130</v>
      </c>
      <c r="E84" s="9">
        <f>G84+I84</f>
        <v>135</v>
      </c>
      <c r="F84" s="10">
        <f>SUM(F85:F86)</f>
        <v>130</v>
      </c>
      <c r="G84" s="10">
        <f t="shared" ref="G84:I84" si="19">SUM(G85:G86)</f>
        <v>135</v>
      </c>
      <c r="H84" s="10">
        <f t="shared" si="19"/>
        <v>0</v>
      </c>
      <c r="I84" s="10">
        <f t="shared" si="19"/>
        <v>0</v>
      </c>
    </row>
    <row r="85" spans="1:9" ht="14.1" customHeight="1" x14ac:dyDescent="0.25">
      <c r="A85" s="24"/>
      <c r="B85" s="24"/>
      <c r="C85" s="25" t="s">
        <v>105</v>
      </c>
      <c r="D85" s="26"/>
      <c r="E85" s="26"/>
      <c r="F85" s="26">
        <v>130</v>
      </c>
      <c r="G85" s="26">
        <v>135</v>
      </c>
      <c r="H85" s="26"/>
      <c r="I85" s="26"/>
    </row>
    <row r="86" spans="1:9" ht="14.1" customHeight="1" x14ac:dyDescent="0.25">
      <c r="A86" s="24"/>
      <c r="B86" s="24"/>
      <c r="C86" s="25" t="s">
        <v>106</v>
      </c>
      <c r="D86" s="26"/>
      <c r="E86" s="26"/>
      <c r="F86" s="26"/>
      <c r="G86" s="26"/>
      <c r="H86" s="26"/>
      <c r="I86" s="26"/>
    </row>
    <row r="87" spans="1:9" s="3" customFormat="1" ht="14.1" customHeight="1" x14ac:dyDescent="0.25">
      <c r="A87" s="16" t="s">
        <v>107</v>
      </c>
      <c r="B87" s="16" t="s">
        <v>108</v>
      </c>
      <c r="C87" s="17" t="s">
        <v>109</v>
      </c>
      <c r="D87" s="19">
        <f>D77+D84</f>
        <v>190</v>
      </c>
      <c r="E87" s="19">
        <f t="shared" ref="E87:I87" si="20">E77+E84</f>
        <v>155</v>
      </c>
      <c r="F87" s="19">
        <f t="shared" si="20"/>
        <v>190</v>
      </c>
      <c r="G87" s="19">
        <f t="shared" si="20"/>
        <v>155</v>
      </c>
      <c r="H87" s="19">
        <f t="shared" si="20"/>
        <v>0</v>
      </c>
      <c r="I87" s="19">
        <f t="shared" si="20"/>
        <v>0</v>
      </c>
    </row>
    <row r="88" spans="1:9" s="3" customFormat="1" ht="14.1" customHeight="1" x14ac:dyDescent="0.25">
      <c r="A88" s="7" t="s">
        <v>110</v>
      </c>
      <c r="B88" s="7" t="s">
        <v>111</v>
      </c>
      <c r="C88" s="8" t="s">
        <v>112</v>
      </c>
      <c r="D88" s="9">
        <f>F88+H88</f>
        <v>1545</v>
      </c>
      <c r="E88" s="9">
        <f>G88+I88</f>
        <v>1500</v>
      </c>
      <c r="F88" s="10">
        <f>SUM(F89:F91)</f>
        <v>1545</v>
      </c>
      <c r="G88" s="10">
        <f t="shared" ref="G88:I88" si="21">SUM(G89:G91)</f>
        <v>1500</v>
      </c>
      <c r="H88" s="10">
        <f t="shared" si="21"/>
        <v>0</v>
      </c>
      <c r="I88" s="10">
        <f t="shared" si="21"/>
        <v>0</v>
      </c>
    </row>
    <row r="89" spans="1:9" ht="14.1" customHeight="1" x14ac:dyDescent="0.25">
      <c r="A89" s="24"/>
      <c r="B89" s="24"/>
      <c r="C89" s="25" t="s">
        <v>113</v>
      </c>
      <c r="D89" s="26"/>
      <c r="E89" s="26"/>
      <c r="F89" s="26">
        <v>470</v>
      </c>
      <c r="G89" s="26">
        <v>450</v>
      </c>
      <c r="H89" s="26"/>
      <c r="I89" s="26"/>
    </row>
    <row r="90" spans="1:9" ht="14.1" customHeight="1" x14ac:dyDescent="0.25">
      <c r="A90" s="24"/>
      <c r="B90" s="24"/>
      <c r="C90" s="25" t="s">
        <v>114</v>
      </c>
      <c r="D90" s="26"/>
      <c r="E90" s="26"/>
      <c r="F90" s="26">
        <v>750</v>
      </c>
      <c r="G90" s="26">
        <v>750</v>
      </c>
      <c r="H90" s="26"/>
      <c r="I90" s="26"/>
    </row>
    <row r="91" spans="1:9" ht="14.1" customHeight="1" x14ac:dyDescent="0.25">
      <c r="A91" s="24"/>
      <c r="B91" s="24"/>
      <c r="C91" s="25" t="s">
        <v>115</v>
      </c>
      <c r="D91" s="26"/>
      <c r="E91" s="26"/>
      <c r="F91" s="26">
        <v>325</v>
      </c>
      <c r="G91" s="26">
        <v>300</v>
      </c>
      <c r="H91" s="26"/>
      <c r="I91" s="26"/>
    </row>
    <row r="92" spans="1:9" s="3" customFormat="1" ht="14.1" customHeight="1" x14ac:dyDescent="0.25">
      <c r="A92" s="7" t="s">
        <v>116</v>
      </c>
      <c r="B92" s="7" t="s">
        <v>117</v>
      </c>
      <c r="C92" s="8" t="s">
        <v>118</v>
      </c>
      <c r="D92" s="9">
        <f>F92+H92</f>
        <v>5581</v>
      </c>
      <c r="E92" s="9">
        <f>G92+I92</f>
        <v>3700</v>
      </c>
      <c r="F92" s="10">
        <v>0</v>
      </c>
      <c r="G92" s="10">
        <f>G93</f>
        <v>0</v>
      </c>
      <c r="H92" s="10">
        <v>5581</v>
      </c>
      <c r="I92" s="10">
        <f>I93</f>
        <v>3700</v>
      </c>
    </row>
    <row r="93" spans="1:9" s="3" customFormat="1" ht="14.1" customHeight="1" x14ac:dyDescent="0.25">
      <c r="A93" s="24"/>
      <c r="B93" s="24"/>
      <c r="C93" s="25" t="s">
        <v>289</v>
      </c>
      <c r="D93" s="26"/>
      <c r="E93" s="26"/>
      <c r="F93" s="26"/>
      <c r="G93" s="26"/>
      <c r="H93" s="26"/>
      <c r="I93" s="26">
        <v>3700</v>
      </c>
    </row>
    <row r="94" spans="1:9" s="3" customFormat="1" ht="14.1" customHeight="1" x14ac:dyDescent="0.25">
      <c r="A94" s="7" t="s">
        <v>119</v>
      </c>
      <c r="B94" s="7" t="s">
        <v>120</v>
      </c>
      <c r="C94" s="8" t="s">
        <v>121</v>
      </c>
      <c r="D94" s="9">
        <f>F94+H94</f>
        <v>0</v>
      </c>
      <c r="E94" s="9">
        <f>G94+I94</f>
        <v>0</v>
      </c>
      <c r="F94" s="10">
        <f>SUM(F95:F96)</f>
        <v>0</v>
      </c>
      <c r="G94" s="10">
        <f t="shared" ref="G94:I94" si="22">SUM(G95:G96)</f>
        <v>0</v>
      </c>
      <c r="H94" s="10">
        <f t="shared" si="22"/>
        <v>0</v>
      </c>
      <c r="I94" s="10">
        <f t="shared" si="22"/>
        <v>0</v>
      </c>
    </row>
    <row r="95" spans="1:9" ht="14.1" customHeight="1" x14ac:dyDescent="0.25">
      <c r="A95" s="24"/>
      <c r="B95" s="24"/>
      <c r="C95" s="25" t="s">
        <v>122</v>
      </c>
      <c r="D95" s="26"/>
      <c r="E95" s="26"/>
      <c r="F95" s="26"/>
      <c r="G95" s="26"/>
      <c r="H95" s="26"/>
      <c r="I95" s="26"/>
    </row>
    <row r="96" spans="1:9" ht="14.1" customHeight="1" x14ac:dyDescent="0.25">
      <c r="A96" s="24"/>
      <c r="B96" s="24"/>
      <c r="C96" s="25" t="s">
        <v>123</v>
      </c>
      <c r="D96" s="26"/>
      <c r="E96" s="26"/>
      <c r="F96" s="26"/>
      <c r="G96" s="26"/>
      <c r="H96" s="26"/>
      <c r="I96" s="26"/>
    </row>
    <row r="97" spans="1:9" s="3" customFormat="1" ht="14.1" customHeight="1" x14ac:dyDescent="0.25">
      <c r="A97" s="7" t="s">
        <v>124</v>
      </c>
      <c r="B97" s="7" t="s">
        <v>125</v>
      </c>
      <c r="C97" s="8" t="s">
        <v>126</v>
      </c>
      <c r="D97" s="9">
        <f>F97+H97</f>
        <v>1100</v>
      </c>
      <c r="E97" s="9">
        <f>G97+I97</f>
        <v>1200</v>
      </c>
      <c r="F97" s="10">
        <v>1100</v>
      </c>
      <c r="G97" s="10">
        <v>1200</v>
      </c>
      <c r="H97" s="10">
        <v>0</v>
      </c>
      <c r="I97" s="10">
        <v>0</v>
      </c>
    </row>
    <row r="98" spans="1:9" s="3" customFormat="1" ht="14.1" customHeight="1" x14ac:dyDescent="0.25">
      <c r="A98" s="7" t="s">
        <v>127</v>
      </c>
      <c r="B98" s="7" t="s">
        <v>128</v>
      </c>
      <c r="C98" s="8" t="s">
        <v>129</v>
      </c>
      <c r="D98" s="9">
        <f>F98+H98</f>
        <v>0</v>
      </c>
      <c r="E98" s="9">
        <f>G98+I98</f>
        <v>0</v>
      </c>
      <c r="F98" s="10">
        <v>0</v>
      </c>
      <c r="G98" s="10">
        <f>SUM(G99:G100)</f>
        <v>0</v>
      </c>
      <c r="H98" s="10">
        <v>0</v>
      </c>
      <c r="I98" s="10">
        <f>SUM(I99:I100)</f>
        <v>0</v>
      </c>
    </row>
    <row r="99" spans="1:9" ht="14.1" customHeight="1" x14ac:dyDescent="0.25">
      <c r="A99" s="24"/>
      <c r="B99" s="24"/>
      <c r="C99" s="25" t="s">
        <v>130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131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7" t="s">
        <v>132</v>
      </c>
      <c r="B101" s="7" t="s">
        <v>133</v>
      </c>
      <c r="C101" s="8" t="s">
        <v>134</v>
      </c>
      <c r="D101" s="9">
        <f>F101+H101</f>
        <v>200</v>
      </c>
      <c r="E101" s="9">
        <f>G101+I101</f>
        <v>20</v>
      </c>
      <c r="F101" s="10">
        <f>SUM(F102:F104)</f>
        <v>200</v>
      </c>
      <c r="G101" s="10">
        <f t="shared" ref="G101:I101" si="23">SUM(G102:G104)</f>
        <v>20</v>
      </c>
      <c r="H101" s="10">
        <f t="shared" si="23"/>
        <v>0</v>
      </c>
      <c r="I101" s="10">
        <f t="shared" si="23"/>
        <v>0</v>
      </c>
    </row>
    <row r="102" spans="1:9" ht="14.1" customHeight="1" x14ac:dyDescent="0.25">
      <c r="A102" s="24"/>
      <c r="B102" s="24"/>
      <c r="C102" s="25" t="s">
        <v>135</v>
      </c>
      <c r="D102" s="26"/>
      <c r="E102" s="26"/>
      <c r="F102" s="26">
        <v>0</v>
      </c>
      <c r="G102" s="26">
        <v>0</v>
      </c>
      <c r="H102" s="26">
        <v>0</v>
      </c>
      <c r="I102" s="26">
        <v>0</v>
      </c>
    </row>
    <row r="103" spans="1:9" ht="14.1" customHeight="1" x14ac:dyDescent="0.25">
      <c r="A103" s="24"/>
      <c r="B103" s="24"/>
      <c r="C103" s="25" t="s">
        <v>136</v>
      </c>
      <c r="D103" s="26"/>
      <c r="E103" s="26"/>
      <c r="F103" s="26">
        <v>0</v>
      </c>
      <c r="G103" s="26">
        <v>0</v>
      </c>
      <c r="H103" s="26">
        <v>0</v>
      </c>
      <c r="I103" s="26">
        <v>0</v>
      </c>
    </row>
    <row r="104" spans="1:9" ht="14.1" customHeight="1" x14ac:dyDescent="0.25">
      <c r="A104" s="24"/>
      <c r="B104" s="24"/>
      <c r="C104" s="25" t="s">
        <v>137</v>
      </c>
      <c r="D104" s="26"/>
      <c r="E104" s="26"/>
      <c r="F104" s="26">
        <v>200</v>
      </c>
      <c r="G104" s="26">
        <v>20</v>
      </c>
      <c r="H104" s="26">
        <v>0</v>
      </c>
      <c r="I104" s="26">
        <v>0</v>
      </c>
    </row>
    <row r="105" spans="1:9" s="3" customFormat="1" ht="14.1" customHeight="1" x14ac:dyDescent="0.25">
      <c r="A105" s="7" t="s">
        <v>138</v>
      </c>
      <c r="B105" s="7" t="s">
        <v>139</v>
      </c>
      <c r="C105" s="8" t="s">
        <v>140</v>
      </c>
      <c r="D105" s="9">
        <f>F105+H105</f>
        <v>850</v>
      </c>
      <c r="E105" s="9">
        <f>G105+I105</f>
        <v>965</v>
      </c>
      <c r="F105" s="10">
        <f>SUM(F106:F109)</f>
        <v>850</v>
      </c>
      <c r="G105" s="10">
        <f t="shared" ref="G105:I105" si="24">SUM(G106:G109)</f>
        <v>965</v>
      </c>
      <c r="H105" s="10">
        <f t="shared" si="24"/>
        <v>0</v>
      </c>
      <c r="I105" s="10">
        <f t="shared" si="24"/>
        <v>0</v>
      </c>
    </row>
    <row r="106" spans="1:9" ht="14.1" customHeight="1" x14ac:dyDescent="0.25">
      <c r="A106" s="24"/>
      <c r="B106" s="24"/>
      <c r="C106" s="25" t="s">
        <v>141</v>
      </c>
      <c r="D106" s="26"/>
      <c r="E106" s="26"/>
      <c r="F106" s="26">
        <v>0</v>
      </c>
      <c r="G106" s="26">
        <v>0</v>
      </c>
      <c r="H106" s="26"/>
      <c r="I106" s="26"/>
    </row>
    <row r="107" spans="1:9" ht="14.1" customHeight="1" x14ac:dyDescent="0.25">
      <c r="A107" s="24"/>
      <c r="B107" s="24"/>
      <c r="C107" s="25" t="s">
        <v>142</v>
      </c>
      <c r="D107" s="26"/>
      <c r="E107" s="26"/>
      <c r="F107" s="26">
        <v>100</v>
      </c>
      <c r="G107" s="26">
        <v>185</v>
      </c>
      <c r="H107" s="26"/>
      <c r="I107" s="26"/>
    </row>
    <row r="108" spans="1:9" ht="14.1" customHeight="1" x14ac:dyDescent="0.25">
      <c r="A108" s="24"/>
      <c r="B108" s="24"/>
      <c r="C108" s="25" t="s">
        <v>143</v>
      </c>
      <c r="D108" s="26"/>
      <c r="E108" s="26"/>
      <c r="F108" s="26">
        <v>50</v>
      </c>
      <c r="G108" s="26">
        <v>0</v>
      </c>
      <c r="H108" s="26"/>
      <c r="I108" s="26"/>
    </row>
    <row r="109" spans="1:9" ht="14.1" customHeight="1" x14ac:dyDescent="0.25">
      <c r="A109" s="24"/>
      <c r="B109" s="24"/>
      <c r="C109" s="25" t="s">
        <v>144</v>
      </c>
      <c r="D109" s="26"/>
      <c r="E109" s="26"/>
      <c r="F109" s="26">
        <v>700</v>
      </c>
      <c r="G109" s="26">
        <v>780</v>
      </c>
      <c r="H109" s="26"/>
      <c r="I109" s="26"/>
    </row>
    <row r="110" spans="1:9" s="3" customFormat="1" ht="14.1" customHeight="1" x14ac:dyDescent="0.25">
      <c r="A110" s="16" t="s">
        <v>145</v>
      </c>
      <c r="B110" s="16" t="s">
        <v>146</v>
      </c>
      <c r="C110" s="17" t="s">
        <v>147</v>
      </c>
      <c r="D110" s="19">
        <f>D88+D92+D94+D97+D98+D101+D105</f>
        <v>9276</v>
      </c>
      <c r="E110" s="19">
        <f t="shared" ref="E110:I110" si="25">E88+E92+E94+E97+E98+E101+E105</f>
        <v>7385</v>
      </c>
      <c r="F110" s="19">
        <f t="shared" si="25"/>
        <v>3695</v>
      </c>
      <c r="G110" s="19">
        <f t="shared" si="25"/>
        <v>3685</v>
      </c>
      <c r="H110" s="19">
        <f t="shared" si="25"/>
        <v>5581</v>
      </c>
      <c r="I110" s="19">
        <f t="shared" si="25"/>
        <v>3700</v>
      </c>
    </row>
    <row r="111" spans="1:9" s="3" customFormat="1" ht="14.1" customHeight="1" x14ac:dyDescent="0.25">
      <c r="A111" s="7" t="s">
        <v>148</v>
      </c>
      <c r="B111" s="7" t="s">
        <v>149</v>
      </c>
      <c r="C111" s="8" t="s">
        <v>150</v>
      </c>
      <c r="D111" s="9">
        <f>F111+H111</f>
        <v>100</v>
      </c>
      <c r="E111" s="9">
        <f>G111+I111</f>
        <v>60</v>
      </c>
      <c r="F111" s="10">
        <f>SUM(F112:F113)</f>
        <v>100</v>
      </c>
      <c r="G111" s="10">
        <f t="shared" ref="G111:I111" si="26">SUM(G112:G113)</f>
        <v>60</v>
      </c>
      <c r="H111" s="10">
        <f t="shared" si="26"/>
        <v>0</v>
      </c>
      <c r="I111" s="10">
        <f t="shared" si="26"/>
        <v>0</v>
      </c>
    </row>
    <row r="112" spans="1:9" ht="14.1" customHeight="1" x14ac:dyDescent="0.25">
      <c r="A112" s="24"/>
      <c r="B112" s="24"/>
      <c r="C112" s="25" t="s">
        <v>151</v>
      </c>
      <c r="D112" s="26"/>
      <c r="E112" s="26"/>
      <c r="F112" s="26">
        <v>100</v>
      </c>
      <c r="G112" s="26">
        <v>60</v>
      </c>
      <c r="H112" s="26"/>
      <c r="I112" s="26"/>
    </row>
    <row r="113" spans="1:9" ht="14.1" customHeight="1" x14ac:dyDescent="0.25">
      <c r="A113" s="24"/>
      <c r="B113" s="24"/>
      <c r="C113" s="25" t="s">
        <v>152</v>
      </c>
      <c r="D113" s="26"/>
      <c r="E113" s="26"/>
      <c r="F113" s="26"/>
      <c r="G113" s="26"/>
      <c r="H113" s="26"/>
      <c r="I113" s="26"/>
    </row>
    <row r="114" spans="1:9" s="3" customFormat="1" ht="14.1" customHeight="1" x14ac:dyDescent="0.25">
      <c r="A114" s="7" t="s">
        <v>153</v>
      </c>
      <c r="B114" s="7" t="s">
        <v>154</v>
      </c>
      <c r="C114" s="8" t="s">
        <v>155</v>
      </c>
      <c r="D114" s="9">
        <f>F114+H114</f>
        <v>0</v>
      </c>
      <c r="E114" s="9">
        <f>G114+I114</f>
        <v>0</v>
      </c>
      <c r="F114" s="10">
        <v>0</v>
      </c>
      <c r="G114" s="10">
        <v>0</v>
      </c>
      <c r="H114" s="10">
        <v>0</v>
      </c>
      <c r="I114" s="10">
        <v>0</v>
      </c>
    </row>
    <row r="115" spans="1:9" s="3" customFormat="1" ht="14.1" customHeight="1" x14ac:dyDescent="0.25">
      <c r="A115" s="16" t="s">
        <v>156</v>
      </c>
      <c r="B115" s="16" t="s">
        <v>157</v>
      </c>
      <c r="C115" s="17" t="s">
        <v>158</v>
      </c>
      <c r="D115" s="19">
        <f>D111+D114</f>
        <v>100</v>
      </c>
      <c r="E115" s="19">
        <f t="shared" ref="E115:I115" si="27">E111+E114</f>
        <v>60</v>
      </c>
      <c r="F115" s="19">
        <f t="shared" si="27"/>
        <v>100</v>
      </c>
      <c r="G115" s="19">
        <f t="shared" si="27"/>
        <v>60</v>
      </c>
      <c r="H115" s="19">
        <f t="shared" si="27"/>
        <v>0</v>
      </c>
      <c r="I115" s="19">
        <f t="shared" si="27"/>
        <v>0</v>
      </c>
    </row>
    <row r="116" spans="1:9" s="3" customFormat="1" ht="14.1" customHeight="1" x14ac:dyDescent="0.25">
      <c r="A116" s="7" t="s">
        <v>159</v>
      </c>
      <c r="B116" s="7" t="s">
        <v>160</v>
      </c>
      <c r="C116" s="8" t="s">
        <v>161</v>
      </c>
      <c r="D116" s="9">
        <f>F116+H116</f>
        <v>2921</v>
      </c>
      <c r="E116" s="9">
        <f>G116+I116</f>
        <v>2417</v>
      </c>
      <c r="F116" s="10">
        <f>SUM(F117:F118)</f>
        <v>1414</v>
      </c>
      <c r="G116" s="10">
        <f t="shared" ref="G116:I116" si="28">SUM(G117:G118)</f>
        <v>1418</v>
      </c>
      <c r="H116" s="10">
        <f t="shared" si="28"/>
        <v>1507</v>
      </c>
      <c r="I116" s="10">
        <f t="shared" si="28"/>
        <v>999</v>
      </c>
    </row>
    <row r="117" spans="1:9" ht="14.1" customHeight="1" x14ac:dyDescent="0.25">
      <c r="A117" s="24"/>
      <c r="B117" s="24"/>
      <c r="C117" s="25" t="s">
        <v>162</v>
      </c>
      <c r="D117" s="26"/>
      <c r="E117" s="26"/>
      <c r="F117" s="26"/>
      <c r="G117" s="26"/>
      <c r="H117" s="26"/>
      <c r="I117" s="26"/>
    </row>
    <row r="118" spans="1:9" ht="14.1" customHeight="1" x14ac:dyDescent="0.25">
      <c r="A118" s="24"/>
      <c r="B118" s="24"/>
      <c r="C118" s="25" t="s">
        <v>163</v>
      </c>
      <c r="D118" s="26"/>
      <c r="E118" s="26"/>
      <c r="F118" s="26">
        <v>1414</v>
      </c>
      <c r="G118" s="26">
        <f>ROUND((G76+G87+G110+G114)*0.27,0)</f>
        <v>1418</v>
      </c>
      <c r="H118" s="26">
        <v>1507</v>
      </c>
      <c r="I118" s="26">
        <f>ROUND((I76+I87+I110+I114)*0.27,0)</f>
        <v>999</v>
      </c>
    </row>
    <row r="119" spans="1:9" s="3" customFormat="1" ht="14.1" customHeight="1" x14ac:dyDescent="0.25">
      <c r="A119" s="7" t="s">
        <v>164</v>
      </c>
      <c r="B119" s="7" t="s">
        <v>165</v>
      </c>
      <c r="C119" s="8" t="s">
        <v>166</v>
      </c>
      <c r="D119" s="9">
        <f>F119+H119</f>
        <v>0</v>
      </c>
      <c r="E119" s="9">
        <f>G119+I119</f>
        <v>0</v>
      </c>
      <c r="F119" s="10">
        <f>SUM(F120:F122)</f>
        <v>0</v>
      </c>
      <c r="G119" s="10">
        <f t="shared" ref="G119:I119" si="29">SUM(G120:G122)</f>
        <v>0</v>
      </c>
      <c r="H119" s="10">
        <f t="shared" si="29"/>
        <v>0</v>
      </c>
      <c r="I119" s="10">
        <f t="shared" si="29"/>
        <v>0</v>
      </c>
    </row>
    <row r="120" spans="1:9" ht="14.1" customHeight="1" x14ac:dyDescent="0.25">
      <c r="A120" s="24"/>
      <c r="B120" s="24"/>
      <c r="C120" s="25" t="s">
        <v>167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168</v>
      </c>
      <c r="D121" s="26"/>
      <c r="E121" s="26"/>
      <c r="F121" s="26"/>
      <c r="G121" s="26"/>
      <c r="H121" s="26"/>
      <c r="I121" s="26"/>
    </row>
    <row r="122" spans="1:9" ht="14.1" customHeight="1" x14ac:dyDescent="0.25">
      <c r="A122" s="24"/>
      <c r="B122" s="24"/>
      <c r="C122" s="25" t="s">
        <v>169</v>
      </c>
      <c r="D122" s="26"/>
      <c r="E122" s="26"/>
      <c r="F122" s="26"/>
      <c r="G122" s="26"/>
      <c r="H122" s="26"/>
      <c r="I122" s="26"/>
    </row>
    <row r="123" spans="1:9" s="3" customFormat="1" ht="14.1" customHeight="1" x14ac:dyDescent="0.25">
      <c r="A123" s="7" t="s">
        <v>170</v>
      </c>
      <c r="B123" s="7" t="s">
        <v>171</v>
      </c>
      <c r="C123" s="8" t="s">
        <v>172</v>
      </c>
      <c r="D123" s="9">
        <f>F123+H123</f>
        <v>0</v>
      </c>
      <c r="E123" s="9">
        <f>G123+I123</f>
        <v>0</v>
      </c>
      <c r="F123" s="10">
        <f>SUM(F124:F127)</f>
        <v>0</v>
      </c>
      <c r="G123" s="10">
        <f t="shared" ref="G123:I123" si="30">SUM(G124:G127)</f>
        <v>0</v>
      </c>
      <c r="H123" s="10">
        <f t="shared" si="30"/>
        <v>0</v>
      </c>
      <c r="I123" s="10">
        <f t="shared" si="30"/>
        <v>0</v>
      </c>
    </row>
    <row r="124" spans="1:9" ht="14.1" customHeight="1" x14ac:dyDescent="0.25">
      <c r="A124" s="24"/>
      <c r="B124" s="24"/>
      <c r="C124" s="25" t="s">
        <v>173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174</v>
      </c>
      <c r="D125" s="26"/>
      <c r="E125" s="26"/>
      <c r="F125" s="26"/>
      <c r="G125" s="26"/>
      <c r="H125" s="26"/>
      <c r="I125" s="26"/>
    </row>
    <row r="126" spans="1:9" ht="14.1" customHeight="1" x14ac:dyDescent="0.25">
      <c r="A126" s="24"/>
      <c r="B126" s="24"/>
      <c r="C126" s="25" t="s">
        <v>175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176</v>
      </c>
      <c r="D127" s="26"/>
      <c r="E127" s="26"/>
      <c r="F127" s="26"/>
      <c r="G127" s="26"/>
      <c r="H127" s="26"/>
      <c r="I127" s="26"/>
    </row>
    <row r="128" spans="1:9" s="3" customFormat="1" ht="14.1" customHeight="1" x14ac:dyDescent="0.25">
      <c r="A128" s="7" t="s">
        <v>177</v>
      </c>
      <c r="B128" s="7" t="s">
        <v>178</v>
      </c>
      <c r="C128" s="8" t="s">
        <v>179</v>
      </c>
      <c r="D128" s="9">
        <f>F128+H128</f>
        <v>0</v>
      </c>
      <c r="E128" s="9">
        <f>G128+I128</f>
        <v>0</v>
      </c>
      <c r="F128" s="10">
        <f>SUM(F129:F130)</f>
        <v>0</v>
      </c>
      <c r="G128" s="10">
        <f t="shared" ref="G128:I128" si="31">SUM(G129:G130)</f>
        <v>0</v>
      </c>
      <c r="H128" s="10">
        <f t="shared" si="31"/>
        <v>0</v>
      </c>
      <c r="I128" s="10">
        <f t="shared" si="31"/>
        <v>0</v>
      </c>
    </row>
    <row r="129" spans="1:252" ht="14.1" customHeight="1" x14ac:dyDescent="0.25">
      <c r="A129" s="24"/>
      <c r="B129" s="24"/>
      <c r="C129" s="25" t="s">
        <v>180</v>
      </c>
      <c r="D129" s="26"/>
      <c r="E129" s="26"/>
      <c r="F129" s="26"/>
      <c r="G129" s="26"/>
      <c r="H129" s="26"/>
      <c r="I129" s="26"/>
    </row>
    <row r="130" spans="1:252" ht="14.1" customHeight="1" x14ac:dyDescent="0.25">
      <c r="A130" s="24"/>
      <c r="B130" s="24"/>
      <c r="C130" s="25" t="s">
        <v>181</v>
      </c>
      <c r="D130" s="26"/>
      <c r="E130" s="26"/>
      <c r="F130" s="26"/>
      <c r="G130" s="26"/>
      <c r="H130" s="26"/>
      <c r="I130" s="26"/>
    </row>
    <row r="131" spans="1:252" s="3" customFormat="1" ht="14.1" customHeight="1" x14ac:dyDescent="0.25">
      <c r="A131" s="7" t="s">
        <v>182</v>
      </c>
      <c r="B131" s="7" t="s">
        <v>183</v>
      </c>
      <c r="C131" s="8" t="s">
        <v>184</v>
      </c>
      <c r="D131" s="9">
        <f>F131+H131</f>
        <v>20</v>
      </c>
      <c r="E131" s="9">
        <f>G131+I131</f>
        <v>300</v>
      </c>
      <c r="F131" s="10">
        <f>SUM(F132:F135)</f>
        <v>20</v>
      </c>
      <c r="G131" s="10">
        <f t="shared" ref="G131:I131" si="32">SUM(G132:G135)</f>
        <v>300</v>
      </c>
      <c r="H131" s="10">
        <f t="shared" si="32"/>
        <v>0</v>
      </c>
      <c r="I131" s="10">
        <f t="shared" si="32"/>
        <v>0</v>
      </c>
    </row>
    <row r="132" spans="1:252" ht="14.1" customHeight="1" x14ac:dyDescent="0.25">
      <c r="A132" s="24"/>
      <c r="B132" s="24"/>
      <c r="C132" s="25" t="s">
        <v>185</v>
      </c>
      <c r="D132" s="26"/>
      <c r="E132" s="26"/>
      <c r="F132" s="26"/>
      <c r="G132" s="26"/>
      <c r="H132" s="26"/>
      <c r="I132" s="26"/>
    </row>
    <row r="133" spans="1:252" ht="14.1" customHeight="1" x14ac:dyDescent="0.25">
      <c r="A133" s="24"/>
      <c r="B133" s="24"/>
      <c r="C133" s="25" t="s">
        <v>186</v>
      </c>
      <c r="D133" s="26"/>
      <c r="E133" s="26"/>
      <c r="F133" s="26"/>
      <c r="G133" s="26"/>
      <c r="H133" s="26"/>
      <c r="I133" s="26"/>
    </row>
    <row r="134" spans="1:252" ht="14.1" customHeight="1" x14ac:dyDescent="0.25">
      <c r="A134" s="24"/>
      <c r="B134" s="24"/>
      <c r="C134" s="25" t="s">
        <v>187</v>
      </c>
      <c r="D134" s="26"/>
      <c r="E134" s="26"/>
      <c r="F134" s="26"/>
      <c r="G134" s="26"/>
      <c r="H134" s="26"/>
      <c r="I134" s="26"/>
    </row>
    <row r="135" spans="1:252" ht="14.1" customHeight="1" x14ac:dyDescent="0.25">
      <c r="A135" s="24"/>
      <c r="B135" s="24"/>
      <c r="C135" s="25" t="s">
        <v>188</v>
      </c>
      <c r="D135" s="26"/>
      <c r="E135" s="26"/>
      <c r="F135" s="26">
        <v>20</v>
      </c>
      <c r="G135" s="26">
        <v>300</v>
      </c>
      <c r="H135" s="26"/>
      <c r="I135" s="26"/>
    </row>
    <row r="136" spans="1:252" s="3" customFormat="1" ht="14.1" customHeight="1" x14ac:dyDescent="0.25">
      <c r="A136" s="16" t="s">
        <v>189</v>
      </c>
      <c r="B136" s="16" t="s">
        <v>190</v>
      </c>
      <c r="C136" s="17" t="s">
        <v>191</v>
      </c>
      <c r="D136" s="19">
        <f>D116+D119+D123+D128+D131</f>
        <v>2941</v>
      </c>
      <c r="E136" s="19">
        <f t="shared" ref="E136:I136" si="33">E116+E119+E123+E128+E131</f>
        <v>2717</v>
      </c>
      <c r="F136" s="19">
        <f t="shared" si="33"/>
        <v>1434</v>
      </c>
      <c r="G136" s="19">
        <f t="shared" si="33"/>
        <v>1718</v>
      </c>
      <c r="H136" s="19">
        <f t="shared" si="33"/>
        <v>1507</v>
      </c>
      <c r="I136" s="19">
        <f t="shared" si="33"/>
        <v>999</v>
      </c>
    </row>
    <row r="137" spans="1:252" s="3" customFormat="1" ht="14.1" customHeight="1" x14ac:dyDescent="0.25">
      <c r="A137" s="20" t="s">
        <v>192</v>
      </c>
      <c r="B137" s="20" t="s">
        <v>193</v>
      </c>
      <c r="C137" s="21" t="s">
        <v>292</v>
      </c>
      <c r="D137" s="23">
        <f>D76+D87+D110+D115+D136</f>
        <v>13858</v>
      </c>
      <c r="E137" s="23">
        <f t="shared" ref="E137:I137" si="34">E76+E87+E110+E115+E136</f>
        <v>11727</v>
      </c>
      <c r="F137" s="23">
        <f t="shared" si="34"/>
        <v>6770</v>
      </c>
      <c r="G137" s="23">
        <f t="shared" si="34"/>
        <v>7028</v>
      </c>
      <c r="H137" s="23">
        <f t="shared" si="34"/>
        <v>7088</v>
      </c>
      <c r="I137" s="23">
        <f t="shared" si="34"/>
        <v>4699</v>
      </c>
    </row>
    <row r="138" spans="1:252" ht="14.1" customHeight="1" x14ac:dyDescent="0.2">
      <c r="A138" s="963" t="s">
        <v>291</v>
      </c>
      <c r="B138" s="964"/>
      <c r="C138" s="965"/>
      <c r="D138" s="28">
        <f>D53+D137</f>
        <v>63114</v>
      </c>
      <c r="E138" s="28">
        <f t="shared" ref="E138:I138" si="35">E53+E137</f>
        <v>62833</v>
      </c>
      <c r="F138" s="28">
        <f t="shared" si="35"/>
        <v>56026</v>
      </c>
      <c r="G138" s="28">
        <f t="shared" si="35"/>
        <v>58134</v>
      </c>
      <c r="H138" s="28">
        <f t="shared" si="35"/>
        <v>7088</v>
      </c>
      <c r="I138" s="28">
        <f t="shared" si="35"/>
        <v>4699</v>
      </c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</row>
    <row r="139" spans="1:252" ht="12.75" customHeight="1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  <c r="HX139" s="27"/>
      <c r="HY139" s="27"/>
      <c r="HZ139" s="27"/>
      <c r="IA139" s="27"/>
      <c r="IB139" s="27"/>
      <c r="IC139" s="27"/>
      <c r="ID139" s="27"/>
      <c r="IE139" s="27"/>
      <c r="IF139" s="27"/>
      <c r="IG139" s="27"/>
      <c r="IH139" s="27"/>
      <c r="II139" s="27"/>
      <c r="IJ139" s="27"/>
      <c r="IK139" s="27"/>
      <c r="IL139" s="27"/>
      <c r="IM139" s="27"/>
      <c r="IN139" s="27"/>
      <c r="IO139" s="27"/>
      <c r="IP139" s="27"/>
      <c r="IQ139" s="27"/>
      <c r="IR139" s="27"/>
    </row>
    <row r="140" spans="1:252" ht="14.1" customHeight="1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  <c r="HX140" s="27"/>
      <c r="HY140" s="27"/>
      <c r="HZ140" s="27"/>
      <c r="IA140" s="27"/>
      <c r="IB140" s="27"/>
      <c r="IC140" s="27"/>
      <c r="ID140" s="27"/>
      <c r="IE140" s="27"/>
      <c r="IF140" s="27"/>
      <c r="IG140" s="27"/>
      <c r="IH140" s="27"/>
      <c r="II140" s="27"/>
      <c r="IJ140" s="27"/>
      <c r="IK140" s="27"/>
      <c r="IL140" s="27"/>
      <c r="IM140" s="27"/>
      <c r="IN140" s="27"/>
      <c r="IO140" s="27"/>
      <c r="IP140" s="27"/>
      <c r="IQ140" s="27"/>
      <c r="IR140" s="27"/>
    </row>
    <row r="142" spans="1:252" s="1" customFormat="1" ht="12.75" customHeight="1" x14ac:dyDescent="0.25">
      <c r="A142" s="957" t="s">
        <v>290</v>
      </c>
      <c r="B142" s="957"/>
      <c r="C142" s="957"/>
      <c r="D142" s="957"/>
      <c r="E142" s="957"/>
      <c r="F142" s="957"/>
      <c r="G142" s="957"/>
      <c r="H142" s="957"/>
      <c r="I142" s="957"/>
    </row>
    <row r="143" spans="1:252" s="1" customFormat="1" ht="14.1" customHeight="1" x14ac:dyDescent="0.25">
      <c r="A143" s="957" t="s">
        <v>0</v>
      </c>
      <c r="B143" s="961" t="s">
        <v>1</v>
      </c>
      <c r="C143" s="957" t="s">
        <v>2</v>
      </c>
      <c r="D143" s="962" t="s">
        <v>260</v>
      </c>
      <c r="E143" s="952" t="s">
        <v>259</v>
      </c>
      <c r="F143" s="954" t="s">
        <v>261</v>
      </c>
      <c r="G143" s="955"/>
      <c r="H143" s="954" t="s">
        <v>262</v>
      </c>
      <c r="I143" s="955"/>
    </row>
    <row r="144" spans="1:252" s="3" customFormat="1" ht="27" customHeight="1" x14ac:dyDescent="0.25">
      <c r="A144" s="957"/>
      <c r="B144" s="961"/>
      <c r="C144" s="957"/>
      <c r="D144" s="962"/>
      <c r="E144" s="953"/>
      <c r="F144" s="2" t="s">
        <v>260</v>
      </c>
      <c r="G144" s="2" t="s">
        <v>259</v>
      </c>
      <c r="H144" s="2" t="s">
        <v>260</v>
      </c>
      <c r="I144" s="2" t="s">
        <v>259</v>
      </c>
    </row>
    <row r="145" spans="1:9" ht="5.65" customHeight="1" x14ac:dyDescent="0.25"/>
    <row r="146" spans="1:9" ht="14.1" customHeight="1" x14ac:dyDescent="0.25">
      <c r="A146" s="956" t="s">
        <v>194</v>
      </c>
      <c r="B146" s="956"/>
      <c r="C146" s="956"/>
      <c r="D146" s="956"/>
      <c r="E146" s="956"/>
      <c r="F146" s="956"/>
      <c r="G146" s="956"/>
      <c r="H146" s="956"/>
      <c r="I146" s="956"/>
    </row>
    <row r="147" spans="1:9" ht="14.1" customHeight="1" x14ac:dyDescent="0.25">
      <c r="A147" s="24" t="s">
        <v>195</v>
      </c>
      <c r="B147" s="24" t="s">
        <v>196</v>
      </c>
      <c r="C147" s="25" t="s">
        <v>197</v>
      </c>
      <c r="D147" s="26">
        <f>F147+H147</f>
        <v>0</v>
      </c>
      <c r="E147" s="26">
        <f>G147+I147</f>
        <v>0</v>
      </c>
      <c r="F147" s="26"/>
      <c r="G147" s="26"/>
      <c r="H147" s="26"/>
      <c r="I147" s="26"/>
    </row>
    <row r="148" spans="1:9" ht="14.1" customHeight="1" x14ac:dyDescent="0.25">
      <c r="A148" s="24" t="s">
        <v>198</v>
      </c>
      <c r="B148" s="24" t="s">
        <v>199</v>
      </c>
      <c r="C148" s="25" t="s">
        <v>200</v>
      </c>
      <c r="D148" s="26">
        <f t="shared" ref="D148:E154" si="36">F148+H148</f>
        <v>0</v>
      </c>
      <c r="E148" s="26">
        <f t="shared" si="36"/>
        <v>0</v>
      </c>
      <c r="F148" s="26"/>
      <c r="G148" s="26"/>
      <c r="H148" s="26"/>
      <c r="I148" s="26"/>
    </row>
    <row r="149" spans="1:9" ht="14.1" customHeight="1" x14ac:dyDescent="0.25">
      <c r="A149" s="24" t="s">
        <v>201</v>
      </c>
      <c r="B149" s="24" t="s">
        <v>202</v>
      </c>
      <c r="C149" s="25" t="s">
        <v>203</v>
      </c>
      <c r="D149" s="26">
        <f t="shared" si="36"/>
        <v>0</v>
      </c>
      <c r="E149" s="26">
        <f t="shared" si="36"/>
        <v>0</v>
      </c>
      <c r="F149" s="26"/>
      <c r="G149" s="26"/>
      <c r="H149" s="26"/>
      <c r="I149" s="26"/>
    </row>
    <row r="150" spans="1:9" ht="14.1" customHeight="1" x14ac:dyDescent="0.25">
      <c r="A150" s="24" t="s">
        <v>204</v>
      </c>
      <c r="B150" s="24" t="s">
        <v>205</v>
      </c>
      <c r="C150" s="25" t="s">
        <v>206</v>
      </c>
      <c r="D150" s="26">
        <f t="shared" si="36"/>
        <v>234</v>
      </c>
      <c r="E150" s="26">
        <f t="shared" si="36"/>
        <v>175</v>
      </c>
      <c r="F150" s="26">
        <v>234</v>
      </c>
      <c r="G150" s="26">
        <v>175</v>
      </c>
      <c r="H150" s="26"/>
      <c r="I150" s="26"/>
    </row>
    <row r="151" spans="1:9" ht="14.1" customHeight="1" x14ac:dyDescent="0.25">
      <c r="A151" s="24"/>
      <c r="B151" s="24" t="s">
        <v>207</v>
      </c>
      <c r="C151" s="25" t="s">
        <v>208</v>
      </c>
      <c r="D151" s="26">
        <f t="shared" si="36"/>
        <v>0</v>
      </c>
      <c r="E151" s="26">
        <f t="shared" si="36"/>
        <v>0</v>
      </c>
      <c r="F151" s="26"/>
      <c r="G151" s="26"/>
      <c r="H151" s="26"/>
      <c r="I151" s="26"/>
    </row>
    <row r="152" spans="1:9" ht="14.1" customHeight="1" x14ac:dyDescent="0.25">
      <c r="A152" s="24" t="s">
        <v>209</v>
      </c>
      <c r="B152" s="24" t="s">
        <v>210</v>
      </c>
      <c r="C152" s="25" t="s">
        <v>211</v>
      </c>
      <c r="D152" s="26">
        <f t="shared" si="36"/>
        <v>0</v>
      </c>
      <c r="E152" s="26">
        <f t="shared" si="36"/>
        <v>0</v>
      </c>
      <c r="F152" s="26"/>
      <c r="G152" s="26"/>
      <c r="H152" s="26"/>
      <c r="I152" s="26"/>
    </row>
    <row r="153" spans="1:9" ht="14.1" customHeight="1" x14ac:dyDescent="0.25">
      <c r="A153" s="24" t="s">
        <v>212</v>
      </c>
      <c r="B153" s="24" t="s">
        <v>213</v>
      </c>
      <c r="C153" s="25" t="s">
        <v>214</v>
      </c>
      <c r="D153" s="26">
        <f t="shared" si="36"/>
        <v>0</v>
      </c>
      <c r="E153" s="26">
        <f t="shared" si="36"/>
        <v>0</v>
      </c>
      <c r="F153" s="26"/>
      <c r="G153" s="26"/>
      <c r="H153" s="26"/>
      <c r="I153" s="26"/>
    </row>
    <row r="154" spans="1:9" ht="14.1" customHeight="1" x14ac:dyDescent="0.25">
      <c r="A154" s="24" t="s">
        <v>215</v>
      </c>
      <c r="B154" s="24" t="s">
        <v>216</v>
      </c>
      <c r="C154" s="25" t="s">
        <v>217</v>
      </c>
      <c r="D154" s="26">
        <f t="shared" si="36"/>
        <v>63</v>
      </c>
      <c r="E154" s="26">
        <f t="shared" si="36"/>
        <v>47</v>
      </c>
      <c r="F154" s="26">
        <v>63</v>
      </c>
      <c r="G154" s="26">
        <f>ROUND((G147+G148+G149+G150+G151)*0.27,0)</f>
        <v>47</v>
      </c>
      <c r="H154" s="26">
        <v>0</v>
      </c>
      <c r="I154" s="26">
        <f>ROUND((I147+I148+I149+I150+I151)*0.27,0)</f>
        <v>0</v>
      </c>
    </row>
    <row r="155" spans="1:9" s="3" customFormat="1" ht="14.1" customHeight="1" x14ac:dyDescent="0.25">
      <c r="A155" s="20" t="s">
        <v>218</v>
      </c>
      <c r="B155" s="20" t="s">
        <v>219</v>
      </c>
      <c r="C155" s="21" t="s">
        <v>220</v>
      </c>
      <c r="D155" s="23">
        <f>SUM(D147:D154)</f>
        <v>297</v>
      </c>
      <c r="E155" s="23">
        <f t="shared" ref="E155:I155" si="37">SUM(E147:E154)</f>
        <v>222</v>
      </c>
      <c r="F155" s="23">
        <f t="shared" si="37"/>
        <v>297</v>
      </c>
      <c r="G155" s="23">
        <f t="shared" si="37"/>
        <v>222</v>
      </c>
      <c r="H155" s="23">
        <f t="shared" si="37"/>
        <v>0</v>
      </c>
      <c r="I155" s="23">
        <f t="shared" si="37"/>
        <v>0</v>
      </c>
    </row>
    <row r="156" spans="1:9" ht="14.1" customHeight="1" x14ac:dyDescent="0.25">
      <c r="A156" s="24" t="s">
        <v>221</v>
      </c>
      <c r="B156" s="24" t="s">
        <v>222</v>
      </c>
      <c r="C156" s="25" t="s">
        <v>223</v>
      </c>
      <c r="D156" s="26">
        <f>F156+H156</f>
        <v>0</v>
      </c>
      <c r="E156" s="26">
        <f t="shared" ref="E156:E160" si="38">G156+I156</f>
        <v>0</v>
      </c>
      <c r="F156" s="26"/>
      <c r="G156" s="26"/>
      <c r="H156" s="26"/>
      <c r="I156" s="26"/>
    </row>
    <row r="157" spans="1:9" ht="14.1" customHeight="1" x14ac:dyDescent="0.25">
      <c r="A157" s="24" t="s">
        <v>224</v>
      </c>
      <c r="B157" s="24" t="s">
        <v>225</v>
      </c>
      <c r="C157" s="25" t="s">
        <v>226</v>
      </c>
      <c r="D157" s="26">
        <f t="shared" ref="D157:D160" si="39">F157+H157</f>
        <v>0</v>
      </c>
      <c r="E157" s="26">
        <f t="shared" si="38"/>
        <v>0</v>
      </c>
      <c r="F157" s="26"/>
      <c r="G157" s="26"/>
      <c r="H157" s="26"/>
      <c r="I157" s="26"/>
    </row>
    <row r="158" spans="1:9" ht="14.1" customHeight="1" x14ac:dyDescent="0.25">
      <c r="A158" s="24" t="s">
        <v>227</v>
      </c>
      <c r="B158" s="24" t="s">
        <v>228</v>
      </c>
      <c r="C158" s="25" t="s">
        <v>229</v>
      </c>
      <c r="D158" s="26">
        <f t="shared" si="39"/>
        <v>0</v>
      </c>
      <c r="E158" s="26">
        <f>G158+I158</f>
        <v>0</v>
      </c>
      <c r="F158" s="26"/>
      <c r="G158" s="26"/>
      <c r="H158" s="26"/>
      <c r="I158" s="26"/>
    </row>
    <row r="159" spans="1:9" ht="14.1" customHeight="1" x14ac:dyDescent="0.25">
      <c r="A159" s="24"/>
      <c r="B159" s="24" t="s">
        <v>230</v>
      </c>
      <c r="C159" s="25" t="s">
        <v>231</v>
      </c>
      <c r="D159" s="26">
        <f t="shared" si="39"/>
        <v>0</v>
      </c>
      <c r="E159" s="26">
        <f t="shared" si="38"/>
        <v>0</v>
      </c>
      <c r="F159" s="26"/>
      <c r="G159" s="26"/>
      <c r="H159" s="26"/>
      <c r="I159" s="26"/>
    </row>
    <row r="160" spans="1:9" ht="14.1" customHeight="1" x14ac:dyDescent="0.25">
      <c r="A160" s="24" t="s">
        <v>232</v>
      </c>
      <c r="B160" s="24" t="s">
        <v>233</v>
      </c>
      <c r="C160" s="25" t="s">
        <v>234</v>
      </c>
      <c r="D160" s="26">
        <f t="shared" si="39"/>
        <v>0</v>
      </c>
      <c r="E160" s="26">
        <f t="shared" si="38"/>
        <v>0</v>
      </c>
      <c r="F160" s="26">
        <v>0</v>
      </c>
      <c r="G160" s="26">
        <f>ROUND((G156+G157+G158+G159)*0.27,0)</f>
        <v>0</v>
      </c>
      <c r="H160" s="26">
        <v>0</v>
      </c>
      <c r="I160" s="26">
        <f>ROUND((I156+I157+I158+I159)*0.27,0)</f>
        <v>0</v>
      </c>
    </row>
    <row r="161" spans="1:9" s="3" customFormat="1" ht="14.1" customHeight="1" x14ac:dyDescent="0.25">
      <c r="A161" s="20" t="s">
        <v>235</v>
      </c>
      <c r="B161" s="20" t="s">
        <v>236</v>
      </c>
      <c r="C161" s="21" t="s">
        <v>237</v>
      </c>
      <c r="D161" s="23">
        <f>SUM(D156:D160)</f>
        <v>0</v>
      </c>
      <c r="E161" s="23">
        <f t="shared" ref="E161:I161" si="40">SUM(E156:E160)</f>
        <v>0</v>
      </c>
      <c r="F161" s="23">
        <f t="shared" si="40"/>
        <v>0</v>
      </c>
      <c r="G161" s="23">
        <f t="shared" si="40"/>
        <v>0</v>
      </c>
      <c r="H161" s="23">
        <f t="shared" si="40"/>
        <v>0</v>
      </c>
      <c r="I161" s="23">
        <f t="shared" si="40"/>
        <v>0</v>
      </c>
    </row>
    <row r="162" spans="1:9" s="3" customFormat="1" ht="14.1" customHeight="1" x14ac:dyDescent="0.25">
      <c r="A162" s="963" t="s">
        <v>293</v>
      </c>
      <c r="B162" s="964"/>
      <c r="C162" s="965" t="s">
        <v>238</v>
      </c>
      <c r="D162" s="28">
        <f>D155+D161</f>
        <v>297</v>
      </c>
      <c r="E162" s="28">
        <f t="shared" ref="E162:I162" si="41">E155+E161</f>
        <v>222</v>
      </c>
      <c r="F162" s="28">
        <f t="shared" si="41"/>
        <v>297</v>
      </c>
      <c r="G162" s="28">
        <f t="shared" si="41"/>
        <v>222</v>
      </c>
      <c r="H162" s="28">
        <f t="shared" si="41"/>
        <v>0</v>
      </c>
      <c r="I162" s="28">
        <f t="shared" si="41"/>
        <v>0</v>
      </c>
    </row>
    <row r="163" spans="1:9" ht="6.75" customHeight="1" x14ac:dyDescent="0.25"/>
    <row r="164" spans="1:9" ht="14.1" customHeight="1" x14ac:dyDescent="0.25">
      <c r="A164" s="958" t="s">
        <v>294</v>
      </c>
      <c r="B164" s="959"/>
      <c r="C164" s="960"/>
      <c r="D164" s="30">
        <f>D162+D138</f>
        <v>63411</v>
      </c>
      <c r="E164" s="30">
        <f t="shared" ref="E164:I164" si="42">E162+E138</f>
        <v>63055</v>
      </c>
      <c r="F164" s="30">
        <f t="shared" si="42"/>
        <v>56323</v>
      </c>
      <c r="G164" s="30">
        <f t="shared" si="42"/>
        <v>58356</v>
      </c>
      <c r="H164" s="30">
        <f t="shared" si="42"/>
        <v>7088</v>
      </c>
      <c r="I164" s="30">
        <f t="shared" si="42"/>
        <v>4699</v>
      </c>
    </row>
    <row r="169" spans="1:9" s="1" customFormat="1" ht="12.75" customHeight="1" x14ac:dyDescent="0.25">
      <c r="A169" s="957" t="s">
        <v>264</v>
      </c>
      <c r="B169" s="957"/>
      <c r="C169" s="957"/>
      <c r="D169" s="957"/>
      <c r="E169" s="957"/>
      <c r="F169" s="957"/>
      <c r="G169" s="957"/>
      <c r="H169" s="957"/>
      <c r="I169" s="957"/>
    </row>
    <row r="170" spans="1:9" s="1" customFormat="1" ht="14.1" customHeight="1" x14ac:dyDescent="0.25">
      <c r="A170" s="957" t="s">
        <v>0</v>
      </c>
      <c r="B170" s="961" t="s">
        <v>1</v>
      </c>
      <c r="C170" s="957" t="s">
        <v>2</v>
      </c>
      <c r="D170" s="962" t="s">
        <v>260</v>
      </c>
      <c r="E170" s="952" t="s">
        <v>259</v>
      </c>
      <c r="F170" s="954" t="s">
        <v>261</v>
      </c>
      <c r="G170" s="955"/>
      <c r="H170" s="954" t="s">
        <v>262</v>
      </c>
      <c r="I170" s="955"/>
    </row>
    <row r="171" spans="1:9" s="3" customFormat="1" ht="23.25" customHeight="1" x14ac:dyDescent="0.25">
      <c r="A171" s="957"/>
      <c r="B171" s="961"/>
      <c r="C171" s="957"/>
      <c r="D171" s="962"/>
      <c r="E171" s="953"/>
      <c r="F171" s="2" t="s">
        <v>260</v>
      </c>
      <c r="G171" s="2" t="s">
        <v>259</v>
      </c>
      <c r="H171" s="2" t="s">
        <v>260</v>
      </c>
      <c r="I171" s="2" t="s">
        <v>259</v>
      </c>
    </row>
    <row r="172" spans="1:9" ht="5.65" customHeight="1" x14ac:dyDescent="0.25"/>
    <row r="173" spans="1:9" ht="14.1" customHeight="1" x14ac:dyDescent="0.25">
      <c r="A173" s="956" t="s">
        <v>239</v>
      </c>
      <c r="B173" s="956"/>
      <c r="C173" s="956"/>
      <c r="D173" s="956"/>
      <c r="E173" s="956"/>
      <c r="F173" s="956"/>
      <c r="G173" s="956"/>
      <c r="H173" s="956"/>
      <c r="I173" s="956"/>
    </row>
    <row r="174" spans="1:9" s="3" customFormat="1" ht="14.1" customHeight="1" x14ac:dyDescent="0.25">
      <c r="A174" s="20" t="s">
        <v>240</v>
      </c>
      <c r="B174" s="20"/>
      <c r="C174" s="21" t="s">
        <v>241</v>
      </c>
      <c r="D174" s="23">
        <f>SUM(D175:D184)</f>
        <v>4094</v>
      </c>
      <c r="E174" s="23">
        <f t="shared" ref="E174:I174" si="43">SUM(E175:E184)</f>
        <v>673</v>
      </c>
      <c r="F174" s="23">
        <f t="shared" si="43"/>
        <v>0</v>
      </c>
      <c r="G174" s="23">
        <f t="shared" si="43"/>
        <v>0</v>
      </c>
      <c r="H174" s="23">
        <f t="shared" si="43"/>
        <v>4094</v>
      </c>
      <c r="I174" s="23">
        <f t="shared" si="43"/>
        <v>673</v>
      </c>
    </row>
    <row r="175" spans="1:9" ht="14.1" customHeight="1" x14ac:dyDescent="0.25">
      <c r="A175" s="24" t="s">
        <v>242</v>
      </c>
      <c r="B175" s="24"/>
      <c r="C175" s="25" t="s">
        <v>243</v>
      </c>
      <c r="D175" s="26">
        <f>F175+H175</f>
        <v>0</v>
      </c>
      <c r="E175" s="26">
        <f>G175+I175</f>
        <v>0</v>
      </c>
      <c r="F175" s="26"/>
      <c r="G175" s="26"/>
      <c r="H175" s="26"/>
      <c r="I175" s="26"/>
    </row>
    <row r="176" spans="1:9" ht="14.1" customHeight="1" x14ac:dyDescent="0.25">
      <c r="A176" s="24" t="s">
        <v>244</v>
      </c>
      <c r="B176" s="24"/>
      <c r="C176" s="25" t="s">
        <v>245</v>
      </c>
      <c r="D176" s="26">
        <f t="shared" ref="D176:E184" si="44">F176+H176</f>
        <v>0</v>
      </c>
      <c r="E176" s="26">
        <f t="shared" si="44"/>
        <v>0</v>
      </c>
      <c r="F176" s="26"/>
      <c r="G176" s="26"/>
      <c r="H176" s="26"/>
      <c r="I176" s="26"/>
    </row>
    <row r="177" spans="1:9" ht="14.1" customHeight="1" x14ac:dyDescent="0.25">
      <c r="A177" s="24" t="s">
        <v>246</v>
      </c>
      <c r="B177" s="24"/>
      <c r="C177" s="25" t="s">
        <v>247</v>
      </c>
      <c r="D177" s="26">
        <f t="shared" si="44"/>
        <v>0</v>
      </c>
      <c r="E177" s="26">
        <f t="shared" si="44"/>
        <v>0</v>
      </c>
      <c r="F177" s="26"/>
      <c r="G177" s="26"/>
      <c r="H177" s="26"/>
      <c r="I177" s="26"/>
    </row>
    <row r="178" spans="1:9" ht="14.1" customHeight="1" x14ac:dyDescent="0.25">
      <c r="A178" s="24" t="s">
        <v>248</v>
      </c>
      <c r="B178" s="24"/>
      <c r="C178" s="25" t="s">
        <v>249</v>
      </c>
      <c r="D178" s="26">
        <f t="shared" si="44"/>
        <v>0</v>
      </c>
      <c r="E178" s="26">
        <f t="shared" si="44"/>
        <v>0</v>
      </c>
      <c r="F178" s="26"/>
      <c r="G178" s="26"/>
      <c r="H178" s="26"/>
      <c r="I178" s="26"/>
    </row>
    <row r="179" spans="1:9" ht="14.1" customHeight="1" x14ac:dyDescent="0.25">
      <c r="A179" s="24" t="s">
        <v>296</v>
      </c>
      <c r="B179" s="24"/>
      <c r="C179" s="25" t="s">
        <v>297</v>
      </c>
      <c r="D179" s="26">
        <f t="shared" ref="D179" si="45">F179+H179</f>
        <v>3113</v>
      </c>
      <c r="E179" s="26">
        <f t="shared" ref="E179" si="46">G179+I179</f>
        <v>530</v>
      </c>
      <c r="F179" s="26"/>
      <c r="G179" s="26"/>
      <c r="H179" s="26">
        <v>3113</v>
      </c>
      <c r="I179" s="26">
        <v>530</v>
      </c>
    </row>
    <row r="180" spans="1:9" ht="14.1" customHeight="1" x14ac:dyDescent="0.25">
      <c r="A180" s="24" t="s">
        <v>250</v>
      </c>
      <c r="B180" s="24"/>
      <c r="C180" s="25" t="s">
        <v>251</v>
      </c>
      <c r="D180" s="26">
        <f t="shared" si="44"/>
        <v>841</v>
      </c>
      <c r="E180" s="26">
        <f t="shared" si="44"/>
        <v>143</v>
      </c>
      <c r="F180" s="26"/>
      <c r="G180" s="26">
        <f>ROUND((G175+G176+G177+G178+G179)*0.27,0)</f>
        <v>0</v>
      </c>
      <c r="H180" s="26">
        <v>841</v>
      </c>
      <c r="I180" s="26">
        <f>ROUND((I175+I176+I177+I178+I179)*0.27,0)</f>
        <v>143</v>
      </c>
    </row>
    <row r="181" spans="1:9" ht="14.1" customHeight="1" x14ac:dyDescent="0.25">
      <c r="A181" s="24" t="s">
        <v>298</v>
      </c>
      <c r="B181" s="24"/>
      <c r="C181" s="25" t="s">
        <v>299</v>
      </c>
      <c r="D181" s="26">
        <f t="shared" ref="D181" si="47">F181+H181</f>
        <v>140</v>
      </c>
      <c r="E181" s="26">
        <f t="shared" ref="E181" si="48">G181+I181</f>
        <v>0</v>
      </c>
      <c r="F181" s="26"/>
      <c r="G181" s="26"/>
      <c r="H181" s="26">
        <v>140</v>
      </c>
      <c r="I181" s="26"/>
    </row>
    <row r="182" spans="1:9" ht="14.1" customHeight="1" x14ac:dyDescent="0.25">
      <c r="A182" s="24" t="s">
        <v>252</v>
      </c>
      <c r="B182" s="24"/>
      <c r="C182" s="25" t="s">
        <v>253</v>
      </c>
      <c r="D182" s="26">
        <f t="shared" si="44"/>
        <v>0</v>
      </c>
      <c r="E182" s="26">
        <f t="shared" si="44"/>
        <v>0</v>
      </c>
      <c r="F182" s="26"/>
      <c r="G182" s="26"/>
      <c r="H182" s="26"/>
      <c r="I182" s="26"/>
    </row>
    <row r="183" spans="1:9" ht="14.1" customHeight="1" x14ac:dyDescent="0.25">
      <c r="A183" s="24" t="s">
        <v>300</v>
      </c>
      <c r="B183" s="24"/>
      <c r="C183" s="25" t="s">
        <v>301</v>
      </c>
      <c r="D183" s="26">
        <f t="shared" ref="D183" si="49">F183+H183</f>
        <v>0</v>
      </c>
      <c r="E183" s="26">
        <f t="shared" ref="E183" si="50">G183+I183</f>
        <v>0</v>
      </c>
      <c r="F183" s="26"/>
      <c r="G183" s="26"/>
      <c r="H183" s="26"/>
      <c r="I183" s="26"/>
    </row>
    <row r="184" spans="1:9" ht="14.1" customHeight="1" x14ac:dyDescent="0.25">
      <c r="A184" s="24" t="s">
        <v>254</v>
      </c>
      <c r="B184" s="24"/>
      <c r="C184" s="25" t="s">
        <v>255</v>
      </c>
      <c r="D184" s="26">
        <f t="shared" si="44"/>
        <v>0</v>
      </c>
      <c r="E184" s="26">
        <f t="shared" si="44"/>
        <v>0</v>
      </c>
      <c r="F184" s="26"/>
      <c r="G184" s="26"/>
      <c r="H184" s="26"/>
      <c r="I184" s="26"/>
    </row>
    <row r="185" spans="1:9" s="3" customFormat="1" ht="14.1" customHeight="1" x14ac:dyDescent="0.25">
      <c r="A185" s="20" t="s">
        <v>256</v>
      </c>
      <c r="B185" s="20"/>
      <c r="C185" s="21" t="s">
        <v>257</v>
      </c>
      <c r="D185" s="23">
        <f>F185+H185</f>
        <v>0</v>
      </c>
      <c r="E185" s="23">
        <f>G185+I185</f>
        <v>0</v>
      </c>
      <c r="F185" s="23">
        <v>0</v>
      </c>
      <c r="G185" s="23">
        <v>0</v>
      </c>
      <c r="H185" s="23">
        <v>0</v>
      </c>
      <c r="I185" s="23">
        <v>0</v>
      </c>
    </row>
    <row r="186" spans="1:9" s="3" customFormat="1" ht="14.1" customHeight="1" x14ac:dyDescent="0.25">
      <c r="A186" s="958" t="s">
        <v>295</v>
      </c>
      <c r="B186" s="959"/>
      <c r="C186" s="960"/>
      <c r="D186" s="30">
        <f>D174+D185</f>
        <v>4094</v>
      </c>
      <c r="E186" s="30">
        <f t="shared" ref="E186:I186" si="51">E174+E185</f>
        <v>673</v>
      </c>
      <c r="F186" s="30">
        <f t="shared" si="51"/>
        <v>0</v>
      </c>
      <c r="G186" s="30">
        <f t="shared" si="51"/>
        <v>0</v>
      </c>
      <c r="H186" s="30">
        <f t="shared" si="51"/>
        <v>4094</v>
      </c>
      <c r="I186" s="30">
        <f t="shared" si="51"/>
        <v>673</v>
      </c>
    </row>
  </sheetData>
  <sheetProtection selectLockedCells="1" selectUnlockedCells="1"/>
  <customSheetViews>
    <customSheetView guid="{7F1DC213-A29D-4C8C-BAC3-F1BD898020FD}" scale="150" fitToPage="1" state="hidden">
      <pane ySplit="4" topLeftCell="A29" activePane="bottomLeft" state="frozen"/>
      <selection pane="bottomLeft" activeCell="G39" sqref="G39"/>
      <rowBreaks count="1" manualBreakCount="1">
        <brk id="168" max="16383" man="1"/>
      </rowBreaks>
      <pageMargins left="0.15748031496062992" right="0.15748031496062992" top="0.19685039370078741" bottom="0.15748031496062992" header="0.31496062992125984" footer="0.31496062992125984"/>
      <printOptions horizontalCentered="1"/>
      <pageSetup paperSize="8" fitToHeight="0" orientation="portrait" useFirstPageNumber="1" copies="2" r:id="rId1"/>
      <headerFooter alignWithMargins="0"/>
    </customSheetView>
    <customSheetView guid="{4DCB1349-1166-4B69-AE14-D6B08F9FCE74}" scale="150" fitToPage="1" state="hidden">
      <pane ySplit="4" topLeftCell="A29" activePane="bottomLeft" state="frozen"/>
      <selection pane="bottomLeft" activeCell="G39" sqref="G39"/>
      <rowBreaks count="1" manualBreakCount="1">
        <brk id="168" max="16383" man="1"/>
      </rowBreaks>
      <pageMargins left="0.15748031496062992" right="0.15748031496062992" top="0.19685039370078741" bottom="0.15748031496062992" header="0.31496062992125984" footer="0.31496062992125984"/>
      <printOptions horizontalCentered="1"/>
      <pageSetup paperSize="8" fitToHeight="0" orientation="portrait" useFirstPageNumber="1" copies="2" r:id="rId2"/>
      <headerFooter alignWithMargins="0"/>
    </customSheetView>
  </customSheetViews>
  <mergeCells count="41">
    <mergeCell ref="E170:E171"/>
    <mergeCell ref="F170:G170"/>
    <mergeCell ref="H170:I170"/>
    <mergeCell ref="A186:C186"/>
    <mergeCell ref="A173:I173"/>
    <mergeCell ref="A170:A171"/>
    <mergeCell ref="B170:B171"/>
    <mergeCell ref="C170:C171"/>
    <mergeCell ref="D170:D171"/>
    <mergeCell ref="A5:I5"/>
    <mergeCell ref="A138:C138"/>
    <mergeCell ref="A162:C162"/>
    <mergeCell ref="E143:E144"/>
    <mergeCell ref="F143:G143"/>
    <mergeCell ref="H143:I143"/>
    <mergeCell ref="A143:A144"/>
    <mergeCell ref="B143:B144"/>
    <mergeCell ref="C143:C144"/>
    <mergeCell ref="D143:D144"/>
    <mergeCell ref="A53:C53"/>
    <mergeCell ref="A54:I54"/>
    <mergeCell ref="A55:A56"/>
    <mergeCell ref="B55:B56"/>
    <mergeCell ref="C55:C56"/>
    <mergeCell ref="D55:D56"/>
    <mergeCell ref="A1:I1"/>
    <mergeCell ref="A2:A3"/>
    <mergeCell ref="B2:B3"/>
    <mergeCell ref="C2:C3"/>
    <mergeCell ref="D2:D3"/>
    <mergeCell ref="E2:E3"/>
    <mergeCell ref="F2:G2"/>
    <mergeCell ref="H2:I2"/>
    <mergeCell ref="E55:E56"/>
    <mergeCell ref="F55:G55"/>
    <mergeCell ref="H55:I55"/>
    <mergeCell ref="A146:I146"/>
    <mergeCell ref="A169:I169"/>
    <mergeCell ref="A58:I58"/>
    <mergeCell ref="A142:I142"/>
    <mergeCell ref="A164:C164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3"/>
  <headerFooter alignWithMargins="0"/>
  <rowBreaks count="1" manualBreakCount="1">
    <brk id="16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134"/>
  <sheetViews>
    <sheetView topLeftCell="A64" zoomScaleSheetLayoutView="75" workbookViewId="0">
      <selection activeCell="R9" sqref="R9"/>
    </sheetView>
  </sheetViews>
  <sheetFormatPr defaultRowHeight="15" x14ac:dyDescent="0.25"/>
  <cols>
    <col min="1" max="1" width="7.7109375" style="41" bestFit="1" customWidth="1"/>
    <col min="2" max="2" width="41.5703125" style="42" customWidth="1"/>
    <col min="3" max="3" width="10.85546875" style="40" hidden="1" customWidth="1"/>
    <col min="4" max="4" width="10.42578125" style="336" hidden="1" customWidth="1"/>
    <col min="5" max="5" width="10.42578125" hidden="1" customWidth="1"/>
    <col min="6" max="6" width="11" hidden="1" customWidth="1"/>
    <col min="7" max="8" width="10.42578125" hidden="1" customWidth="1"/>
    <col min="9" max="9" width="11" hidden="1" customWidth="1"/>
    <col min="10" max="11" width="10.42578125" hidden="1" customWidth="1"/>
    <col min="12" max="12" width="11" hidden="1" customWidth="1"/>
    <col min="13" max="14" width="10.42578125" hidden="1" customWidth="1"/>
    <col min="15" max="15" width="11" hidden="1" customWidth="1"/>
    <col min="16" max="17" width="10.42578125" customWidth="1"/>
    <col min="18" max="18" width="11" customWidth="1"/>
    <col min="250" max="250" width="7.7109375" bestFit="1" customWidth="1"/>
    <col min="251" max="251" width="48.7109375" customWidth="1"/>
    <col min="252" max="253" width="9.5703125" customWidth="1"/>
    <col min="254" max="255" width="10.85546875" bestFit="1" customWidth="1"/>
    <col min="256" max="256" width="10.140625" bestFit="1" customWidth="1"/>
    <col min="257" max="257" width="10.28515625" customWidth="1"/>
    <col min="258" max="258" width="14" bestFit="1" customWidth="1"/>
    <col min="506" max="506" width="7.7109375" bestFit="1" customWidth="1"/>
    <col min="507" max="507" width="48.7109375" customWidth="1"/>
    <col min="508" max="509" width="9.5703125" customWidth="1"/>
    <col min="510" max="511" width="10.85546875" bestFit="1" customWidth="1"/>
    <col min="512" max="512" width="10.140625" bestFit="1" customWidth="1"/>
    <col min="513" max="513" width="10.28515625" customWidth="1"/>
    <col min="514" max="514" width="14" bestFit="1" customWidth="1"/>
    <col min="762" max="762" width="7.7109375" bestFit="1" customWidth="1"/>
    <col min="763" max="763" width="48.7109375" customWidth="1"/>
    <col min="764" max="765" width="9.5703125" customWidth="1"/>
    <col min="766" max="767" width="10.85546875" bestFit="1" customWidth="1"/>
    <col min="768" max="768" width="10.140625" bestFit="1" customWidth="1"/>
    <col min="769" max="769" width="10.28515625" customWidth="1"/>
    <col min="770" max="770" width="14" bestFit="1" customWidth="1"/>
    <col min="1018" max="1018" width="7.7109375" bestFit="1" customWidth="1"/>
    <col min="1019" max="1019" width="48.7109375" customWidth="1"/>
    <col min="1020" max="1021" width="9.5703125" customWidth="1"/>
    <col min="1022" max="1023" width="10.85546875" bestFit="1" customWidth="1"/>
    <col min="1024" max="1024" width="10.140625" bestFit="1" customWidth="1"/>
    <col min="1025" max="1025" width="10.28515625" customWidth="1"/>
    <col min="1026" max="1026" width="14" bestFit="1" customWidth="1"/>
    <col min="1274" max="1274" width="7.7109375" bestFit="1" customWidth="1"/>
    <col min="1275" max="1275" width="48.7109375" customWidth="1"/>
    <col min="1276" max="1277" width="9.5703125" customWidth="1"/>
    <col min="1278" max="1279" width="10.85546875" bestFit="1" customWidth="1"/>
    <col min="1280" max="1280" width="10.140625" bestFit="1" customWidth="1"/>
    <col min="1281" max="1281" width="10.28515625" customWidth="1"/>
    <col min="1282" max="1282" width="14" bestFit="1" customWidth="1"/>
    <col min="1530" max="1530" width="7.7109375" bestFit="1" customWidth="1"/>
    <col min="1531" max="1531" width="48.7109375" customWidth="1"/>
    <col min="1532" max="1533" width="9.5703125" customWidth="1"/>
    <col min="1534" max="1535" width="10.85546875" bestFit="1" customWidth="1"/>
    <col min="1536" max="1536" width="10.140625" bestFit="1" customWidth="1"/>
    <col min="1537" max="1537" width="10.28515625" customWidth="1"/>
    <col min="1538" max="1538" width="14" bestFit="1" customWidth="1"/>
    <col min="1786" max="1786" width="7.7109375" bestFit="1" customWidth="1"/>
    <col min="1787" max="1787" width="48.7109375" customWidth="1"/>
    <col min="1788" max="1789" width="9.5703125" customWidth="1"/>
    <col min="1790" max="1791" width="10.85546875" bestFit="1" customWidth="1"/>
    <col min="1792" max="1792" width="10.140625" bestFit="1" customWidth="1"/>
    <col min="1793" max="1793" width="10.28515625" customWidth="1"/>
    <col min="1794" max="1794" width="14" bestFit="1" customWidth="1"/>
    <col min="2042" max="2042" width="7.7109375" bestFit="1" customWidth="1"/>
    <col min="2043" max="2043" width="48.7109375" customWidth="1"/>
    <col min="2044" max="2045" width="9.5703125" customWidth="1"/>
    <col min="2046" max="2047" width="10.85546875" bestFit="1" customWidth="1"/>
    <col min="2048" max="2048" width="10.140625" bestFit="1" customWidth="1"/>
    <col min="2049" max="2049" width="10.28515625" customWidth="1"/>
    <col min="2050" max="2050" width="14" bestFit="1" customWidth="1"/>
    <col min="2298" max="2298" width="7.7109375" bestFit="1" customWidth="1"/>
    <col min="2299" max="2299" width="48.7109375" customWidth="1"/>
    <col min="2300" max="2301" width="9.5703125" customWidth="1"/>
    <col min="2302" max="2303" width="10.85546875" bestFit="1" customWidth="1"/>
    <col min="2304" max="2304" width="10.140625" bestFit="1" customWidth="1"/>
    <col min="2305" max="2305" width="10.28515625" customWidth="1"/>
    <col min="2306" max="2306" width="14" bestFit="1" customWidth="1"/>
    <col min="2554" max="2554" width="7.7109375" bestFit="1" customWidth="1"/>
    <col min="2555" max="2555" width="48.7109375" customWidth="1"/>
    <col min="2556" max="2557" width="9.5703125" customWidth="1"/>
    <col min="2558" max="2559" width="10.85546875" bestFit="1" customWidth="1"/>
    <col min="2560" max="2560" width="10.140625" bestFit="1" customWidth="1"/>
    <col min="2561" max="2561" width="10.28515625" customWidth="1"/>
    <col min="2562" max="2562" width="14" bestFit="1" customWidth="1"/>
    <col min="2810" max="2810" width="7.7109375" bestFit="1" customWidth="1"/>
    <col min="2811" max="2811" width="48.7109375" customWidth="1"/>
    <col min="2812" max="2813" width="9.5703125" customWidth="1"/>
    <col min="2814" max="2815" width="10.85546875" bestFit="1" customWidth="1"/>
    <col min="2816" max="2816" width="10.140625" bestFit="1" customWidth="1"/>
    <col min="2817" max="2817" width="10.28515625" customWidth="1"/>
    <col min="2818" max="2818" width="14" bestFit="1" customWidth="1"/>
    <col min="3066" max="3066" width="7.7109375" bestFit="1" customWidth="1"/>
    <col min="3067" max="3067" width="48.7109375" customWidth="1"/>
    <col min="3068" max="3069" width="9.5703125" customWidth="1"/>
    <col min="3070" max="3071" width="10.85546875" bestFit="1" customWidth="1"/>
    <col min="3072" max="3072" width="10.140625" bestFit="1" customWidth="1"/>
    <col min="3073" max="3073" width="10.28515625" customWidth="1"/>
    <col min="3074" max="3074" width="14" bestFit="1" customWidth="1"/>
    <col min="3322" max="3322" width="7.7109375" bestFit="1" customWidth="1"/>
    <col min="3323" max="3323" width="48.7109375" customWidth="1"/>
    <col min="3324" max="3325" width="9.5703125" customWidth="1"/>
    <col min="3326" max="3327" width="10.85546875" bestFit="1" customWidth="1"/>
    <col min="3328" max="3328" width="10.140625" bestFit="1" customWidth="1"/>
    <col min="3329" max="3329" width="10.28515625" customWidth="1"/>
    <col min="3330" max="3330" width="14" bestFit="1" customWidth="1"/>
    <col min="3578" max="3578" width="7.7109375" bestFit="1" customWidth="1"/>
    <col min="3579" max="3579" width="48.7109375" customWidth="1"/>
    <col min="3580" max="3581" width="9.5703125" customWidth="1"/>
    <col min="3582" max="3583" width="10.85546875" bestFit="1" customWidth="1"/>
    <col min="3584" max="3584" width="10.140625" bestFit="1" customWidth="1"/>
    <col min="3585" max="3585" width="10.28515625" customWidth="1"/>
    <col min="3586" max="3586" width="14" bestFit="1" customWidth="1"/>
    <col min="3834" max="3834" width="7.7109375" bestFit="1" customWidth="1"/>
    <col min="3835" max="3835" width="48.7109375" customWidth="1"/>
    <col min="3836" max="3837" width="9.5703125" customWidth="1"/>
    <col min="3838" max="3839" width="10.85546875" bestFit="1" customWidth="1"/>
    <col min="3840" max="3840" width="10.140625" bestFit="1" customWidth="1"/>
    <col min="3841" max="3841" width="10.28515625" customWidth="1"/>
    <col min="3842" max="3842" width="14" bestFit="1" customWidth="1"/>
    <col min="4090" max="4090" width="7.7109375" bestFit="1" customWidth="1"/>
    <col min="4091" max="4091" width="48.7109375" customWidth="1"/>
    <col min="4092" max="4093" width="9.5703125" customWidth="1"/>
    <col min="4094" max="4095" width="10.85546875" bestFit="1" customWidth="1"/>
    <col min="4096" max="4096" width="10.140625" bestFit="1" customWidth="1"/>
    <col min="4097" max="4097" width="10.28515625" customWidth="1"/>
    <col min="4098" max="4098" width="14" bestFit="1" customWidth="1"/>
    <col min="4346" max="4346" width="7.7109375" bestFit="1" customWidth="1"/>
    <col min="4347" max="4347" width="48.7109375" customWidth="1"/>
    <col min="4348" max="4349" width="9.5703125" customWidth="1"/>
    <col min="4350" max="4351" width="10.85546875" bestFit="1" customWidth="1"/>
    <col min="4352" max="4352" width="10.140625" bestFit="1" customWidth="1"/>
    <col min="4353" max="4353" width="10.28515625" customWidth="1"/>
    <col min="4354" max="4354" width="14" bestFit="1" customWidth="1"/>
    <col min="4602" max="4602" width="7.7109375" bestFit="1" customWidth="1"/>
    <col min="4603" max="4603" width="48.7109375" customWidth="1"/>
    <col min="4604" max="4605" width="9.5703125" customWidth="1"/>
    <col min="4606" max="4607" width="10.85546875" bestFit="1" customWidth="1"/>
    <col min="4608" max="4608" width="10.140625" bestFit="1" customWidth="1"/>
    <col min="4609" max="4609" width="10.28515625" customWidth="1"/>
    <col min="4610" max="4610" width="14" bestFit="1" customWidth="1"/>
    <col min="4858" max="4858" width="7.7109375" bestFit="1" customWidth="1"/>
    <col min="4859" max="4859" width="48.7109375" customWidth="1"/>
    <col min="4860" max="4861" width="9.5703125" customWidth="1"/>
    <col min="4862" max="4863" width="10.85546875" bestFit="1" customWidth="1"/>
    <col min="4864" max="4864" width="10.140625" bestFit="1" customWidth="1"/>
    <col min="4865" max="4865" width="10.28515625" customWidth="1"/>
    <col min="4866" max="4866" width="14" bestFit="1" customWidth="1"/>
    <col min="5114" max="5114" width="7.7109375" bestFit="1" customWidth="1"/>
    <col min="5115" max="5115" width="48.7109375" customWidth="1"/>
    <col min="5116" max="5117" width="9.5703125" customWidth="1"/>
    <col min="5118" max="5119" width="10.85546875" bestFit="1" customWidth="1"/>
    <col min="5120" max="5120" width="10.140625" bestFit="1" customWidth="1"/>
    <col min="5121" max="5121" width="10.28515625" customWidth="1"/>
    <col min="5122" max="5122" width="14" bestFit="1" customWidth="1"/>
    <col min="5370" max="5370" width="7.7109375" bestFit="1" customWidth="1"/>
    <col min="5371" max="5371" width="48.7109375" customWidth="1"/>
    <col min="5372" max="5373" width="9.5703125" customWidth="1"/>
    <col min="5374" max="5375" width="10.85546875" bestFit="1" customWidth="1"/>
    <col min="5376" max="5376" width="10.140625" bestFit="1" customWidth="1"/>
    <col min="5377" max="5377" width="10.28515625" customWidth="1"/>
    <col min="5378" max="5378" width="14" bestFit="1" customWidth="1"/>
    <col min="5626" max="5626" width="7.7109375" bestFit="1" customWidth="1"/>
    <col min="5627" max="5627" width="48.7109375" customWidth="1"/>
    <col min="5628" max="5629" width="9.5703125" customWidth="1"/>
    <col min="5630" max="5631" width="10.85546875" bestFit="1" customWidth="1"/>
    <col min="5632" max="5632" width="10.140625" bestFit="1" customWidth="1"/>
    <col min="5633" max="5633" width="10.28515625" customWidth="1"/>
    <col min="5634" max="5634" width="14" bestFit="1" customWidth="1"/>
    <col min="5882" max="5882" width="7.7109375" bestFit="1" customWidth="1"/>
    <col min="5883" max="5883" width="48.7109375" customWidth="1"/>
    <col min="5884" max="5885" width="9.5703125" customWidth="1"/>
    <col min="5886" max="5887" width="10.85546875" bestFit="1" customWidth="1"/>
    <col min="5888" max="5888" width="10.140625" bestFit="1" customWidth="1"/>
    <col min="5889" max="5889" width="10.28515625" customWidth="1"/>
    <col min="5890" max="5890" width="14" bestFit="1" customWidth="1"/>
    <col min="6138" max="6138" width="7.7109375" bestFit="1" customWidth="1"/>
    <col min="6139" max="6139" width="48.7109375" customWidth="1"/>
    <col min="6140" max="6141" width="9.5703125" customWidth="1"/>
    <col min="6142" max="6143" width="10.85546875" bestFit="1" customWidth="1"/>
    <col min="6144" max="6144" width="10.140625" bestFit="1" customWidth="1"/>
    <col min="6145" max="6145" width="10.28515625" customWidth="1"/>
    <col min="6146" max="6146" width="14" bestFit="1" customWidth="1"/>
    <col min="6394" max="6394" width="7.7109375" bestFit="1" customWidth="1"/>
    <col min="6395" max="6395" width="48.7109375" customWidth="1"/>
    <col min="6396" max="6397" width="9.5703125" customWidth="1"/>
    <col min="6398" max="6399" width="10.85546875" bestFit="1" customWidth="1"/>
    <col min="6400" max="6400" width="10.140625" bestFit="1" customWidth="1"/>
    <col min="6401" max="6401" width="10.28515625" customWidth="1"/>
    <col min="6402" max="6402" width="14" bestFit="1" customWidth="1"/>
    <col min="6650" max="6650" width="7.7109375" bestFit="1" customWidth="1"/>
    <col min="6651" max="6651" width="48.7109375" customWidth="1"/>
    <col min="6652" max="6653" width="9.5703125" customWidth="1"/>
    <col min="6654" max="6655" width="10.85546875" bestFit="1" customWidth="1"/>
    <col min="6656" max="6656" width="10.140625" bestFit="1" customWidth="1"/>
    <col min="6657" max="6657" width="10.28515625" customWidth="1"/>
    <col min="6658" max="6658" width="14" bestFit="1" customWidth="1"/>
    <col min="6906" max="6906" width="7.7109375" bestFit="1" customWidth="1"/>
    <col min="6907" max="6907" width="48.7109375" customWidth="1"/>
    <col min="6908" max="6909" width="9.5703125" customWidth="1"/>
    <col min="6910" max="6911" width="10.85546875" bestFit="1" customWidth="1"/>
    <col min="6912" max="6912" width="10.140625" bestFit="1" customWidth="1"/>
    <col min="6913" max="6913" width="10.28515625" customWidth="1"/>
    <col min="6914" max="6914" width="14" bestFit="1" customWidth="1"/>
    <col min="7162" max="7162" width="7.7109375" bestFit="1" customWidth="1"/>
    <col min="7163" max="7163" width="48.7109375" customWidth="1"/>
    <col min="7164" max="7165" width="9.5703125" customWidth="1"/>
    <col min="7166" max="7167" width="10.85546875" bestFit="1" customWidth="1"/>
    <col min="7168" max="7168" width="10.140625" bestFit="1" customWidth="1"/>
    <col min="7169" max="7169" width="10.28515625" customWidth="1"/>
    <col min="7170" max="7170" width="14" bestFit="1" customWidth="1"/>
    <col min="7418" max="7418" width="7.7109375" bestFit="1" customWidth="1"/>
    <col min="7419" max="7419" width="48.7109375" customWidth="1"/>
    <col min="7420" max="7421" width="9.5703125" customWidth="1"/>
    <col min="7422" max="7423" width="10.85546875" bestFit="1" customWidth="1"/>
    <col min="7424" max="7424" width="10.140625" bestFit="1" customWidth="1"/>
    <col min="7425" max="7425" width="10.28515625" customWidth="1"/>
    <col min="7426" max="7426" width="14" bestFit="1" customWidth="1"/>
    <col min="7674" max="7674" width="7.7109375" bestFit="1" customWidth="1"/>
    <col min="7675" max="7675" width="48.7109375" customWidth="1"/>
    <col min="7676" max="7677" width="9.5703125" customWidth="1"/>
    <col min="7678" max="7679" width="10.85546875" bestFit="1" customWidth="1"/>
    <col min="7680" max="7680" width="10.140625" bestFit="1" customWidth="1"/>
    <col min="7681" max="7681" width="10.28515625" customWidth="1"/>
    <col min="7682" max="7682" width="14" bestFit="1" customWidth="1"/>
    <col min="7930" max="7930" width="7.7109375" bestFit="1" customWidth="1"/>
    <col min="7931" max="7931" width="48.7109375" customWidth="1"/>
    <col min="7932" max="7933" width="9.5703125" customWidth="1"/>
    <col min="7934" max="7935" width="10.85546875" bestFit="1" customWidth="1"/>
    <col min="7936" max="7936" width="10.140625" bestFit="1" customWidth="1"/>
    <col min="7937" max="7937" width="10.28515625" customWidth="1"/>
    <col min="7938" max="7938" width="14" bestFit="1" customWidth="1"/>
    <col min="8186" max="8186" width="7.7109375" bestFit="1" customWidth="1"/>
    <col min="8187" max="8187" width="48.7109375" customWidth="1"/>
    <col min="8188" max="8189" width="9.5703125" customWidth="1"/>
    <col min="8190" max="8191" width="10.85546875" bestFit="1" customWidth="1"/>
    <col min="8192" max="8192" width="10.140625" bestFit="1" customWidth="1"/>
    <col min="8193" max="8193" width="10.28515625" customWidth="1"/>
    <col min="8194" max="8194" width="14" bestFit="1" customWidth="1"/>
    <col min="8442" max="8442" width="7.7109375" bestFit="1" customWidth="1"/>
    <col min="8443" max="8443" width="48.7109375" customWidth="1"/>
    <col min="8444" max="8445" width="9.5703125" customWidth="1"/>
    <col min="8446" max="8447" width="10.85546875" bestFit="1" customWidth="1"/>
    <col min="8448" max="8448" width="10.140625" bestFit="1" customWidth="1"/>
    <col min="8449" max="8449" width="10.28515625" customWidth="1"/>
    <col min="8450" max="8450" width="14" bestFit="1" customWidth="1"/>
    <col min="8698" max="8698" width="7.7109375" bestFit="1" customWidth="1"/>
    <col min="8699" max="8699" width="48.7109375" customWidth="1"/>
    <col min="8700" max="8701" width="9.5703125" customWidth="1"/>
    <col min="8702" max="8703" width="10.85546875" bestFit="1" customWidth="1"/>
    <col min="8704" max="8704" width="10.140625" bestFit="1" customWidth="1"/>
    <col min="8705" max="8705" width="10.28515625" customWidth="1"/>
    <col min="8706" max="8706" width="14" bestFit="1" customWidth="1"/>
    <col min="8954" max="8954" width="7.7109375" bestFit="1" customWidth="1"/>
    <col min="8955" max="8955" width="48.7109375" customWidth="1"/>
    <col min="8956" max="8957" width="9.5703125" customWidth="1"/>
    <col min="8958" max="8959" width="10.85546875" bestFit="1" customWidth="1"/>
    <col min="8960" max="8960" width="10.140625" bestFit="1" customWidth="1"/>
    <col min="8961" max="8961" width="10.28515625" customWidth="1"/>
    <col min="8962" max="8962" width="14" bestFit="1" customWidth="1"/>
    <col min="9210" max="9210" width="7.7109375" bestFit="1" customWidth="1"/>
    <col min="9211" max="9211" width="48.7109375" customWidth="1"/>
    <col min="9212" max="9213" width="9.5703125" customWidth="1"/>
    <col min="9214" max="9215" width="10.85546875" bestFit="1" customWidth="1"/>
    <col min="9216" max="9216" width="10.140625" bestFit="1" customWidth="1"/>
    <col min="9217" max="9217" width="10.28515625" customWidth="1"/>
    <col min="9218" max="9218" width="14" bestFit="1" customWidth="1"/>
    <col min="9466" max="9466" width="7.7109375" bestFit="1" customWidth="1"/>
    <col min="9467" max="9467" width="48.7109375" customWidth="1"/>
    <col min="9468" max="9469" width="9.5703125" customWidth="1"/>
    <col min="9470" max="9471" width="10.85546875" bestFit="1" customWidth="1"/>
    <col min="9472" max="9472" width="10.140625" bestFit="1" customWidth="1"/>
    <col min="9473" max="9473" width="10.28515625" customWidth="1"/>
    <col min="9474" max="9474" width="14" bestFit="1" customWidth="1"/>
    <col min="9722" max="9722" width="7.7109375" bestFit="1" customWidth="1"/>
    <col min="9723" max="9723" width="48.7109375" customWidth="1"/>
    <col min="9724" max="9725" width="9.5703125" customWidth="1"/>
    <col min="9726" max="9727" width="10.85546875" bestFit="1" customWidth="1"/>
    <col min="9728" max="9728" width="10.140625" bestFit="1" customWidth="1"/>
    <col min="9729" max="9729" width="10.28515625" customWidth="1"/>
    <col min="9730" max="9730" width="14" bestFit="1" customWidth="1"/>
    <col min="9978" max="9978" width="7.7109375" bestFit="1" customWidth="1"/>
    <col min="9979" max="9979" width="48.7109375" customWidth="1"/>
    <col min="9980" max="9981" width="9.5703125" customWidth="1"/>
    <col min="9982" max="9983" width="10.85546875" bestFit="1" customWidth="1"/>
    <col min="9984" max="9984" width="10.140625" bestFit="1" customWidth="1"/>
    <col min="9985" max="9985" width="10.28515625" customWidth="1"/>
    <col min="9986" max="9986" width="14" bestFit="1" customWidth="1"/>
    <col min="10234" max="10234" width="7.7109375" bestFit="1" customWidth="1"/>
    <col min="10235" max="10235" width="48.7109375" customWidth="1"/>
    <col min="10236" max="10237" width="9.5703125" customWidth="1"/>
    <col min="10238" max="10239" width="10.85546875" bestFit="1" customWidth="1"/>
    <col min="10240" max="10240" width="10.140625" bestFit="1" customWidth="1"/>
    <col min="10241" max="10241" width="10.28515625" customWidth="1"/>
    <col min="10242" max="10242" width="14" bestFit="1" customWidth="1"/>
    <col min="10490" max="10490" width="7.7109375" bestFit="1" customWidth="1"/>
    <col min="10491" max="10491" width="48.7109375" customWidth="1"/>
    <col min="10492" max="10493" width="9.5703125" customWidth="1"/>
    <col min="10494" max="10495" width="10.85546875" bestFit="1" customWidth="1"/>
    <col min="10496" max="10496" width="10.140625" bestFit="1" customWidth="1"/>
    <col min="10497" max="10497" width="10.28515625" customWidth="1"/>
    <col min="10498" max="10498" width="14" bestFit="1" customWidth="1"/>
    <col min="10746" max="10746" width="7.7109375" bestFit="1" customWidth="1"/>
    <col min="10747" max="10747" width="48.7109375" customWidth="1"/>
    <col min="10748" max="10749" width="9.5703125" customWidth="1"/>
    <col min="10750" max="10751" width="10.85546875" bestFit="1" customWidth="1"/>
    <col min="10752" max="10752" width="10.140625" bestFit="1" customWidth="1"/>
    <col min="10753" max="10753" width="10.28515625" customWidth="1"/>
    <col min="10754" max="10754" width="14" bestFit="1" customWidth="1"/>
    <col min="11002" max="11002" width="7.7109375" bestFit="1" customWidth="1"/>
    <col min="11003" max="11003" width="48.7109375" customWidth="1"/>
    <col min="11004" max="11005" width="9.5703125" customWidth="1"/>
    <col min="11006" max="11007" width="10.85546875" bestFit="1" customWidth="1"/>
    <col min="11008" max="11008" width="10.140625" bestFit="1" customWidth="1"/>
    <col min="11009" max="11009" width="10.28515625" customWidth="1"/>
    <col min="11010" max="11010" width="14" bestFit="1" customWidth="1"/>
    <col min="11258" max="11258" width="7.7109375" bestFit="1" customWidth="1"/>
    <col min="11259" max="11259" width="48.7109375" customWidth="1"/>
    <col min="11260" max="11261" width="9.5703125" customWidth="1"/>
    <col min="11262" max="11263" width="10.85546875" bestFit="1" customWidth="1"/>
    <col min="11264" max="11264" width="10.140625" bestFit="1" customWidth="1"/>
    <col min="11265" max="11265" width="10.28515625" customWidth="1"/>
    <col min="11266" max="11266" width="14" bestFit="1" customWidth="1"/>
    <col min="11514" max="11514" width="7.7109375" bestFit="1" customWidth="1"/>
    <col min="11515" max="11515" width="48.7109375" customWidth="1"/>
    <col min="11516" max="11517" width="9.5703125" customWidth="1"/>
    <col min="11518" max="11519" width="10.85546875" bestFit="1" customWidth="1"/>
    <col min="11520" max="11520" width="10.140625" bestFit="1" customWidth="1"/>
    <col min="11521" max="11521" width="10.28515625" customWidth="1"/>
    <col min="11522" max="11522" width="14" bestFit="1" customWidth="1"/>
    <col min="11770" max="11770" width="7.7109375" bestFit="1" customWidth="1"/>
    <col min="11771" max="11771" width="48.7109375" customWidth="1"/>
    <col min="11772" max="11773" width="9.5703125" customWidth="1"/>
    <col min="11774" max="11775" width="10.85546875" bestFit="1" customWidth="1"/>
    <col min="11776" max="11776" width="10.140625" bestFit="1" customWidth="1"/>
    <col min="11777" max="11777" width="10.28515625" customWidth="1"/>
    <col min="11778" max="11778" width="14" bestFit="1" customWidth="1"/>
    <col min="12026" max="12026" width="7.7109375" bestFit="1" customWidth="1"/>
    <col min="12027" max="12027" width="48.7109375" customWidth="1"/>
    <col min="12028" max="12029" width="9.5703125" customWidth="1"/>
    <col min="12030" max="12031" width="10.85546875" bestFit="1" customWidth="1"/>
    <col min="12032" max="12032" width="10.140625" bestFit="1" customWidth="1"/>
    <col min="12033" max="12033" width="10.28515625" customWidth="1"/>
    <col min="12034" max="12034" width="14" bestFit="1" customWidth="1"/>
    <col min="12282" max="12282" width="7.7109375" bestFit="1" customWidth="1"/>
    <col min="12283" max="12283" width="48.7109375" customWidth="1"/>
    <col min="12284" max="12285" width="9.5703125" customWidth="1"/>
    <col min="12286" max="12287" width="10.85546875" bestFit="1" customWidth="1"/>
    <col min="12288" max="12288" width="10.140625" bestFit="1" customWidth="1"/>
    <col min="12289" max="12289" width="10.28515625" customWidth="1"/>
    <col min="12290" max="12290" width="14" bestFit="1" customWidth="1"/>
    <col min="12538" max="12538" width="7.7109375" bestFit="1" customWidth="1"/>
    <col min="12539" max="12539" width="48.7109375" customWidth="1"/>
    <col min="12540" max="12541" width="9.5703125" customWidth="1"/>
    <col min="12542" max="12543" width="10.85546875" bestFit="1" customWidth="1"/>
    <col min="12544" max="12544" width="10.140625" bestFit="1" customWidth="1"/>
    <col min="12545" max="12545" width="10.28515625" customWidth="1"/>
    <col min="12546" max="12546" width="14" bestFit="1" customWidth="1"/>
    <col min="12794" max="12794" width="7.7109375" bestFit="1" customWidth="1"/>
    <col min="12795" max="12795" width="48.7109375" customWidth="1"/>
    <col min="12796" max="12797" width="9.5703125" customWidth="1"/>
    <col min="12798" max="12799" width="10.85546875" bestFit="1" customWidth="1"/>
    <col min="12800" max="12800" width="10.140625" bestFit="1" customWidth="1"/>
    <col min="12801" max="12801" width="10.28515625" customWidth="1"/>
    <col min="12802" max="12802" width="14" bestFit="1" customWidth="1"/>
    <col min="13050" max="13050" width="7.7109375" bestFit="1" customWidth="1"/>
    <col min="13051" max="13051" width="48.7109375" customWidth="1"/>
    <col min="13052" max="13053" width="9.5703125" customWidth="1"/>
    <col min="13054" max="13055" width="10.85546875" bestFit="1" customWidth="1"/>
    <col min="13056" max="13056" width="10.140625" bestFit="1" customWidth="1"/>
    <col min="13057" max="13057" width="10.28515625" customWidth="1"/>
    <col min="13058" max="13058" width="14" bestFit="1" customWidth="1"/>
    <col min="13306" max="13306" width="7.7109375" bestFit="1" customWidth="1"/>
    <col min="13307" max="13307" width="48.7109375" customWidth="1"/>
    <col min="13308" max="13309" width="9.5703125" customWidth="1"/>
    <col min="13310" max="13311" width="10.85546875" bestFit="1" customWidth="1"/>
    <col min="13312" max="13312" width="10.140625" bestFit="1" customWidth="1"/>
    <col min="13313" max="13313" width="10.28515625" customWidth="1"/>
    <col min="13314" max="13314" width="14" bestFit="1" customWidth="1"/>
    <col min="13562" max="13562" width="7.7109375" bestFit="1" customWidth="1"/>
    <col min="13563" max="13563" width="48.7109375" customWidth="1"/>
    <col min="13564" max="13565" width="9.5703125" customWidth="1"/>
    <col min="13566" max="13567" width="10.85546875" bestFit="1" customWidth="1"/>
    <col min="13568" max="13568" width="10.140625" bestFit="1" customWidth="1"/>
    <col min="13569" max="13569" width="10.28515625" customWidth="1"/>
    <col min="13570" max="13570" width="14" bestFit="1" customWidth="1"/>
    <col min="13818" max="13818" width="7.7109375" bestFit="1" customWidth="1"/>
    <col min="13819" max="13819" width="48.7109375" customWidth="1"/>
    <col min="13820" max="13821" width="9.5703125" customWidth="1"/>
    <col min="13822" max="13823" width="10.85546875" bestFit="1" customWidth="1"/>
    <col min="13824" max="13824" width="10.140625" bestFit="1" customWidth="1"/>
    <col min="13825" max="13825" width="10.28515625" customWidth="1"/>
    <col min="13826" max="13826" width="14" bestFit="1" customWidth="1"/>
    <col min="14074" max="14074" width="7.7109375" bestFit="1" customWidth="1"/>
    <col min="14075" max="14075" width="48.7109375" customWidth="1"/>
    <col min="14076" max="14077" width="9.5703125" customWidth="1"/>
    <col min="14078" max="14079" width="10.85546875" bestFit="1" customWidth="1"/>
    <col min="14080" max="14080" width="10.140625" bestFit="1" customWidth="1"/>
    <col min="14081" max="14081" width="10.28515625" customWidth="1"/>
    <col min="14082" max="14082" width="14" bestFit="1" customWidth="1"/>
    <col min="14330" max="14330" width="7.7109375" bestFit="1" customWidth="1"/>
    <col min="14331" max="14331" width="48.7109375" customWidth="1"/>
    <col min="14332" max="14333" width="9.5703125" customWidth="1"/>
    <col min="14334" max="14335" width="10.85546875" bestFit="1" customWidth="1"/>
    <col min="14336" max="14336" width="10.140625" bestFit="1" customWidth="1"/>
    <col min="14337" max="14337" width="10.28515625" customWidth="1"/>
    <col min="14338" max="14338" width="14" bestFit="1" customWidth="1"/>
    <col min="14586" max="14586" width="7.7109375" bestFit="1" customWidth="1"/>
    <col min="14587" max="14587" width="48.7109375" customWidth="1"/>
    <col min="14588" max="14589" width="9.5703125" customWidth="1"/>
    <col min="14590" max="14591" width="10.85546875" bestFit="1" customWidth="1"/>
    <col min="14592" max="14592" width="10.140625" bestFit="1" customWidth="1"/>
    <col min="14593" max="14593" width="10.28515625" customWidth="1"/>
    <col min="14594" max="14594" width="14" bestFit="1" customWidth="1"/>
    <col min="14842" max="14842" width="7.7109375" bestFit="1" customWidth="1"/>
    <col min="14843" max="14843" width="48.7109375" customWidth="1"/>
    <col min="14844" max="14845" width="9.5703125" customWidth="1"/>
    <col min="14846" max="14847" width="10.85546875" bestFit="1" customWidth="1"/>
    <col min="14848" max="14848" width="10.140625" bestFit="1" customWidth="1"/>
    <col min="14849" max="14849" width="10.28515625" customWidth="1"/>
    <col min="14850" max="14850" width="14" bestFit="1" customWidth="1"/>
    <col min="15098" max="15098" width="7.7109375" bestFit="1" customWidth="1"/>
    <col min="15099" max="15099" width="48.7109375" customWidth="1"/>
    <col min="15100" max="15101" width="9.5703125" customWidth="1"/>
    <col min="15102" max="15103" width="10.85546875" bestFit="1" customWidth="1"/>
    <col min="15104" max="15104" width="10.140625" bestFit="1" customWidth="1"/>
    <col min="15105" max="15105" width="10.28515625" customWidth="1"/>
    <col min="15106" max="15106" width="14" bestFit="1" customWidth="1"/>
    <col min="15354" max="15354" width="7.7109375" bestFit="1" customWidth="1"/>
    <col min="15355" max="15355" width="48.7109375" customWidth="1"/>
    <col min="15356" max="15357" width="9.5703125" customWidth="1"/>
    <col min="15358" max="15359" width="10.85546875" bestFit="1" customWidth="1"/>
    <col min="15360" max="15360" width="10.140625" bestFit="1" customWidth="1"/>
    <col min="15361" max="15361" width="10.28515625" customWidth="1"/>
    <col min="15362" max="15362" width="14" bestFit="1" customWidth="1"/>
    <col min="15610" max="15610" width="7.7109375" bestFit="1" customWidth="1"/>
    <col min="15611" max="15611" width="48.7109375" customWidth="1"/>
    <col min="15612" max="15613" width="9.5703125" customWidth="1"/>
    <col min="15614" max="15615" width="10.85546875" bestFit="1" customWidth="1"/>
    <col min="15616" max="15616" width="10.140625" bestFit="1" customWidth="1"/>
    <col min="15617" max="15617" width="10.28515625" customWidth="1"/>
    <col min="15618" max="15618" width="14" bestFit="1" customWidth="1"/>
    <col min="15866" max="15866" width="7.7109375" bestFit="1" customWidth="1"/>
    <col min="15867" max="15867" width="48.7109375" customWidth="1"/>
    <col min="15868" max="15869" width="9.5703125" customWidth="1"/>
    <col min="15870" max="15871" width="10.85546875" bestFit="1" customWidth="1"/>
    <col min="15872" max="15872" width="10.140625" bestFit="1" customWidth="1"/>
    <col min="15873" max="15873" width="10.28515625" customWidth="1"/>
    <col min="15874" max="15874" width="14" bestFit="1" customWidth="1"/>
    <col min="16122" max="16122" width="7.7109375" bestFit="1" customWidth="1"/>
    <col min="16123" max="16123" width="48.7109375" customWidth="1"/>
    <col min="16124" max="16125" width="9.5703125" customWidth="1"/>
    <col min="16126" max="16127" width="10.85546875" bestFit="1" customWidth="1"/>
    <col min="16128" max="16128" width="10.140625" bestFit="1" customWidth="1"/>
    <col min="16129" max="16129" width="10.28515625" customWidth="1"/>
    <col min="16130" max="16130" width="14" bestFit="1" customWidth="1"/>
  </cols>
  <sheetData>
    <row r="1" spans="1:18" x14ac:dyDescent="0.25">
      <c r="F1" s="32"/>
      <c r="G1" s="336"/>
      <c r="I1" s="32"/>
      <c r="J1" s="336"/>
      <c r="L1" s="32"/>
      <c r="M1" s="336"/>
      <c r="O1" s="32"/>
      <c r="P1" s="336"/>
      <c r="R1" s="32" t="s">
        <v>302</v>
      </c>
    </row>
    <row r="2" spans="1:18" ht="15" customHeight="1" x14ac:dyDescent="0.25">
      <c r="A2" s="972" t="s">
        <v>545</v>
      </c>
      <c r="B2" s="971" t="s">
        <v>306</v>
      </c>
      <c r="C2" s="966" t="s">
        <v>345</v>
      </c>
      <c r="D2" s="973" t="s">
        <v>1229</v>
      </c>
      <c r="E2" s="966" t="s">
        <v>1218</v>
      </c>
      <c r="F2" s="966" t="s">
        <v>1214</v>
      </c>
      <c r="G2" s="969" t="s">
        <v>1229</v>
      </c>
      <c r="H2" s="966" t="s">
        <v>1218</v>
      </c>
      <c r="I2" s="966" t="s">
        <v>1214</v>
      </c>
      <c r="J2" s="969" t="s">
        <v>1229</v>
      </c>
      <c r="K2" s="966" t="s">
        <v>1218</v>
      </c>
      <c r="L2" s="966" t="s">
        <v>1214</v>
      </c>
      <c r="M2" s="969" t="s">
        <v>1229</v>
      </c>
      <c r="N2" s="966" t="s">
        <v>1218</v>
      </c>
      <c r="O2" s="966" t="s">
        <v>1214</v>
      </c>
      <c r="P2" s="969" t="s">
        <v>1229</v>
      </c>
      <c r="Q2" s="966" t="s">
        <v>1218</v>
      </c>
      <c r="R2" s="966" t="s">
        <v>1214</v>
      </c>
    </row>
    <row r="3" spans="1:18" ht="34.5" customHeight="1" x14ac:dyDescent="0.25">
      <c r="A3" s="972"/>
      <c r="B3" s="971"/>
      <c r="C3" s="967"/>
      <c r="D3" s="974"/>
      <c r="E3" s="967"/>
      <c r="F3" s="967"/>
      <c r="G3" s="970"/>
      <c r="H3" s="967"/>
      <c r="I3" s="967"/>
      <c r="J3" s="970"/>
      <c r="K3" s="967"/>
      <c r="L3" s="967"/>
      <c r="M3" s="970"/>
      <c r="N3" s="967"/>
      <c r="O3" s="967"/>
      <c r="P3" s="970"/>
      <c r="Q3" s="967"/>
      <c r="R3" s="967"/>
    </row>
    <row r="4" spans="1:18" s="31" customFormat="1" ht="38.25" customHeight="1" x14ac:dyDescent="0.25">
      <c r="A4" s="972"/>
      <c r="B4" s="971"/>
      <c r="C4" s="329" t="s">
        <v>1187</v>
      </c>
      <c r="D4" s="968" t="s">
        <v>1215</v>
      </c>
      <c r="E4" s="948"/>
      <c r="F4" s="949"/>
      <c r="G4" s="968" t="s">
        <v>1234</v>
      </c>
      <c r="H4" s="948"/>
      <c r="I4" s="949"/>
      <c r="J4" s="968" t="s">
        <v>1235</v>
      </c>
      <c r="K4" s="948"/>
      <c r="L4" s="949"/>
      <c r="M4" s="968" t="s">
        <v>1246</v>
      </c>
      <c r="N4" s="948"/>
      <c r="O4" s="949"/>
      <c r="P4" s="968" t="s">
        <v>1247</v>
      </c>
      <c r="Q4" s="948"/>
      <c r="R4" s="949"/>
    </row>
    <row r="5" spans="1:18" s="31" customFormat="1" ht="30" x14ac:dyDescent="0.25">
      <c r="A5" s="275" t="s">
        <v>315</v>
      </c>
      <c r="B5" s="306" t="s">
        <v>346</v>
      </c>
      <c r="C5" s="276">
        <f t="shared" ref="C5:I5" si="0">C6+C20+C34+C48+C72+C96+C115</f>
        <v>947288</v>
      </c>
      <c r="D5" s="337">
        <f t="shared" si="0"/>
        <v>161.5</v>
      </c>
      <c r="E5" s="276">
        <f t="shared" si="0"/>
        <v>0</v>
      </c>
      <c r="F5" s="276">
        <f t="shared" si="0"/>
        <v>947288</v>
      </c>
      <c r="G5" s="337">
        <f t="shared" si="0"/>
        <v>161.5</v>
      </c>
      <c r="H5" s="276">
        <f t="shared" si="0"/>
        <v>0</v>
      </c>
      <c r="I5" s="276">
        <f t="shared" si="0"/>
        <v>973555</v>
      </c>
      <c r="J5" s="337">
        <f t="shared" ref="J5:L5" si="1">J6+J20+J34+J48+J72+J96+J115</f>
        <v>161.5</v>
      </c>
      <c r="K5" s="276">
        <f t="shared" si="1"/>
        <v>0</v>
      </c>
      <c r="L5" s="276">
        <f t="shared" si="1"/>
        <v>1001942</v>
      </c>
      <c r="M5" s="337">
        <f t="shared" ref="M5:R5" si="2">M6+M20+M34+M48+M72+M96+M115</f>
        <v>161.5</v>
      </c>
      <c r="N5" s="276">
        <f t="shared" si="2"/>
        <v>0</v>
      </c>
      <c r="O5" s="276">
        <f t="shared" si="2"/>
        <v>985865</v>
      </c>
      <c r="P5" s="337">
        <f t="shared" si="2"/>
        <v>0</v>
      </c>
      <c r="Q5" s="276">
        <f t="shared" si="2"/>
        <v>0</v>
      </c>
      <c r="R5" s="276">
        <f t="shared" si="2"/>
        <v>0</v>
      </c>
    </row>
    <row r="6" spans="1:18" s="44" customFormat="1" x14ac:dyDescent="0.25">
      <c r="A6" s="307" t="s">
        <v>1269</v>
      </c>
      <c r="B6" s="308" t="s">
        <v>347</v>
      </c>
      <c r="C6" s="309">
        <f t="shared" ref="C6" si="3">C7+C19</f>
        <v>75667</v>
      </c>
      <c r="D6" s="338">
        <f t="shared" ref="D6:F6" si="4">D7+D19</f>
        <v>12.5</v>
      </c>
      <c r="E6" s="309">
        <f t="shared" si="4"/>
        <v>0</v>
      </c>
      <c r="F6" s="309">
        <f t="shared" si="4"/>
        <v>75667</v>
      </c>
      <c r="G6" s="338">
        <f t="shared" ref="G6:I6" si="5">G7+G19</f>
        <v>12.5</v>
      </c>
      <c r="H6" s="309">
        <f t="shared" si="5"/>
        <v>0</v>
      </c>
      <c r="I6" s="309">
        <f t="shared" si="5"/>
        <v>77134</v>
      </c>
      <c r="J6" s="338">
        <f t="shared" ref="J6:L6" si="6">J7+J19</f>
        <v>12.5</v>
      </c>
      <c r="K6" s="309">
        <f t="shared" si="6"/>
        <v>0</v>
      </c>
      <c r="L6" s="309">
        <f t="shared" si="6"/>
        <v>77134</v>
      </c>
      <c r="M6" s="338">
        <f t="shared" ref="M6:R6" si="7">M7+M19</f>
        <v>12.5</v>
      </c>
      <c r="N6" s="309">
        <f t="shared" si="7"/>
        <v>0</v>
      </c>
      <c r="O6" s="309">
        <f t="shared" si="7"/>
        <v>74745</v>
      </c>
      <c r="P6" s="338">
        <f t="shared" si="7"/>
        <v>0</v>
      </c>
      <c r="Q6" s="309">
        <f t="shared" si="7"/>
        <v>0</v>
      </c>
      <c r="R6" s="309">
        <f t="shared" si="7"/>
        <v>0</v>
      </c>
    </row>
    <row r="7" spans="1:18" x14ac:dyDescent="0.25">
      <c r="A7" s="310" t="s">
        <v>309</v>
      </c>
      <c r="B7" s="311" t="s">
        <v>348</v>
      </c>
      <c r="C7" s="312">
        <f>C8+C14</f>
        <v>75667</v>
      </c>
      <c r="D7" s="339">
        <f>D8+D14</f>
        <v>12.5</v>
      </c>
      <c r="E7" s="312">
        <f t="shared" ref="E7:F7" si="8">E8+E14</f>
        <v>0</v>
      </c>
      <c r="F7" s="312">
        <f t="shared" si="8"/>
        <v>75667</v>
      </c>
      <c r="G7" s="339">
        <f>G8+G14</f>
        <v>12.5</v>
      </c>
      <c r="H7" s="312">
        <f t="shared" ref="H7:I7" si="9">H8+H14</f>
        <v>0</v>
      </c>
      <c r="I7" s="312">
        <f t="shared" si="9"/>
        <v>77134</v>
      </c>
      <c r="J7" s="339">
        <f>J8+J14</f>
        <v>12.5</v>
      </c>
      <c r="K7" s="312">
        <f t="shared" ref="K7:L7" si="10">K8+K14</f>
        <v>0</v>
      </c>
      <c r="L7" s="312">
        <f t="shared" si="10"/>
        <v>77134</v>
      </c>
      <c r="M7" s="339">
        <f>M8+M14</f>
        <v>12.5</v>
      </c>
      <c r="N7" s="312">
        <f t="shared" ref="N7:O7" si="11">N8+N14</f>
        <v>0</v>
      </c>
      <c r="O7" s="312">
        <f t="shared" si="11"/>
        <v>74745</v>
      </c>
      <c r="P7" s="339">
        <f>P8+P14</f>
        <v>0</v>
      </c>
      <c r="Q7" s="312">
        <f t="shared" ref="Q7:R7" si="12">Q8+Q14</f>
        <v>0</v>
      </c>
      <c r="R7" s="312">
        <f t="shared" si="12"/>
        <v>0</v>
      </c>
    </row>
    <row r="8" spans="1:18" x14ac:dyDescent="0.25">
      <c r="A8" s="280" t="s">
        <v>311</v>
      </c>
      <c r="B8" s="281" t="s">
        <v>349</v>
      </c>
      <c r="C8" s="282">
        <f>SUM(C9:C13)</f>
        <v>66541</v>
      </c>
      <c r="D8" s="340">
        <v>12.5</v>
      </c>
      <c r="E8" s="282">
        <f t="shared" ref="E8:F8" si="13">SUM(E9:E13)</f>
        <v>0</v>
      </c>
      <c r="F8" s="282">
        <f t="shared" si="13"/>
        <v>66541</v>
      </c>
      <c r="G8" s="340">
        <v>12.5</v>
      </c>
      <c r="H8" s="282">
        <f t="shared" ref="H8:I8" si="14">SUM(H9:H13)</f>
        <v>0</v>
      </c>
      <c r="I8" s="282">
        <f t="shared" si="14"/>
        <v>68008</v>
      </c>
      <c r="J8" s="340">
        <v>12.5</v>
      </c>
      <c r="K8" s="282">
        <f t="shared" ref="K8:L8" si="15">SUM(K9:K13)</f>
        <v>0</v>
      </c>
      <c r="L8" s="282">
        <f t="shared" si="15"/>
        <v>68008</v>
      </c>
      <c r="M8" s="340">
        <v>12.5</v>
      </c>
      <c r="N8" s="282">
        <f t="shared" ref="N8:O8" si="16">SUM(N9:N13)</f>
        <v>0</v>
      </c>
      <c r="O8" s="282">
        <f t="shared" si="16"/>
        <v>65993</v>
      </c>
      <c r="P8" s="340"/>
      <c r="Q8" s="282">
        <f t="shared" ref="Q8:R8" si="17">SUM(Q9:Q13)</f>
        <v>0</v>
      </c>
      <c r="R8" s="282">
        <f t="shared" si="17"/>
        <v>0</v>
      </c>
    </row>
    <row r="9" spans="1:18" x14ac:dyDescent="0.25">
      <c r="A9" s="283"/>
      <c r="B9" s="284" t="s">
        <v>286</v>
      </c>
      <c r="C9" s="239">
        <v>49362</v>
      </c>
      <c r="D9" s="341"/>
      <c r="E9" s="239"/>
      <c r="F9" s="239">
        <v>49362</v>
      </c>
      <c r="G9" s="341"/>
      <c r="H9" s="239"/>
      <c r="I9" s="239">
        <f>49362+4+889</f>
        <v>50255</v>
      </c>
      <c r="J9" s="341"/>
      <c r="K9" s="239"/>
      <c r="L9" s="239">
        <v>50255</v>
      </c>
      <c r="M9" s="341"/>
      <c r="N9" s="239"/>
      <c r="O9" s="239">
        <v>48554</v>
      </c>
      <c r="P9" s="341"/>
      <c r="Q9" s="239"/>
      <c r="R9" s="239"/>
    </row>
    <row r="10" spans="1:18" x14ac:dyDescent="0.25">
      <c r="A10" s="283"/>
      <c r="B10" s="284" t="s">
        <v>350</v>
      </c>
      <c r="C10" s="239">
        <v>10768</v>
      </c>
      <c r="D10" s="341"/>
      <c r="E10" s="239"/>
      <c r="F10" s="239">
        <v>10768</v>
      </c>
      <c r="G10" s="341"/>
      <c r="H10" s="239"/>
      <c r="I10" s="239">
        <f>10768+1+196</f>
        <v>10965</v>
      </c>
      <c r="J10" s="341"/>
      <c r="K10" s="239"/>
      <c r="L10" s="239">
        <v>10965</v>
      </c>
      <c r="M10" s="341"/>
      <c r="N10" s="239"/>
      <c r="O10" s="239">
        <v>10987</v>
      </c>
      <c r="P10" s="341"/>
      <c r="Q10" s="239"/>
      <c r="R10" s="239"/>
    </row>
    <row r="11" spans="1:18" x14ac:dyDescent="0.25">
      <c r="A11" s="283"/>
      <c r="B11" s="284" t="s">
        <v>292</v>
      </c>
      <c r="C11" s="239">
        <v>5566</v>
      </c>
      <c r="D11" s="341"/>
      <c r="E11" s="239"/>
      <c r="F11" s="239">
        <v>5566</v>
      </c>
      <c r="G11" s="341"/>
      <c r="H11" s="239"/>
      <c r="I11" s="239">
        <v>5566</v>
      </c>
      <c r="J11" s="341"/>
      <c r="K11" s="239"/>
      <c r="L11" s="239">
        <v>5566</v>
      </c>
      <c r="M11" s="341"/>
      <c r="N11" s="239"/>
      <c r="O11" s="239">
        <v>5212</v>
      </c>
      <c r="P11" s="341"/>
      <c r="Q11" s="239"/>
      <c r="R11" s="239"/>
    </row>
    <row r="12" spans="1:18" x14ac:dyDescent="0.25">
      <c r="A12" s="283"/>
      <c r="B12" s="284" t="s">
        <v>339</v>
      </c>
      <c r="C12" s="239"/>
      <c r="D12" s="341"/>
      <c r="E12" s="239"/>
      <c r="F12" s="239">
        <v>0</v>
      </c>
      <c r="G12" s="341"/>
      <c r="H12" s="239"/>
      <c r="I12" s="239">
        <v>377</v>
      </c>
      <c r="J12" s="341"/>
      <c r="K12" s="239"/>
      <c r="L12" s="239">
        <v>377</v>
      </c>
      <c r="M12" s="341"/>
      <c r="N12" s="239"/>
      <c r="O12" s="239">
        <v>377</v>
      </c>
      <c r="P12" s="341"/>
      <c r="Q12" s="239"/>
      <c r="R12" s="239"/>
    </row>
    <row r="13" spans="1:18" x14ac:dyDescent="0.25">
      <c r="A13" s="283"/>
      <c r="B13" s="284" t="s">
        <v>351</v>
      </c>
      <c r="C13" s="239">
        <v>845</v>
      </c>
      <c r="D13" s="341"/>
      <c r="E13" s="239"/>
      <c r="F13" s="239">
        <v>845</v>
      </c>
      <c r="G13" s="341"/>
      <c r="H13" s="239"/>
      <c r="I13" s="239">
        <v>845</v>
      </c>
      <c r="J13" s="341"/>
      <c r="K13" s="239"/>
      <c r="L13" s="239">
        <v>845</v>
      </c>
      <c r="M13" s="341"/>
      <c r="N13" s="239"/>
      <c r="O13" s="239">
        <v>863</v>
      </c>
      <c r="P13" s="341"/>
      <c r="Q13" s="239"/>
      <c r="R13" s="239"/>
    </row>
    <row r="14" spans="1:18" x14ac:dyDescent="0.25">
      <c r="A14" s="280" t="s">
        <v>322</v>
      </c>
      <c r="B14" s="281" t="s">
        <v>352</v>
      </c>
      <c r="C14" s="282">
        <f>SUM(C15:C18)</f>
        <v>9126</v>
      </c>
      <c r="D14" s="340">
        <f>SUM(D15:D18)</f>
        <v>0</v>
      </c>
      <c r="E14" s="282">
        <f t="shared" ref="E14:F14" si="18">SUM(E15:E18)</f>
        <v>0</v>
      </c>
      <c r="F14" s="282">
        <f t="shared" si="18"/>
        <v>9126</v>
      </c>
      <c r="G14" s="340">
        <f>SUM(G15:G18)</f>
        <v>0</v>
      </c>
      <c r="H14" s="282">
        <f t="shared" ref="H14:I14" si="19">SUM(H15:H18)</f>
        <v>0</v>
      </c>
      <c r="I14" s="282">
        <f t="shared" si="19"/>
        <v>9126</v>
      </c>
      <c r="J14" s="340">
        <f>SUM(J15:J18)</f>
        <v>0</v>
      </c>
      <c r="K14" s="282">
        <f t="shared" ref="K14:L14" si="20">SUM(K15:K18)</f>
        <v>0</v>
      </c>
      <c r="L14" s="282">
        <f t="shared" si="20"/>
        <v>9126</v>
      </c>
      <c r="M14" s="340">
        <f>SUM(M15:M18)</f>
        <v>0</v>
      </c>
      <c r="N14" s="282">
        <f t="shared" ref="N14:O14" si="21">SUM(N15:N18)</f>
        <v>0</v>
      </c>
      <c r="O14" s="282">
        <f t="shared" si="21"/>
        <v>8752</v>
      </c>
      <c r="P14" s="340">
        <f>SUM(P15:P18)</f>
        <v>0</v>
      </c>
      <c r="Q14" s="282">
        <f t="shared" ref="Q14:R14" si="22">SUM(Q15:Q18)</f>
        <v>0</v>
      </c>
      <c r="R14" s="282">
        <f t="shared" si="22"/>
        <v>0</v>
      </c>
    </row>
    <row r="15" spans="1:18" x14ac:dyDescent="0.25">
      <c r="A15" s="283"/>
      <c r="B15" s="284" t="s">
        <v>286</v>
      </c>
      <c r="C15" s="239">
        <v>0</v>
      </c>
      <c r="D15" s="341"/>
      <c r="E15" s="239"/>
      <c r="F15" s="239">
        <v>0</v>
      </c>
      <c r="G15" s="341"/>
      <c r="H15" s="239"/>
      <c r="I15" s="239">
        <v>0</v>
      </c>
      <c r="J15" s="341"/>
      <c r="K15" s="239"/>
      <c r="L15" s="239">
        <v>0</v>
      </c>
      <c r="M15" s="341"/>
      <c r="N15" s="239"/>
      <c r="O15" s="239">
        <v>0</v>
      </c>
      <c r="P15" s="341"/>
      <c r="Q15" s="239"/>
      <c r="R15" s="239"/>
    </row>
    <row r="16" spans="1:18" x14ac:dyDescent="0.25">
      <c r="A16" s="283"/>
      <c r="B16" s="284" t="s">
        <v>350</v>
      </c>
      <c r="C16" s="239">
        <v>0</v>
      </c>
      <c r="D16" s="341"/>
      <c r="E16" s="239"/>
      <c r="F16" s="239">
        <v>0</v>
      </c>
      <c r="G16" s="341"/>
      <c r="H16" s="239"/>
      <c r="I16" s="239">
        <v>0</v>
      </c>
      <c r="J16" s="341"/>
      <c r="K16" s="239"/>
      <c r="L16" s="239">
        <v>0</v>
      </c>
      <c r="M16" s="341"/>
      <c r="N16" s="239"/>
      <c r="O16" s="239">
        <v>0</v>
      </c>
      <c r="P16" s="341"/>
      <c r="Q16" s="239"/>
      <c r="R16" s="239"/>
    </row>
    <row r="17" spans="1:18" x14ac:dyDescent="0.25">
      <c r="A17" s="283"/>
      <c r="B17" s="284" t="s">
        <v>292</v>
      </c>
      <c r="C17" s="239">
        <v>9126</v>
      </c>
      <c r="D17" s="341"/>
      <c r="E17" s="239"/>
      <c r="F17" s="239">
        <v>9126</v>
      </c>
      <c r="G17" s="341"/>
      <c r="H17" s="239"/>
      <c r="I17" s="239">
        <v>9126</v>
      </c>
      <c r="J17" s="341"/>
      <c r="K17" s="239"/>
      <c r="L17" s="239">
        <v>9126</v>
      </c>
      <c r="M17" s="341"/>
      <c r="N17" s="239"/>
      <c r="O17" s="239">
        <v>8752</v>
      </c>
      <c r="P17" s="341"/>
      <c r="Q17" s="239"/>
      <c r="R17" s="239"/>
    </row>
    <row r="18" spans="1:18" x14ac:dyDescent="0.25">
      <c r="A18" s="283"/>
      <c r="B18" s="284" t="s">
        <v>351</v>
      </c>
      <c r="C18" s="239">
        <v>0</v>
      </c>
      <c r="D18" s="341"/>
      <c r="E18" s="239"/>
      <c r="F18" s="239">
        <v>0</v>
      </c>
      <c r="G18" s="341"/>
      <c r="H18" s="239"/>
      <c r="I18" s="239">
        <v>0</v>
      </c>
      <c r="J18" s="341"/>
      <c r="K18" s="239"/>
      <c r="L18" s="239">
        <v>0</v>
      </c>
      <c r="M18" s="341"/>
      <c r="N18" s="239"/>
      <c r="O18" s="239">
        <v>0</v>
      </c>
      <c r="P18" s="341"/>
      <c r="Q18" s="239"/>
      <c r="R18" s="239"/>
    </row>
    <row r="19" spans="1:18" x14ac:dyDescent="0.25">
      <c r="A19" s="310" t="s">
        <v>318</v>
      </c>
      <c r="B19" s="311" t="s">
        <v>353</v>
      </c>
      <c r="C19" s="312">
        <v>0</v>
      </c>
      <c r="D19" s="339">
        <v>0</v>
      </c>
      <c r="E19" s="312">
        <v>0</v>
      </c>
      <c r="F19" s="312">
        <v>0</v>
      </c>
      <c r="G19" s="339">
        <v>0</v>
      </c>
      <c r="H19" s="312">
        <v>0</v>
      </c>
      <c r="I19" s="312">
        <v>0</v>
      </c>
      <c r="J19" s="339">
        <v>0</v>
      </c>
      <c r="K19" s="312">
        <v>0</v>
      </c>
      <c r="L19" s="312">
        <v>0</v>
      </c>
      <c r="M19" s="339">
        <v>0</v>
      </c>
      <c r="N19" s="312">
        <v>0</v>
      </c>
      <c r="O19" s="312">
        <v>0</v>
      </c>
      <c r="P19" s="339">
        <v>0</v>
      </c>
      <c r="Q19" s="312">
        <v>0</v>
      </c>
      <c r="R19" s="312">
        <v>0</v>
      </c>
    </row>
    <row r="20" spans="1:18" x14ac:dyDescent="0.25">
      <c r="A20" s="307" t="s">
        <v>1270</v>
      </c>
      <c r="B20" s="308" t="s">
        <v>354</v>
      </c>
      <c r="C20" s="309">
        <f t="shared" ref="C20" si="23">C21+C33</f>
        <v>160510</v>
      </c>
      <c r="D20" s="338">
        <f t="shared" ref="D20:F20" si="24">D21+D33</f>
        <v>32</v>
      </c>
      <c r="E20" s="309">
        <f t="shared" si="24"/>
        <v>0</v>
      </c>
      <c r="F20" s="309">
        <f t="shared" si="24"/>
        <v>160510</v>
      </c>
      <c r="G20" s="338">
        <f t="shared" ref="G20:I20" si="25">G21+G33</f>
        <v>32</v>
      </c>
      <c r="H20" s="309">
        <f t="shared" si="25"/>
        <v>0</v>
      </c>
      <c r="I20" s="309">
        <f t="shared" si="25"/>
        <v>165269</v>
      </c>
      <c r="J20" s="338">
        <f t="shared" ref="J20:L20" si="26">J21+J33</f>
        <v>32</v>
      </c>
      <c r="K20" s="309">
        <f t="shared" si="26"/>
        <v>0</v>
      </c>
      <c r="L20" s="309">
        <f t="shared" si="26"/>
        <v>165435</v>
      </c>
      <c r="M20" s="338">
        <f t="shared" ref="M20:R20" si="27">M21+M33</f>
        <v>32</v>
      </c>
      <c r="N20" s="309">
        <f t="shared" si="27"/>
        <v>0</v>
      </c>
      <c r="O20" s="309">
        <f t="shared" si="27"/>
        <v>158795</v>
      </c>
      <c r="P20" s="338">
        <f t="shared" si="27"/>
        <v>0</v>
      </c>
      <c r="Q20" s="309">
        <f t="shared" si="27"/>
        <v>0</v>
      </c>
      <c r="R20" s="309">
        <f t="shared" si="27"/>
        <v>0</v>
      </c>
    </row>
    <row r="21" spans="1:18" x14ac:dyDescent="0.25">
      <c r="A21" s="310" t="s">
        <v>309</v>
      </c>
      <c r="B21" s="311" t="s">
        <v>348</v>
      </c>
      <c r="C21" s="312">
        <f>C22+C28</f>
        <v>160510</v>
      </c>
      <c r="D21" s="339">
        <f>D22+D28</f>
        <v>32</v>
      </c>
      <c r="E21" s="312">
        <f t="shared" ref="E21:F21" si="28">E22+E28</f>
        <v>0</v>
      </c>
      <c r="F21" s="312">
        <f t="shared" si="28"/>
        <v>160510</v>
      </c>
      <c r="G21" s="339">
        <f>G22+G28</f>
        <v>32</v>
      </c>
      <c r="H21" s="312">
        <f t="shared" ref="H21:I21" si="29">H22+H28</f>
        <v>0</v>
      </c>
      <c r="I21" s="312">
        <f t="shared" si="29"/>
        <v>165269</v>
      </c>
      <c r="J21" s="339">
        <f>J22+J28</f>
        <v>32</v>
      </c>
      <c r="K21" s="312">
        <f t="shared" ref="K21:L21" si="30">K22+K28</f>
        <v>0</v>
      </c>
      <c r="L21" s="312">
        <f t="shared" si="30"/>
        <v>165435</v>
      </c>
      <c r="M21" s="339">
        <f>M22+M28</f>
        <v>32</v>
      </c>
      <c r="N21" s="312">
        <f t="shared" ref="N21:O21" si="31">N22+N28</f>
        <v>0</v>
      </c>
      <c r="O21" s="312">
        <f t="shared" si="31"/>
        <v>158795</v>
      </c>
      <c r="P21" s="339">
        <f>P22+P28</f>
        <v>0</v>
      </c>
      <c r="Q21" s="312">
        <f t="shared" ref="Q21:R21" si="32">Q22+Q28</f>
        <v>0</v>
      </c>
      <c r="R21" s="312">
        <f t="shared" si="32"/>
        <v>0</v>
      </c>
    </row>
    <row r="22" spans="1:18" x14ac:dyDescent="0.25">
      <c r="A22" s="280" t="s">
        <v>311</v>
      </c>
      <c r="B22" s="281" t="s">
        <v>349</v>
      </c>
      <c r="C22" s="282">
        <f>SUM(C23:C27)</f>
        <v>135505</v>
      </c>
      <c r="D22" s="340">
        <v>32</v>
      </c>
      <c r="E22" s="282">
        <f t="shared" ref="E22:F22" si="33">SUM(E23:E27)</f>
        <v>0</v>
      </c>
      <c r="F22" s="282">
        <f t="shared" si="33"/>
        <v>135505</v>
      </c>
      <c r="G22" s="340">
        <v>32</v>
      </c>
      <c r="H22" s="282">
        <f t="shared" ref="H22:I22" si="34">SUM(H23:H27)</f>
        <v>0</v>
      </c>
      <c r="I22" s="282">
        <f t="shared" si="34"/>
        <v>140264</v>
      </c>
      <c r="J22" s="340">
        <v>32</v>
      </c>
      <c r="K22" s="282">
        <f t="shared" ref="K22:L22" si="35">SUM(K23:K27)</f>
        <v>0</v>
      </c>
      <c r="L22" s="282">
        <f t="shared" si="35"/>
        <v>140430</v>
      </c>
      <c r="M22" s="340">
        <v>32</v>
      </c>
      <c r="N22" s="282">
        <f t="shared" ref="N22:O22" si="36">SUM(N23:N27)</f>
        <v>0</v>
      </c>
      <c r="O22" s="282">
        <f t="shared" si="36"/>
        <v>136520</v>
      </c>
      <c r="P22" s="340"/>
      <c r="Q22" s="282">
        <f t="shared" ref="Q22:R22" si="37">SUM(Q23:Q27)</f>
        <v>0</v>
      </c>
      <c r="R22" s="282">
        <f t="shared" si="37"/>
        <v>0</v>
      </c>
    </row>
    <row r="23" spans="1:18" x14ac:dyDescent="0.25">
      <c r="A23" s="283"/>
      <c r="B23" s="284" t="s">
        <v>286</v>
      </c>
      <c r="C23" s="239">
        <v>98829</v>
      </c>
      <c r="D23" s="341"/>
      <c r="E23" s="239"/>
      <c r="F23" s="239">
        <v>98829</v>
      </c>
      <c r="G23" s="341"/>
      <c r="H23" s="239"/>
      <c r="I23" s="239">
        <f>98829+181+2112</f>
        <v>101122</v>
      </c>
      <c r="J23" s="341"/>
      <c r="K23" s="239"/>
      <c r="L23" s="239">
        <f>101122+136</f>
        <v>101258</v>
      </c>
      <c r="M23" s="341"/>
      <c r="N23" s="239"/>
      <c r="O23" s="239">
        <v>100465</v>
      </c>
      <c r="P23" s="341"/>
      <c r="Q23" s="239"/>
      <c r="R23" s="239"/>
    </row>
    <row r="24" spans="1:18" x14ac:dyDescent="0.25">
      <c r="A24" s="283"/>
      <c r="B24" s="284" t="s">
        <v>350</v>
      </c>
      <c r="C24" s="239">
        <v>23139</v>
      </c>
      <c r="D24" s="341"/>
      <c r="E24" s="239"/>
      <c r="F24" s="239">
        <v>23139</v>
      </c>
      <c r="G24" s="341"/>
      <c r="H24" s="239"/>
      <c r="I24" s="239">
        <f>23139+38+465</f>
        <v>23642</v>
      </c>
      <c r="J24" s="341"/>
      <c r="K24" s="239"/>
      <c r="L24" s="239">
        <f>23642+30</f>
        <v>23672</v>
      </c>
      <c r="M24" s="341"/>
      <c r="N24" s="239"/>
      <c r="O24" s="239">
        <v>24470</v>
      </c>
      <c r="P24" s="341"/>
      <c r="Q24" s="239"/>
      <c r="R24" s="239"/>
    </row>
    <row r="25" spans="1:18" x14ac:dyDescent="0.25">
      <c r="A25" s="283"/>
      <c r="B25" s="284" t="s">
        <v>292</v>
      </c>
      <c r="C25" s="288">
        <v>12775</v>
      </c>
      <c r="D25" s="341"/>
      <c r="E25" s="288"/>
      <c r="F25" s="288">
        <v>12775</v>
      </c>
      <c r="G25" s="341"/>
      <c r="H25" s="288"/>
      <c r="I25" s="288">
        <f>12775+10</f>
        <v>12785</v>
      </c>
      <c r="J25" s="341"/>
      <c r="K25" s="288"/>
      <c r="L25" s="288">
        <v>12785</v>
      </c>
      <c r="M25" s="341"/>
      <c r="N25" s="288"/>
      <c r="O25" s="288">
        <v>9228</v>
      </c>
      <c r="P25" s="341"/>
      <c r="Q25" s="288"/>
      <c r="R25" s="288"/>
    </row>
    <row r="26" spans="1:18" x14ac:dyDescent="0.25">
      <c r="A26" s="283"/>
      <c r="B26" s="284" t="s">
        <v>339</v>
      </c>
      <c r="C26" s="288"/>
      <c r="D26" s="341"/>
      <c r="E26" s="288"/>
      <c r="F26" s="288">
        <v>0</v>
      </c>
      <c r="G26" s="341"/>
      <c r="H26" s="288"/>
      <c r="I26" s="288">
        <v>1953</v>
      </c>
      <c r="J26" s="341"/>
      <c r="K26" s="288"/>
      <c r="L26" s="288">
        <v>1953</v>
      </c>
      <c r="M26" s="341"/>
      <c r="N26" s="288"/>
      <c r="O26" s="288">
        <v>1953</v>
      </c>
      <c r="P26" s="341"/>
      <c r="Q26" s="288"/>
      <c r="R26" s="288"/>
    </row>
    <row r="27" spans="1:18" x14ac:dyDescent="0.25">
      <c r="A27" s="283"/>
      <c r="B27" s="284" t="s">
        <v>351</v>
      </c>
      <c r="C27" s="286">
        <v>762</v>
      </c>
      <c r="D27" s="342"/>
      <c r="E27" s="286"/>
      <c r="F27" s="286">
        <v>762</v>
      </c>
      <c r="G27" s="342"/>
      <c r="H27" s="286"/>
      <c r="I27" s="286">
        <v>762</v>
      </c>
      <c r="J27" s="342"/>
      <c r="K27" s="286"/>
      <c r="L27" s="286">
        <v>762</v>
      </c>
      <c r="M27" s="342"/>
      <c r="N27" s="286"/>
      <c r="O27" s="286">
        <v>404</v>
      </c>
      <c r="P27" s="342"/>
      <c r="Q27" s="286"/>
      <c r="R27" s="542"/>
    </row>
    <row r="28" spans="1:18" x14ac:dyDescent="0.25">
      <c r="A28" s="280" t="s">
        <v>322</v>
      </c>
      <c r="B28" s="281" t="s">
        <v>352</v>
      </c>
      <c r="C28" s="282">
        <f>SUM(C29:C32)</f>
        <v>25005</v>
      </c>
      <c r="D28" s="340">
        <f>SUM(D29:D32)</f>
        <v>0</v>
      </c>
      <c r="E28" s="282">
        <f t="shared" ref="E28:F28" si="38">SUM(E29:E32)</f>
        <v>0</v>
      </c>
      <c r="F28" s="282">
        <f t="shared" si="38"/>
        <v>25005</v>
      </c>
      <c r="G28" s="340">
        <f>SUM(G29:G32)</f>
        <v>0</v>
      </c>
      <c r="H28" s="282">
        <f t="shared" ref="H28:I28" si="39">SUM(H29:H32)</f>
        <v>0</v>
      </c>
      <c r="I28" s="282">
        <f t="shared" si="39"/>
        <v>25005</v>
      </c>
      <c r="J28" s="340">
        <f>SUM(J29:J32)</f>
        <v>0</v>
      </c>
      <c r="K28" s="282">
        <f t="shared" ref="K28:L28" si="40">SUM(K29:K32)</f>
        <v>0</v>
      </c>
      <c r="L28" s="282">
        <f t="shared" si="40"/>
        <v>25005</v>
      </c>
      <c r="M28" s="340">
        <f>SUM(M29:M32)</f>
        <v>0</v>
      </c>
      <c r="N28" s="282">
        <f t="shared" ref="N28:O28" si="41">SUM(N29:N32)</f>
        <v>0</v>
      </c>
      <c r="O28" s="282">
        <f t="shared" si="41"/>
        <v>22275</v>
      </c>
      <c r="P28" s="340">
        <f>SUM(P29:P32)</f>
        <v>0</v>
      </c>
      <c r="Q28" s="282">
        <f t="shared" ref="Q28:R28" si="42">SUM(Q29:Q32)</f>
        <v>0</v>
      </c>
      <c r="R28" s="282">
        <f t="shared" si="42"/>
        <v>0</v>
      </c>
    </row>
    <row r="29" spans="1:18" x14ac:dyDescent="0.25">
      <c r="A29" s="283"/>
      <c r="B29" s="284" t="s">
        <v>286</v>
      </c>
      <c r="C29" s="288">
        <v>0</v>
      </c>
      <c r="D29" s="341"/>
      <c r="E29" s="288"/>
      <c r="F29" s="288">
        <v>0</v>
      </c>
      <c r="G29" s="341"/>
      <c r="H29" s="288"/>
      <c r="I29" s="288">
        <v>0</v>
      </c>
      <c r="J29" s="341"/>
      <c r="K29" s="288"/>
      <c r="L29" s="288">
        <v>0</v>
      </c>
      <c r="M29" s="341"/>
      <c r="N29" s="288"/>
      <c r="O29" s="288">
        <v>0</v>
      </c>
      <c r="P29" s="341"/>
      <c r="Q29" s="288"/>
      <c r="R29" s="288"/>
    </row>
    <row r="30" spans="1:18" x14ac:dyDescent="0.25">
      <c r="A30" s="283"/>
      <c r="B30" s="284" t="s">
        <v>350</v>
      </c>
      <c r="C30" s="286">
        <v>0</v>
      </c>
      <c r="D30" s="342"/>
      <c r="E30" s="286"/>
      <c r="F30" s="286">
        <v>0</v>
      </c>
      <c r="G30" s="342"/>
      <c r="H30" s="286"/>
      <c r="I30" s="286">
        <v>0</v>
      </c>
      <c r="J30" s="342"/>
      <c r="K30" s="286"/>
      <c r="L30" s="286">
        <v>0</v>
      </c>
      <c r="M30" s="342"/>
      <c r="N30" s="286"/>
      <c r="O30" s="286">
        <v>0</v>
      </c>
      <c r="P30" s="342"/>
      <c r="Q30" s="286"/>
      <c r="R30" s="286"/>
    </row>
    <row r="31" spans="1:18" x14ac:dyDescent="0.25">
      <c r="A31" s="283"/>
      <c r="B31" s="284" t="s">
        <v>292</v>
      </c>
      <c r="C31" s="286">
        <v>25005</v>
      </c>
      <c r="D31" s="342"/>
      <c r="E31" s="286"/>
      <c r="F31" s="286">
        <v>25005</v>
      </c>
      <c r="G31" s="342"/>
      <c r="H31" s="286"/>
      <c r="I31" s="286">
        <v>25005</v>
      </c>
      <c r="J31" s="342"/>
      <c r="K31" s="286"/>
      <c r="L31" s="286">
        <v>25005</v>
      </c>
      <c r="M31" s="342"/>
      <c r="N31" s="286"/>
      <c r="O31" s="286">
        <v>22275</v>
      </c>
      <c r="P31" s="342"/>
      <c r="Q31" s="286"/>
      <c r="R31" s="286"/>
    </row>
    <row r="32" spans="1:18" x14ac:dyDescent="0.25">
      <c r="A32" s="283"/>
      <c r="B32" s="284" t="s">
        <v>351</v>
      </c>
      <c r="C32" s="286">
        <v>0</v>
      </c>
      <c r="D32" s="342"/>
      <c r="E32" s="286"/>
      <c r="F32" s="286">
        <v>0</v>
      </c>
      <c r="G32" s="342"/>
      <c r="H32" s="286"/>
      <c r="I32" s="286">
        <v>0</v>
      </c>
      <c r="J32" s="342"/>
      <c r="K32" s="286"/>
      <c r="L32" s="286">
        <v>0</v>
      </c>
      <c r="M32" s="342"/>
      <c r="N32" s="286"/>
      <c r="O32" s="286">
        <v>0</v>
      </c>
      <c r="P32" s="342"/>
      <c r="Q32" s="286"/>
      <c r="R32" s="286"/>
    </row>
    <row r="33" spans="1:18" x14ac:dyDescent="0.25">
      <c r="A33" s="310" t="s">
        <v>318</v>
      </c>
      <c r="B33" s="311" t="s">
        <v>353</v>
      </c>
      <c r="C33" s="312">
        <v>0</v>
      </c>
      <c r="D33" s="339">
        <v>0</v>
      </c>
      <c r="E33" s="312">
        <v>0</v>
      </c>
      <c r="F33" s="312">
        <v>0</v>
      </c>
      <c r="G33" s="339">
        <v>0</v>
      </c>
      <c r="H33" s="312">
        <v>0</v>
      </c>
      <c r="I33" s="312">
        <v>0</v>
      </c>
      <c r="J33" s="339">
        <v>0</v>
      </c>
      <c r="K33" s="312">
        <v>0</v>
      </c>
      <c r="L33" s="312">
        <v>0</v>
      </c>
      <c r="M33" s="339">
        <v>0</v>
      </c>
      <c r="N33" s="312">
        <v>0</v>
      </c>
      <c r="O33" s="312">
        <v>0</v>
      </c>
      <c r="P33" s="339">
        <v>0</v>
      </c>
      <c r="Q33" s="312">
        <v>0</v>
      </c>
      <c r="R33" s="312">
        <v>0</v>
      </c>
    </row>
    <row r="34" spans="1:18" x14ac:dyDescent="0.25">
      <c r="A34" s="307" t="s">
        <v>1271</v>
      </c>
      <c r="B34" s="308" t="s">
        <v>355</v>
      </c>
      <c r="C34" s="309">
        <f t="shared" ref="C34" si="43">C35+C47</f>
        <v>293542</v>
      </c>
      <c r="D34" s="338">
        <f t="shared" ref="D34:F34" si="44">D35+D47</f>
        <v>56</v>
      </c>
      <c r="E34" s="309">
        <f t="shared" si="44"/>
        <v>0</v>
      </c>
      <c r="F34" s="309">
        <f t="shared" si="44"/>
        <v>293542</v>
      </c>
      <c r="G34" s="338">
        <f t="shared" ref="G34:I34" si="45">G35+G47</f>
        <v>56</v>
      </c>
      <c r="H34" s="309">
        <f t="shared" si="45"/>
        <v>0</v>
      </c>
      <c r="I34" s="309">
        <f t="shared" si="45"/>
        <v>298073</v>
      </c>
      <c r="J34" s="338">
        <f t="shared" ref="J34:L34" si="46">J35+J47</f>
        <v>56</v>
      </c>
      <c r="K34" s="309">
        <f t="shared" si="46"/>
        <v>0</v>
      </c>
      <c r="L34" s="309">
        <f t="shared" si="46"/>
        <v>299225</v>
      </c>
      <c r="M34" s="338">
        <f t="shared" ref="M34:R34" si="47">M35+M47</f>
        <v>56</v>
      </c>
      <c r="N34" s="309">
        <f t="shared" si="47"/>
        <v>0</v>
      </c>
      <c r="O34" s="309">
        <f t="shared" si="47"/>
        <v>295737</v>
      </c>
      <c r="P34" s="338">
        <f t="shared" si="47"/>
        <v>0</v>
      </c>
      <c r="Q34" s="309">
        <f t="shared" si="47"/>
        <v>0</v>
      </c>
      <c r="R34" s="309">
        <f t="shared" si="47"/>
        <v>0</v>
      </c>
    </row>
    <row r="35" spans="1:18" x14ac:dyDescent="0.25">
      <c r="A35" s="310" t="s">
        <v>309</v>
      </c>
      <c r="B35" s="311" t="s">
        <v>348</v>
      </c>
      <c r="C35" s="312">
        <f>C36+C42</f>
        <v>293542</v>
      </c>
      <c r="D35" s="339">
        <f>D36+D42</f>
        <v>56</v>
      </c>
      <c r="E35" s="312">
        <f t="shared" ref="E35:F35" si="48">E36+E42</f>
        <v>0</v>
      </c>
      <c r="F35" s="312">
        <f t="shared" si="48"/>
        <v>293542</v>
      </c>
      <c r="G35" s="339">
        <f>G36+G42</f>
        <v>56</v>
      </c>
      <c r="H35" s="312">
        <f t="shared" ref="H35:I35" si="49">H36+H42</f>
        <v>0</v>
      </c>
      <c r="I35" s="312">
        <f t="shared" si="49"/>
        <v>298073</v>
      </c>
      <c r="J35" s="339">
        <f>J36+J42</f>
        <v>56</v>
      </c>
      <c r="K35" s="312">
        <f t="shared" ref="K35:L35" si="50">K36+K42</f>
        <v>0</v>
      </c>
      <c r="L35" s="312">
        <f t="shared" si="50"/>
        <v>299225</v>
      </c>
      <c r="M35" s="339">
        <f>M36+M42</f>
        <v>56</v>
      </c>
      <c r="N35" s="312">
        <f t="shared" ref="N35:O35" si="51">N36+N42</f>
        <v>0</v>
      </c>
      <c r="O35" s="312">
        <f t="shared" si="51"/>
        <v>295737</v>
      </c>
      <c r="P35" s="339">
        <f>P36+P42</f>
        <v>0</v>
      </c>
      <c r="Q35" s="312">
        <f t="shared" ref="Q35:R35" si="52">Q36+Q42</f>
        <v>0</v>
      </c>
      <c r="R35" s="312">
        <f t="shared" si="52"/>
        <v>0</v>
      </c>
    </row>
    <row r="36" spans="1:18" x14ac:dyDescent="0.25">
      <c r="A36" s="280" t="s">
        <v>311</v>
      </c>
      <c r="B36" s="281" t="s">
        <v>349</v>
      </c>
      <c r="C36" s="282">
        <f>SUM(C37:C41)</f>
        <v>245174</v>
      </c>
      <c r="D36" s="340">
        <v>56</v>
      </c>
      <c r="E36" s="282">
        <f t="shared" ref="E36:F36" si="53">SUM(E37:E41)</f>
        <v>0</v>
      </c>
      <c r="F36" s="282">
        <f t="shared" si="53"/>
        <v>245174</v>
      </c>
      <c r="G36" s="340">
        <v>56</v>
      </c>
      <c r="H36" s="282">
        <f t="shared" ref="H36:I36" si="54">SUM(H37:H41)</f>
        <v>0</v>
      </c>
      <c r="I36" s="282">
        <f t="shared" si="54"/>
        <v>249705</v>
      </c>
      <c r="J36" s="340">
        <v>56</v>
      </c>
      <c r="K36" s="282">
        <f t="shared" ref="K36:L36" si="55">SUM(K37:K41)</f>
        <v>0</v>
      </c>
      <c r="L36" s="282">
        <f t="shared" si="55"/>
        <v>250857</v>
      </c>
      <c r="M36" s="340">
        <v>56</v>
      </c>
      <c r="N36" s="282">
        <f t="shared" ref="N36:O36" si="56">SUM(N37:N41)</f>
        <v>0</v>
      </c>
      <c r="O36" s="282">
        <f t="shared" si="56"/>
        <v>250859</v>
      </c>
      <c r="P36" s="340"/>
      <c r="Q36" s="282">
        <f t="shared" ref="Q36:R36" si="57">SUM(Q37:Q41)</f>
        <v>0</v>
      </c>
      <c r="R36" s="282">
        <f t="shared" si="57"/>
        <v>0</v>
      </c>
    </row>
    <row r="37" spans="1:18" x14ac:dyDescent="0.25">
      <c r="A37" s="283"/>
      <c r="B37" s="284" t="s">
        <v>286</v>
      </c>
      <c r="C37" s="239">
        <v>172578</v>
      </c>
      <c r="D37" s="341"/>
      <c r="E37" s="239"/>
      <c r="F37" s="239">
        <v>172578</v>
      </c>
      <c r="G37" s="341"/>
      <c r="H37" s="239"/>
      <c r="I37" s="239">
        <f>172578+80+2382+180</f>
        <v>175220</v>
      </c>
      <c r="J37" s="341"/>
      <c r="K37" s="239"/>
      <c r="L37" s="239">
        <f>175220+41+903</f>
        <v>176164</v>
      </c>
      <c r="M37" s="341"/>
      <c r="N37" s="239"/>
      <c r="O37" s="239">
        <v>176453</v>
      </c>
      <c r="P37" s="341"/>
      <c r="Q37" s="239"/>
      <c r="R37" s="239"/>
    </row>
    <row r="38" spans="1:18" x14ac:dyDescent="0.25">
      <c r="A38" s="283"/>
      <c r="B38" s="284" t="s">
        <v>350</v>
      </c>
      <c r="C38" s="239">
        <v>40693</v>
      </c>
      <c r="D38" s="341"/>
      <c r="E38" s="239"/>
      <c r="F38" s="239">
        <v>40693</v>
      </c>
      <c r="G38" s="341"/>
      <c r="H38" s="239"/>
      <c r="I38" s="239">
        <f>40693+20+524+40</f>
        <v>41277</v>
      </c>
      <c r="J38" s="341"/>
      <c r="K38" s="239"/>
      <c r="L38" s="239">
        <f>41277+9+199</f>
        <v>41485</v>
      </c>
      <c r="M38" s="341"/>
      <c r="N38" s="239"/>
      <c r="O38" s="239">
        <v>43662</v>
      </c>
      <c r="P38" s="341"/>
      <c r="Q38" s="239"/>
      <c r="R38" s="239"/>
    </row>
    <row r="39" spans="1:18" x14ac:dyDescent="0.25">
      <c r="A39" s="283"/>
      <c r="B39" s="284" t="s">
        <v>292</v>
      </c>
      <c r="C39" s="239">
        <v>31268</v>
      </c>
      <c r="D39" s="341"/>
      <c r="E39" s="239"/>
      <c r="F39" s="239">
        <v>31268</v>
      </c>
      <c r="G39" s="341"/>
      <c r="H39" s="239"/>
      <c r="I39" s="239">
        <f>31268</f>
        <v>31268</v>
      </c>
      <c r="J39" s="341"/>
      <c r="K39" s="239"/>
      <c r="L39" s="239">
        <v>31268</v>
      </c>
      <c r="M39" s="341"/>
      <c r="N39" s="239"/>
      <c r="O39" s="239">
        <v>29184</v>
      </c>
      <c r="P39" s="341"/>
      <c r="Q39" s="239"/>
      <c r="R39" s="239"/>
    </row>
    <row r="40" spans="1:18" x14ac:dyDescent="0.25">
      <c r="A40" s="283"/>
      <c r="B40" s="284" t="s">
        <v>339</v>
      </c>
      <c r="C40" s="239"/>
      <c r="D40" s="341"/>
      <c r="E40" s="239"/>
      <c r="F40" s="239">
        <v>0</v>
      </c>
      <c r="G40" s="341"/>
      <c r="H40" s="239"/>
      <c r="I40" s="239">
        <v>1305</v>
      </c>
      <c r="J40" s="341"/>
      <c r="K40" s="239"/>
      <c r="L40" s="239">
        <v>1305</v>
      </c>
      <c r="M40" s="341"/>
      <c r="N40" s="239"/>
      <c r="O40" s="239">
        <v>802</v>
      </c>
      <c r="P40" s="341"/>
      <c r="Q40" s="239"/>
      <c r="R40" s="239"/>
    </row>
    <row r="41" spans="1:18" x14ac:dyDescent="0.25">
      <c r="A41" s="283"/>
      <c r="B41" s="284" t="s">
        <v>351</v>
      </c>
      <c r="C41" s="239">
        <v>635</v>
      </c>
      <c r="D41" s="341"/>
      <c r="E41" s="239"/>
      <c r="F41" s="239">
        <v>635</v>
      </c>
      <c r="G41" s="341"/>
      <c r="H41" s="239"/>
      <c r="I41" s="239">
        <v>635</v>
      </c>
      <c r="J41" s="341"/>
      <c r="K41" s="239"/>
      <c r="L41" s="239">
        <v>635</v>
      </c>
      <c r="M41" s="341"/>
      <c r="N41" s="239"/>
      <c r="O41" s="239">
        <v>758</v>
      </c>
      <c r="P41" s="341"/>
      <c r="Q41" s="239"/>
      <c r="R41" s="239"/>
    </row>
    <row r="42" spans="1:18" x14ac:dyDescent="0.25">
      <c r="A42" s="280" t="s">
        <v>322</v>
      </c>
      <c r="B42" s="281" t="s">
        <v>352</v>
      </c>
      <c r="C42" s="282">
        <f>SUM(C43:C46)</f>
        <v>48368</v>
      </c>
      <c r="D42" s="340">
        <f>SUM(D43:D46)</f>
        <v>0</v>
      </c>
      <c r="E42" s="282">
        <f t="shared" ref="E42:F42" si="58">SUM(E43:E46)</f>
        <v>0</v>
      </c>
      <c r="F42" s="282">
        <f t="shared" si="58"/>
        <v>48368</v>
      </c>
      <c r="G42" s="340">
        <f>SUM(G43:G46)</f>
        <v>0</v>
      </c>
      <c r="H42" s="282">
        <f t="shared" ref="H42:I42" si="59">SUM(H43:H46)</f>
        <v>0</v>
      </c>
      <c r="I42" s="282">
        <f t="shared" si="59"/>
        <v>48368</v>
      </c>
      <c r="J42" s="340">
        <f>SUM(J43:J46)</f>
        <v>0</v>
      </c>
      <c r="K42" s="282">
        <f t="shared" ref="K42:L42" si="60">SUM(K43:K46)</f>
        <v>0</v>
      </c>
      <c r="L42" s="282">
        <f t="shared" si="60"/>
        <v>48368</v>
      </c>
      <c r="M42" s="340">
        <f>SUM(M43:M46)</f>
        <v>0</v>
      </c>
      <c r="N42" s="282">
        <f t="shared" ref="N42:O42" si="61">SUM(N43:N46)</f>
        <v>0</v>
      </c>
      <c r="O42" s="282">
        <f t="shared" si="61"/>
        <v>44878</v>
      </c>
      <c r="P42" s="340">
        <f>SUM(P43:P46)</f>
        <v>0</v>
      </c>
      <c r="Q42" s="282">
        <f t="shared" ref="Q42:R42" si="62">SUM(Q43:Q46)</f>
        <v>0</v>
      </c>
      <c r="R42" s="282">
        <f t="shared" si="62"/>
        <v>0</v>
      </c>
    </row>
    <row r="43" spans="1:18" x14ac:dyDescent="0.25">
      <c r="A43" s="283"/>
      <c r="B43" s="284" t="s">
        <v>286</v>
      </c>
      <c r="C43" s="239">
        <v>0</v>
      </c>
      <c r="D43" s="341"/>
      <c r="E43" s="239"/>
      <c r="F43" s="239">
        <v>0</v>
      </c>
      <c r="G43" s="341"/>
      <c r="H43" s="239"/>
      <c r="I43" s="239">
        <v>0</v>
      </c>
      <c r="J43" s="341"/>
      <c r="K43" s="239"/>
      <c r="L43" s="239">
        <v>0</v>
      </c>
      <c r="M43" s="341"/>
      <c r="N43" s="239"/>
      <c r="O43" s="239">
        <v>0</v>
      </c>
      <c r="P43" s="341"/>
      <c r="Q43" s="239"/>
      <c r="R43" s="239"/>
    </row>
    <row r="44" spans="1:18" x14ac:dyDescent="0.25">
      <c r="A44" s="283"/>
      <c r="B44" s="284" t="s">
        <v>350</v>
      </c>
      <c r="C44" s="239">
        <v>0</v>
      </c>
      <c r="D44" s="341"/>
      <c r="E44" s="239"/>
      <c r="F44" s="239">
        <v>0</v>
      </c>
      <c r="G44" s="341"/>
      <c r="H44" s="239"/>
      <c r="I44" s="239">
        <v>0</v>
      </c>
      <c r="J44" s="341"/>
      <c r="K44" s="239"/>
      <c r="L44" s="239">
        <v>0</v>
      </c>
      <c r="M44" s="341"/>
      <c r="N44" s="239"/>
      <c r="O44" s="239">
        <v>0</v>
      </c>
      <c r="P44" s="341"/>
      <c r="Q44" s="239"/>
      <c r="R44" s="239"/>
    </row>
    <row r="45" spans="1:18" x14ac:dyDescent="0.25">
      <c r="A45" s="283"/>
      <c r="B45" s="284" t="s">
        <v>292</v>
      </c>
      <c r="C45" s="239">
        <v>48368</v>
      </c>
      <c r="D45" s="341"/>
      <c r="E45" s="239"/>
      <c r="F45" s="239">
        <v>48368</v>
      </c>
      <c r="G45" s="341"/>
      <c r="H45" s="239"/>
      <c r="I45" s="239">
        <v>48368</v>
      </c>
      <c r="J45" s="341"/>
      <c r="K45" s="239"/>
      <c r="L45" s="239">
        <v>48368</v>
      </c>
      <c r="M45" s="341"/>
      <c r="N45" s="239"/>
      <c r="O45" s="239">
        <v>44878</v>
      </c>
      <c r="P45" s="341"/>
      <c r="Q45" s="239"/>
      <c r="R45" s="239"/>
    </row>
    <row r="46" spans="1:18" x14ac:dyDescent="0.25">
      <c r="A46" s="283"/>
      <c r="B46" s="284" t="s">
        <v>351</v>
      </c>
      <c r="C46" s="239">
        <v>0</v>
      </c>
      <c r="D46" s="341"/>
      <c r="E46" s="239"/>
      <c r="F46" s="239">
        <v>0</v>
      </c>
      <c r="G46" s="341"/>
      <c r="H46" s="239"/>
      <c r="I46" s="239">
        <v>0</v>
      </c>
      <c r="J46" s="341"/>
      <c r="K46" s="239"/>
      <c r="L46" s="239">
        <v>0</v>
      </c>
      <c r="M46" s="341"/>
      <c r="N46" s="239"/>
      <c r="O46" s="239">
        <v>0</v>
      </c>
      <c r="P46" s="341"/>
      <c r="Q46" s="239"/>
      <c r="R46" s="239"/>
    </row>
    <row r="47" spans="1:18" x14ac:dyDescent="0.25">
      <c r="A47" s="310" t="s">
        <v>318</v>
      </c>
      <c r="B47" s="311" t="s">
        <v>353</v>
      </c>
      <c r="C47" s="312">
        <v>0</v>
      </c>
      <c r="D47" s="339">
        <v>0</v>
      </c>
      <c r="E47" s="312">
        <v>0</v>
      </c>
      <c r="F47" s="312">
        <v>0</v>
      </c>
      <c r="G47" s="339">
        <v>0</v>
      </c>
      <c r="H47" s="312">
        <v>0</v>
      </c>
      <c r="I47" s="312">
        <v>0</v>
      </c>
      <c r="J47" s="339">
        <v>0</v>
      </c>
      <c r="K47" s="312">
        <v>0</v>
      </c>
      <c r="L47" s="312">
        <v>0</v>
      </c>
      <c r="M47" s="339">
        <v>0</v>
      </c>
      <c r="N47" s="312">
        <v>0</v>
      </c>
      <c r="O47" s="312">
        <v>0</v>
      </c>
      <c r="P47" s="339">
        <v>0</v>
      </c>
      <c r="Q47" s="312">
        <v>0</v>
      </c>
      <c r="R47" s="312">
        <v>0</v>
      </c>
    </row>
    <row r="48" spans="1:18" x14ac:dyDescent="0.25">
      <c r="A48" s="307" t="s">
        <v>1272</v>
      </c>
      <c r="B48" s="308" t="s">
        <v>356</v>
      </c>
      <c r="C48" s="309">
        <f>C49+C66</f>
        <v>161447</v>
      </c>
      <c r="D48" s="338">
        <f>D49+D66</f>
        <v>15</v>
      </c>
      <c r="E48" s="309">
        <f t="shared" ref="E48:F48" si="63">E49+E66</f>
        <v>0</v>
      </c>
      <c r="F48" s="309">
        <f t="shared" si="63"/>
        <v>161447</v>
      </c>
      <c r="G48" s="338">
        <f>G49+G66</f>
        <v>15</v>
      </c>
      <c r="H48" s="309">
        <f t="shared" ref="H48:I48" si="64">H49+H66</f>
        <v>0</v>
      </c>
      <c r="I48" s="309">
        <f t="shared" si="64"/>
        <v>170580</v>
      </c>
      <c r="J48" s="338">
        <f>J49+J66</f>
        <v>15</v>
      </c>
      <c r="K48" s="309">
        <f t="shared" ref="K48:L48" si="65">K49+K66</f>
        <v>0</v>
      </c>
      <c r="L48" s="309">
        <f t="shared" si="65"/>
        <v>195566</v>
      </c>
      <c r="M48" s="338">
        <f>M49+M66</f>
        <v>15</v>
      </c>
      <c r="N48" s="309">
        <f t="shared" ref="N48:O48" si="66">N49+N66</f>
        <v>0</v>
      </c>
      <c r="O48" s="309">
        <f t="shared" si="66"/>
        <v>194513</v>
      </c>
      <c r="P48" s="338">
        <f>P49+P66</f>
        <v>0</v>
      </c>
      <c r="Q48" s="309">
        <f t="shared" ref="Q48:R48" si="67">Q49+Q66</f>
        <v>0</v>
      </c>
      <c r="R48" s="309">
        <f t="shared" si="67"/>
        <v>0</v>
      </c>
    </row>
    <row r="49" spans="1:18" x14ac:dyDescent="0.25">
      <c r="A49" s="310" t="s">
        <v>309</v>
      </c>
      <c r="B49" s="311" t="s">
        <v>348</v>
      </c>
      <c r="C49" s="312">
        <f>C50+C56+C61</f>
        <v>151447</v>
      </c>
      <c r="D49" s="339">
        <f>D50+D56+D61</f>
        <v>15</v>
      </c>
      <c r="E49" s="312">
        <f t="shared" ref="E49:F49" si="68">E50+E56+E61</f>
        <v>0</v>
      </c>
      <c r="F49" s="312">
        <f t="shared" si="68"/>
        <v>151447</v>
      </c>
      <c r="G49" s="339">
        <f>G50+G56+G61</f>
        <v>15</v>
      </c>
      <c r="H49" s="312">
        <f t="shared" ref="H49:I49" si="69">H50+H56+H61</f>
        <v>0</v>
      </c>
      <c r="I49" s="312">
        <f t="shared" si="69"/>
        <v>160580</v>
      </c>
      <c r="J49" s="339">
        <f>J50+J56+J61</f>
        <v>15</v>
      </c>
      <c r="K49" s="312">
        <f t="shared" ref="K49:L49" si="70">K50+K56+K61</f>
        <v>0</v>
      </c>
      <c r="L49" s="312">
        <f t="shared" si="70"/>
        <v>185503</v>
      </c>
      <c r="M49" s="339">
        <f>M50+M56+M61</f>
        <v>15</v>
      </c>
      <c r="N49" s="312">
        <f t="shared" ref="N49:O49" si="71">N50+N56+N61</f>
        <v>0</v>
      </c>
      <c r="O49" s="312">
        <f t="shared" si="71"/>
        <v>184450</v>
      </c>
      <c r="P49" s="339">
        <f>P50+P56+P61</f>
        <v>0</v>
      </c>
      <c r="Q49" s="312">
        <f t="shared" ref="Q49:R49" si="72">Q50+Q56+Q61</f>
        <v>0</v>
      </c>
      <c r="R49" s="312">
        <f t="shared" si="72"/>
        <v>0</v>
      </c>
    </row>
    <row r="50" spans="1:18" x14ac:dyDescent="0.25">
      <c r="A50" s="280" t="s">
        <v>311</v>
      </c>
      <c r="B50" s="281" t="s">
        <v>357</v>
      </c>
      <c r="C50" s="282">
        <f>SUM(C51:C55)</f>
        <v>24499</v>
      </c>
      <c r="D50" s="340">
        <v>15</v>
      </c>
      <c r="E50" s="282">
        <f t="shared" ref="E50:F50" si="73">SUM(E51:E55)</f>
        <v>0</v>
      </c>
      <c r="F50" s="282">
        <f t="shared" si="73"/>
        <v>24499</v>
      </c>
      <c r="G50" s="340">
        <v>15</v>
      </c>
      <c r="H50" s="282">
        <f t="shared" ref="H50:I50" si="74">SUM(H51:H55)</f>
        <v>0</v>
      </c>
      <c r="I50" s="282">
        <f t="shared" si="74"/>
        <v>33632</v>
      </c>
      <c r="J50" s="340">
        <v>15</v>
      </c>
      <c r="K50" s="282">
        <f t="shared" ref="K50:L50" si="75">SUM(K51:K55)</f>
        <v>0</v>
      </c>
      <c r="L50" s="282">
        <f t="shared" si="75"/>
        <v>33348</v>
      </c>
      <c r="M50" s="340">
        <v>15</v>
      </c>
      <c r="N50" s="282">
        <f t="shared" ref="N50:O50" si="76">SUM(N51:N55)</f>
        <v>0</v>
      </c>
      <c r="O50" s="282">
        <f t="shared" si="76"/>
        <v>33715</v>
      </c>
      <c r="P50" s="340"/>
      <c r="Q50" s="282">
        <f t="shared" ref="Q50:R50" si="77">SUM(Q51:Q55)</f>
        <v>0</v>
      </c>
      <c r="R50" s="282">
        <f t="shared" si="77"/>
        <v>0</v>
      </c>
    </row>
    <row r="51" spans="1:18" x14ac:dyDescent="0.25">
      <c r="A51" s="283"/>
      <c r="B51" s="284" t="s">
        <v>286</v>
      </c>
      <c r="C51" s="239">
        <v>300</v>
      </c>
      <c r="D51" s="341"/>
      <c r="E51" s="239"/>
      <c r="F51" s="239">
        <v>300</v>
      </c>
      <c r="G51" s="341"/>
      <c r="H51" s="239"/>
      <c r="I51" s="239">
        <f>300+844+39+270</f>
        <v>1453</v>
      </c>
      <c r="J51" s="341"/>
      <c r="K51" s="239"/>
      <c r="L51" s="239">
        <f>1453+230</f>
        <v>1683</v>
      </c>
      <c r="M51" s="341"/>
      <c r="N51" s="239"/>
      <c r="O51" s="239">
        <f>12564+679+1100-12564</f>
        <v>1779</v>
      </c>
      <c r="P51" s="341"/>
      <c r="Q51" s="239"/>
      <c r="R51" s="239"/>
    </row>
    <row r="52" spans="1:18" x14ac:dyDescent="0.25">
      <c r="A52" s="283"/>
      <c r="B52" s="284" t="s">
        <v>350</v>
      </c>
      <c r="C52" s="239">
        <v>150</v>
      </c>
      <c r="D52" s="341"/>
      <c r="E52" s="239"/>
      <c r="F52" s="239">
        <v>150</v>
      </c>
      <c r="G52" s="341"/>
      <c r="H52" s="239"/>
      <c r="I52" s="239">
        <f>150+168+10+59</f>
        <v>387</v>
      </c>
      <c r="J52" s="341"/>
      <c r="K52" s="239"/>
      <c r="L52" s="239">
        <f>387-39</f>
        <v>348</v>
      </c>
      <c r="M52" s="341"/>
      <c r="N52" s="239"/>
      <c r="O52" s="239">
        <f>3218+400-3218</f>
        <v>400</v>
      </c>
      <c r="P52" s="341"/>
      <c r="Q52" s="239"/>
      <c r="R52" s="239"/>
    </row>
    <row r="53" spans="1:18" x14ac:dyDescent="0.25">
      <c r="A53" s="283"/>
      <c r="B53" s="284" t="s">
        <v>292</v>
      </c>
      <c r="C53" s="239">
        <v>24049</v>
      </c>
      <c r="D53" s="341"/>
      <c r="E53" s="239"/>
      <c r="F53" s="239">
        <v>24049</v>
      </c>
      <c r="G53" s="341"/>
      <c r="H53" s="239"/>
      <c r="I53" s="239">
        <f>24049+2316+1382+1595+431</f>
        <v>29773</v>
      </c>
      <c r="J53" s="341"/>
      <c r="K53" s="239"/>
      <c r="L53" s="239">
        <f>29773+1008-2315+730-24+126</f>
        <v>29298</v>
      </c>
      <c r="M53" s="341"/>
      <c r="N53" s="239"/>
      <c r="O53" s="239">
        <v>31536</v>
      </c>
      <c r="P53" s="341"/>
      <c r="Q53" s="239"/>
      <c r="R53" s="239"/>
    </row>
    <row r="54" spans="1:18" x14ac:dyDescent="0.25">
      <c r="A54" s="283"/>
      <c r="B54" s="284" t="s">
        <v>339</v>
      </c>
      <c r="C54" s="239"/>
      <c r="D54" s="341"/>
      <c r="E54" s="239"/>
      <c r="F54" s="239">
        <v>0</v>
      </c>
      <c r="G54" s="341"/>
      <c r="H54" s="239"/>
      <c r="I54" s="239">
        <v>2019</v>
      </c>
      <c r="J54" s="341"/>
      <c r="K54" s="239"/>
      <c r="L54" s="239">
        <v>2019</v>
      </c>
      <c r="M54" s="341"/>
      <c r="N54" s="239"/>
      <c r="O54" s="239">
        <v>0</v>
      </c>
      <c r="P54" s="341"/>
      <c r="Q54" s="239"/>
      <c r="R54" s="239"/>
    </row>
    <row r="55" spans="1:18" s="47" customFormat="1" x14ac:dyDescent="0.25">
      <c r="A55" s="283"/>
      <c r="B55" s="284" t="s">
        <v>351</v>
      </c>
      <c r="C55" s="239">
        <v>0</v>
      </c>
      <c r="D55" s="341"/>
      <c r="E55" s="239"/>
      <c r="F55" s="239">
        <v>0</v>
      </c>
      <c r="G55" s="341"/>
      <c r="H55" s="239"/>
      <c r="I55" s="239">
        <v>0</v>
      </c>
      <c r="J55" s="341"/>
      <c r="K55" s="239"/>
      <c r="L55" s="239">
        <v>0</v>
      </c>
      <c r="M55" s="341"/>
      <c r="N55" s="239"/>
      <c r="O55" s="239">
        <v>0</v>
      </c>
      <c r="P55" s="341"/>
      <c r="Q55" s="239"/>
      <c r="R55" s="239"/>
    </row>
    <row r="56" spans="1:18" x14ac:dyDescent="0.25">
      <c r="A56" s="280" t="s">
        <v>322</v>
      </c>
      <c r="B56" s="281" t="s">
        <v>358</v>
      </c>
      <c r="C56" s="282">
        <f>SUM(C57:C60)</f>
        <v>124102</v>
      </c>
      <c r="D56" s="340">
        <f>SUM(D57:D60)</f>
        <v>0</v>
      </c>
      <c r="E56" s="282">
        <f t="shared" ref="E56:F56" si="78">SUM(E57:E60)</f>
        <v>0</v>
      </c>
      <c r="F56" s="282">
        <f t="shared" si="78"/>
        <v>124102</v>
      </c>
      <c r="G56" s="340">
        <f>SUM(G57:G60)</f>
        <v>0</v>
      </c>
      <c r="H56" s="282">
        <f t="shared" ref="H56:I56" si="79">SUM(H57:H60)</f>
        <v>0</v>
      </c>
      <c r="I56" s="282">
        <f t="shared" si="79"/>
        <v>124102</v>
      </c>
      <c r="J56" s="340">
        <f>SUM(J57:J60)</f>
        <v>0</v>
      </c>
      <c r="K56" s="282">
        <f t="shared" ref="K56:L56" si="80">SUM(K57:K60)</f>
        <v>0</v>
      </c>
      <c r="L56" s="282">
        <f t="shared" si="80"/>
        <v>124353</v>
      </c>
      <c r="M56" s="340">
        <f>SUM(M57:M60)</f>
        <v>0</v>
      </c>
      <c r="N56" s="282">
        <f t="shared" ref="N56:O56" si="81">SUM(N57:N60)</f>
        <v>0</v>
      </c>
      <c r="O56" s="282">
        <f t="shared" si="81"/>
        <v>122828</v>
      </c>
      <c r="P56" s="340">
        <f>SUM(P57:P60)</f>
        <v>0</v>
      </c>
      <c r="Q56" s="282">
        <f t="shared" ref="Q56:R56" si="82">SUM(Q57:Q60)</f>
        <v>0</v>
      </c>
      <c r="R56" s="282">
        <f t="shared" si="82"/>
        <v>0</v>
      </c>
    </row>
    <row r="57" spans="1:18" x14ac:dyDescent="0.25">
      <c r="A57" s="283"/>
      <c r="B57" s="284" t="s">
        <v>286</v>
      </c>
      <c r="C57" s="239">
        <v>50291</v>
      </c>
      <c r="D57" s="341"/>
      <c r="E57" s="239"/>
      <c r="F57" s="239">
        <v>50291</v>
      </c>
      <c r="G57" s="341"/>
      <c r="H57" s="239"/>
      <c r="I57" s="239">
        <v>50291</v>
      </c>
      <c r="J57" s="341"/>
      <c r="K57" s="239"/>
      <c r="L57" s="239">
        <f>50291+470-700+12+997</f>
        <v>51070</v>
      </c>
      <c r="M57" s="341"/>
      <c r="N57" s="239"/>
      <c r="O57" s="239">
        <f>32380+336+2700+2800+12564</f>
        <v>50780</v>
      </c>
      <c r="P57" s="341"/>
      <c r="Q57" s="239"/>
      <c r="R57" s="239"/>
    </row>
    <row r="58" spans="1:18" s="47" customFormat="1" x14ac:dyDescent="0.25">
      <c r="A58" s="283"/>
      <c r="B58" s="284" t="s">
        <v>350</v>
      </c>
      <c r="C58" s="239">
        <v>10884</v>
      </c>
      <c r="D58" s="341"/>
      <c r="E58" s="239"/>
      <c r="F58" s="239">
        <v>10884</v>
      </c>
      <c r="G58" s="341"/>
      <c r="H58" s="239"/>
      <c r="I58" s="239">
        <v>10884</v>
      </c>
      <c r="J58" s="341"/>
      <c r="K58" s="239"/>
      <c r="L58" s="239">
        <f>10884+3+199</f>
        <v>11086</v>
      </c>
      <c r="M58" s="341"/>
      <c r="N58" s="239"/>
      <c r="O58" s="239">
        <f>7245+500+3218</f>
        <v>10963</v>
      </c>
      <c r="P58" s="341"/>
      <c r="Q58" s="239"/>
      <c r="R58" s="239"/>
    </row>
    <row r="59" spans="1:18" x14ac:dyDescent="0.25">
      <c r="A59" s="283"/>
      <c r="B59" s="284" t="s">
        <v>292</v>
      </c>
      <c r="C59" s="239">
        <v>60463</v>
      </c>
      <c r="D59" s="341"/>
      <c r="E59" s="239"/>
      <c r="F59" s="239">
        <v>60463</v>
      </c>
      <c r="G59" s="341"/>
      <c r="H59" s="239"/>
      <c r="I59" s="239">
        <v>60463</v>
      </c>
      <c r="J59" s="341"/>
      <c r="K59" s="239"/>
      <c r="L59" s="239">
        <f>60463-730</f>
        <v>59733</v>
      </c>
      <c r="M59" s="341"/>
      <c r="N59" s="239"/>
      <c r="O59" s="239">
        <f>53050+5500</f>
        <v>58550</v>
      </c>
      <c r="P59" s="341"/>
      <c r="Q59" s="239"/>
      <c r="R59" s="239"/>
    </row>
    <row r="60" spans="1:18" x14ac:dyDescent="0.25">
      <c r="A60" s="283"/>
      <c r="B60" s="284" t="s">
        <v>351</v>
      </c>
      <c r="C60" s="239">
        <v>2464</v>
      </c>
      <c r="D60" s="341"/>
      <c r="E60" s="239"/>
      <c r="F60" s="239">
        <v>2464</v>
      </c>
      <c r="G60" s="341"/>
      <c r="H60" s="239"/>
      <c r="I60" s="239">
        <v>2464</v>
      </c>
      <c r="J60" s="341"/>
      <c r="K60" s="239"/>
      <c r="L60" s="239">
        <v>2464</v>
      </c>
      <c r="M60" s="341"/>
      <c r="N60" s="239"/>
      <c r="O60" s="239">
        <v>2535</v>
      </c>
      <c r="P60" s="341"/>
      <c r="Q60" s="239"/>
      <c r="R60" s="239"/>
    </row>
    <row r="61" spans="1:18" x14ac:dyDescent="0.25">
      <c r="A61" s="280" t="s">
        <v>315</v>
      </c>
      <c r="B61" s="281" t="s">
        <v>600</v>
      </c>
      <c r="C61" s="282">
        <f>SUM(C62:C65)</f>
        <v>2846</v>
      </c>
      <c r="D61" s="340">
        <f>SUM(D62:D65)</f>
        <v>0</v>
      </c>
      <c r="E61" s="282">
        <f t="shared" ref="E61:F61" si="83">SUM(E62:E65)</f>
        <v>0</v>
      </c>
      <c r="F61" s="282">
        <f t="shared" si="83"/>
        <v>2846</v>
      </c>
      <c r="G61" s="340">
        <f>SUM(G62:G65)</f>
        <v>0</v>
      </c>
      <c r="H61" s="282">
        <f t="shared" ref="H61:I61" si="84">SUM(H62:H65)</f>
        <v>0</v>
      </c>
      <c r="I61" s="282">
        <f t="shared" si="84"/>
        <v>2846</v>
      </c>
      <c r="J61" s="340">
        <f>SUM(J62:J65)</f>
        <v>0</v>
      </c>
      <c r="K61" s="282">
        <f t="shared" ref="K61:L61" si="85">SUM(K62:K65)</f>
        <v>0</v>
      </c>
      <c r="L61" s="282">
        <f t="shared" si="85"/>
        <v>27802</v>
      </c>
      <c r="M61" s="340">
        <f>SUM(M62:M65)</f>
        <v>0</v>
      </c>
      <c r="N61" s="282">
        <f t="shared" ref="N61:O61" si="86">SUM(N62:N65)</f>
        <v>0</v>
      </c>
      <c r="O61" s="282">
        <f t="shared" si="86"/>
        <v>27907</v>
      </c>
      <c r="P61" s="340">
        <f>SUM(P62:P65)</f>
        <v>0</v>
      </c>
      <c r="Q61" s="282">
        <f t="shared" ref="Q61:R61" si="87">SUM(Q62:Q65)</f>
        <v>0</v>
      </c>
      <c r="R61" s="282">
        <f t="shared" si="87"/>
        <v>0</v>
      </c>
    </row>
    <row r="62" spans="1:18" x14ac:dyDescent="0.25">
      <c r="A62" s="283"/>
      <c r="B62" s="284" t="s">
        <v>286</v>
      </c>
      <c r="C62" s="239">
        <v>80</v>
      </c>
      <c r="D62" s="341"/>
      <c r="E62" s="239"/>
      <c r="F62" s="239">
        <v>80</v>
      </c>
      <c r="G62" s="341"/>
      <c r="H62" s="239"/>
      <c r="I62" s="239">
        <v>80</v>
      </c>
      <c r="J62" s="341"/>
      <c r="K62" s="239"/>
      <c r="L62" s="239">
        <v>80</v>
      </c>
      <c r="M62" s="341"/>
      <c r="N62" s="239"/>
      <c r="O62" s="239">
        <v>555</v>
      </c>
      <c r="P62" s="341"/>
      <c r="Q62" s="239"/>
      <c r="R62" s="239"/>
    </row>
    <row r="63" spans="1:18" x14ac:dyDescent="0.25">
      <c r="A63" s="283"/>
      <c r="B63" s="284" t="s">
        <v>350</v>
      </c>
      <c r="C63" s="239">
        <v>45</v>
      </c>
      <c r="D63" s="341"/>
      <c r="E63" s="239"/>
      <c r="F63" s="239">
        <v>45</v>
      </c>
      <c r="G63" s="341"/>
      <c r="H63" s="239"/>
      <c r="I63" s="239">
        <v>45</v>
      </c>
      <c r="J63" s="341"/>
      <c r="K63" s="239"/>
      <c r="L63" s="239">
        <v>45</v>
      </c>
      <c r="M63" s="341"/>
      <c r="N63" s="239"/>
      <c r="O63" s="239">
        <v>274</v>
      </c>
      <c r="P63" s="341"/>
      <c r="Q63" s="239"/>
      <c r="R63" s="239"/>
    </row>
    <row r="64" spans="1:18" x14ac:dyDescent="0.25">
      <c r="A64" s="283"/>
      <c r="B64" s="284" t="s">
        <v>292</v>
      </c>
      <c r="C64" s="239">
        <v>2721</v>
      </c>
      <c r="D64" s="341"/>
      <c r="E64" s="239"/>
      <c r="F64" s="239">
        <v>2721</v>
      </c>
      <c r="G64" s="341"/>
      <c r="H64" s="239"/>
      <c r="I64" s="239">
        <v>2721</v>
      </c>
      <c r="J64" s="341"/>
      <c r="K64" s="239"/>
      <c r="L64" s="239">
        <f>2721+22641+2315</f>
        <v>27677</v>
      </c>
      <c r="M64" s="341"/>
      <c r="N64" s="239"/>
      <c r="O64" s="239">
        <v>27078</v>
      </c>
      <c r="P64" s="341"/>
      <c r="Q64" s="239"/>
      <c r="R64" s="239"/>
    </row>
    <row r="65" spans="1:18" x14ac:dyDescent="0.25">
      <c r="A65" s="283"/>
      <c r="B65" s="284" t="s">
        <v>351</v>
      </c>
      <c r="C65" s="239">
        <v>0</v>
      </c>
      <c r="D65" s="341"/>
      <c r="E65" s="239"/>
      <c r="F65" s="239">
        <v>0</v>
      </c>
      <c r="G65" s="341"/>
      <c r="H65" s="239"/>
      <c r="I65" s="239">
        <v>0</v>
      </c>
      <c r="J65" s="341"/>
      <c r="K65" s="239"/>
      <c r="L65" s="239">
        <v>0</v>
      </c>
      <c r="M65" s="341"/>
      <c r="N65" s="239"/>
      <c r="O65" s="239">
        <v>0</v>
      </c>
      <c r="P65" s="341"/>
      <c r="Q65" s="239"/>
      <c r="R65" s="239"/>
    </row>
    <row r="66" spans="1:18" x14ac:dyDescent="0.25">
      <c r="A66" s="310" t="s">
        <v>318</v>
      </c>
      <c r="B66" s="311" t="s">
        <v>353</v>
      </c>
      <c r="C66" s="312">
        <f>C67</f>
        <v>10000</v>
      </c>
      <c r="D66" s="339">
        <f>D67</f>
        <v>0</v>
      </c>
      <c r="E66" s="312">
        <f t="shared" ref="E66:R66" si="88">E67</f>
        <v>0</v>
      </c>
      <c r="F66" s="312">
        <f t="shared" si="88"/>
        <v>10000</v>
      </c>
      <c r="G66" s="339">
        <f>G67</f>
        <v>0</v>
      </c>
      <c r="H66" s="312">
        <f t="shared" si="88"/>
        <v>0</v>
      </c>
      <c r="I66" s="312">
        <f t="shared" si="88"/>
        <v>10000</v>
      </c>
      <c r="J66" s="339">
        <f>J67</f>
        <v>0</v>
      </c>
      <c r="K66" s="312">
        <f t="shared" si="88"/>
        <v>0</v>
      </c>
      <c r="L66" s="312">
        <f t="shared" si="88"/>
        <v>10063</v>
      </c>
      <c r="M66" s="339">
        <f>M67</f>
        <v>0</v>
      </c>
      <c r="N66" s="312">
        <f t="shared" si="88"/>
        <v>0</v>
      </c>
      <c r="O66" s="312">
        <f t="shared" si="88"/>
        <v>10063</v>
      </c>
      <c r="P66" s="339">
        <f>P67</f>
        <v>0</v>
      </c>
      <c r="Q66" s="312">
        <f t="shared" si="88"/>
        <v>0</v>
      </c>
      <c r="R66" s="312">
        <f t="shared" si="88"/>
        <v>0</v>
      </c>
    </row>
    <row r="67" spans="1:18" x14ac:dyDescent="0.25">
      <c r="A67" s="280" t="s">
        <v>311</v>
      </c>
      <c r="B67" s="281" t="s">
        <v>1176</v>
      </c>
      <c r="C67" s="282">
        <f>SUM(C68:C71)</f>
        <v>10000</v>
      </c>
      <c r="D67" s="340">
        <f>SUM(D68:D71)</f>
        <v>0</v>
      </c>
      <c r="E67" s="282">
        <f t="shared" ref="E67:F67" si="89">SUM(E68:E71)</f>
        <v>0</v>
      </c>
      <c r="F67" s="282">
        <f t="shared" si="89"/>
        <v>10000</v>
      </c>
      <c r="G67" s="340">
        <f>SUM(G68:G71)</f>
        <v>0</v>
      </c>
      <c r="H67" s="282">
        <f t="shared" ref="H67:I67" si="90">SUM(H68:H71)</f>
        <v>0</v>
      </c>
      <c r="I67" s="282">
        <f t="shared" si="90"/>
        <v>10000</v>
      </c>
      <c r="J67" s="340">
        <f>SUM(J68:J71)</f>
        <v>0</v>
      </c>
      <c r="K67" s="282">
        <f t="shared" ref="K67:L67" si="91">SUM(K68:K71)</f>
        <v>0</v>
      </c>
      <c r="L67" s="282">
        <f t="shared" si="91"/>
        <v>10063</v>
      </c>
      <c r="M67" s="340">
        <f>SUM(M68:M71)</f>
        <v>0</v>
      </c>
      <c r="N67" s="282">
        <f t="shared" ref="N67:O67" si="92">SUM(N68:N71)</f>
        <v>0</v>
      </c>
      <c r="O67" s="282">
        <f t="shared" si="92"/>
        <v>10063</v>
      </c>
      <c r="P67" s="340">
        <f>SUM(P68:P71)</f>
        <v>0</v>
      </c>
      <c r="Q67" s="282">
        <f t="shared" ref="Q67:R67" si="93">SUM(Q68:Q71)</f>
        <v>0</v>
      </c>
      <c r="R67" s="282">
        <f t="shared" si="93"/>
        <v>0</v>
      </c>
    </row>
    <row r="68" spans="1:18" x14ac:dyDescent="0.25">
      <c r="A68" s="310"/>
      <c r="B68" s="313" t="s">
        <v>286</v>
      </c>
      <c r="C68" s="314">
        <v>2425</v>
      </c>
      <c r="D68" s="343"/>
      <c r="E68" s="314"/>
      <c r="F68" s="314">
        <v>2425</v>
      </c>
      <c r="G68" s="343"/>
      <c r="H68" s="314"/>
      <c r="I68" s="314">
        <v>2425</v>
      </c>
      <c r="J68" s="343"/>
      <c r="K68" s="314"/>
      <c r="L68" s="314">
        <f>2425-425-1536</f>
        <v>464</v>
      </c>
      <c r="M68" s="343"/>
      <c r="N68" s="314"/>
      <c r="O68" s="314">
        <f>2425-425-1536</f>
        <v>464</v>
      </c>
      <c r="P68" s="343"/>
      <c r="Q68" s="314"/>
      <c r="R68" s="314"/>
    </row>
    <row r="69" spans="1:18" x14ac:dyDescent="0.25">
      <c r="A69" s="310"/>
      <c r="B69" s="313" t="s">
        <v>350</v>
      </c>
      <c r="C69" s="314">
        <v>1099</v>
      </c>
      <c r="D69" s="343"/>
      <c r="E69" s="314"/>
      <c r="F69" s="314">
        <v>1099</v>
      </c>
      <c r="G69" s="343"/>
      <c r="H69" s="314"/>
      <c r="I69" s="314">
        <v>1099</v>
      </c>
      <c r="J69" s="343"/>
      <c r="K69" s="314"/>
      <c r="L69" s="314">
        <f>1099-1038+39</f>
        <v>100</v>
      </c>
      <c r="M69" s="343"/>
      <c r="N69" s="314"/>
      <c r="O69" s="314">
        <f>1099-1038+39</f>
        <v>100</v>
      </c>
      <c r="P69" s="343"/>
      <c r="Q69" s="314"/>
      <c r="R69" s="314"/>
    </row>
    <row r="70" spans="1:18" x14ac:dyDescent="0.25">
      <c r="A70" s="310"/>
      <c r="B70" s="313" t="s">
        <v>292</v>
      </c>
      <c r="C70" s="314">
        <v>6476</v>
      </c>
      <c r="D70" s="343"/>
      <c r="E70" s="314"/>
      <c r="F70" s="314">
        <v>6476</v>
      </c>
      <c r="G70" s="343"/>
      <c r="H70" s="314"/>
      <c r="I70" s="314">
        <v>6476</v>
      </c>
      <c r="J70" s="343"/>
      <c r="K70" s="314"/>
      <c r="L70" s="314">
        <f>6476+425+1536+1038+24</f>
        <v>9499</v>
      </c>
      <c r="M70" s="343"/>
      <c r="N70" s="314"/>
      <c r="O70" s="314">
        <f>6476+425+1536+1038+24</f>
        <v>9499</v>
      </c>
      <c r="P70" s="343"/>
      <c r="Q70" s="314"/>
      <c r="R70" s="314"/>
    </row>
    <row r="71" spans="1:18" x14ac:dyDescent="0.25">
      <c r="A71" s="310"/>
      <c r="B71" s="313" t="s">
        <v>351</v>
      </c>
      <c r="C71" s="314">
        <v>0</v>
      </c>
      <c r="D71" s="343"/>
      <c r="E71" s="314"/>
      <c r="F71" s="314">
        <v>0</v>
      </c>
      <c r="G71" s="343"/>
      <c r="H71" s="314"/>
      <c r="I71" s="314">
        <v>0</v>
      </c>
      <c r="J71" s="343"/>
      <c r="K71" s="314"/>
      <c r="L71" s="314">
        <v>0</v>
      </c>
      <c r="M71" s="343"/>
      <c r="N71" s="314"/>
      <c r="O71" s="314">
        <v>0</v>
      </c>
      <c r="P71" s="343"/>
      <c r="Q71" s="314"/>
      <c r="R71" s="314"/>
    </row>
    <row r="72" spans="1:18" x14ac:dyDescent="0.25">
      <c r="A72" s="307" t="s">
        <v>1273</v>
      </c>
      <c r="B72" s="308" t="s">
        <v>359</v>
      </c>
      <c r="C72" s="309">
        <f t="shared" ref="C72:I72" si="94">C73+C90</f>
        <v>31490</v>
      </c>
      <c r="D72" s="338">
        <f t="shared" si="94"/>
        <v>5</v>
      </c>
      <c r="E72" s="309">
        <f t="shared" si="94"/>
        <v>0</v>
      </c>
      <c r="F72" s="309">
        <f t="shared" si="94"/>
        <v>31490</v>
      </c>
      <c r="G72" s="338">
        <f t="shared" si="94"/>
        <v>5</v>
      </c>
      <c r="H72" s="309">
        <f t="shared" si="94"/>
        <v>0</v>
      </c>
      <c r="I72" s="309">
        <f t="shared" si="94"/>
        <v>33035</v>
      </c>
      <c r="J72" s="338">
        <f t="shared" ref="J72:L72" si="95">J73+J90</f>
        <v>5</v>
      </c>
      <c r="K72" s="309">
        <f t="shared" si="95"/>
        <v>0</v>
      </c>
      <c r="L72" s="309">
        <f t="shared" si="95"/>
        <v>33907</v>
      </c>
      <c r="M72" s="338">
        <f t="shared" ref="M72:R72" si="96">M73+M90</f>
        <v>5</v>
      </c>
      <c r="N72" s="309">
        <f t="shared" si="96"/>
        <v>0</v>
      </c>
      <c r="O72" s="309">
        <f t="shared" si="96"/>
        <v>32176</v>
      </c>
      <c r="P72" s="338">
        <f t="shared" si="96"/>
        <v>0</v>
      </c>
      <c r="Q72" s="309">
        <f t="shared" si="96"/>
        <v>0</v>
      </c>
      <c r="R72" s="309">
        <f t="shared" si="96"/>
        <v>0</v>
      </c>
    </row>
    <row r="73" spans="1:18" s="47" customFormat="1" x14ac:dyDescent="0.25">
      <c r="A73" s="310" t="s">
        <v>309</v>
      </c>
      <c r="B73" s="311" t="s">
        <v>348</v>
      </c>
      <c r="C73" s="312">
        <f t="shared" ref="C73:I73" si="97">C74+C80</f>
        <v>22251</v>
      </c>
      <c r="D73" s="339">
        <f t="shared" si="97"/>
        <v>4</v>
      </c>
      <c r="E73" s="312">
        <f t="shared" si="97"/>
        <v>0</v>
      </c>
      <c r="F73" s="312">
        <f t="shared" si="97"/>
        <v>22251</v>
      </c>
      <c r="G73" s="339">
        <f t="shared" si="97"/>
        <v>4</v>
      </c>
      <c r="H73" s="312">
        <f t="shared" si="97"/>
        <v>0</v>
      </c>
      <c r="I73" s="312">
        <f t="shared" si="97"/>
        <v>23617.691999999999</v>
      </c>
      <c r="J73" s="339">
        <f t="shared" ref="J73:L73" si="98">J74+J80</f>
        <v>4</v>
      </c>
      <c r="K73" s="312">
        <f t="shared" si="98"/>
        <v>0</v>
      </c>
      <c r="L73" s="312">
        <f t="shared" si="98"/>
        <v>24127</v>
      </c>
      <c r="M73" s="339">
        <f t="shared" ref="M73:R73" si="99">M74+M80</f>
        <v>4</v>
      </c>
      <c r="N73" s="312">
        <f t="shared" si="99"/>
        <v>0</v>
      </c>
      <c r="O73" s="312">
        <f t="shared" si="99"/>
        <v>22474</v>
      </c>
      <c r="P73" s="339">
        <f t="shared" si="99"/>
        <v>0</v>
      </c>
      <c r="Q73" s="312">
        <f t="shared" si="99"/>
        <v>0</v>
      </c>
      <c r="R73" s="312">
        <f t="shared" si="99"/>
        <v>0</v>
      </c>
    </row>
    <row r="74" spans="1:18" x14ac:dyDescent="0.25">
      <c r="A74" s="280" t="s">
        <v>311</v>
      </c>
      <c r="B74" s="281" t="s">
        <v>360</v>
      </c>
      <c r="C74" s="282">
        <f>SUM(C75:C79)</f>
        <v>19324</v>
      </c>
      <c r="D74" s="340">
        <v>4</v>
      </c>
      <c r="E74" s="282">
        <f t="shared" ref="E74:F74" si="100">SUM(E75:E79)</f>
        <v>0</v>
      </c>
      <c r="F74" s="282">
        <f t="shared" si="100"/>
        <v>19324</v>
      </c>
      <c r="G74" s="340">
        <v>4</v>
      </c>
      <c r="H74" s="282">
        <f>SUM(H75:H79)</f>
        <v>0</v>
      </c>
      <c r="I74" s="282">
        <f>SUM(I75:I79)</f>
        <v>20690.691999999999</v>
      </c>
      <c r="J74" s="340">
        <v>4</v>
      </c>
      <c r="K74" s="282">
        <f>SUM(K75:K79)</f>
        <v>0</v>
      </c>
      <c r="L74" s="282">
        <f>SUM(L75:L79)</f>
        <v>21200</v>
      </c>
      <c r="M74" s="340">
        <v>4</v>
      </c>
      <c r="N74" s="282">
        <f>SUM(N75:N79)</f>
        <v>0</v>
      </c>
      <c r="O74" s="282">
        <f>SUM(O75:O79)</f>
        <v>19419</v>
      </c>
      <c r="P74" s="340"/>
      <c r="Q74" s="282">
        <f>SUM(Q75:Q79)</f>
        <v>0</v>
      </c>
      <c r="R74" s="282">
        <f>SUM(R75:R79)</f>
        <v>0</v>
      </c>
    </row>
    <row r="75" spans="1:18" x14ac:dyDescent="0.25">
      <c r="A75" s="283"/>
      <c r="B75" s="284" t="s">
        <v>286</v>
      </c>
      <c r="C75" s="239">
        <v>9675</v>
      </c>
      <c r="D75" s="341"/>
      <c r="E75" s="239"/>
      <c r="F75" s="239">
        <v>9675</v>
      </c>
      <c r="G75" s="341"/>
      <c r="H75" s="239"/>
      <c r="I75" s="239">
        <f>9675+552+283</f>
        <v>10510</v>
      </c>
      <c r="J75" s="341"/>
      <c r="K75" s="239"/>
      <c r="L75" s="239">
        <f>10510+43-63+426</f>
        <v>10916</v>
      </c>
      <c r="M75" s="341"/>
      <c r="N75" s="239"/>
      <c r="O75" s="239">
        <v>10227</v>
      </c>
      <c r="P75" s="341"/>
      <c r="Q75" s="239"/>
      <c r="R75" s="239"/>
    </row>
    <row r="76" spans="1:18" x14ac:dyDescent="0.25">
      <c r="A76" s="283"/>
      <c r="B76" s="284" t="s">
        <v>350</v>
      </c>
      <c r="C76" s="239">
        <v>2173</v>
      </c>
      <c r="D76" s="341"/>
      <c r="E76" s="239"/>
      <c r="F76" s="239">
        <v>2173</v>
      </c>
      <c r="G76" s="341"/>
      <c r="H76" s="239"/>
      <c r="I76" s="239">
        <f>2173+122+62</f>
        <v>2357</v>
      </c>
      <c r="J76" s="341"/>
      <c r="K76" s="239"/>
      <c r="L76" s="239">
        <f>2357+10+93</f>
        <v>2460</v>
      </c>
      <c r="M76" s="341"/>
      <c r="N76" s="239"/>
      <c r="O76" s="239">
        <v>2356</v>
      </c>
      <c r="P76" s="341"/>
      <c r="Q76" s="239"/>
      <c r="R76" s="239"/>
    </row>
    <row r="77" spans="1:18" x14ac:dyDescent="0.25">
      <c r="A77" s="283"/>
      <c r="B77" s="284" t="s">
        <v>292</v>
      </c>
      <c r="C77" s="239">
        <v>6765</v>
      </c>
      <c r="D77" s="341"/>
      <c r="E77" s="239"/>
      <c r="F77" s="239">
        <v>6765</v>
      </c>
      <c r="G77" s="341"/>
      <c r="H77" s="239"/>
      <c r="I77" s="239">
        <f>6765+18</f>
        <v>6783</v>
      </c>
      <c r="J77" s="341"/>
      <c r="K77" s="239"/>
      <c r="L77" s="239">
        <f>6783+442</f>
        <v>7225</v>
      </c>
      <c r="M77" s="341"/>
      <c r="N77" s="239"/>
      <c r="O77" s="239">
        <v>6426</v>
      </c>
      <c r="P77" s="341"/>
      <c r="Q77" s="239"/>
      <c r="R77" s="239"/>
    </row>
    <row r="78" spans="1:18" x14ac:dyDescent="0.25">
      <c r="A78" s="283"/>
      <c r="B78" s="284" t="s">
        <v>339</v>
      </c>
      <c r="C78" s="239"/>
      <c r="D78" s="341"/>
      <c r="E78" s="239"/>
      <c r="F78" s="239">
        <v>0</v>
      </c>
      <c r="G78" s="341"/>
      <c r="H78" s="239"/>
      <c r="I78" s="239">
        <v>330</v>
      </c>
      <c r="J78" s="341"/>
      <c r="K78" s="239"/>
      <c r="L78" s="239">
        <v>330</v>
      </c>
      <c r="M78" s="341"/>
      <c r="N78" s="239"/>
      <c r="O78" s="239">
        <v>330</v>
      </c>
      <c r="P78" s="341"/>
      <c r="Q78" s="239"/>
      <c r="R78" s="239"/>
    </row>
    <row r="79" spans="1:18" s="47" customFormat="1" x14ac:dyDescent="0.25">
      <c r="A79" s="283"/>
      <c r="B79" s="284" t="s">
        <v>351</v>
      </c>
      <c r="C79" s="239">
        <v>711</v>
      </c>
      <c r="D79" s="341"/>
      <c r="E79" s="239"/>
      <c r="F79" s="239">
        <v>711</v>
      </c>
      <c r="G79" s="341"/>
      <c r="H79" s="239"/>
      <c r="I79" s="239">
        <f>711-(140400+37908)/1000+178</f>
        <v>710.69200000000001</v>
      </c>
      <c r="J79" s="341"/>
      <c r="K79" s="239"/>
      <c r="L79" s="239">
        <f>711-442</f>
        <v>269</v>
      </c>
      <c r="M79" s="341"/>
      <c r="N79" s="239"/>
      <c r="O79" s="239">
        <v>80</v>
      </c>
      <c r="P79" s="341"/>
      <c r="Q79" s="239"/>
      <c r="R79" s="239"/>
    </row>
    <row r="80" spans="1:18" ht="30" x14ac:dyDescent="0.25">
      <c r="A80" s="280" t="s">
        <v>322</v>
      </c>
      <c r="B80" s="432" t="s">
        <v>1278</v>
      </c>
      <c r="C80" s="282">
        <f>SUM(C81:C84)</f>
        <v>2927</v>
      </c>
      <c r="D80" s="340">
        <f>SUM(D81:D84)</f>
        <v>0</v>
      </c>
      <c r="E80" s="282">
        <f t="shared" ref="E80:F80" si="101">SUM(E81:E84)</f>
        <v>0</v>
      </c>
      <c r="F80" s="282">
        <f t="shared" si="101"/>
        <v>2927</v>
      </c>
      <c r="G80" s="340">
        <f>SUM(G81:G84)</f>
        <v>0</v>
      </c>
      <c r="H80" s="282">
        <f t="shared" ref="H80:I80" si="102">SUM(H81:H84)</f>
        <v>0</v>
      </c>
      <c r="I80" s="282">
        <f t="shared" si="102"/>
        <v>2927</v>
      </c>
      <c r="J80" s="340">
        <f>SUM(J81:J84)</f>
        <v>0</v>
      </c>
      <c r="K80" s="282">
        <f t="shared" ref="K80:L80" si="103">SUM(K81:K84)</f>
        <v>0</v>
      </c>
      <c r="L80" s="282">
        <f t="shared" si="103"/>
        <v>2927</v>
      </c>
      <c r="M80" s="340">
        <f>SUM(M81:M84)</f>
        <v>0</v>
      </c>
      <c r="N80" s="282">
        <f t="shared" ref="N80:O80" si="104">SUM(N81:N84)</f>
        <v>0</v>
      </c>
      <c r="O80" s="282">
        <f t="shared" si="104"/>
        <v>3055</v>
      </c>
      <c r="P80" s="340">
        <f>SUM(P81:P84)</f>
        <v>0</v>
      </c>
      <c r="Q80" s="282">
        <f t="shared" ref="Q80:R80" si="105">SUM(Q81:Q84)</f>
        <v>0</v>
      </c>
      <c r="R80" s="282">
        <f t="shared" si="105"/>
        <v>0</v>
      </c>
    </row>
    <row r="81" spans="1:18" x14ac:dyDescent="0.25">
      <c r="A81" s="283"/>
      <c r="B81" s="284" t="s">
        <v>286</v>
      </c>
      <c r="C81" s="239">
        <v>0</v>
      </c>
      <c r="D81" s="341"/>
      <c r="E81" s="239"/>
      <c r="F81" s="239">
        <v>0</v>
      </c>
      <c r="G81" s="341"/>
      <c r="H81" s="239"/>
      <c r="I81" s="239">
        <v>0</v>
      </c>
      <c r="J81" s="341"/>
      <c r="K81" s="239"/>
      <c r="L81" s="239">
        <v>0</v>
      </c>
      <c r="M81" s="341"/>
      <c r="N81" s="239"/>
      <c r="O81" s="239">
        <v>0</v>
      </c>
      <c r="P81" s="341"/>
      <c r="Q81" s="239"/>
      <c r="R81" s="239"/>
    </row>
    <row r="82" spans="1:18" x14ac:dyDescent="0.25">
      <c r="A82" s="283"/>
      <c r="B82" s="284" t="s">
        <v>350</v>
      </c>
      <c r="C82" s="239">
        <v>0</v>
      </c>
      <c r="D82" s="341"/>
      <c r="E82" s="239"/>
      <c r="F82" s="239">
        <v>0</v>
      </c>
      <c r="G82" s="341"/>
      <c r="H82" s="239"/>
      <c r="I82" s="239">
        <v>0</v>
      </c>
      <c r="J82" s="341"/>
      <c r="K82" s="239"/>
      <c r="L82" s="239">
        <v>0</v>
      </c>
      <c r="M82" s="341"/>
      <c r="N82" s="239"/>
      <c r="O82" s="239">
        <v>0</v>
      </c>
      <c r="P82" s="341"/>
      <c r="Q82" s="239"/>
      <c r="R82" s="239"/>
    </row>
    <row r="83" spans="1:18" x14ac:dyDescent="0.25">
      <c r="A83" s="283"/>
      <c r="B83" s="284" t="s">
        <v>292</v>
      </c>
      <c r="C83" s="239">
        <v>927</v>
      </c>
      <c r="D83" s="341"/>
      <c r="E83" s="239"/>
      <c r="F83" s="239">
        <v>927</v>
      </c>
      <c r="G83" s="341"/>
      <c r="H83" s="239"/>
      <c r="I83" s="239">
        <v>927</v>
      </c>
      <c r="J83" s="341"/>
      <c r="K83" s="239"/>
      <c r="L83" s="239">
        <v>927</v>
      </c>
      <c r="M83" s="341"/>
      <c r="N83" s="239"/>
      <c r="O83" s="239">
        <v>648</v>
      </c>
      <c r="P83" s="341"/>
      <c r="Q83" s="239"/>
      <c r="R83" s="239"/>
    </row>
    <row r="84" spans="1:18" s="47" customFormat="1" x14ac:dyDescent="0.25">
      <c r="A84" s="283"/>
      <c r="B84" s="284" t="s">
        <v>351</v>
      </c>
      <c r="C84" s="239">
        <v>2000</v>
      </c>
      <c r="D84" s="341"/>
      <c r="E84" s="239"/>
      <c r="F84" s="239">
        <v>2000</v>
      </c>
      <c r="G84" s="341"/>
      <c r="H84" s="239"/>
      <c r="I84" s="239">
        <v>2000</v>
      </c>
      <c r="J84" s="341"/>
      <c r="K84" s="239"/>
      <c r="L84" s="239">
        <v>2000</v>
      </c>
      <c r="M84" s="341"/>
      <c r="N84" s="239"/>
      <c r="O84" s="239">
        <v>2407</v>
      </c>
      <c r="P84" s="341"/>
      <c r="Q84" s="239"/>
      <c r="R84" s="239"/>
    </row>
    <row r="85" spans="1:18" s="47" customFormat="1" x14ac:dyDescent="0.25">
      <c r="A85" s="280" t="s">
        <v>315</v>
      </c>
      <c r="B85" s="281" t="s">
        <v>361</v>
      </c>
      <c r="C85" s="282"/>
      <c r="D85" s="340"/>
      <c r="E85" s="282"/>
      <c r="F85" s="282"/>
      <c r="G85" s="340"/>
      <c r="H85" s="282"/>
      <c r="I85" s="282"/>
      <c r="J85" s="340"/>
      <c r="K85" s="282"/>
      <c r="L85" s="282"/>
      <c r="M85" s="340"/>
      <c r="N85" s="282"/>
      <c r="O85" s="282"/>
      <c r="P85" s="340"/>
      <c r="Q85" s="282"/>
      <c r="R85" s="282"/>
    </row>
    <row r="86" spans="1:18" s="47" customFormat="1" x14ac:dyDescent="0.25">
      <c r="A86" s="283"/>
      <c r="B86" s="284" t="s">
        <v>362</v>
      </c>
      <c r="C86" s="239"/>
      <c r="D86" s="341"/>
      <c r="E86" s="239"/>
      <c r="F86" s="239"/>
      <c r="G86" s="341"/>
      <c r="H86" s="239"/>
      <c r="I86" s="239"/>
      <c r="J86" s="341"/>
      <c r="K86" s="239"/>
      <c r="L86" s="239"/>
      <c r="M86" s="341"/>
      <c r="N86" s="239"/>
      <c r="O86" s="239"/>
      <c r="P86" s="341"/>
      <c r="Q86" s="239"/>
      <c r="R86" s="239"/>
    </row>
    <row r="87" spans="1:18" s="47" customFormat="1" x14ac:dyDescent="0.25">
      <c r="A87" s="283"/>
      <c r="B87" s="284" t="s">
        <v>350</v>
      </c>
      <c r="C87" s="239"/>
      <c r="D87" s="341"/>
      <c r="E87" s="239"/>
      <c r="F87" s="239"/>
      <c r="G87" s="341"/>
      <c r="H87" s="239"/>
      <c r="I87" s="239"/>
      <c r="J87" s="341"/>
      <c r="K87" s="239"/>
      <c r="L87" s="239"/>
      <c r="M87" s="341"/>
      <c r="N87" s="239"/>
      <c r="O87" s="239"/>
      <c r="P87" s="341"/>
      <c r="Q87" s="239"/>
      <c r="R87" s="239"/>
    </row>
    <row r="88" spans="1:18" s="47" customFormat="1" x14ac:dyDescent="0.25">
      <c r="A88" s="283"/>
      <c r="B88" s="284" t="s">
        <v>363</v>
      </c>
      <c r="C88" s="239"/>
      <c r="D88" s="341"/>
      <c r="E88" s="239"/>
      <c r="F88" s="239"/>
      <c r="G88" s="341"/>
      <c r="H88" s="239"/>
      <c r="I88" s="239"/>
      <c r="J88" s="341"/>
      <c r="K88" s="239"/>
      <c r="L88" s="239"/>
      <c r="M88" s="341"/>
      <c r="N88" s="239"/>
      <c r="O88" s="239"/>
      <c r="P88" s="341"/>
      <c r="Q88" s="239"/>
      <c r="R88" s="239"/>
    </row>
    <row r="89" spans="1:18" s="47" customFormat="1" x14ac:dyDescent="0.25">
      <c r="A89" s="283"/>
      <c r="B89" s="284" t="s">
        <v>364</v>
      </c>
      <c r="C89" s="239"/>
      <c r="D89" s="341"/>
      <c r="E89" s="239"/>
      <c r="F89" s="239"/>
      <c r="G89" s="341"/>
      <c r="H89" s="239"/>
      <c r="I89" s="239"/>
      <c r="J89" s="341"/>
      <c r="K89" s="239"/>
      <c r="L89" s="239"/>
      <c r="M89" s="341"/>
      <c r="N89" s="239"/>
      <c r="O89" s="239"/>
      <c r="P89" s="341"/>
      <c r="Q89" s="239"/>
      <c r="R89" s="239"/>
    </row>
    <row r="90" spans="1:18" x14ac:dyDescent="0.25">
      <c r="A90" s="310" t="s">
        <v>318</v>
      </c>
      <c r="B90" s="311" t="s">
        <v>353</v>
      </c>
      <c r="C90" s="312">
        <f>C91</f>
        <v>9239</v>
      </c>
      <c r="D90" s="339">
        <f>D91</f>
        <v>1</v>
      </c>
      <c r="E90" s="312">
        <f t="shared" ref="E90:R90" si="106">E91</f>
        <v>0</v>
      </c>
      <c r="F90" s="312">
        <f t="shared" si="106"/>
        <v>9239</v>
      </c>
      <c r="G90" s="339">
        <f>G91</f>
        <v>1</v>
      </c>
      <c r="H90" s="312">
        <f t="shared" si="106"/>
        <v>0</v>
      </c>
      <c r="I90" s="312">
        <f t="shared" si="106"/>
        <v>9417.3080000000009</v>
      </c>
      <c r="J90" s="339">
        <f>J91</f>
        <v>1</v>
      </c>
      <c r="K90" s="312">
        <f t="shared" si="106"/>
        <v>0</v>
      </c>
      <c r="L90" s="312">
        <f t="shared" si="106"/>
        <v>9780</v>
      </c>
      <c r="M90" s="339">
        <f>M91</f>
        <v>1</v>
      </c>
      <c r="N90" s="312">
        <f t="shared" si="106"/>
        <v>0</v>
      </c>
      <c r="O90" s="312">
        <f t="shared" si="106"/>
        <v>9702</v>
      </c>
      <c r="P90" s="339">
        <f>P91</f>
        <v>0</v>
      </c>
      <c r="Q90" s="312">
        <f t="shared" si="106"/>
        <v>0</v>
      </c>
      <c r="R90" s="312">
        <f t="shared" si="106"/>
        <v>0</v>
      </c>
    </row>
    <row r="91" spans="1:18" x14ac:dyDescent="0.25">
      <c r="A91" s="310" t="s">
        <v>311</v>
      </c>
      <c r="B91" s="311" t="s">
        <v>361</v>
      </c>
      <c r="C91" s="282">
        <f>SUM(C92:C95)</f>
        <v>9239</v>
      </c>
      <c r="D91" s="340">
        <v>1</v>
      </c>
      <c r="E91" s="282">
        <f t="shared" ref="E91:F91" si="107">SUM(E92:E95)</f>
        <v>0</v>
      </c>
      <c r="F91" s="282">
        <f t="shared" si="107"/>
        <v>9239</v>
      </c>
      <c r="G91" s="340">
        <v>1</v>
      </c>
      <c r="H91" s="282">
        <f t="shared" ref="H91:I91" si="108">SUM(H92:H95)</f>
        <v>0</v>
      </c>
      <c r="I91" s="282">
        <f t="shared" si="108"/>
        <v>9417.3080000000009</v>
      </c>
      <c r="J91" s="340">
        <v>1</v>
      </c>
      <c r="K91" s="282">
        <f t="shared" ref="K91:L91" si="109">SUM(K92:K95)</f>
        <v>0</v>
      </c>
      <c r="L91" s="282">
        <f t="shared" si="109"/>
        <v>9780</v>
      </c>
      <c r="M91" s="340">
        <v>1</v>
      </c>
      <c r="N91" s="282">
        <f t="shared" ref="N91:O91" si="110">SUM(N92:N95)</f>
        <v>0</v>
      </c>
      <c r="O91" s="282">
        <f t="shared" si="110"/>
        <v>9702</v>
      </c>
      <c r="P91" s="340"/>
      <c r="Q91" s="282">
        <f t="shared" ref="Q91:R91" si="111">SUM(Q92:Q95)</f>
        <v>0</v>
      </c>
      <c r="R91" s="282">
        <f t="shared" si="111"/>
        <v>0</v>
      </c>
    </row>
    <row r="92" spans="1:18" s="47" customFormat="1" x14ac:dyDescent="0.25">
      <c r="A92" s="283"/>
      <c r="B92" s="284" t="s">
        <v>286</v>
      </c>
      <c r="C92" s="239">
        <v>3948</v>
      </c>
      <c r="D92" s="341"/>
      <c r="E92" s="239"/>
      <c r="F92" s="239">
        <v>3948</v>
      </c>
      <c r="G92" s="341"/>
      <c r="H92" s="239"/>
      <c r="I92" s="239">
        <v>3948</v>
      </c>
      <c r="J92" s="341"/>
      <c r="K92" s="239"/>
      <c r="L92" s="239">
        <f>3948+63</f>
        <v>4011</v>
      </c>
      <c r="M92" s="341"/>
      <c r="N92" s="239"/>
      <c r="O92" s="239">
        <v>4361</v>
      </c>
      <c r="P92" s="341"/>
      <c r="Q92" s="239"/>
      <c r="R92" s="239"/>
    </row>
    <row r="93" spans="1:18" s="47" customFormat="1" x14ac:dyDescent="0.25">
      <c r="A93" s="283"/>
      <c r="B93" s="284" t="s">
        <v>350</v>
      </c>
      <c r="C93" s="239">
        <v>1032</v>
      </c>
      <c r="D93" s="341"/>
      <c r="E93" s="239"/>
      <c r="F93" s="239">
        <v>1032</v>
      </c>
      <c r="G93" s="341"/>
      <c r="H93" s="239"/>
      <c r="I93" s="239">
        <v>1032</v>
      </c>
      <c r="J93" s="341"/>
      <c r="K93" s="239"/>
      <c r="L93" s="239">
        <v>1032</v>
      </c>
      <c r="M93" s="341"/>
      <c r="N93" s="239"/>
      <c r="O93" s="239">
        <v>1087</v>
      </c>
      <c r="P93" s="341"/>
      <c r="Q93" s="239"/>
      <c r="R93" s="239"/>
    </row>
    <row r="94" spans="1:18" s="47" customFormat="1" x14ac:dyDescent="0.25">
      <c r="A94" s="283"/>
      <c r="B94" s="284" t="s">
        <v>292</v>
      </c>
      <c r="C94" s="239">
        <v>4259</v>
      </c>
      <c r="D94" s="341"/>
      <c r="E94" s="239"/>
      <c r="F94" s="239">
        <v>4259</v>
      </c>
      <c r="G94" s="341"/>
      <c r="H94" s="239"/>
      <c r="I94" s="239">
        <v>4259</v>
      </c>
      <c r="J94" s="341"/>
      <c r="K94" s="239"/>
      <c r="L94" s="239">
        <f>4259+50+250</f>
        <v>4559</v>
      </c>
      <c r="M94" s="341"/>
      <c r="N94" s="239"/>
      <c r="O94" s="239">
        <v>3635</v>
      </c>
      <c r="P94" s="341"/>
      <c r="Q94" s="239"/>
      <c r="R94" s="239"/>
    </row>
    <row r="95" spans="1:18" s="47" customFormat="1" x14ac:dyDescent="0.25">
      <c r="A95" s="283"/>
      <c r="B95" s="284" t="s">
        <v>351</v>
      </c>
      <c r="C95" s="239">
        <v>0</v>
      </c>
      <c r="D95" s="341"/>
      <c r="E95" s="239"/>
      <c r="F95" s="239">
        <v>0</v>
      </c>
      <c r="G95" s="341"/>
      <c r="H95" s="239"/>
      <c r="I95" s="239">
        <f>+(140400+37908)/1000</f>
        <v>178.30799999999999</v>
      </c>
      <c r="J95" s="341"/>
      <c r="K95" s="239"/>
      <c r="L95" s="239">
        <v>178</v>
      </c>
      <c r="M95" s="341"/>
      <c r="N95" s="239"/>
      <c r="O95" s="239">
        <v>619</v>
      </c>
      <c r="P95" s="341"/>
      <c r="Q95" s="239"/>
      <c r="R95" s="239"/>
    </row>
    <row r="96" spans="1:18" x14ac:dyDescent="0.25">
      <c r="A96" s="307" t="s">
        <v>1274</v>
      </c>
      <c r="B96" s="308" t="s">
        <v>365</v>
      </c>
      <c r="C96" s="309">
        <f t="shared" ref="C96:I96" si="112">C97+C114</f>
        <v>112538</v>
      </c>
      <c r="D96" s="338">
        <f t="shared" si="112"/>
        <v>17</v>
      </c>
      <c r="E96" s="309">
        <f t="shared" si="112"/>
        <v>0</v>
      </c>
      <c r="F96" s="309">
        <f t="shared" si="112"/>
        <v>112538</v>
      </c>
      <c r="G96" s="338">
        <f t="shared" si="112"/>
        <v>17</v>
      </c>
      <c r="H96" s="309">
        <f t="shared" si="112"/>
        <v>0</v>
      </c>
      <c r="I96" s="309">
        <f t="shared" si="112"/>
        <v>115419</v>
      </c>
      <c r="J96" s="338">
        <f t="shared" ref="J96:L96" si="113">J97+J114</f>
        <v>17</v>
      </c>
      <c r="K96" s="309">
        <f t="shared" si="113"/>
        <v>0</v>
      </c>
      <c r="L96" s="309">
        <f t="shared" si="113"/>
        <v>116347</v>
      </c>
      <c r="M96" s="338">
        <f t="shared" ref="M96:R96" si="114">M97+M114</f>
        <v>17</v>
      </c>
      <c r="N96" s="309">
        <f t="shared" si="114"/>
        <v>0</v>
      </c>
      <c r="O96" s="309">
        <f t="shared" si="114"/>
        <v>119063</v>
      </c>
      <c r="P96" s="338">
        <f t="shared" si="114"/>
        <v>0</v>
      </c>
      <c r="Q96" s="309">
        <f t="shared" si="114"/>
        <v>0</v>
      </c>
      <c r="R96" s="309">
        <f t="shared" si="114"/>
        <v>0</v>
      </c>
    </row>
    <row r="97" spans="1:18" s="47" customFormat="1" x14ac:dyDescent="0.25">
      <c r="A97" s="310" t="s">
        <v>309</v>
      </c>
      <c r="B97" s="311" t="s">
        <v>348</v>
      </c>
      <c r="C97" s="312">
        <f t="shared" ref="C97:I97" si="115">C98+C104+C109</f>
        <v>112538</v>
      </c>
      <c r="D97" s="339">
        <f t="shared" si="115"/>
        <v>17</v>
      </c>
      <c r="E97" s="312">
        <f t="shared" si="115"/>
        <v>0</v>
      </c>
      <c r="F97" s="312">
        <f t="shared" si="115"/>
        <v>112538</v>
      </c>
      <c r="G97" s="339">
        <f t="shared" si="115"/>
        <v>17</v>
      </c>
      <c r="H97" s="312">
        <f t="shared" si="115"/>
        <v>0</v>
      </c>
      <c r="I97" s="312">
        <f t="shared" si="115"/>
        <v>115419</v>
      </c>
      <c r="J97" s="339">
        <f t="shared" ref="J97:L97" si="116">J98+J104+J109</f>
        <v>17</v>
      </c>
      <c r="K97" s="312">
        <f t="shared" si="116"/>
        <v>0</v>
      </c>
      <c r="L97" s="312">
        <f t="shared" si="116"/>
        <v>116347</v>
      </c>
      <c r="M97" s="339">
        <f t="shared" ref="M97:R97" si="117">M98+M104+M109</f>
        <v>17</v>
      </c>
      <c r="N97" s="312">
        <f t="shared" si="117"/>
        <v>0</v>
      </c>
      <c r="O97" s="312">
        <f t="shared" si="117"/>
        <v>119063</v>
      </c>
      <c r="P97" s="339">
        <f t="shared" si="117"/>
        <v>0</v>
      </c>
      <c r="Q97" s="312">
        <f t="shared" si="117"/>
        <v>0</v>
      </c>
      <c r="R97" s="312">
        <f t="shared" si="117"/>
        <v>0</v>
      </c>
    </row>
    <row r="98" spans="1:18" x14ac:dyDescent="0.25">
      <c r="A98" s="280" t="s">
        <v>311</v>
      </c>
      <c r="B98" s="281" t="s">
        <v>366</v>
      </c>
      <c r="C98" s="282">
        <f>SUM(C99:C103)</f>
        <v>75590</v>
      </c>
      <c r="D98" s="340">
        <v>11</v>
      </c>
      <c r="E98" s="282">
        <f t="shared" ref="E98:F98" si="118">SUM(E99:E103)</f>
        <v>0</v>
      </c>
      <c r="F98" s="282">
        <f t="shared" si="118"/>
        <v>75590</v>
      </c>
      <c r="G98" s="340">
        <v>11</v>
      </c>
      <c r="H98" s="282">
        <f>SUM(H99:H103)</f>
        <v>0</v>
      </c>
      <c r="I98" s="282">
        <f>SUM(I99:I103)</f>
        <v>77979</v>
      </c>
      <c r="J98" s="340">
        <v>11</v>
      </c>
      <c r="K98" s="282">
        <f>SUM(K99:K103)</f>
        <v>0</v>
      </c>
      <c r="L98" s="282">
        <f>SUM(L99:L103)</f>
        <v>78891</v>
      </c>
      <c r="M98" s="340">
        <v>11</v>
      </c>
      <c r="N98" s="282">
        <f>SUM(N99:N103)</f>
        <v>0</v>
      </c>
      <c r="O98" s="282">
        <f>SUM(O99:O103)</f>
        <v>84071</v>
      </c>
      <c r="P98" s="340"/>
      <c r="Q98" s="282">
        <f>SUM(Q99:Q103)</f>
        <v>0</v>
      </c>
      <c r="R98" s="282">
        <f>SUM(R99:R103)</f>
        <v>0</v>
      </c>
    </row>
    <row r="99" spans="1:18" x14ac:dyDescent="0.25">
      <c r="A99" s="283"/>
      <c r="B99" s="284" t="s">
        <v>286</v>
      </c>
      <c r="C99" s="239">
        <v>45326</v>
      </c>
      <c r="D99" s="341"/>
      <c r="E99" s="239"/>
      <c r="F99" s="239">
        <v>45326</v>
      </c>
      <c r="G99" s="341"/>
      <c r="H99" s="239"/>
      <c r="I99" s="239">
        <f>45326-492000/1000+105+503</f>
        <v>45442</v>
      </c>
      <c r="J99" s="341"/>
      <c r="K99" s="239"/>
      <c r="L99" s="239">
        <f>45442-16+105</f>
        <v>45531</v>
      </c>
      <c r="M99" s="341"/>
      <c r="N99" s="239"/>
      <c r="O99" s="239">
        <v>50043</v>
      </c>
      <c r="P99" s="341"/>
      <c r="Q99" s="239"/>
      <c r="R99" s="239"/>
    </row>
    <row r="100" spans="1:18" x14ac:dyDescent="0.25">
      <c r="A100" s="283"/>
      <c r="B100" s="284" t="s">
        <v>350</v>
      </c>
      <c r="C100" s="239">
        <v>9924</v>
      </c>
      <c r="D100" s="341"/>
      <c r="E100" s="239"/>
      <c r="F100" s="239">
        <v>9924</v>
      </c>
      <c r="G100" s="341"/>
      <c r="H100" s="239"/>
      <c r="I100" s="239">
        <f>9924+23+111</f>
        <v>10058</v>
      </c>
      <c r="J100" s="341"/>
      <c r="K100" s="239"/>
      <c r="L100" s="239">
        <f>10058+23</f>
        <v>10081</v>
      </c>
      <c r="M100" s="341"/>
      <c r="N100" s="239"/>
      <c r="O100" s="239">
        <v>11306</v>
      </c>
      <c r="P100" s="341"/>
      <c r="Q100" s="239"/>
      <c r="R100" s="239"/>
    </row>
    <row r="101" spans="1:18" x14ac:dyDescent="0.25">
      <c r="A101" s="283"/>
      <c r="B101" s="284" t="s">
        <v>292</v>
      </c>
      <c r="C101" s="239">
        <f>17953+1701</f>
        <v>19654</v>
      </c>
      <c r="D101" s="341"/>
      <c r="E101" s="239"/>
      <c r="F101" s="239">
        <v>19654</v>
      </c>
      <c r="G101" s="341"/>
      <c r="H101" s="239"/>
      <c r="I101" s="239">
        <f>19654+843-1700</f>
        <v>18797</v>
      </c>
      <c r="J101" s="341"/>
      <c r="K101" s="239"/>
      <c r="L101" s="239">
        <f>18797+200+100+500</f>
        <v>19597</v>
      </c>
      <c r="M101" s="341"/>
      <c r="N101" s="239"/>
      <c r="O101" s="239">
        <v>18850</v>
      </c>
      <c r="P101" s="341"/>
      <c r="Q101" s="239"/>
      <c r="R101" s="239"/>
    </row>
    <row r="102" spans="1:18" x14ac:dyDescent="0.25">
      <c r="A102" s="283"/>
      <c r="B102" s="284" t="s">
        <v>339</v>
      </c>
      <c r="C102" s="239"/>
      <c r="D102" s="341"/>
      <c r="E102" s="239"/>
      <c r="F102" s="239">
        <v>0</v>
      </c>
      <c r="G102" s="341"/>
      <c r="H102" s="239"/>
      <c r="I102" s="239">
        <v>2996</v>
      </c>
      <c r="J102" s="341"/>
      <c r="K102" s="239"/>
      <c r="L102" s="239">
        <v>2996</v>
      </c>
      <c r="M102" s="341"/>
      <c r="N102" s="239"/>
      <c r="O102" s="239">
        <v>2996</v>
      </c>
      <c r="P102" s="341"/>
      <c r="Q102" s="239"/>
      <c r="R102" s="239"/>
    </row>
    <row r="103" spans="1:18" x14ac:dyDescent="0.25">
      <c r="A103" s="283"/>
      <c r="B103" s="284" t="s">
        <v>351</v>
      </c>
      <c r="C103" s="239">
        <v>686</v>
      </c>
      <c r="D103" s="341"/>
      <c r="E103" s="239"/>
      <c r="F103" s="239">
        <v>686</v>
      </c>
      <c r="G103" s="341"/>
      <c r="H103" s="239"/>
      <c r="I103" s="239">
        <v>686</v>
      </c>
      <c r="J103" s="341"/>
      <c r="K103" s="239"/>
      <c r="L103" s="239">
        <v>686</v>
      </c>
      <c r="M103" s="341"/>
      <c r="N103" s="239"/>
      <c r="O103" s="239">
        <v>876</v>
      </c>
      <c r="P103" s="341"/>
      <c r="Q103" s="239"/>
      <c r="R103" s="541"/>
    </row>
    <row r="104" spans="1:18" x14ac:dyDescent="0.25">
      <c r="A104" s="280" t="s">
        <v>322</v>
      </c>
      <c r="B104" s="281" t="s">
        <v>367</v>
      </c>
      <c r="C104" s="282">
        <f>SUM(C105:C108)</f>
        <v>25072</v>
      </c>
      <c r="D104" s="340">
        <v>6</v>
      </c>
      <c r="E104" s="282">
        <f t="shared" ref="E104:F104" si="119">SUM(E105:E108)</f>
        <v>0</v>
      </c>
      <c r="F104" s="282">
        <f t="shared" si="119"/>
        <v>25072</v>
      </c>
      <c r="G104" s="340">
        <v>6</v>
      </c>
      <c r="H104" s="282">
        <f t="shared" ref="H104:I104" si="120">SUM(H105:H108)</f>
        <v>0</v>
      </c>
      <c r="I104" s="282">
        <f t="shared" si="120"/>
        <v>24964</v>
      </c>
      <c r="J104" s="340">
        <v>6</v>
      </c>
      <c r="K104" s="282">
        <f t="shared" ref="K104:L104" si="121">SUM(K105:K108)</f>
        <v>0</v>
      </c>
      <c r="L104" s="282">
        <f t="shared" si="121"/>
        <v>24980</v>
      </c>
      <c r="M104" s="340">
        <v>6</v>
      </c>
      <c r="N104" s="282">
        <f t="shared" ref="N104:O104" si="122">SUM(N105:N108)</f>
        <v>0</v>
      </c>
      <c r="O104" s="282">
        <f t="shared" si="122"/>
        <v>21301</v>
      </c>
      <c r="P104" s="340"/>
      <c r="Q104" s="282">
        <f t="shared" ref="Q104:R104" si="123">SUM(Q105:Q108)</f>
        <v>0</v>
      </c>
      <c r="R104" s="282">
        <f t="shared" si="123"/>
        <v>0</v>
      </c>
    </row>
    <row r="105" spans="1:18" x14ac:dyDescent="0.25">
      <c r="A105" s="283"/>
      <c r="B105" s="284" t="s">
        <v>286</v>
      </c>
      <c r="C105" s="239">
        <f>16317+500</f>
        <v>16817</v>
      </c>
      <c r="D105" s="341"/>
      <c r="E105" s="239"/>
      <c r="F105" s="239">
        <v>16817</v>
      </c>
      <c r="G105" s="341"/>
      <c r="H105" s="239"/>
      <c r="I105" s="239">
        <v>16817</v>
      </c>
      <c r="J105" s="341"/>
      <c r="K105" s="239"/>
      <c r="L105" s="239">
        <f>16817+16</f>
        <v>16833</v>
      </c>
      <c r="M105" s="341"/>
      <c r="N105" s="239"/>
      <c r="O105" s="239">
        <v>13598</v>
      </c>
      <c r="P105" s="341"/>
      <c r="Q105" s="239"/>
      <c r="R105" s="239"/>
    </row>
    <row r="106" spans="1:18" x14ac:dyDescent="0.25">
      <c r="A106" s="283"/>
      <c r="B106" s="284" t="s">
        <v>350</v>
      </c>
      <c r="C106" s="239">
        <f>3609+110</f>
        <v>3719</v>
      </c>
      <c r="D106" s="341"/>
      <c r="E106" s="239"/>
      <c r="F106" s="239">
        <v>3719</v>
      </c>
      <c r="G106" s="341"/>
      <c r="H106" s="239"/>
      <c r="I106" s="239">
        <f>3719-108000/1000</f>
        <v>3611</v>
      </c>
      <c r="J106" s="341"/>
      <c r="K106" s="239"/>
      <c r="L106" s="239">
        <v>3611</v>
      </c>
      <c r="M106" s="341"/>
      <c r="N106" s="239"/>
      <c r="O106" s="239">
        <v>3599</v>
      </c>
      <c r="P106" s="341"/>
      <c r="Q106" s="239"/>
      <c r="R106" s="239"/>
    </row>
    <row r="107" spans="1:18" x14ac:dyDescent="0.25">
      <c r="A107" s="283"/>
      <c r="B107" s="284" t="s">
        <v>292</v>
      </c>
      <c r="C107" s="239">
        <v>3837</v>
      </c>
      <c r="D107" s="341"/>
      <c r="E107" s="239"/>
      <c r="F107" s="239">
        <v>3837</v>
      </c>
      <c r="G107" s="341"/>
      <c r="H107" s="239"/>
      <c r="I107" s="239">
        <v>3837</v>
      </c>
      <c r="J107" s="341"/>
      <c r="K107" s="239"/>
      <c r="L107" s="239">
        <v>3837</v>
      </c>
      <c r="M107" s="341"/>
      <c r="N107" s="239"/>
      <c r="O107" s="239">
        <v>3858</v>
      </c>
      <c r="P107" s="341"/>
      <c r="Q107" s="239"/>
      <c r="R107" s="239"/>
    </row>
    <row r="108" spans="1:18" x14ac:dyDescent="0.25">
      <c r="A108" s="283"/>
      <c r="B108" s="284" t="s">
        <v>351</v>
      </c>
      <c r="C108" s="239">
        <v>699</v>
      </c>
      <c r="D108" s="341"/>
      <c r="E108" s="239"/>
      <c r="F108" s="239">
        <v>699</v>
      </c>
      <c r="G108" s="341"/>
      <c r="H108" s="239"/>
      <c r="I108" s="239">
        <v>699</v>
      </c>
      <c r="J108" s="341"/>
      <c r="K108" s="239"/>
      <c r="L108" s="239">
        <v>699</v>
      </c>
      <c r="M108" s="341"/>
      <c r="N108" s="239"/>
      <c r="O108" s="239">
        <v>246</v>
      </c>
      <c r="P108" s="341"/>
      <c r="Q108" s="239"/>
      <c r="R108" s="239"/>
    </row>
    <row r="109" spans="1:18" x14ac:dyDescent="0.25">
      <c r="A109" s="280" t="s">
        <v>315</v>
      </c>
      <c r="B109" s="281" t="s">
        <v>368</v>
      </c>
      <c r="C109" s="282">
        <f>SUM(C110:C113)</f>
        <v>11876</v>
      </c>
      <c r="D109" s="340">
        <f>SUM(D110:D113)</f>
        <v>0</v>
      </c>
      <c r="E109" s="282">
        <f t="shared" ref="E109:F109" si="124">SUM(E110:E113)</f>
        <v>0</v>
      </c>
      <c r="F109" s="282">
        <f t="shared" si="124"/>
        <v>11876</v>
      </c>
      <c r="G109" s="340">
        <f>SUM(G110:G113)</f>
        <v>0</v>
      </c>
      <c r="H109" s="282">
        <f t="shared" ref="H109:I109" si="125">SUM(H110:H113)</f>
        <v>0</v>
      </c>
      <c r="I109" s="282">
        <f t="shared" si="125"/>
        <v>12476</v>
      </c>
      <c r="J109" s="340">
        <f>SUM(J110:J113)</f>
        <v>0</v>
      </c>
      <c r="K109" s="282">
        <f t="shared" ref="K109:L109" si="126">SUM(K110:K113)</f>
        <v>0</v>
      </c>
      <c r="L109" s="282">
        <f t="shared" si="126"/>
        <v>12476</v>
      </c>
      <c r="M109" s="340">
        <f>SUM(M110:M113)</f>
        <v>0</v>
      </c>
      <c r="N109" s="282">
        <f t="shared" ref="N109:O109" si="127">SUM(N110:N113)</f>
        <v>0</v>
      </c>
      <c r="O109" s="282">
        <f t="shared" si="127"/>
        <v>13691</v>
      </c>
      <c r="P109" s="340">
        <f>SUM(P110:P113)</f>
        <v>0</v>
      </c>
      <c r="Q109" s="282">
        <f t="shared" ref="Q109:R109" si="128">SUM(Q110:Q113)</f>
        <v>0</v>
      </c>
      <c r="R109" s="282">
        <f t="shared" si="128"/>
        <v>0</v>
      </c>
    </row>
    <row r="110" spans="1:18" x14ac:dyDescent="0.25">
      <c r="A110" s="283"/>
      <c r="B110" s="284" t="s">
        <v>286</v>
      </c>
      <c r="C110" s="239">
        <v>0</v>
      </c>
      <c r="D110" s="341"/>
      <c r="E110" s="239"/>
      <c r="F110" s="239">
        <v>0</v>
      </c>
      <c r="G110" s="341"/>
      <c r="H110" s="239"/>
      <c r="I110" s="239">
        <v>0</v>
      </c>
      <c r="J110" s="341"/>
      <c r="K110" s="239"/>
      <c r="L110" s="239">
        <v>0</v>
      </c>
      <c r="M110" s="341"/>
      <c r="N110" s="239"/>
      <c r="O110" s="239">
        <v>0</v>
      </c>
      <c r="P110" s="341"/>
      <c r="Q110" s="239"/>
      <c r="R110" s="239"/>
    </row>
    <row r="111" spans="1:18" x14ac:dyDescent="0.25">
      <c r="A111" s="283"/>
      <c r="B111" s="284" t="s">
        <v>350</v>
      </c>
      <c r="C111" s="239">
        <v>0</v>
      </c>
      <c r="D111" s="341"/>
      <c r="E111" s="239"/>
      <c r="F111" s="239">
        <v>0</v>
      </c>
      <c r="G111" s="341"/>
      <c r="H111" s="239"/>
      <c r="I111" s="239">
        <v>0</v>
      </c>
      <c r="J111" s="341"/>
      <c r="K111" s="239"/>
      <c r="L111" s="239">
        <v>0</v>
      </c>
      <c r="M111" s="341"/>
      <c r="N111" s="239"/>
      <c r="O111" s="239">
        <v>0</v>
      </c>
      <c r="P111" s="341"/>
      <c r="Q111" s="239"/>
      <c r="R111" s="239"/>
    </row>
    <row r="112" spans="1:18" x14ac:dyDescent="0.25">
      <c r="A112" s="283"/>
      <c r="B112" s="284" t="s">
        <v>292</v>
      </c>
      <c r="C112" s="239">
        <v>11876</v>
      </c>
      <c r="D112" s="341"/>
      <c r="E112" s="239"/>
      <c r="F112" s="239">
        <v>11876</v>
      </c>
      <c r="G112" s="341"/>
      <c r="H112" s="239"/>
      <c r="I112" s="239">
        <f>11876+600000/1000</f>
        <v>12476</v>
      </c>
      <c r="J112" s="341"/>
      <c r="K112" s="239"/>
      <c r="L112" s="239">
        <v>12476</v>
      </c>
      <c r="M112" s="341"/>
      <c r="N112" s="239"/>
      <c r="O112" s="239">
        <v>13591</v>
      </c>
      <c r="P112" s="341"/>
      <c r="Q112" s="239"/>
      <c r="R112" s="239"/>
    </row>
    <row r="113" spans="1:18" x14ac:dyDescent="0.25">
      <c r="A113" s="283"/>
      <c r="B113" s="284" t="s">
        <v>351</v>
      </c>
      <c r="C113" s="239">
        <v>0</v>
      </c>
      <c r="D113" s="341"/>
      <c r="E113" s="239"/>
      <c r="F113" s="239">
        <v>0</v>
      </c>
      <c r="G113" s="341"/>
      <c r="H113" s="239"/>
      <c r="I113" s="239">
        <v>0</v>
      </c>
      <c r="J113" s="341"/>
      <c r="K113" s="239"/>
      <c r="L113" s="239">
        <v>0</v>
      </c>
      <c r="M113" s="341"/>
      <c r="N113" s="239"/>
      <c r="O113" s="239">
        <v>100</v>
      </c>
      <c r="P113" s="341"/>
      <c r="Q113" s="239"/>
      <c r="R113" s="239"/>
    </row>
    <row r="114" spans="1:18" x14ac:dyDescent="0.25">
      <c r="A114" s="280" t="s">
        <v>318</v>
      </c>
      <c r="B114" s="281" t="s">
        <v>353</v>
      </c>
      <c r="C114" s="282">
        <v>0</v>
      </c>
      <c r="D114" s="340">
        <v>0</v>
      </c>
      <c r="E114" s="282">
        <v>0</v>
      </c>
      <c r="F114" s="282">
        <v>0</v>
      </c>
      <c r="G114" s="340">
        <v>0</v>
      </c>
      <c r="H114" s="282">
        <v>0</v>
      </c>
      <c r="I114" s="282">
        <v>0</v>
      </c>
      <c r="J114" s="340">
        <v>0</v>
      </c>
      <c r="K114" s="282">
        <v>0</v>
      </c>
      <c r="L114" s="282">
        <v>0</v>
      </c>
      <c r="M114" s="340">
        <v>0</v>
      </c>
      <c r="N114" s="282">
        <v>0</v>
      </c>
      <c r="O114" s="282">
        <v>0</v>
      </c>
      <c r="P114" s="340">
        <v>0</v>
      </c>
      <c r="Q114" s="282">
        <v>0</v>
      </c>
      <c r="R114" s="282">
        <v>0</v>
      </c>
    </row>
    <row r="115" spans="1:18" x14ac:dyDescent="0.25">
      <c r="A115" s="307" t="s">
        <v>1275</v>
      </c>
      <c r="B115" s="308" t="s">
        <v>1190</v>
      </c>
      <c r="C115" s="309">
        <f>C116+C128</f>
        <v>112094</v>
      </c>
      <c r="D115" s="338">
        <f>D116+D128</f>
        <v>24</v>
      </c>
      <c r="E115" s="309">
        <f t="shared" ref="E115:F115" si="129">E116+E128</f>
        <v>0</v>
      </c>
      <c r="F115" s="309">
        <f t="shared" si="129"/>
        <v>112094</v>
      </c>
      <c r="G115" s="338">
        <f>G116+G128</f>
        <v>24</v>
      </c>
      <c r="H115" s="309">
        <f t="shared" ref="H115:I115" si="130">H116+H128</f>
        <v>0</v>
      </c>
      <c r="I115" s="309">
        <f t="shared" si="130"/>
        <v>114045</v>
      </c>
      <c r="J115" s="338">
        <f>J116+J128</f>
        <v>24</v>
      </c>
      <c r="K115" s="309">
        <f t="shared" ref="K115:L115" si="131">K116+K128</f>
        <v>0</v>
      </c>
      <c r="L115" s="309">
        <f t="shared" si="131"/>
        <v>114328</v>
      </c>
      <c r="M115" s="338">
        <f>M116+M128</f>
        <v>24</v>
      </c>
      <c r="N115" s="309">
        <f t="shared" ref="N115:O115" si="132">N116+N128</f>
        <v>0</v>
      </c>
      <c r="O115" s="309">
        <f t="shared" si="132"/>
        <v>110836</v>
      </c>
      <c r="P115" s="338">
        <f>P116+P128</f>
        <v>0</v>
      </c>
      <c r="Q115" s="309">
        <f t="shared" ref="Q115:R115" si="133">Q116+Q128</f>
        <v>0</v>
      </c>
      <c r="R115" s="309">
        <f t="shared" si="133"/>
        <v>0</v>
      </c>
    </row>
    <row r="116" spans="1:18" x14ac:dyDescent="0.25">
      <c r="A116" s="280" t="s">
        <v>309</v>
      </c>
      <c r="B116" s="281" t="s">
        <v>348</v>
      </c>
      <c r="C116" s="282">
        <f>C117+C123</f>
        <v>112094</v>
      </c>
      <c r="D116" s="340">
        <f>D117+D123</f>
        <v>24</v>
      </c>
      <c r="E116" s="282">
        <f t="shared" ref="E116:F116" si="134">E117+E123</f>
        <v>0</v>
      </c>
      <c r="F116" s="282">
        <f t="shared" si="134"/>
        <v>112094</v>
      </c>
      <c r="G116" s="340">
        <f>G117+G123</f>
        <v>24</v>
      </c>
      <c r="H116" s="282">
        <f t="shared" ref="H116:I116" si="135">H117+H123</f>
        <v>0</v>
      </c>
      <c r="I116" s="282">
        <f t="shared" si="135"/>
        <v>114045</v>
      </c>
      <c r="J116" s="340">
        <f>J117+J123</f>
        <v>24</v>
      </c>
      <c r="K116" s="282">
        <f t="shared" ref="K116:L116" si="136">K117+K123</f>
        <v>0</v>
      </c>
      <c r="L116" s="282">
        <f t="shared" si="136"/>
        <v>114328</v>
      </c>
      <c r="M116" s="340">
        <f>M117+M123</f>
        <v>24</v>
      </c>
      <c r="N116" s="282">
        <f t="shared" ref="N116:O116" si="137">N117+N123</f>
        <v>0</v>
      </c>
      <c r="O116" s="282">
        <f t="shared" si="137"/>
        <v>110836</v>
      </c>
      <c r="P116" s="340">
        <f>P117+P123</f>
        <v>0</v>
      </c>
      <c r="Q116" s="282">
        <f t="shared" ref="Q116:R116" si="138">Q117+Q123</f>
        <v>0</v>
      </c>
      <c r="R116" s="282">
        <f t="shared" si="138"/>
        <v>0</v>
      </c>
    </row>
    <row r="117" spans="1:18" x14ac:dyDescent="0.25">
      <c r="A117" s="280" t="s">
        <v>311</v>
      </c>
      <c r="B117" s="281" t="s">
        <v>369</v>
      </c>
      <c r="C117" s="282">
        <f>SUM(C118:C122)</f>
        <v>103866</v>
      </c>
      <c r="D117" s="340">
        <v>24</v>
      </c>
      <c r="E117" s="282">
        <f t="shared" ref="E117:F117" si="139">SUM(E118:E122)</f>
        <v>0</v>
      </c>
      <c r="F117" s="282">
        <f t="shared" si="139"/>
        <v>103866</v>
      </c>
      <c r="G117" s="340">
        <v>24</v>
      </c>
      <c r="H117" s="282">
        <f t="shared" ref="H117:I117" si="140">SUM(H118:H122)</f>
        <v>0</v>
      </c>
      <c r="I117" s="282">
        <f t="shared" si="140"/>
        <v>105817</v>
      </c>
      <c r="J117" s="340">
        <v>24</v>
      </c>
      <c r="K117" s="282">
        <f t="shared" ref="K117:L117" si="141">SUM(K118:K122)</f>
        <v>0</v>
      </c>
      <c r="L117" s="282">
        <f t="shared" si="141"/>
        <v>106100</v>
      </c>
      <c r="M117" s="340">
        <v>24</v>
      </c>
      <c r="N117" s="282">
        <f t="shared" ref="N117:O117" si="142">SUM(N118:N122)</f>
        <v>0</v>
      </c>
      <c r="O117" s="282">
        <f t="shared" si="142"/>
        <v>104375</v>
      </c>
      <c r="P117" s="340"/>
      <c r="Q117" s="282">
        <f t="shared" ref="Q117:R117" si="143">SUM(Q118:Q122)</f>
        <v>0</v>
      </c>
      <c r="R117" s="282">
        <f t="shared" si="143"/>
        <v>0</v>
      </c>
    </row>
    <row r="118" spans="1:18" x14ac:dyDescent="0.25">
      <c r="A118" s="283"/>
      <c r="B118" s="284" t="s">
        <v>286</v>
      </c>
      <c r="C118" s="239">
        <v>73361</v>
      </c>
      <c r="D118" s="341"/>
      <c r="E118" s="239"/>
      <c r="F118" s="239">
        <v>73361</v>
      </c>
      <c r="G118" s="341"/>
      <c r="H118" s="239"/>
      <c r="I118" s="239">
        <f>73361+313+760</f>
        <v>74434</v>
      </c>
      <c r="J118" s="341"/>
      <c r="K118" s="239"/>
      <c r="L118" s="239">
        <f>74434+232</f>
        <v>74666</v>
      </c>
      <c r="M118" s="341"/>
      <c r="N118" s="239"/>
      <c r="O118" s="239">
        <v>73565</v>
      </c>
      <c r="P118" s="341"/>
      <c r="Q118" s="239"/>
      <c r="R118" s="239"/>
    </row>
    <row r="119" spans="1:18" x14ac:dyDescent="0.25">
      <c r="A119" s="280"/>
      <c r="B119" s="284" t="s">
        <v>350</v>
      </c>
      <c r="C119" s="288">
        <v>16189</v>
      </c>
      <c r="D119" s="341"/>
      <c r="E119" s="288"/>
      <c r="F119" s="288">
        <v>16189</v>
      </c>
      <c r="G119" s="341"/>
      <c r="H119" s="288"/>
      <c r="I119" s="288">
        <f>16189+73+167</f>
        <v>16429</v>
      </c>
      <c r="J119" s="341"/>
      <c r="K119" s="288"/>
      <c r="L119" s="288">
        <f>16429+51</f>
        <v>16480</v>
      </c>
      <c r="M119" s="341"/>
      <c r="N119" s="288"/>
      <c r="O119" s="288">
        <v>16731</v>
      </c>
      <c r="P119" s="341"/>
      <c r="Q119" s="288"/>
      <c r="R119" s="288"/>
    </row>
    <row r="120" spans="1:18" x14ac:dyDescent="0.25">
      <c r="A120" s="283"/>
      <c r="B120" s="284" t="s">
        <v>292</v>
      </c>
      <c r="C120" s="239">
        <v>13859</v>
      </c>
      <c r="D120" s="341"/>
      <c r="E120" s="239"/>
      <c r="F120" s="239">
        <v>13859</v>
      </c>
      <c r="G120" s="341"/>
      <c r="H120" s="239"/>
      <c r="I120" s="239">
        <f>13859+10</f>
        <v>13869</v>
      </c>
      <c r="J120" s="341"/>
      <c r="K120" s="239"/>
      <c r="L120" s="239">
        <v>13869</v>
      </c>
      <c r="M120" s="341"/>
      <c r="N120" s="239"/>
      <c r="O120" s="239">
        <v>12410</v>
      </c>
      <c r="P120" s="341"/>
      <c r="Q120" s="239"/>
      <c r="R120" s="239"/>
    </row>
    <row r="121" spans="1:18" x14ac:dyDescent="0.25">
      <c r="A121" s="283"/>
      <c r="B121" s="284" t="s">
        <v>339</v>
      </c>
      <c r="C121" s="239"/>
      <c r="D121" s="341"/>
      <c r="E121" s="239"/>
      <c r="F121" s="239">
        <v>0</v>
      </c>
      <c r="G121" s="341"/>
      <c r="H121" s="239"/>
      <c r="I121" s="239">
        <v>628</v>
      </c>
      <c r="J121" s="341"/>
      <c r="K121" s="239"/>
      <c r="L121" s="239">
        <v>628</v>
      </c>
      <c r="M121" s="341"/>
      <c r="N121" s="239"/>
      <c r="O121" s="239">
        <v>628</v>
      </c>
      <c r="P121" s="341"/>
      <c r="Q121" s="239"/>
      <c r="R121" s="239"/>
    </row>
    <row r="122" spans="1:18" x14ac:dyDescent="0.25">
      <c r="A122" s="283"/>
      <c r="B122" s="284" t="s">
        <v>351</v>
      </c>
      <c r="C122" s="239">
        <v>457</v>
      </c>
      <c r="D122" s="341"/>
      <c r="E122" s="239"/>
      <c r="F122" s="239">
        <v>457</v>
      </c>
      <c r="G122" s="341"/>
      <c r="H122" s="239"/>
      <c r="I122" s="239">
        <v>457</v>
      </c>
      <c r="J122" s="341"/>
      <c r="K122" s="239"/>
      <c r="L122" s="239">
        <v>457</v>
      </c>
      <c r="M122" s="341"/>
      <c r="N122" s="239"/>
      <c r="O122" s="239">
        <v>1041</v>
      </c>
      <c r="P122" s="341"/>
      <c r="Q122" s="239"/>
      <c r="R122" s="239"/>
    </row>
    <row r="123" spans="1:18" x14ac:dyDescent="0.25">
      <c r="A123" s="280" t="s">
        <v>322</v>
      </c>
      <c r="B123" s="281" t="s">
        <v>370</v>
      </c>
      <c r="C123" s="282">
        <f>SUM(C124:C127)</f>
        <v>8228</v>
      </c>
      <c r="D123" s="340">
        <f>SUM(D124:D127)</f>
        <v>0</v>
      </c>
      <c r="E123" s="282">
        <f t="shared" ref="E123:F123" si="144">SUM(E124:E127)</f>
        <v>0</v>
      </c>
      <c r="F123" s="282">
        <f t="shared" si="144"/>
        <v>8228</v>
      </c>
      <c r="G123" s="340">
        <f>SUM(G124:G127)</f>
        <v>0</v>
      </c>
      <c r="H123" s="282">
        <f t="shared" ref="H123:I123" si="145">SUM(H124:H127)</f>
        <v>0</v>
      </c>
      <c r="I123" s="282">
        <f t="shared" si="145"/>
        <v>8228</v>
      </c>
      <c r="J123" s="340">
        <f>SUM(J124:J127)</f>
        <v>0</v>
      </c>
      <c r="K123" s="282">
        <f t="shared" ref="K123:L123" si="146">SUM(K124:K127)</f>
        <v>0</v>
      </c>
      <c r="L123" s="282">
        <f t="shared" si="146"/>
        <v>8228</v>
      </c>
      <c r="M123" s="340">
        <f>SUM(M124:M127)</f>
        <v>0</v>
      </c>
      <c r="N123" s="282">
        <f t="shared" ref="N123:O123" si="147">SUM(N124:N127)</f>
        <v>0</v>
      </c>
      <c r="O123" s="282">
        <f t="shared" si="147"/>
        <v>6461</v>
      </c>
      <c r="P123" s="340">
        <f>SUM(P124:P127)</f>
        <v>0</v>
      </c>
      <c r="Q123" s="282">
        <f t="shared" ref="Q123:R123" si="148">SUM(Q124:Q127)</f>
        <v>0</v>
      </c>
      <c r="R123" s="282">
        <f t="shared" si="148"/>
        <v>0</v>
      </c>
    </row>
    <row r="124" spans="1:18" x14ac:dyDescent="0.25">
      <c r="A124" s="283"/>
      <c r="B124" s="284" t="s">
        <v>286</v>
      </c>
      <c r="C124" s="239">
        <v>0</v>
      </c>
      <c r="D124" s="341"/>
      <c r="E124" s="239"/>
      <c r="F124" s="239">
        <v>0</v>
      </c>
      <c r="G124" s="341"/>
      <c r="H124" s="239"/>
      <c r="I124" s="239">
        <v>0</v>
      </c>
      <c r="J124" s="341"/>
      <c r="K124" s="239"/>
      <c r="L124" s="239">
        <v>0</v>
      </c>
      <c r="M124" s="341"/>
      <c r="N124" s="239"/>
      <c r="O124" s="239">
        <v>0</v>
      </c>
      <c r="P124" s="341"/>
      <c r="Q124" s="239"/>
      <c r="R124" s="239"/>
    </row>
    <row r="125" spans="1:18" x14ac:dyDescent="0.25">
      <c r="A125" s="310"/>
      <c r="B125" s="284" t="s">
        <v>350</v>
      </c>
      <c r="C125" s="314">
        <v>0</v>
      </c>
      <c r="D125" s="343"/>
      <c r="E125" s="314"/>
      <c r="F125" s="314">
        <v>0</v>
      </c>
      <c r="G125" s="343"/>
      <c r="H125" s="314"/>
      <c r="I125" s="314">
        <v>0</v>
      </c>
      <c r="J125" s="343"/>
      <c r="K125" s="314"/>
      <c r="L125" s="314">
        <v>0</v>
      </c>
      <c r="M125" s="343"/>
      <c r="N125" s="314"/>
      <c r="O125" s="314">
        <v>0</v>
      </c>
      <c r="P125" s="343"/>
      <c r="Q125" s="314"/>
      <c r="R125" s="314"/>
    </row>
    <row r="126" spans="1:18" s="47" customFormat="1" x14ac:dyDescent="0.25">
      <c r="A126" s="280"/>
      <c r="B126" s="284" t="s">
        <v>292</v>
      </c>
      <c r="C126" s="288">
        <v>8228</v>
      </c>
      <c r="D126" s="341"/>
      <c r="E126" s="288"/>
      <c r="F126" s="288">
        <v>8228</v>
      </c>
      <c r="G126" s="341"/>
      <c r="H126" s="288"/>
      <c r="I126" s="288">
        <v>8228</v>
      </c>
      <c r="J126" s="341"/>
      <c r="K126" s="288"/>
      <c r="L126" s="288">
        <v>8228</v>
      </c>
      <c r="M126" s="341"/>
      <c r="N126" s="288"/>
      <c r="O126" s="288">
        <v>6461</v>
      </c>
      <c r="P126" s="341"/>
      <c r="Q126" s="288"/>
      <c r="R126" s="288"/>
    </row>
    <row r="127" spans="1:18" x14ac:dyDescent="0.25">
      <c r="A127" s="283"/>
      <c r="B127" s="284" t="s">
        <v>351</v>
      </c>
      <c r="C127" s="239">
        <v>0</v>
      </c>
      <c r="D127" s="341"/>
      <c r="E127" s="239"/>
      <c r="F127" s="239">
        <v>0</v>
      </c>
      <c r="G127" s="341"/>
      <c r="H127" s="239"/>
      <c r="I127" s="239">
        <v>0</v>
      </c>
      <c r="J127" s="341"/>
      <c r="K127" s="239"/>
      <c r="L127" s="239">
        <v>0</v>
      </c>
      <c r="M127" s="341"/>
      <c r="N127" s="239"/>
      <c r="O127" s="239">
        <v>0</v>
      </c>
      <c r="P127" s="341"/>
      <c r="Q127" s="239"/>
      <c r="R127" s="239"/>
    </row>
    <row r="128" spans="1:18" x14ac:dyDescent="0.25">
      <c r="A128" s="280" t="s">
        <v>318</v>
      </c>
      <c r="B128" s="281" t="s">
        <v>353</v>
      </c>
      <c r="C128" s="282">
        <v>0</v>
      </c>
      <c r="D128" s="340">
        <v>0</v>
      </c>
      <c r="E128" s="282">
        <v>0</v>
      </c>
      <c r="F128" s="282">
        <v>0</v>
      </c>
      <c r="G128" s="340">
        <v>0</v>
      </c>
      <c r="H128" s="282">
        <v>0</v>
      </c>
      <c r="I128" s="282">
        <v>0</v>
      </c>
      <c r="J128" s="340">
        <v>0</v>
      </c>
      <c r="K128" s="282">
        <v>0</v>
      </c>
      <c r="L128" s="282">
        <v>0</v>
      </c>
      <c r="M128" s="340">
        <v>0</v>
      </c>
      <c r="N128" s="282">
        <v>0</v>
      </c>
      <c r="O128" s="282">
        <v>0</v>
      </c>
      <c r="P128" s="340">
        <v>0</v>
      </c>
      <c r="Q128" s="282">
        <v>0</v>
      </c>
      <c r="R128" s="282">
        <v>0</v>
      </c>
    </row>
    <row r="129" spans="1:18" x14ac:dyDescent="0.25">
      <c r="A129" s="283"/>
      <c r="B129" s="284"/>
      <c r="C129" s="239"/>
      <c r="D129" s="341"/>
      <c r="E129" s="239"/>
      <c r="F129" s="239"/>
      <c r="G129" s="341"/>
      <c r="H129" s="239"/>
      <c r="I129" s="239"/>
      <c r="J129" s="341"/>
      <c r="K129" s="239"/>
      <c r="L129" s="239"/>
      <c r="M129" s="341"/>
      <c r="N129" s="239"/>
      <c r="O129" s="239"/>
      <c r="P129" s="341"/>
      <c r="Q129" s="239"/>
      <c r="R129" s="239"/>
    </row>
    <row r="130" spans="1:18" x14ac:dyDescent="0.25">
      <c r="A130" s="283"/>
      <c r="B130" s="284"/>
      <c r="C130" s="239"/>
      <c r="D130" s="341"/>
      <c r="E130" s="239"/>
      <c r="F130" s="239"/>
      <c r="G130" s="341"/>
      <c r="H130" s="239"/>
      <c r="I130" s="239"/>
      <c r="J130" s="341"/>
      <c r="K130" s="239"/>
      <c r="L130" s="239"/>
      <c r="M130" s="341"/>
      <c r="N130" s="239"/>
      <c r="O130" s="239"/>
      <c r="P130" s="341"/>
      <c r="Q130" s="239"/>
      <c r="R130" s="239"/>
    </row>
    <row r="131" spans="1:18" x14ac:dyDescent="0.25">
      <c r="A131" s="280"/>
      <c r="B131" s="281"/>
      <c r="C131" s="282"/>
      <c r="D131" s="340"/>
      <c r="E131" s="282"/>
      <c r="F131" s="282"/>
      <c r="G131" s="340"/>
      <c r="H131" s="282"/>
      <c r="I131" s="282"/>
      <c r="J131" s="340"/>
      <c r="K131" s="282"/>
      <c r="L131" s="282"/>
      <c r="M131" s="340"/>
      <c r="N131" s="282"/>
      <c r="O131" s="282"/>
      <c r="P131" s="340"/>
      <c r="Q131" s="282"/>
      <c r="R131" s="282"/>
    </row>
    <row r="132" spans="1:18" x14ac:dyDescent="0.25">
      <c r="A132" s="283"/>
      <c r="B132" s="284"/>
      <c r="C132" s="239"/>
      <c r="D132" s="341"/>
      <c r="E132" s="239"/>
      <c r="F132" s="239"/>
      <c r="G132" s="341"/>
      <c r="H132" s="239"/>
      <c r="I132" s="239"/>
      <c r="J132" s="341"/>
      <c r="K132" s="239"/>
      <c r="L132" s="239"/>
      <c r="M132" s="341"/>
      <c r="N132" s="239"/>
      <c r="O132" s="239"/>
      <c r="P132" s="341"/>
      <c r="Q132" s="239"/>
      <c r="R132" s="239"/>
    </row>
    <row r="133" spans="1:18" x14ac:dyDescent="0.25">
      <c r="A133" s="283"/>
      <c r="B133" s="284"/>
      <c r="C133" s="239"/>
      <c r="D133" s="341"/>
      <c r="E133" s="239"/>
      <c r="F133" s="239"/>
      <c r="G133" s="341"/>
      <c r="H133" s="239"/>
      <c r="I133" s="239"/>
      <c r="J133" s="341"/>
      <c r="K133" s="239"/>
      <c r="L133" s="239"/>
      <c r="M133" s="341"/>
      <c r="N133" s="239"/>
      <c r="O133" s="239"/>
      <c r="P133" s="341"/>
      <c r="Q133" s="239"/>
      <c r="R133" s="239"/>
    </row>
    <row r="134" spans="1:18" x14ac:dyDescent="0.25">
      <c r="A134" s="283"/>
      <c r="B134" s="284"/>
      <c r="C134" s="239"/>
      <c r="D134" s="341"/>
      <c r="E134" s="239"/>
      <c r="F134" s="239"/>
      <c r="G134" s="341"/>
      <c r="H134" s="239"/>
      <c r="I134" s="239"/>
      <c r="J134" s="341"/>
      <c r="K134" s="239"/>
      <c r="L134" s="239"/>
      <c r="M134" s="341"/>
      <c r="N134" s="239"/>
      <c r="O134" s="239"/>
      <c r="P134" s="341"/>
      <c r="Q134" s="239"/>
      <c r="R134" s="239"/>
    </row>
  </sheetData>
  <customSheetViews>
    <customSheetView guid="{7F1DC213-A29D-4C8C-BAC3-F1BD898020FD}" hiddenColumns="1" state="hidden" topLeftCell="A64">
      <selection activeCell="R9" sqref="R9"/>
      <rowBreaks count="1" manualBreakCount="1">
        <brk id="71" max="17" man="1"/>
      </rowBreaks>
      <pageMargins left="0.19685039370078741" right="0.19685039370078741" top="0.78740157480314965" bottom="0.19685039370078741" header="0.15748031496062992" footer="0.31496062992125984"/>
      <printOptions horizontalCentered="1"/>
      <pageSetup paperSize="9" scale="70" fitToWidth="0" fitToHeight="6" pageOrder="overThenDown" orientation="portrait" horizontalDpi="300" verticalDpi="300" r:id="rId1"/>
      <headerFooter>
        <oddHeader>&amp;L5/H. melléklet a ...../2018. (.......) önkormányzati rendelethez&amp;C&amp;"-,Félkövér"&amp;16A gazdasági szervezettel nem rendelkező költségvetési szervek 2018. évi kiadásai költségvetési szervenként és feladatonként részletes bontásban</oddHeader>
        <oddFooter>&amp;C&amp;P</oddFooter>
      </headerFooter>
    </customSheetView>
    <customSheetView guid="{4DCB1349-1166-4B69-AE14-D6B08F9FCE74}" hiddenColumns="1" state="hidden" topLeftCell="A64">
      <selection activeCell="R9" sqref="R9"/>
      <rowBreaks count="1" manualBreakCount="1">
        <brk id="71" max="17" man="1"/>
      </rowBreaks>
      <pageMargins left="0.19685039370078741" right="0.19685039370078741" top="0.78740157480314965" bottom="0.19685039370078741" header="0.15748031496062992" footer="0.31496062992125984"/>
      <printOptions horizontalCentered="1"/>
      <pageSetup paperSize="9" scale="70" fitToWidth="0" fitToHeight="6" pageOrder="overThenDown" orientation="portrait" horizontalDpi="300" verticalDpi="300" r:id="rId2"/>
      <headerFooter>
        <oddHeader>&amp;L5/H. melléklet a ...../2018. (.......) önkormányzati rendelethez&amp;C&amp;"-,Félkövér"&amp;16A gazdasági szervezettel nem rendelkező költségvetési szervek 2018. évi kiadásai költségvetési szervenként és feladatonként részletes bontásban</oddHeader>
        <oddFooter>&amp;C&amp;P</oddFooter>
      </headerFooter>
    </customSheetView>
  </customSheetViews>
  <mergeCells count="23">
    <mergeCell ref="B2:B4"/>
    <mergeCell ref="A2:A4"/>
    <mergeCell ref="D2:D3"/>
    <mergeCell ref="E2:E3"/>
    <mergeCell ref="F2:F3"/>
    <mergeCell ref="D4:F4"/>
    <mergeCell ref="C2:C3"/>
    <mergeCell ref="J2:J3"/>
    <mergeCell ref="K2:K3"/>
    <mergeCell ref="L2:L3"/>
    <mergeCell ref="J4:L4"/>
    <mergeCell ref="G2:G3"/>
    <mergeCell ref="H2:H3"/>
    <mergeCell ref="I2:I3"/>
    <mergeCell ref="G4:I4"/>
    <mergeCell ref="Q2:Q3"/>
    <mergeCell ref="R2:R3"/>
    <mergeCell ref="P4:R4"/>
    <mergeCell ref="M2:M3"/>
    <mergeCell ref="N2:N3"/>
    <mergeCell ref="O2:O3"/>
    <mergeCell ref="M4:O4"/>
    <mergeCell ref="P2:P3"/>
  </mergeCells>
  <printOptions horizontalCentered="1"/>
  <pageMargins left="0.19685039370078741" right="0.19685039370078741" top="0.78740157480314965" bottom="0.19685039370078741" header="0.15748031496062992" footer="0.31496062992125984"/>
  <pageSetup paperSize="9" scale="70" fitToWidth="0" fitToHeight="6" pageOrder="overThenDown" orientation="portrait" horizontalDpi="300" verticalDpi="300" r:id="rId3"/>
  <headerFooter>
    <oddHeader>&amp;L5/H. melléklet a ...../2018. (.......) önkormányzati rendelethez&amp;C&amp;"-,Félkövér"&amp;16A gazdasági szervezettel nem rendelkező költségvetési szervek 2018. évi kiadásai költségvetési szervenként és feladatonként részletes bontásban</oddHeader>
    <oddFooter>&amp;C&amp;P</oddFooter>
  </headerFooter>
  <rowBreaks count="1" manualBreakCount="1">
    <brk id="71" max="1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IT184"/>
  <sheetViews>
    <sheetView topLeftCell="B1" zoomScale="150" zoomScaleNormal="150" zoomScaleSheetLayoutView="100" workbookViewId="0">
      <pane xSplit="2" ySplit="3" topLeftCell="D102" activePane="bottomRight" state="frozen"/>
      <selection activeCell="B1" sqref="B1"/>
      <selection pane="topRight" activeCell="D1" sqref="D1"/>
      <selection pane="bottomLeft" activeCell="B4" sqref="B4"/>
      <selection pane="bottomRight" activeCell="E113" sqref="E113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6384" width="11.5703125" style="5"/>
  </cols>
  <sheetData>
    <row r="1" spans="1:11" s="1" customFormat="1" ht="12.75" customHeight="1" x14ac:dyDescent="0.25">
      <c r="A1" s="975" t="s">
        <v>577</v>
      </c>
      <c r="B1" s="976"/>
      <c r="C1" s="976"/>
      <c r="D1" s="976"/>
      <c r="E1" s="976"/>
      <c r="F1" s="976"/>
      <c r="G1" s="976"/>
      <c r="H1" s="976"/>
      <c r="I1" s="976"/>
      <c r="J1" s="976"/>
      <c r="K1" s="977"/>
    </row>
    <row r="2" spans="1:11" s="1" customFormat="1" ht="14.1" customHeight="1" x14ac:dyDescent="0.25">
      <c r="A2" s="957" t="s">
        <v>0</v>
      </c>
      <c r="B2" s="961" t="s">
        <v>1</v>
      </c>
      <c r="C2" s="957" t="s">
        <v>2</v>
      </c>
      <c r="D2" s="962" t="s">
        <v>260</v>
      </c>
      <c r="E2" s="952" t="s">
        <v>259</v>
      </c>
      <c r="F2" s="954" t="s">
        <v>360</v>
      </c>
      <c r="G2" s="955"/>
      <c r="H2" s="954" t="s">
        <v>580</v>
      </c>
      <c r="I2" s="955"/>
      <c r="J2" s="954" t="s">
        <v>361</v>
      </c>
      <c r="K2" s="955"/>
    </row>
    <row r="3" spans="1:11" s="3" customFormat="1" ht="25.5" customHeight="1" x14ac:dyDescent="0.25">
      <c r="A3" s="957"/>
      <c r="B3" s="961"/>
      <c r="C3" s="957"/>
      <c r="D3" s="962"/>
      <c r="E3" s="953"/>
      <c r="F3" s="97" t="s">
        <v>263</v>
      </c>
      <c r="G3" s="97" t="s">
        <v>259</v>
      </c>
      <c r="H3" s="97" t="s">
        <v>260</v>
      </c>
      <c r="I3" s="97" t="s">
        <v>259</v>
      </c>
      <c r="J3" s="97" t="s">
        <v>260</v>
      </c>
      <c r="K3" s="97" t="s">
        <v>259</v>
      </c>
    </row>
    <row r="4" spans="1:11" ht="5.65" customHeight="1" x14ac:dyDescent="0.25"/>
    <row r="5" spans="1:11" ht="14.1" customHeight="1" x14ac:dyDescent="0.25">
      <c r="A5" s="956" t="s">
        <v>3</v>
      </c>
      <c r="B5" s="956"/>
      <c r="C5" s="956"/>
      <c r="D5" s="956"/>
      <c r="E5" s="956"/>
      <c r="F5" s="956"/>
      <c r="G5" s="956"/>
      <c r="H5" s="956"/>
      <c r="I5" s="956"/>
      <c r="J5" s="101"/>
      <c r="K5" s="101"/>
    </row>
    <row r="6" spans="1:1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9466</v>
      </c>
      <c r="E6" s="9">
        <f>G6+I6+K6</f>
        <v>8028</v>
      </c>
      <c r="F6" s="10">
        <v>7546</v>
      </c>
      <c r="G6" s="10">
        <v>8028</v>
      </c>
      <c r="H6" s="10">
        <v>0</v>
      </c>
      <c r="I6" s="10">
        <f>SUM(I7:I19)</f>
        <v>0</v>
      </c>
      <c r="J6" s="10">
        <v>1920</v>
      </c>
      <c r="K6" s="10">
        <v>0</v>
      </c>
    </row>
    <row r="7" spans="1:11" s="15" customFormat="1" ht="11.45" hidden="1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</row>
    <row r="8" spans="1:11" s="15" customFormat="1" ht="11.45" hidden="1" customHeight="1" x14ac:dyDescent="0.25">
      <c r="A8" s="11"/>
      <c r="B8" s="11"/>
      <c r="C8" s="12"/>
      <c r="D8" s="13"/>
      <c r="E8" s="13"/>
      <c r="F8" s="14"/>
      <c r="G8" s="14"/>
      <c r="H8" s="14"/>
      <c r="I8" s="14"/>
      <c r="J8" s="14"/>
      <c r="K8" s="14"/>
    </row>
    <row r="9" spans="1:11" s="15" customFormat="1" ht="11.45" hidden="1" customHeight="1" x14ac:dyDescent="0.25">
      <c r="A9" s="11"/>
      <c r="B9" s="11"/>
      <c r="C9" s="12"/>
      <c r="D9" s="13"/>
      <c r="E9" s="13"/>
      <c r="F9" s="14"/>
      <c r="G9" s="14"/>
      <c r="H9" s="14"/>
      <c r="I9" s="14"/>
      <c r="J9" s="14"/>
      <c r="K9" s="14"/>
    </row>
    <row r="10" spans="1:11" s="15" customFormat="1" ht="11.45" hidden="1" customHeight="1" x14ac:dyDescent="0.25">
      <c r="A10" s="11"/>
      <c r="B10" s="11"/>
      <c r="C10" s="12"/>
      <c r="D10" s="13"/>
      <c r="E10" s="13"/>
      <c r="F10" s="14"/>
      <c r="G10" s="14"/>
      <c r="H10" s="14"/>
      <c r="I10" s="14"/>
      <c r="J10" s="14"/>
      <c r="K10" s="14"/>
    </row>
    <row r="11" spans="1:11" s="15" customFormat="1" ht="11.45" hidden="1" customHeight="1" x14ac:dyDescent="0.25">
      <c r="A11" s="11"/>
      <c r="B11" s="11"/>
      <c r="C11" s="12"/>
      <c r="D11" s="13"/>
      <c r="E11" s="13"/>
      <c r="F11" s="14"/>
      <c r="G11" s="14"/>
      <c r="H11" s="14"/>
      <c r="I11" s="14"/>
      <c r="J11" s="14"/>
      <c r="K11" s="14"/>
    </row>
    <row r="12" spans="1:11" s="15" customFormat="1" ht="11.45" hidden="1" customHeight="1" x14ac:dyDescent="0.25">
      <c r="A12" s="11"/>
      <c r="B12" s="11"/>
      <c r="C12" s="12"/>
      <c r="D12" s="13"/>
      <c r="E12" s="13"/>
      <c r="F12" s="14"/>
      <c r="G12" s="14"/>
      <c r="H12" s="14"/>
      <c r="I12" s="14"/>
      <c r="J12" s="14"/>
      <c r="K12" s="14"/>
    </row>
    <row r="13" spans="1:11" s="15" customFormat="1" ht="11.45" hidden="1" customHeight="1" x14ac:dyDescent="0.25">
      <c r="A13" s="11"/>
      <c r="B13" s="11"/>
      <c r="C13" s="12"/>
      <c r="D13" s="13"/>
      <c r="E13" s="13"/>
      <c r="F13" s="14"/>
      <c r="G13" s="14"/>
      <c r="H13" s="14"/>
      <c r="I13" s="14"/>
      <c r="J13" s="14"/>
      <c r="K13" s="14"/>
    </row>
    <row r="14" spans="1:11" s="15" customFormat="1" ht="11.45" hidden="1" customHeight="1" x14ac:dyDescent="0.25">
      <c r="A14" s="11"/>
      <c r="B14" s="11"/>
      <c r="C14" s="12"/>
      <c r="D14" s="13"/>
      <c r="E14" s="13"/>
      <c r="F14" s="14"/>
      <c r="G14" s="14"/>
      <c r="H14" s="14"/>
      <c r="I14" s="14"/>
      <c r="J14" s="14"/>
      <c r="K14" s="14"/>
    </row>
    <row r="15" spans="1:11" s="15" customFormat="1" ht="11.45" hidden="1" customHeight="1" x14ac:dyDescent="0.25">
      <c r="A15" s="11"/>
      <c r="B15" s="11"/>
      <c r="C15" s="12"/>
      <c r="D15" s="13"/>
      <c r="E15" s="13"/>
      <c r="F15" s="14"/>
      <c r="G15" s="14"/>
      <c r="H15" s="14"/>
      <c r="I15" s="14"/>
      <c r="J15" s="14"/>
      <c r="K15" s="14"/>
    </row>
    <row r="16" spans="1:11" s="15" customFormat="1" ht="11.45" hidden="1" customHeight="1" x14ac:dyDescent="0.25">
      <c r="A16" s="11"/>
      <c r="B16" s="11"/>
      <c r="C16" s="12"/>
      <c r="D16" s="13"/>
      <c r="E16" s="13"/>
      <c r="F16" s="14"/>
      <c r="G16" s="14"/>
      <c r="H16" s="14"/>
      <c r="I16" s="14"/>
      <c r="J16" s="14"/>
      <c r="K16" s="14"/>
    </row>
    <row r="17" spans="1:11" s="15" customFormat="1" ht="11.45" hidden="1" customHeight="1" x14ac:dyDescent="0.25">
      <c r="A17" s="11"/>
      <c r="B17" s="11"/>
      <c r="C17" s="12"/>
      <c r="D17" s="13"/>
      <c r="E17" s="13"/>
      <c r="F17" s="14"/>
      <c r="G17" s="14"/>
      <c r="H17" s="14"/>
      <c r="I17" s="14"/>
      <c r="J17" s="14"/>
      <c r="K17" s="14"/>
    </row>
    <row r="18" spans="1:11" s="15" customFormat="1" ht="11.45" hidden="1" customHeight="1" x14ac:dyDescent="0.25">
      <c r="A18" s="11"/>
      <c r="B18" s="11"/>
      <c r="C18" s="12"/>
      <c r="D18" s="13"/>
      <c r="E18" s="13"/>
      <c r="F18" s="14"/>
      <c r="G18" s="14"/>
      <c r="H18" s="14"/>
      <c r="I18" s="14"/>
      <c r="J18" s="14"/>
      <c r="K18" s="14"/>
    </row>
    <row r="19" spans="1:11" s="15" customFormat="1" ht="11.45" hidden="1" customHeight="1" x14ac:dyDescent="0.25">
      <c r="A19" s="11"/>
      <c r="B19" s="11"/>
      <c r="C19" s="12"/>
      <c r="D19" s="13"/>
      <c r="E19" s="13"/>
      <c r="F19" s="14"/>
      <c r="G19" s="14"/>
      <c r="H19" s="14"/>
      <c r="I19" s="14"/>
      <c r="J19" s="14"/>
      <c r="K19" s="14"/>
    </row>
    <row r="20" spans="1:11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F20+H20+J20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</row>
    <row r="21" spans="1:11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50</v>
      </c>
      <c r="E22" s="9">
        <f t="shared" si="0"/>
        <v>50</v>
      </c>
      <c r="F22" s="10">
        <f>SUM(F23:F24)</f>
        <v>50</v>
      </c>
      <c r="G22" s="10">
        <f>SUM(G23:G24)</f>
        <v>50</v>
      </c>
      <c r="H22" s="10">
        <v>0</v>
      </c>
      <c r="I22" s="10">
        <f t="shared" ref="I22" si="1">SUM(I23:I24)</f>
        <v>0</v>
      </c>
      <c r="J22" s="10">
        <v>0</v>
      </c>
      <c r="K22" s="10">
        <v>0</v>
      </c>
    </row>
    <row r="23" spans="1:11" s="15" customFormat="1" ht="11.45" customHeight="1" x14ac:dyDescent="0.25">
      <c r="A23" s="11"/>
      <c r="B23" s="11"/>
      <c r="C23" s="12" t="s">
        <v>16</v>
      </c>
      <c r="D23" s="13"/>
      <c r="E23" s="13"/>
      <c r="F23" s="14">
        <v>50</v>
      </c>
      <c r="G23" s="14">
        <v>50</v>
      </c>
      <c r="H23" s="14"/>
      <c r="I23" s="14"/>
      <c r="J23" s="14"/>
      <c r="K23" s="14"/>
    </row>
    <row r="24" spans="1:11" s="15" customFormat="1" ht="11.45" customHeight="1" x14ac:dyDescent="0.25">
      <c r="A24" s="11"/>
      <c r="B24" s="11"/>
      <c r="C24" s="12" t="s">
        <v>17</v>
      </c>
      <c r="D24" s="13"/>
      <c r="E24" s="13"/>
      <c r="F24" s="14">
        <v>0</v>
      </c>
      <c r="G24" s="14">
        <v>0</v>
      </c>
      <c r="H24" s="14"/>
      <c r="I24" s="14"/>
      <c r="J24" s="14"/>
      <c r="K24" s="14"/>
    </row>
    <row r="25" spans="1:11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2">F25+H25+J25</f>
        <v>0</v>
      </c>
      <c r="E25" s="9">
        <f t="shared" si="2"/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2"/>
        <v>0</v>
      </c>
      <c r="E26" s="9">
        <f t="shared" si="2"/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</row>
    <row r="27" spans="1:11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2"/>
        <v>348</v>
      </c>
      <c r="E27" s="9">
        <f t="shared" si="2"/>
        <v>384</v>
      </c>
      <c r="F27" s="10">
        <v>348</v>
      </c>
      <c r="G27" s="10">
        <f>G28</f>
        <v>384</v>
      </c>
      <c r="H27" s="10">
        <v>0</v>
      </c>
      <c r="I27" s="10">
        <f t="shared" ref="I27" si="3">I28</f>
        <v>0</v>
      </c>
      <c r="J27" s="10">
        <v>0</v>
      </c>
      <c r="K27" s="10">
        <v>0</v>
      </c>
    </row>
    <row r="28" spans="1:11" s="15" customFormat="1" ht="11.45" customHeight="1" x14ac:dyDescent="0.25">
      <c r="A28" s="11"/>
      <c r="B28" s="11"/>
      <c r="C28" s="12" t="s">
        <v>997</v>
      </c>
      <c r="D28" s="13"/>
      <c r="E28" s="13"/>
      <c r="F28" s="14"/>
      <c r="G28" s="14">
        <v>384</v>
      </c>
      <c r="H28" s="14"/>
      <c r="I28" s="14"/>
      <c r="J28" s="14"/>
      <c r="K28" s="14"/>
    </row>
    <row r="29" spans="1:11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4">F29+H29+J29</f>
        <v>0</v>
      </c>
      <c r="E29" s="9">
        <f t="shared" si="4"/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  <row r="30" spans="1:11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4"/>
        <v>200</v>
      </c>
      <c r="E30" s="9">
        <f t="shared" si="4"/>
        <v>200</v>
      </c>
      <c r="F30" s="10">
        <v>200</v>
      </c>
      <c r="G30" s="10">
        <v>200</v>
      </c>
      <c r="H30" s="10">
        <v>0</v>
      </c>
      <c r="I30" s="10">
        <v>0</v>
      </c>
      <c r="J30" s="10">
        <v>0</v>
      </c>
      <c r="K30" s="10">
        <v>0</v>
      </c>
    </row>
    <row r="31" spans="1:11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4"/>
        <v>0</v>
      </c>
      <c r="E31" s="9">
        <f t="shared" si="4"/>
        <v>60</v>
      </c>
      <c r="F31" s="10">
        <v>0</v>
      </c>
      <c r="G31" s="10">
        <f>G32</f>
        <v>60</v>
      </c>
      <c r="H31" s="10">
        <v>0</v>
      </c>
      <c r="I31" s="10">
        <f>I32</f>
        <v>0</v>
      </c>
      <c r="J31" s="10">
        <v>0</v>
      </c>
      <c r="K31" s="10">
        <v>0</v>
      </c>
    </row>
    <row r="32" spans="1:11" s="3" customFormat="1" ht="12.75" customHeight="1" x14ac:dyDescent="0.25">
      <c r="A32" s="11"/>
      <c r="B32" s="11"/>
      <c r="C32" s="12" t="s">
        <v>1179</v>
      </c>
      <c r="D32" s="13"/>
      <c r="E32" s="13"/>
      <c r="F32" s="14"/>
      <c r="G32" s="14">
        <v>60</v>
      </c>
      <c r="H32" s="14"/>
      <c r="I32" s="14"/>
      <c r="J32" s="14"/>
      <c r="K32" s="14"/>
    </row>
    <row r="33" spans="1:11" s="3" customFormat="1" ht="12.75" customHeight="1" x14ac:dyDescent="0.25">
      <c r="A33" s="7" t="s">
        <v>36</v>
      </c>
      <c r="B33" s="7" t="s">
        <v>37</v>
      </c>
      <c r="C33" s="8" t="s">
        <v>38</v>
      </c>
      <c r="D33" s="9">
        <f t="shared" ref="D33:E34" si="5">F33+H33+J33</f>
        <v>0</v>
      </c>
      <c r="E33" s="9">
        <f t="shared" si="5"/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</row>
    <row r="34" spans="1:11" s="3" customFormat="1" ht="12.75" customHeight="1" x14ac:dyDescent="0.25">
      <c r="A34" s="7" t="s">
        <v>39</v>
      </c>
      <c r="B34" s="7" t="s">
        <v>40</v>
      </c>
      <c r="C34" s="8" t="s">
        <v>41</v>
      </c>
      <c r="D34" s="9">
        <f t="shared" si="5"/>
        <v>0</v>
      </c>
      <c r="E34" s="9">
        <f t="shared" si="5"/>
        <v>32</v>
      </c>
      <c r="F34" s="10">
        <f>F35</f>
        <v>0</v>
      </c>
      <c r="G34" s="10">
        <f t="shared" ref="G34:I34" si="6">G35</f>
        <v>32</v>
      </c>
      <c r="H34" s="10">
        <f t="shared" si="6"/>
        <v>0</v>
      </c>
      <c r="I34" s="10">
        <f t="shared" si="6"/>
        <v>0</v>
      </c>
      <c r="J34" s="10">
        <v>0</v>
      </c>
      <c r="K34" s="10">
        <v>0</v>
      </c>
    </row>
    <row r="35" spans="1:11" s="3" customFormat="1" ht="12.75" customHeight="1" x14ac:dyDescent="0.25">
      <c r="A35" s="11"/>
      <c r="B35" s="11"/>
      <c r="C35" s="12" t="s">
        <v>280</v>
      </c>
      <c r="D35" s="13"/>
      <c r="E35" s="13"/>
      <c r="F35" s="14">
        <v>0</v>
      </c>
      <c r="G35" s="14">
        <f>ROUND(G6*0.004,0)</f>
        <v>32</v>
      </c>
      <c r="H35" s="14"/>
      <c r="I35" s="14"/>
      <c r="J35" s="14"/>
      <c r="K35" s="14"/>
    </row>
    <row r="36" spans="1:11" s="3" customFormat="1" ht="12.75" customHeight="1" x14ac:dyDescent="0.25">
      <c r="A36" s="7" t="s">
        <v>42</v>
      </c>
      <c r="B36" s="7" t="s">
        <v>43</v>
      </c>
      <c r="C36" s="8" t="s">
        <v>44</v>
      </c>
      <c r="D36" s="9">
        <f>F36+H36+J36</f>
        <v>0</v>
      </c>
      <c r="E36" s="9">
        <f>G36+I36+K36</f>
        <v>241</v>
      </c>
      <c r="F36" s="10">
        <v>0</v>
      </c>
      <c r="G36" s="10">
        <f>G37</f>
        <v>241</v>
      </c>
      <c r="H36" s="10">
        <v>0</v>
      </c>
      <c r="I36" s="10">
        <f>I37</f>
        <v>0</v>
      </c>
      <c r="J36" s="10">
        <v>0</v>
      </c>
      <c r="K36" s="10">
        <v>0</v>
      </c>
    </row>
    <row r="37" spans="1:11" s="15" customFormat="1" ht="11.45" customHeight="1" x14ac:dyDescent="0.25">
      <c r="A37" s="11"/>
      <c r="B37" s="11"/>
      <c r="C37" s="12" t="s">
        <v>1181</v>
      </c>
      <c r="D37" s="13"/>
      <c r="E37" s="13"/>
      <c r="F37" s="14"/>
      <c r="G37" s="14">
        <f>ROUND(G6*0.03,0)</f>
        <v>241</v>
      </c>
      <c r="H37" s="14"/>
      <c r="I37" s="14"/>
      <c r="J37" s="14"/>
      <c r="K37" s="14"/>
    </row>
    <row r="38" spans="1:11" s="3" customFormat="1" ht="12.75" customHeight="1" x14ac:dyDescent="0.25">
      <c r="A38" s="16" t="s">
        <v>45</v>
      </c>
      <c r="B38" s="16" t="s">
        <v>46</v>
      </c>
      <c r="C38" s="17" t="s">
        <v>47</v>
      </c>
      <c r="D38" s="18">
        <f>D6+D20+D21+D22+D25+D26+D27+D29+D30+D31+D33+D34+D36</f>
        <v>10064</v>
      </c>
      <c r="E38" s="18">
        <f t="shared" ref="E38:K38" si="7">E6+E20+E21+E22+E25+E26+E27+E29+E30+E31+E33+E34+E36</f>
        <v>8995</v>
      </c>
      <c r="F38" s="18">
        <f t="shared" si="7"/>
        <v>8144</v>
      </c>
      <c r="G38" s="18">
        <f t="shared" si="7"/>
        <v>8995</v>
      </c>
      <c r="H38" s="18">
        <f t="shared" si="7"/>
        <v>0</v>
      </c>
      <c r="I38" s="18">
        <f t="shared" si="7"/>
        <v>0</v>
      </c>
      <c r="J38" s="18">
        <f t="shared" si="7"/>
        <v>1920</v>
      </c>
      <c r="K38" s="18">
        <f t="shared" si="7"/>
        <v>0</v>
      </c>
    </row>
    <row r="39" spans="1:11" s="3" customFormat="1" ht="12.75" customHeight="1" x14ac:dyDescent="0.25">
      <c r="A39" s="7" t="s">
        <v>48</v>
      </c>
      <c r="B39" s="7" t="s">
        <v>49</v>
      </c>
      <c r="C39" s="8" t="s">
        <v>50</v>
      </c>
      <c r="D39" s="9">
        <f t="shared" ref="D39:E40" si="8">F39+H39+J39</f>
        <v>0</v>
      </c>
      <c r="E39" s="9">
        <f t="shared" si="8"/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</row>
    <row r="40" spans="1:11" s="3" customFormat="1" ht="12.75" customHeight="1" x14ac:dyDescent="0.25">
      <c r="A40" s="7" t="s">
        <v>51</v>
      </c>
      <c r="B40" s="7" t="s">
        <v>52</v>
      </c>
      <c r="C40" s="8" t="s">
        <v>53</v>
      </c>
      <c r="D40" s="9">
        <f t="shared" si="8"/>
        <v>1232</v>
      </c>
      <c r="E40" s="9">
        <f t="shared" si="8"/>
        <v>680</v>
      </c>
      <c r="F40" s="10">
        <f>F41</f>
        <v>652</v>
      </c>
      <c r="G40" s="10">
        <f t="shared" ref="G40:I40" si="9">G41</f>
        <v>100</v>
      </c>
      <c r="H40" s="10">
        <f t="shared" si="9"/>
        <v>0</v>
      </c>
      <c r="I40" s="10">
        <f t="shared" si="9"/>
        <v>0</v>
      </c>
      <c r="J40" s="10">
        <f>J41</f>
        <v>580</v>
      </c>
      <c r="K40" s="10">
        <f>K41</f>
        <v>580</v>
      </c>
    </row>
    <row r="41" spans="1:11" s="15" customFormat="1" ht="11.45" customHeight="1" x14ac:dyDescent="0.25">
      <c r="A41" s="11"/>
      <c r="B41" s="11"/>
      <c r="C41" s="12" t="s">
        <v>282</v>
      </c>
      <c r="D41" s="13"/>
      <c r="E41" s="13"/>
      <c r="F41" s="14">
        <v>652</v>
      </c>
      <c r="G41" s="14">
        <v>100</v>
      </c>
      <c r="H41" s="14"/>
      <c r="I41" s="14"/>
      <c r="J41" s="14">
        <v>580</v>
      </c>
      <c r="K41" s="14">
        <v>580</v>
      </c>
    </row>
    <row r="42" spans="1:11" s="3" customFormat="1" ht="12.75" customHeight="1" x14ac:dyDescent="0.25">
      <c r="A42" s="7" t="s">
        <v>54</v>
      </c>
      <c r="B42" s="7" t="s">
        <v>55</v>
      </c>
      <c r="C42" s="8" t="s">
        <v>285</v>
      </c>
      <c r="D42" s="9">
        <f>F42+H42+J42</f>
        <v>220</v>
      </c>
      <c r="E42" s="9">
        <f>G42+I42+K42</f>
        <v>160</v>
      </c>
      <c r="F42" s="10">
        <f>F43</f>
        <v>150</v>
      </c>
      <c r="G42" s="10">
        <f t="shared" ref="G42:I42" si="10">G43</f>
        <v>100</v>
      </c>
      <c r="H42" s="10">
        <f t="shared" si="10"/>
        <v>0</v>
      </c>
      <c r="I42" s="10">
        <f t="shared" si="10"/>
        <v>0</v>
      </c>
      <c r="J42" s="10">
        <f>J43</f>
        <v>70</v>
      </c>
      <c r="K42" s="10">
        <f>K43</f>
        <v>60</v>
      </c>
    </row>
    <row r="43" spans="1:11" s="15" customFormat="1" ht="11.45" customHeight="1" x14ac:dyDescent="0.25">
      <c r="A43" s="11"/>
      <c r="B43" s="11"/>
      <c r="C43" s="12" t="s">
        <v>283</v>
      </c>
      <c r="D43" s="13"/>
      <c r="E43" s="13"/>
      <c r="F43" s="14">
        <v>150</v>
      </c>
      <c r="G43" s="14">
        <v>100</v>
      </c>
      <c r="H43" s="14"/>
      <c r="I43" s="14"/>
      <c r="J43" s="14">
        <v>70</v>
      </c>
      <c r="K43" s="14">
        <v>60</v>
      </c>
    </row>
    <row r="44" spans="1:11" s="3" customFormat="1" ht="12.75" customHeight="1" x14ac:dyDescent="0.25">
      <c r="A44" s="16" t="s">
        <v>56</v>
      </c>
      <c r="B44" s="16" t="s">
        <v>57</v>
      </c>
      <c r="C44" s="17" t="s">
        <v>58</v>
      </c>
      <c r="D44" s="18">
        <f>D39+D40+D42</f>
        <v>1452</v>
      </c>
      <c r="E44" s="18">
        <f t="shared" ref="E44:K44" si="11">E39+E40+E42</f>
        <v>840</v>
      </c>
      <c r="F44" s="18">
        <f t="shared" si="11"/>
        <v>802</v>
      </c>
      <c r="G44" s="18">
        <f t="shared" si="11"/>
        <v>200</v>
      </c>
      <c r="H44" s="18">
        <f t="shared" si="11"/>
        <v>0</v>
      </c>
      <c r="I44" s="18">
        <f t="shared" si="11"/>
        <v>0</v>
      </c>
      <c r="J44" s="18">
        <f t="shared" si="11"/>
        <v>650</v>
      </c>
      <c r="K44" s="18">
        <f t="shared" si="11"/>
        <v>640</v>
      </c>
    </row>
    <row r="45" spans="1:11" s="3" customFormat="1" ht="12.75" customHeight="1" x14ac:dyDescent="0.25">
      <c r="A45" s="20" t="s">
        <v>59</v>
      </c>
      <c r="B45" s="20" t="s">
        <v>60</v>
      </c>
      <c r="C45" s="21" t="s">
        <v>286</v>
      </c>
      <c r="D45" s="22">
        <f>D38+D44</f>
        <v>11516</v>
      </c>
      <c r="E45" s="22">
        <f t="shared" ref="E45:K45" si="12">E38+E44</f>
        <v>9835</v>
      </c>
      <c r="F45" s="22">
        <f t="shared" si="12"/>
        <v>8946</v>
      </c>
      <c r="G45" s="22">
        <f t="shared" si="12"/>
        <v>9195</v>
      </c>
      <c r="H45" s="22">
        <f t="shared" si="12"/>
        <v>0</v>
      </c>
      <c r="I45" s="22">
        <f t="shared" si="12"/>
        <v>0</v>
      </c>
      <c r="J45" s="22">
        <f t="shared" si="12"/>
        <v>2570</v>
      </c>
      <c r="K45" s="22">
        <f t="shared" si="12"/>
        <v>640</v>
      </c>
    </row>
    <row r="46" spans="1:11" s="15" customFormat="1" ht="11.45" customHeight="1" x14ac:dyDescent="0.25">
      <c r="A46" s="11"/>
      <c r="B46" s="11"/>
      <c r="C46" s="12" t="s">
        <v>284</v>
      </c>
      <c r="D46" s="13">
        <f>H46+F46+J46</f>
        <v>2961</v>
      </c>
      <c r="E46" s="13">
        <f>I46+G46+K46</f>
        <v>2374</v>
      </c>
      <c r="F46" s="13">
        <v>2267</v>
      </c>
      <c r="G46" s="13">
        <f>ROUND((G6+G20+G21+G22+G25+G26+G34+G40)*0.27,0)</f>
        <v>2217</v>
      </c>
      <c r="H46" s="13">
        <f t="shared" ref="H46:I46" si="13">ROUND((H6+H20+H21+H22+H25+H26+H40)*0.27,0)</f>
        <v>0</v>
      </c>
      <c r="I46" s="13">
        <f t="shared" si="13"/>
        <v>0</v>
      </c>
      <c r="J46" s="13">
        <v>694</v>
      </c>
      <c r="K46" s="13">
        <f>ROUND((K6+K20+K21+K22+K25+K26+K40)*0.27,0)</f>
        <v>157</v>
      </c>
    </row>
    <row r="47" spans="1:11" s="15" customFormat="1" ht="11.45" customHeight="1" x14ac:dyDescent="0.25">
      <c r="A47" s="11"/>
      <c r="B47" s="11"/>
      <c r="C47" s="12" t="s">
        <v>61</v>
      </c>
      <c r="D47" s="13">
        <f t="shared" ref="D47:E49" si="14">H47+F47+J47</f>
        <v>150</v>
      </c>
      <c r="E47" s="13">
        <f t="shared" si="14"/>
        <v>193</v>
      </c>
      <c r="F47" s="14">
        <v>106</v>
      </c>
      <c r="G47" s="13">
        <f>ROUND(G27*1.19*0.14+(G42+G36)*1.19*0.27,0)</f>
        <v>174</v>
      </c>
      <c r="H47" s="14"/>
      <c r="I47" s="14"/>
      <c r="J47" s="14">
        <v>44</v>
      </c>
      <c r="K47" s="13">
        <f>ROUND(K27*1.19*0.14+(K42+K36)*1.19*0.27,0)</f>
        <v>19</v>
      </c>
    </row>
    <row r="48" spans="1:11" s="15" customFormat="1" ht="11.45" customHeight="1" x14ac:dyDescent="0.25">
      <c r="A48" s="11"/>
      <c r="B48" s="11"/>
      <c r="C48" s="12" t="s">
        <v>62</v>
      </c>
      <c r="D48" s="13">
        <f t="shared" si="14"/>
        <v>0</v>
      </c>
      <c r="E48" s="13">
        <f t="shared" si="14"/>
        <v>0</v>
      </c>
      <c r="F48" s="14">
        <v>0</v>
      </c>
      <c r="G48" s="14"/>
      <c r="H48" s="14"/>
      <c r="I48" s="14"/>
      <c r="J48" s="14">
        <v>0</v>
      </c>
      <c r="K48" s="14"/>
    </row>
    <row r="49" spans="1:11" s="15" customFormat="1" ht="11.45" customHeight="1" x14ac:dyDescent="0.25">
      <c r="A49" s="11"/>
      <c r="B49" s="11"/>
      <c r="C49" s="12" t="s">
        <v>63</v>
      </c>
      <c r="D49" s="13">
        <f t="shared" si="14"/>
        <v>121</v>
      </c>
      <c r="E49" s="13">
        <f t="shared" si="14"/>
        <v>149</v>
      </c>
      <c r="F49" s="14">
        <v>95</v>
      </c>
      <c r="G49" s="14">
        <f>ROUND((G43+G37+G28)*1.19*0.16,0)</f>
        <v>138</v>
      </c>
      <c r="H49" s="14"/>
      <c r="I49" s="14"/>
      <c r="J49" s="14">
        <v>26</v>
      </c>
      <c r="K49" s="14">
        <f>ROUND((K43+K37+K28)*1.19*0.16,0)</f>
        <v>11</v>
      </c>
    </row>
    <row r="50" spans="1:11" s="3" customFormat="1" ht="12.75" customHeight="1" x14ac:dyDescent="0.25">
      <c r="A50" s="20" t="s">
        <v>64</v>
      </c>
      <c r="B50" s="20" t="s">
        <v>65</v>
      </c>
      <c r="C50" s="21" t="s">
        <v>287</v>
      </c>
      <c r="D50" s="22">
        <f>D46+D47+D48+D49</f>
        <v>3232</v>
      </c>
      <c r="E50" s="22">
        <f t="shared" ref="E50:K50" si="15">E46+E47+E48+E49</f>
        <v>2716</v>
      </c>
      <c r="F50" s="22">
        <f t="shared" si="15"/>
        <v>2468</v>
      </c>
      <c r="G50" s="22">
        <f t="shared" si="15"/>
        <v>2529</v>
      </c>
      <c r="H50" s="22">
        <f t="shared" si="15"/>
        <v>0</v>
      </c>
      <c r="I50" s="22">
        <f t="shared" si="15"/>
        <v>0</v>
      </c>
      <c r="J50" s="22">
        <f t="shared" si="15"/>
        <v>764</v>
      </c>
      <c r="K50" s="22">
        <f t="shared" si="15"/>
        <v>187</v>
      </c>
    </row>
    <row r="51" spans="1:11" s="3" customFormat="1" ht="14.1" customHeight="1" x14ac:dyDescent="0.25">
      <c r="A51" s="958" t="s">
        <v>66</v>
      </c>
      <c r="B51" s="959"/>
      <c r="C51" s="960"/>
      <c r="D51" s="30">
        <f>D45+D50</f>
        <v>14748</v>
      </c>
      <c r="E51" s="30">
        <f t="shared" ref="E51:K51" si="16">E45+E50</f>
        <v>12551</v>
      </c>
      <c r="F51" s="30">
        <f t="shared" si="16"/>
        <v>11414</v>
      </c>
      <c r="G51" s="30">
        <f t="shared" si="16"/>
        <v>11724</v>
      </c>
      <c r="H51" s="30">
        <f t="shared" si="16"/>
        <v>0</v>
      </c>
      <c r="I51" s="30">
        <f t="shared" si="16"/>
        <v>0</v>
      </c>
      <c r="J51" s="30">
        <f t="shared" si="16"/>
        <v>3334</v>
      </c>
      <c r="K51" s="30">
        <f t="shared" si="16"/>
        <v>827</v>
      </c>
    </row>
    <row r="52" spans="1:11" s="1" customFormat="1" ht="12.75" customHeight="1" x14ac:dyDescent="0.25">
      <c r="A52" s="975" t="s">
        <v>578</v>
      </c>
      <c r="B52" s="976"/>
      <c r="C52" s="976"/>
      <c r="D52" s="976"/>
      <c r="E52" s="976"/>
      <c r="F52" s="976"/>
      <c r="G52" s="976"/>
      <c r="H52" s="976"/>
      <c r="I52" s="976"/>
      <c r="J52" s="976"/>
      <c r="K52" s="977"/>
    </row>
    <row r="53" spans="1:11" s="1" customFormat="1" ht="14.1" customHeight="1" x14ac:dyDescent="0.25">
      <c r="A53" s="957" t="s">
        <v>0</v>
      </c>
      <c r="B53" s="961" t="s">
        <v>1</v>
      </c>
      <c r="C53" s="957" t="s">
        <v>2</v>
      </c>
      <c r="D53" s="962" t="s">
        <v>260</v>
      </c>
      <c r="E53" s="952" t="s">
        <v>259</v>
      </c>
      <c r="F53" s="954" t="s">
        <v>360</v>
      </c>
      <c r="G53" s="955"/>
      <c r="H53" s="954" t="s">
        <v>580</v>
      </c>
      <c r="I53" s="955"/>
      <c r="J53" s="954" t="s">
        <v>361</v>
      </c>
      <c r="K53" s="955"/>
    </row>
    <row r="54" spans="1:11" s="3" customFormat="1" ht="33" customHeight="1" x14ac:dyDescent="0.25">
      <c r="A54" s="957"/>
      <c r="B54" s="961"/>
      <c r="C54" s="957"/>
      <c r="D54" s="962"/>
      <c r="E54" s="953"/>
      <c r="F54" s="97" t="s">
        <v>260</v>
      </c>
      <c r="G54" s="97" t="s">
        <v>259</v>
      </c>
      <c r="H54" s="97" t="s">
        <v>260</v>
      </c>
      <c r="I54" s="97" t="s">
        <v>259</v>
      </c>
      <c r="J54" s="97" t="s">
        <v>260</v>
      </c>
      <c r="K54" s="97" t="s">
        <v>259</v>
      </c>
    </row>
    <row r="55" spans="1:11" ht="5.65" customHeight="1" x14ac:dyDescent="0.25"/>
    <row r="56" spans="1:11" ht="14.1" customHeight="1" x14ac:dyDescent="0.25">
      <c r="A56" s="956" t="s">
        <v>288</v>
      </c>
      <c r="B56" s="956"/>
      <c r="C56" s="956"/>
      <c r="D56" s="956"/>
      <c r="E56" s="956"/>
      <c r="F56" s="956"/>
      <c r="G56" s="956"/>
      <c r="H56" s="956"/>
      <c r="I56" s="956"/>
      <c r="J56" s="101"/>
      <c r="K56" s="101"/>
    </row>
    <row r="57" spans="1:11" s="3" customFormat="1" ht="14.1" customHeight="1" x14ac:dyDescent="0.25">
      <c r="A57" s="7" t="s">
        <v>67</v>
      </c>
      <c r="B57" s="7" t="s">
        <v>68</v>
      </c>
      <c r="C57" s="8" t="s">
        <v>69</v>
      </c>
      <c r="D57" s="9">
        <f>F57+H57+J57</f>
        <v>2000</v>
      </c>
      <c r="E57" s="9">
        <f>G57+I57+K57</f>
        <v>600</v>
      </c>
      <c r="F57" s="10">
        <f>SUM(F58:F63)</f>
        <v>0</v>
      </c>
      <c r="G57" s="10">
        <f t="shared" ref="G57:K57" si="17">SUM(G58:G63)</f>
        <v>0</v>
      </c>
      <c r="H57" s="10">
        <f t="shared" si="17"/>
        <v>2000</v>
      </c>
      <c r="I57" s="10">
        <f t="shared" si="17"/>
        <v>600</v>
      </c>
      <c r="J57" s="10">
        <f t="shared" si="17"/>
        <v>0</v>
      </c>
      <c r="K57" s="10">
        <f t="shared" si="17"/>
        <v>0</v>
      </c>
    </row>
    <row r="58" spans="1:11" ht="14.1" customHeight="1" x14ac:dyDescent="0.25">
      <c r="A58" s="24"/>
      <c r="B58" s="24"/>
      <c r="C58" s="25" t="s">
        <v>70</v>
      </c>
      <c r="D58" s="26"/>
      <c r="E58" s="26"/>
      <c r="F58" s="26">
        <v>0</v>
      </c>
      <c r="G58" s="26"/>
      <c r="H58" s="26"/>
      <c r="I58" s="26"/>
      <c r="J58" s="26"/>
      <c r="K58" s="26"/>
    </row>
    <row r="59" spans="1:11" ht="14.1" customHeight="1" x14ac:dyDescent="0.25">
      <c r="A59" s="24"/>
      <c r="B59" s="24"/>
      <c r="C59" s="25" t="s">
        <v>71</v>
      </c>
      <c r="D59" s="26"/>
      <c r="E59" s="26"/>
      <c r="F59" s="26">
        <v>0</v>
      </c>
      <c r="G59" s="26"/>
      <c r="H59" s="26"/>
      <c r="I59" s="26"/>
      <c r="J59" s="26"/>
      <c r="K59" s="26"/>
    </row>
    <row r="60" spans="1:11" ht="14.1" customHeight="1" x14ac:dyDescent="0.25">
      <c r="A60" s="24"/>
      <c r="B60" s="24"/>
      <c r="C60" s="25" t="s">
        <v>72</v>
      </c>
      <c r="D60" s="26"/>
      <c r="E60" s="26"/>
      <c r="F60" s="26">
        <v>0</v>
      </c>
      <c r="G60" s="26"/>
      <c r="H60" s="26"/>
      <c r="I60" s="26"/>
      <c r="J60" s="26"/>
      <c r="K60" s="26"/>
    </row>
    <row r="61" spans="1:11" ht="14.1" customHeight="1" x14ac:dyDescent="0.25">
      <c r="A61" s="24"/>
      <c r="B61" s="24"/>
      <c r="C61" s="25" t="s">
        <v>73</v>
      </c>
      <c r="D61" s="26"/>
      <c r="E61" s="26"/>
      <c r="F61" s="26">
        <v>0</v>
      </c>
      <c r="G61" s="26"/>
      <c r="H61" s="26">
        <v>55</v>
      </c>
      <c r="I61" s="26">
        <v>150</v>
      </c>
      <c r="J61" s="26"/>
      <c r="K61" s="26"/>
    </row>
    <row r="62" spans="1:11" ht="14.1" customHeight="1" x14ac:dyDescent="0.25">
      <c r="A62" s="24"/>
      <c r="B62" s="24"/>
      <c r="C62" s="25" t="s">
        <v>74</v>
      </c>
      <c r="D62" s="26"/>
      <c r="E62" s="26"/>
      <c r="F62" s="26">
        <v>0</v>
      </c>
      <c r="G62" s="26"/>
      <c r="H62" s="26">
        <v>245</v>
      </c>
      <c r="I62" s="26">
        <v>450</v>
      </c>
      <c r="J62" s="26"/>
      <c r="K62" s="26"/>
    </row>
    <row r="63" spans="1:11" ht="14.1" customHeight="1" x14ac:dyDescent="0.25">
      <c r="A63" s="24"/>
      <c r="B63" s="24"/>
      <c r="C63" s="25" t="s">
        <v>75</v>
      </c>
      <c r="D63" s="26"/>
      <c r="E63" s="26"/>
      <c r="F63" s="26">
        <v>0</v>
      </c>
      <c r="G63" s="26"/>
      <c r="H63" s="26">
        <v>1700</v>
      </c>
      <c r="I63" s="26"/>
      <c r="J63" s="26"/>
      <c r="K63" s="26"/>
    </row>
    <row r="64" spans="1:11" s="3" customFormat="1" ht="14.1" customHeight="1" x14ac:dyDescent="0.25">
      <c r="A64" s="7" t="s">
        <v>76</v>
      </c>
      <c r="B64" s="7" t="s">
        <v>77</v>
      </c>
      <c r="C64" s="8" t="s">
        <v>78</v>
      </c>
      <c r="D64" s="9">
        <f>F64+H64+J64</f>
        <v>270</v>
      </c>
      <c r="E64" s="9">
        <f>G64+I64+K64</f>
        <v>410</v>
      </c>
      <c r="F64" s="10">
        <f>SUM(F65:F70)</f>
        <v>250</v>
      </c>
      <c r="G64" s="10">
        <f>SUM(G65:G70)</f>
        <v>390</v>
      </c>
      <c r="H64" s="10">
        <f>SUM(H65:H70)</f>
        <v>0</v>
      </c>
      <c r="I64" s="10">
        <f>SUM(I65:I70)</f>
        <v>0</v>
      </c>
      <c r="J64" s="10">
        <f t="shared" ref="J64:K64" si="18">SUM(J65:J70)</f>
        <v>20</v>
      </c>
      <c r="K64" s="10">
        <f t="shared" si="18"/>
        <v>20</v>
      </c>
    </row>
    <row r="65" spans="1:11" ht="14.1" customHeight="1" x14ac:dyDescent="0.25">
      <c r="A65" s="24"/>
      <c r="B65" s="24"/>
      <c r="C65" s="25" t="s">
        <v>79</v>
      </c>
      <c r="D65" s="26"/>
      <c r="E65" s="26"/>
      <c r="F65" s="26"/>
      <c r="G65" s="26"/>
      <c r="H65" s="26"/>
      <c r="I65" s="26"/>
      <c r="J65" s="26"/>
      <c r="K65" s="26"/>
    </row>
    <row r="66" spans="1:11" ht="14.1" customHeight="1" x14ac:dyDescent="0.25">
      <c r="A66" s="24"/>
      <c r="B66" s="24"/>
      <c r="C66" s="25" t="s">
        <v>80</v>
      </c>
      <c r="D66" s="26"/>
      <c r="E66" s="26"/>
      <c r="F66" s="26">
        <v>120</v>
      </c>
      <c r="G66" s="26">
        <v>120</v>
      </c>
      <c r="H66" s="26"/>
      <c r="I66" s="26"/>
      <c r="J66" s="26"/>
      <c r="K66" s="26"/>
    </row>
    <row r="67" spans="1:11" ht="14.1" customHeight="1" x14ac:dyDescent="0.25">
      <c r="A67" s="24"/>
      <c r="B67" s="24"/>
      <c r="C67" s="25" t="s">
        <v>81</v>
      </c>
      <c r="D67" s="26"/>
      <c r="E67" s="26"/>
      <c r="F67" s="26"/>
      <c r="G67" s="26"/>
      <c r="H67" s="26"/>
      <c r="I67" s="26"/>
      <c r="J67" s="26"/>
      <c r="K67" s="26"/>
    </row>
    <row r="68" spans="1:11" ht="14.1" customHeight="1" x14ac:dyDescent="0.25">
      <c r="A68" s="24"/>
      <c r="B68" s="24"/>
      <c r="C68" s="25" t="s">
        <v>82</v>
      </c>
      <c r="D68" s="26"/>
      <c r="E68" s="26"/>
      <c r="F68" s="26"/>
      <c r="G68" s="26"/>
      <c r="H68" s="26"/>
      <c r="I68" s="26"/>
      <c r="J68" s="26"/>
      <c r="K68" s="26"/>
    </row>
    <row r="69" spans="1:11" ht="14.1" customHeight="1" x14ac:dyDescent="0.25">
      <c r="A69" s="24"/>
      <c r="B69" s="24"/>
      <c r="C69" s="25" t="s">
        <v>83</v>
      </c>
      <c r="D69" s="26"/>
      <c r="E69" s="26"/>
      <c r="F69" s="26"/>
      <c r="G69" s="26"/>
      <c r="H69" s="26"/>
      <c r="I69" s="26"/>
      <c r="J69" s="26"/>
      <c r="K69" s="26"/>
    </row>
    <row r="70" spans="1:11" ht="14.1" customHeight="1" x14ac:dyDescent="0.25">
      <c r="A70" s="24"/>
      <c r="B70" s="24"/>
      <c r="C70" s="25" t="s">
        <v>84</v>
      </c>
      <c r="D70" s="26"/>
      <c r="E70" s="26"/>
      <c r="F70" s="26">
        <v>130</v>
      </c>
      <c r="G70" s="26">
        <v>270</v>
      </c>
      <c r="H70" s="26"/>
      <c r="I70" s="26"/>
      <c r="J70" s="26">
        <v>20</v>
      </c>
      <c r="K70" s="26">
        <v>20</v>
      </c>
    </row>
    <row r="71" spans="1:11" s="3" customFormat="1" ht="14.1" customHeight="1" x14ac:dyDescent="0.25">
      <c r="A71" s="7" t="s">
        <v>85</v>
      </c>
      <c r="B71" s="7" t="s">
        <v>86</v>
      </c>
      <c r="C71" s="8" t="s">
        <v>87</v>
      </c>
      <c r="D71" s="9">
        <f>F71+H71+J71</f>
        <v>0</v>
      </c>
      <c r="E71" s="9">
        <f>G71+I71+K71</f>
        <v>0</v>
      </c>
      <c r="F71" s="10">
        <f>SUM(F72:F73)</f>
        <v>0</v>
      </c>
      <c r="G71" s="10">
        <f t="shared" ref="G71:K71" si="19">SUM(G72:G73)</f>
        <v>0</v>
      </c>
      <c r="H71" s="10">
        <f t="shared" si="19"/>
        <v>0</v>
      </c>
      <c r="I71" s="10">
        <f t="shared" si="19"/>
        <v>0</v>
      </c>
      <c r="J71" s="10">
        <f t="shared" si="19"/>
        <v>0</v>
      </c>
      <c r="K71" s="10">
        <f t="shared" si="19"/>
        <v>0</v>
      </c>
    </row>
    <row r="72" spans="1:11" ht="14.1" customHeight="1" x14ac:dyDescent="0.25">
      <c r="A72" s="24"/>
      <c r="B72" s="24"/>
      <c r="C72" s="25" t="s">
        <v>88</v>
      </c>
      <c r="D72" s="26"/>
      <c r="E72" s="26"/>
      <c r="F72" s="26"/>
      <c r="G72" s="26"/>
      <c r="H72" s="26"/>
      <c r="I72" s="26"/>
      <c r="J72" s="26"/>
      <c r="K72" s="26"/>
    </row>
    <row r="73" spans="1:11" ht="14.1" customHeight="1" x14ac:dyDescent="0.25">
      <c r="A73" s="24"/>
      <c r="B73" s="24"/>
      <c r="C73" s="25" t="s">
        <v>89</v>
      </c>
      <c r="D73" s="26"/>
      <c r="E73" s="26"/>
      <c r="F73" s="26"/>
      <c r="G73" s="26"/>
      <c r="H73" s="26"/>
      <c r="I73" s="26"/>
      <c r="J73" s="26"/>
      <c r="K73" s="26"/>
    </row>
    <row r="74" spans="1:11" s="3" customFormat="1" ht="14.1" customHeight="1" x14ac:dyDescent="0.25">
      <c r="A74" s="16" t="s">
        <v>90</v>
      </c>
      <c r="B74" s="16" t="s">
        <v>91</v>
      </c>
      <c r="C74" s="17" t="s">
        <v>92</v>
      </c>
      <c r="D74" s="19">
        <f>D57+D64</f>
        <v>2270</v>
      </c>
      <c r="E74" s="19">
        <f t="shared" ref="E74:K74" si="20">E57+E64</f>
        <v>1010</v>
      </c>
      <c r="F74" s="19">
        <f t="shared" si="20"/>
        <v>250</v>
      </c>
      <c r="G74" s="19">
        <f t="shared" si="20"/>
        <v>390</v>
      </c>
      <c r="H74" s="19">
        <f t="shared" si="20"/>
        <v>2000</v>
      </c>
      <c r="I74" s="19">
        <f t="shared" si="20"/>
        <v>600</v>
      </c>
      <c r="J74" s="19">
        <f t="shared" si="20"/>
        <v>20</v>
      </c>
      <c r="K74" s="19">
        <f t="shared" si="20"/>
        <v>20</v>
      </c>
    </row>
    <row r="75" spans="1:11" s="3" customFormat="1" ht="14.1" customHeight="1" x14ac:dyDescent="0.25">
      <c r="A75" s="7" t="s">
        <v>93</v>
      </c>
      <c r="B75" s="7" t="s">
        <v>94</v>
      </c>
      <c r="C75" s="8" t="s">
        <v>95</v>
      </c>
      <c r="D75" s="9">
        <f>F75+H75+J75</f>
        <v>683</v>
      </c>
      <c r="E75" s="9">
        <f>G75+I75+K75</f>
        <v>650</v>
      </c>
      <c r="F75" s="10">
        <f>SUM(F76:F81)</f>
        <v>683</v>
      </c>
      <c r="G75" s="10">
        <f>SUM(G76:G81)</f>
        <v>650</v>
      </c>
      <c r="H75" s="10">
        <f t="shared" ref="H75:K75" si="21">SUM(H76:H81)</f>
        <v>0</v>
      </c>
      <c r="I75" s="10">
        <f t="shared" si="21"/>
        <v>0</v>
      </c>
      <c r="J75" s="10">
        <f t="shared" si="21"/>
        <v>0</v>
      </c>
      <c r="K75" s="10">
        <f t="shared" si="21"/>
        <v>0</v>
      </c>
    </row>
    <row r="76" spans="1:11" ht="14.1" customHeight="1" x14ac:dyDescent="0.25">
      <c r="A76" s="24"/>
      <c r="B76" s="24"/>
      <c r="C76" s="25" t="s">
        <v>96</v>
      </c>
      <c r="D76" s="26"/>
      <c r="E76" s="26"/>
      <c r="F76" s="26"/>
      <c r="G76" s="26"/>
      <c r="H76" s="26"/>
      <c r="I76" s="26"/>
      <c r="J76" s="26"/>
      <c r="K76" s="26"/>
    </row>
    <row r="77" spans="1:11" ht="14.1" customHeight="1" x14ac:dyDescent="0.25">
      <c r="A77" s="24"/>
      <c r="B77" s="24"/>
      <c r="C77" s="25" t="s">
        <v>97</v>
      </c>
      <c r="D77" s="26"/>
      <c r="E77" s="26"/>
      <c r="F77" s="26">
        <v>513</v>
      </c>
      <c r="G77" s="26">
        <f>400+100</f>
        <v>500</v>
      </c>
      <c r="H77" s="26"/>
      <c r="I77" s="26"/>
      <c r="J77" s="26"/>
      <c r="K77" s="26"/>
    </row>
    <row r="78" spans="1:11" ht="14.1" customHeight="1" x14ac:dyDescent="0.25">
      <c r="A78" s="24"/>
      <c r="B78" s="24"/>
      <c r="C78" s="25" t="s">
        <v>98</v>
      </c>
      <c r="D78" s="26"/>
      <c r="E78" s="26"/>
      <c r="F78" s="26"/>
      <c r="G78" s="26"/>
      <c r="H78" s="26"/>
      <c r="I78" s="26"/>
      <c r="J78" s="26"/>
      <c r="K78" s="26"/>
    </row>
    <row r="79" spans="1:11" ht="14.1" customHeight="1" x14ac:dyDescent="0.25">
      <c r="A79" s="24"/>
      <c r="B79" s="24"/>
      <c r="C79" s="25" t="s">
        <v>99</v>
      </c>
      <c r="D79" s="26"/>
      <c r="E79" s="26"/>
      <c r="F79" s="26">
        <v>170</v>
      </c>
      <c r="G79" s="26">
        <v>150</v>
      </c>
      <c r="H79" s="26"/>
      <c r="I79" s="26"/>
      <c r="J79" s="26"/>
      <c r="K79" s="26"/>
    </row>
    <row r="80" spans="1:11" ht="14.1" customHeight="1" x14ac:dyDescent="0.25">
      <c r="A80" s="24"/>
      <c r="B80" s="24"/>
      <c r="C80" s="25" t="s">
        <v>100</v>
      </c>
      <c r="D80" s="26"/>
      <c r="E80" s="26"/>
      <c r="F80" s="26"/>
      <c r="G80" s="26"/>
      <c r="H80" s="26"/>
      <c r="I80" s="26"/>
      <c r="J80" s="26"/>
      <c r="K80" s="26"/>
    </row>
    <row r="81" spans="1:11" ht="14.1" customHeight="1" x14ac:dyDescent="0.25">
      <c r="A81" s="24"/>
      <c r="B81" s="24"/>
      <c r="C81" s="25" t="s">
        <v>101</v>
      </c>
      <c r="D81" s="26"/>
      <c r="E81" s="26"/>
      <c r="F81" s="26"/>
      <c r="G81" s="26"/>
      <c r="H81" s="26"/>
      <c r="I81" s="26"/>
      <c r="J81" s="26"/>
      <c r="K81" s="26"/>
    </row>
    <row r="82" spans="1:11" s="3" customFormat="1" ht="14.1" customHeight="1" x14ac:dyDescent="0.25">
      <c r="A82" s="7" t="s">
        <v>102</v>
      </c>
      <c r="B82" s="7" t="s">
        <v>103</v>
      </c>
      <c r="C82" s="8" t="s">
        <v>104</v>
      </c>
      <c r="D82" s="9">
        <f>F82+H82+J82</f>
        <v>200</v>
      </c>
      <c r="E82" s="9">
        <f>G82+I82+K82</f>
        <v>160</v>
      </c>
      <c r="F82" s="10">
        <f>SUM(F83:F84)</f>
        <v>140</v>
      </c>
      <c r="G82" s="10">
        <f t="shared" ref="G82:K82" si="22">SUM(G83:G84)</f>
        <v>100</v>
      </c>
      <c r="H82" s="10">
        <f t="shared" si="22"/>
        <v>0</v>
      </c>
      <c r="I82" s="10">
        <f t="shared" si="22"/>
        <v>0</v>
      </c>
      <c r="J82" s="10">
        <f t="shared" si="22"/>
        <v>60</v>
      </c>
      <c r="K82" s="10">
        <f t="shared" si="22"/>
        <v>60</v>
      </c>
    </row>
    <row r="83" spans="1:11" ht="14.1" customHeight="1" x14ac:dyDescent="0.25">
      <c r="A83" s="24"/>
      <c r="B83" s="24"/>
      <c r="C83" s="25" t="s">
        <v>105</v>
      </c>
      <c r="D83" s="26"/>
      <c r="E83" s="26"/>
      <c r="F83" s="26">
        <v>140</v>
      </c>
      <c r="G83" s="26">
        <v>100</v>
      </c>
      <c r="H83" s="26"/>
      <c r="I83" s="26"/>
      <c r="J83" s="26">
        <v>60</v>
      </c>
      <c r="K83" s="26">
        <v>60</v>
      </c>
    </row>
    <row r="84" spans="1:11" ht="14.1" customHeight="1" x14ac:dyDescent="0.25">
      <c r="A84" s="24"/>
      <c r="B84" s="24"/>
      <c r="C84" s="25" t="s">
        <v>106</v>
      </c>
      <c r="D84" s="26"/>
      <c r="E84" s="26"/>
      <c r="F84" s="26"/>
      <c r="G84" s="26"/>
      <c r="H84" s="26"/>
      <c r="I84" s="26"/>
      <c r="J84" s="26"/>
      <c r="K84" s="26"/>
    </row>
    <row r="85" spans="1:11" s="3" customFormat="1" ht="14.1" customHeight="1" x14ac:dyDescent="0.25">
      <c r="A85" s="16" t="s">
        <v>107</v>
      </c>
      <c r="B85" s="16" t="s">
        <v>108</v>
      </c>
      <c r="C85" s="17" t="s">
        <v>109</v>
      </c>
      <c r="D85" s="19">
        <f>D75+D82</f>
        <v>883</v>
      </c>
      <c r="E85" s="19">
        <f t="shared" ref="E85:K85" si="23">E75+E82</f>
        <v>810</v>
      </c>
      <c r="F85" s="19">
        <f t="shared" si="23"/>
        <v>823</v>
      </c>
      <c r="G85" s="19">
        <f t="shared" si="23"/>
        <v>750</v>
      </c>
      <c r="H85" s="19">
        <f t="shared" si="23"/>
        <v>0</v>
      </c>
      <c r="I85" s="19">
        <f t="shared" si="23"/>
        <v>0</v>
      </c>
      <c r="J85" s="19">
        <f t="shared" si="23"/>
        <v>60</v>
      </c>
      <c r="K85" s="19">
        <f t="shared" si="23"/>
        <v>60</v>
      </c>
    </row>
    <row r="86" spans="1:11" s="3" customFormat="1" ht="14.1" customHeight="1" x14ac:dyDescent="0.25">
      <c r="A86" s="7" t="s">
        <v>110</v>
      </c>
      <c r="B86" s="7" t="s">
        <v>111</v>
      </c>
      <c r="C86" s="8" t="s">
        <v>112</v>
      </c>
      <c r="D86" s="9">
        <f>F86+H86+J86</f>
        <v>2745</v>
      </c>
      <c r="E86" s="9">
        <f>G86+I86+K86</f>
        <v>2520</v>
      </c>
      <c r="F86" s="10">
        <f>SUM(F87:F89)</f>
        <v>2360</v>
      </c>
      <c r="G86" s="10">
        <f t="shared" ref="G86:K86" si="24">SUM(G87:G89)</f>
        <v>2100</v>
      </c>
      <c r="H86" s="10">
        <f t="shared" si="24"/>
        <v>0</v>
      </c>
      <c r="I86" s="10">
        <f t="shared" si="24"/>
        <v>0</v>
      </c>
      <c r="J86" s="10">
        <f t="shared" si="24"/>
        <v>385</v>
      </c>
      <c r="K86" s="10">
        <f t="shared" si="24"/>
        <v>420</v>
      </c>
    </row>
    <row r="87" spans="1:11" ht="14.1" customHeight="1" x14ac:dyDescent="0.25">
      <c r="A87" s="24"/>
      <c r="B87" s="24"/>
      <c r="C87" s="25" t="s">
        <v>113</v>
      </c>
      <c r="D87" s="26"/>
      <c r="E87" s="26"/>
      <c r="F87" s="26">
        <v>1200</v>
      </c>
      <c r="G87" s="26">
        <v>1000</v>
      </c>
      <c r="H87" s="26"/>
      <c r="I87" s="26"/>
      <c r="J87" s="26">
        <v>25</v>
      </c>
      <c r="K87" s="26">
        <v>200</v>
      </c>
    </row>
    <row r="88" spans="1:11" ht="14.1" customHeight="1" x14ac:dyDescent="0.25">
      <c r="A88" s="24"/>
      <c r="B88" s="24"/>
      <c r="C88" s="25" t="s">
        <v>114</v>
      </c>
      <c r="D88" s="26"/>
      <c r="E88" s="26"/>
      <c r="F88" s="26">
        <v>1100</v>
      </c>
      <c r="G88" s="26">
        <v>1040</v>
      </c>
      <c r="H88" s="26"/>
      <c r="I88" s="26"/>
      <c r="J88" s="26">
        <v>350</v>
      </c>
      <c r="K88" s="26">
        <v>210</v>
      </c>
    </row>
    <row r="89" spans="1:11" ht="14.1" customHeight="1" x14ac:dyDescent="0.25">
      <c r="A89" s="24"/>
      <c r="B89" s="24"/>
      <c r="C89" s="25" t="s">
        <v>115</v>
      </c>
      <c r="D89" s="26"/>
      <c r="E89" s="26"/>
      <c r="F89" s="26">
        <v>60</v>
      </c>
      <c r="G89" s="26">
        <v>60</v>
      </c>
      <c r="H89" s="26"/>
      <c r="I89" s="26"/>
      <c r="J89" s="26">
        <v>10</v>
      </c>
      <c r="K89" s="26">
        <v>10</v>
      </c>
    </row>
    <row r="90" spans="1:11" s="3" customFormat="1" ht="14.1" customHeight="1" x14ac:dyDescent="0.25">
      <c r="A90" s="7" t="s">
        <v>116</v>
      </c>
      <c r="B90" s="7" t="s">
        <v>117</v>
      </c>
      <c r="C90" s="8" t="s">
        <v>118</v>
      </c>
      <c r="D90" s="9">
        <f>F90+H90+J90</f>
        <v>0</v>
      </c>
      <c r="E90" s="9">
        <f>G90+I90+K90</f>
        <v>0</v>
      </c>
      <c r="F90" s="10">
        <v>0</v>
      </c>
      <c r="G90" s="10">
        <f>G91</f>
        <v>0</v>
      </c>
      <c r="H90" s="10">
        <v>0</v>
      </c>
      <c r="I90" s="10">
        <f>I91</f>
        <v>0</v>
      </c>
      <c r="J90" s="10">
        <f t="shared" ref="J90:K90" si="25">J91</f>
        <v>0</v>
      </c>
      <c r="K90" s="10">
        <f t="shared" si="25"/>
        <v>0</v>
      </c>
    </row>
    <row r="91" spans="1:11" s="3" customFormat="1" ht="14.1" customHeight="1" x14ac:dyDescent="0.25">
      <c r="A91" s="24"/>
      <c r="B91" s="24"/>
      <c r="C91" s="25"/>
      <c r="D91" s="26"/>
      <c r="E91" s="26"/>
      <c r="F91" s="26"/>
      <c r="G91" s="26"/>
      <c r="H91" s="26"/>
      <c r="I91" s="26">
        <v>0</v>
      </c>
      <c r="J91" s="26"/>
      <c r="K91" s="26"/>
    </row>
    <row r="92" spans="1:11" s="3" customFormat="1" ht="14.1" customHeight="1" x14ac:dyDescent="0.25">
      <c r="A92" s="7" t="s">
        <v>119</v>
      </c>
      <c r="B92" s="7" t="s">
        <v>120</v>
      </c>
      <c r="C92" s="8" t="s">
        <v>121</v>
      </c>
      <c r="D92" s="9">
        <f>F92+H92+J92</f>
        <v>2030</v>
      </c>
      <c r="E92" s="9">
        <f>G92+I92+K92</f>
        <v>2200</v>
      </c>
      <c r="F92" s="10">
        <f>SUM(F93:F94)</f>
        <v>0</v>
      </c>
      <c r="G92" s="10">
        <f t="shared" ref="G92:K92" si="26">SUM(G93:G94)</f>
        <v>200</v>
      </c>
      <c r="H92" s="10">
        <f t="shared" si="26"/>
        <v>0</v>
      </c>
      <c r="I92" s="10">
        <f t="shared" si="26"/>
        <v>0</v>
      </c>
      <c r="J92" s="10">
        <f t="shared" si="26"/>
        <v>2030</v>
      </c>
      <c r="K92" s="10">
        <f t="shared" si="26"/>
        <v>2000</v>
      </c>
    </row>
    <row r="93" spans="1:11" ht="14.1" customHeight="1" x14ac:dyDescent="0.25">
      <c r="A93" s="24"/>
      <c r="B93" s="24"/>
      <c r="C93" s="25" t="s">
        <v>122</v>
      </c>
      <c r="D93" s="26"/>
      <c r="E93" s="26"/>
      <c r="F93" s="26"/>
      <c r="G93" s="26"/>
      <c r="H93" s="26"/>
      <c r="I93" s="26"/>
      <c r="J93" s="26"/>
      <c r="K93" s="26"/>
    </row>
    <row r="94" spans="1:11" ht="14.1" customHeight="1" x14ac:dyDescent="0.25">
      <c r="A94" s="24"/>
      <c r="B94" s="24"/>
      <c r="C94" s="25" t="s">
        <v>123</v>
      </c>
      <c r="D94" s="26"/>
      <c r="E94" s="26"/>
      <c r="F94" s="26"/>
      <c r="G94" s="26">
        <v>200</v>
      </c>
      <c r="H94" s="26"/>
      <c r="I94" s="26"/>
      <c r="J94" s="26">
        <v>2030</v>
      </c>
      <c r="K94" s="26">
        <v>2000</v>
      </c>
    </row>
    <row r="95" spans="1:11" s="3" customFormat="1" ht="14.1" customHeight="1" x14ac:dyDescent="0.25">
      <c r="A95" s="7" t="s">
        <v>124</v>
      </c>
      <c r="B95" s="7" t="s">
        <v>125</v>
      </c>
      <c r="C95" s="8" t="s">
        <v>126</v>
      </c>
      <c r="D95" s="9">
        <f>F95+H95+J95</f>
        <v>875</v>
      </c>
      <c r="E95" s="9">
        <f>G95+I95+K95</f>
        <v>1366</v>
      </c>
      <c r="F95" s="10">
        <v>875</v>
      </c>
      <c r="G95" s="10">
        <f>762+114+290+200</f>
        <v>1366</v>
      </c>
      <c r="H95" s="10">
        <v>0</v>
      </c>
      <c r="I95" s="10">
        <v>0</v>
      </c>
      <c r="J95" s="10">
        <v>0</v>
      </c>
      <c r="K95" s="10">
        <v>0</v>
      </c>
    </row>
    <row r="96" spans="1:11" s="3" customFormat="1" ht="14.1" customHeight="1" x14ac:dyDescent="0.25">
      <c r="A96" s="7" t="s">
        <v>127</v>
      </c>
      <c r="B96" s="7" t="s">
        <v>128</v>
      </c>
      <c r="C96" s="8" t="s">
        <v>129</v>
      </c>
      <c r="D96" s="9">
        <f>F96+H96+J96</f>
        <v>200</v>
      </c>
      <c r="E96" s="9">
        <f>G96+I96+K96</f>
        <v>200</v>
      </c>
      <c r="F96" s="10">
        <f>SUM(F97:F98)</f>
        <v>200</v>
      </c>
      <c r="G96" s="10">
        <f>SUM(G97:G98)</f>
        <v>200</v>
      </c>
      <c r="H96" s="10">
        <v>0</v>
      </c>
      <c r="I96" s="10">
        <f>SUM(I97:I98)</f>
        <v>0</v>
      </c>
      <c r="J96" s="10">
        <f t="shared" ref="J96:K96" si="27">SUM(J97:J98)</f>
        <v>0</v>
      </c>
      <c r="K96" s="10">
        <f t="shared" si="27"/>
        <v>0</v>
      </c>
    </row>
    <row r="97" spans="1:11" ht="14.1" customHeight="1" x14ac:dyDescent="0.25">
      <c r="A97" s="24"/>
      <c r="B97" s="24"/>
      <c r="C97" s="25" t="s">
        <v>130</v>
      </c>
      <c r="D97" s="26"/>
      <c r="E97" s="26"/>
      <c r="F97" s="26">
        <v>200</v>
      </c>
      <c r="G97" s="26">
        <v>200</v>
      </c>
      <c r="H97" s="26"/>
      <c r="I97" s="26"/>
      <c r="J97" s="26"/>
      <c r="K97" s="26"/>
    </row>
    <row r="98" spans="1:11" ht="14.1" customHeight="1" x14ac:dyDescent="0.25">
      <c r="A98" s="24"/>
      <c r="B98" s="24"/>
      <c r="C98" s="25" t="s">
        <v>131</v>
      </c>
      <c r="D98" s="26"/>
      <c r="E98" s="26"/>
      <c r="F98" s="26"/>
      <c r="G98" s="26"/>
      <c r="H98" s="26"/>
      <c r="I98" s="26"/>
      <c r="J98" s="26"/>
      <c r="K98" s="26"/>
    </row>
    <row r="99" spans="1:11" s="3" customFormat="1" ht="14.1" customHeight="1" x14ac:dyDescent="0.25">
      <c r="A99" s="7" t="s">
        <v>132</v>
      </c>
      <c r="B99" s="7" t="s">
        <v>133</v>
      </c>
      <c r="C99" s="8" t="s">
        <v>134</v>
      </c>
      <c r="D99" s="9">
        <f>F99+H99+J99</f>
        <v>230</v>
      </c>
      <c r="E99" s="9">
        <f>G99+I99+K99</f>
        <v>1815</v>
      </c>
      <c r="F99" s="10">
        <f>SUM(F100:F102)</f>
        <v>200</v>
      </c>
      <c r="G99" s="10">
        <f t="shared" ref="G99:K99" si="28">SUM(G100:G102)</f>
        <v>1815</v>
      </c>
      <c r="H99" s="10">
        <f t="shared" si="28"/>
        <v>0</v>
      </c>
      <c r="I99" s="10">
        <f t="shared" si="28"/>
        <v>0</v>
      </c>
      <c r="J99" s="10">
        <f t="shared" si="28"/>
        <v>30</v>
      </c>
      <c r="K99" s="10">
        <f t="shared" si="28"/>
        <v>0</v>
      </c>
    </row>
    <row r="100" spans="1:11" ht="14.1" customHeight="1" x14ac:dyDescent="0.25">
      <c r="A100" s="24"/>
      <c r="B100" s="24"/>
      <c r="C100" s="25" t="s">
        <v>135</v>
      </c>
      <c r="D100" s="26"/>
      <c r="E100" s="26"/>
      <c r="F100" s="26">
        <v>0</v>
      </c>
      <c r="G100" s="26"/>
      <c r="H100" s="26">
        <v>0</v>
      </c>
      <c r="I100" s="26">
        <v>0</v>
      </c>
      <c r="J100" s="26"/>
      <c r="K100" s="26"/>
    </row>
    <row r="101" spans="1:11" ht="14.1" customHeight="1" x14ac:dyDescent="0.25">
      <c r="A101" s="24"/>
      <c r="B101" s="24"/>
      <c r="C101" s="25" t="s">
        <v>136</v>
      </c>
      <c r="D101" s="26"/>
      <c r="E101" s="26"/>
      <c r="F101" s="26">
        <v>0</v>
      </c>
      <c r="G101" s="26"/>
      <c r="H101" s="26">
        <v>0</v>
      </c>
      <c r="I101" s="26">
        <v>0</v>
      </c>
      <c r="J101" s="26"/>
      <c r="K101" s="26"/>
    </row>
    <row r="102" spans="1:11" ht="14.1" customHeight="1" x14ac:dyDescent="0.25">
      <c r="A102" s="24"/>
      <c r="B102" s="24"/>
      <c r="C102" s="25" t="s">
        <v>137</v>
      </c>
      <c r="D102" s="26"/>
      <c r="E102" s="26"/>
      <c r="F102" s="26">
        <v>200</v>
      </c>
      <c r="G102" s="26">
        <f>200+40+1575</f>
        <v>1815</v>
      </c>
      <c r="H102" s="26">
        <v>0</v>
      </c>
      <c r="I102" s="26">
        <v>0</v>
      </c>
      <c r="J102" s="26">
        <v>30</v>
      </c>
      <c r="K102" s="26"/>
    </row>
    <row r="103" spans="1:11" s="3" customFormat="1" ht="14.1" customHeight="1" x14ac:dyDescent="0.25">
      <c r="A103" s="7" t="s">
        <v>138</v>
      </c>
      <c r="B103" s="7" t="s">
        <v>139</v>
      </c>
      <c r="C103" s="8" t="s">
        <v>140</v>
      </c>
      <c r="D103" s="9">
        <f>F103+H103+J103</f>
        <v>1880</v>
      </c>
      <c r="E103" s="9">
        <f>G103+I103+K103</f>
        <v>1950</v>
      </c>
      <c r="F103" s="10">
        <f>SUM(F104:F107)</f>
        <v>1830</v>
      </c>
      <c r="G103" s="10">
        <f t="shared" ref="G103:K103" si="29">SUM(G104:G107)</f>
        <v>1900</v>
      </c>
      <c r="H103" s="10">
        <f t="shared" si="29"/>
        <v>0</v>
      </c>
      <c r="I103" s="10">
        <f t="shared" si="29"/>
        <v>0</v>
      </c>
      <c r="J103" s="10">
        <f t="shared" si="29"/>
        <v>50</v>
      </c>
      <c r="K103" s="10">
        <f t="shared" si="29"/>
        <v>50</v>
      </c>
    </row>
    <row r="104" spans="1:11" ht="14.1" customHeight="1" x14ac:dyDescent="0.25">
      <c r="A104" s="24"/>
      <c r="B104" s="24"/>
      <c r="C104" s="25" t="s">
        <v>141</v>
      </c>
      <c r="D104" s="26"/>
      <c r="E104" s="26"/>
      <c r="F104" s="26">
        <v>0</v>
      </c>
      <c r="G104" s="26"/>
      <c r="H104" s="26"/>
      <c r="I104" s="26"/>
      <c r="J104" s="26"/>
      <c r="K104" s="26"/>
    </row>
    <row r="105" spans="1:11" ht="14.1" customHeight="1" x14ac:dyDescent="0.25">
      <c r="A105" s="24"/>
      <c r="B105" s="24"/>
      <c r="C105" s="25" t="s">
        <v>142</v>
      </c>
      <c r="D105" s="26"/>
      <c r="E105" s="26"/>
      <c r="F105" s="26">
        <v>70</v>
      </c>
      <c r="G105" s="26"/>
      <c r="H105" s="26"/>
      <c r="I105" s="26"/>
      <c r="J105" s="26"/>
      <c r="K105" s="26"/>
    </row>
    <row r="106" spans="1:11" ht="14.1" customHeight="1" x14ac:dyDescent="0.25">
      <c r="A106" s="24"/>
      <c r="B106" s="24"/>
      <c r="C106" s="25" t="s">
        <v>143</v>
      </c>
      <c r="D106" s="26"/>
      <c r="E106" s="26"/>
      <c r="F106" s="26">
        <v>0</v>
      </c>
      <c r="G106" s="26">
        <v>100</v>
      </c>
      <c r="H106" s="26"/>
      <c r="I106" s="26"/>
      <c r="J106" s="26"/>
      <c r="K106" s="26"/>
    </row>
    <row r="107" spans="1:11" ht="14.1" customHeight="1" x14ac:dyDescent="0.25">
      <c r="A107" s="24"/>
      <c r="B107" s="24"/>
      <c r="C107" s="25" t="s">
        <v>144</v>
      </c>
      <c r="D107" s="26"/>
      <c r="E107" s="26"/>
      <c r="F107" s="26">
        <v>1760</v>
      </c>
      <c r="G107" s="26">
        <f>1800</f>
        <v>1800</v>
      </c>
      <c r="H107" s="26"/>
      <c r="I107" s="26"/>
      <c r="J107" s="26">
        <v>50</v>
      </c>
      <c r="K107" s="26">
        <v>50</v>
      </c>
    </row>
    <row r="108" spans="1:11" s="3" customFormat="1" ht="14.1" customHeight="1" x14ac:dyDescent="0.25">
      <c r="A108" s="16" t="s">
        <v>145</v>
      </c>
      <c r="B108" s="16" t="s">
        <v>146</v>
      </c>
      <c r="C108" s="17" t="s">
        <v>147</v>
      </c>
      <c r="D108" s="19">
        <f>D86+D90+D92+D95+D96+D99+D103</f>
        <v>7960</v>
      </c>
      <c r="E108" s="19">
        <f t="shared" ref="E108:K108" si="30">E86+E90+E92+E95+E96+E99+E103</f>
        <v>10051</v>
      </c>
      <c r="F108" s="19">
        <f t="shared" si="30"/>
        <v>5465</v>
      </c>
      <c r="G108" s="19">
        <f t="shared" si="30"/>
        <v>7581</v>
      </c>
      <c r="H108" s="19">
        <f t="shared" si="30"/>
        <v>0</v>
      </c>
      <c r="I108" s="19">
        <f t="shared" si="30"/>
        <v>0</v>
      </c>
      <c r="J108" s="19">
        <f t="shared" si="30"/>
        <v>2495</v>
      </c>
      <c r="K108" s="19">
        <f t="shared" si="30"/>
        <v>2470</v>
      </c>
    </row>
    <row r="109" spans="1:11" s="3" customFormat="1" ht="14.1" customHeight="1" x14ac:dyDescent="0.25">
      <c r="A109" s="7" t="s">
        <v>148</v>
      </c>
      <c r="B109" s="7" t="s">
        <v>149</v>
      </c>
      <c r="C109" s="8" t="s">
        <v>150</v>
      </c>
      <c r="D109" s="9">
        <f>F109+H109+J109</f>
        <v>50</v>
      </c>
      <c r="E109" s="9">
        <f>G109+I109+K109</f>
        <v>50</v>
      </c>
      <c r="F109" s="10">
        <f>SUM(F110:F111)</f>
        <v>50</v>
      </c>
      <c r="G109" s="10">
        <f t="shared" ref="G109:K109" si="31">SUM(G110:G111)</f>
        <v>50</v>
      </c>
      <c r="H109" s="10">
        <f t="shared" si="31"/>
        <v>0</v>
      </c>
      <c r="I109" s="10">
        <f t="shared" si="31"/>
        <v>0</v>
      </c>
      <c r="J109" s="10">
        <f t="shared" si="31"/>
        <v>0</v>
      </c>
      <c r="K109" s="10">
        <f t="shared" si="31"/>
        <v>0</v>
      </c>
    </row>
    <row r="110" spans="1:11" ht="14.1" customHeight="1" x14ac:dyDescent="0.25">
      <c r="A110" s="24"/>
      <c r="B110" s="24"/>
      <c r="C110" s="25" t="s">
        <v>151</v>
      </c>
      <c r="D110" s="26"/>
      <c r="E110" s="26"/>
      <c r="F110" s="26">
        <v>50</v>
      </c>
      <c r="G110" s="26">
        <v>50</v>
      </c>
      <c r="H110" s="26"/>
      <c r="I110" s="26"/>
      <c r="J110" s="26"/>
      <c r="K110" s="26"/>
    </row>
    <row r="111" spans="1:11" ht="14.1" customHeight="1" x14ac:dyDescent="0.25">
      <c r="A111" s="24"/>
      <c r="B111" s="24"/>
      <c r="C111" s="25" t="s">
        <v>152</v>
      </c>
      <c r="D111" s="26"/>
      <c r="E111" s="26"/>
      <c r="F111" s="26"/>
      <c r="G111" s="26"/>
      <c r="H111" s="26"/>
      <c r="I111" s="26"/>
      <c r="J111" s="26"/>
      <c r="K111" s="26"/>
    </row>
    <row r="112" spans="1:11" s="3" customFormat="1" ht="14.1" customHeight="1" x14ac:dyDescent="0.25">
      <c r="A112" s="7" t="s">
        <v>153</v>
      </c>
      <c r="B112" s="7" t="s">
        <v>154</v>
      </c>
      <c r="C112" s="8" t="s">
        <v>155</v>
      </c>
      <c r="D112" s="9">
        <f>F112+H112+J112</f>
        <v>60</v>
      </c>
      <c r="E112" s="9">
        <f>G112+I112+K112</f>
        <v>60</v>
      </c>
      <c r="F112" s="10">
        <v>30</v>
      </c>
      <c r="G112" s="10">
        <v>30</v>
      </c>
      <c r="H112" s="10">
        <v>0</v>
      </c>
      <c r="I112" s="10">
        <v>0</v>
      </c>
      <c r="J112" s="10">
        <v>30</v>
      </c>
      <c r="K112" s="10">
        <v>30</v>
      </c>
    </row>
    <row r="113" spans="1:11" s="3" customFormat="1" ht="14.1" customHeight="1" x14ac:dyDescent="0.25">
      <c r="A113" s="16" t="s">
        <v>156</v>
      </c>
      <c r="B113" s="16" t="s">
        <v>157</v>
      </c>
      <c r="C113" s="17" t="s">
        <v>158</v>
      </c>
      <c r="D113" s="19">
        <f>D109+D112</f>
        <v>110</v>
      </c>
      <c r="E113" s="19">
        <f t="shared" ref="E113:K113" si="32">E109+E112</f>
        <v>110</v>
      </c>
      <c r="F113" s="19">
        <f t="shared" si="32"/>
        <v>80</v>
      </c>
      <c r="G113" s="19">
        <f t="shared" si="32"/>
        <v>80</v>
      </c>
      <c r="H113" s="19">
        <f t="shared" si="32"/>
        <v>0</v>
      </c>
      <c r="I113" s="19">
        <f t="shared" si="32"/>
        <v>0</v>
      </c>
      <c r="J113" s="19">
        <f t="shared" si="32"/>
        <v>30</v>
      </c>
      <c r="K113" s="19">
        <f t="shared" si="32"/>
        <v>30</v>
      </c>
    </row>
    <row r="114" spans="1:11" s="3" customFormat="1" ht="14.1" customHeight="1" x14ac:dyDescent="0.25">
      <c r="A114" s="7" t="s">
        <v>159</v>
      </c>
      <c r="B114" s="7" t="s">
        <v>160</v>
      </c>
      <c r="C114" s="8" t="s">
        <v>161</v>
      </c>
      <c r="D114" s="9">
        <f>F114+H114+J114</f>
        <v>1924</v>
      </c>
      <c r="E114" s="9">
        <f>G114+I114+K114</f>
        <v>2525</v>
      </c>
      <c r="F114" s="10">
        <f>SUM(F115:F116)</f>
        <v>1773</v>
      </c>
      <c r="G114" s="10">
        <f t="shared" ref="G114:K114" si="33">SUM(G115:G116)</f>
        <v>2363</v>
      </c>
      <c r="H114" s="10">
        <f t="shared" si="33"/>
        <v>151</v>
      </c>
      <c r="I114" s="10">
        <f t="shared" si="33"/>
        <v>162</v>
      </c>
      <c r="J114" s="10">
        <f t="shared" si="33"/>
        <v>0</v>
      </c>
      <c r="K114" s="10">
        <f t="shared" si="33"/>
        <v>0</v>
      </c>
    </row>
    <row r="115" spans="1:11" ht="14.1" customHeight="1" x14ac:dyDescent="0.25">
      <c r="A115" s="24"/>
      <c r="B115" s="24"/>
      <c r="C115" s="25" t="s">
        <v>162</v>
      </c>
      <c r="D115" s="26"/>
      <c r="E115" s="26"/>
      <c r="F115" s="26"/>
      <c r="G115" s="26"/>
      <c r="H115" s="26"/>
      <c r="I115" s="26"/>
      <c r="J115" s="26"/>
      <c r="K115" s="26"/>
    </row>
    <row r="116" spans="1:11" ht="14.1" customHeight="1" x14ac:dyDescent="0.25">
      <c r="A116" s="24"/>
      <c r="B116" s="24"/>
      <c r="C116" s="25" t="s">
        <v>163</v>
      </c>
      <c r="D116" s="26"/>
      <c r="E116" s="26"/>
      <c r="F116" s="26">
        <v>1773</v>
      </c>
      <c r="G116" s="26">
        <f>ROUND((G74+G85+G108+G112)*0.27,0)</f>
        <v>2363</v>
      </c>
      <c r="H116" s="26">
        <v>151</v>
      </c>
      <c r="I116" s="26">
        <f>ROUND((I74+I85+I108+I112)*0.27,0)</f>
        <v>162</v>
      </c>
      <c r="J116" s="26"/>
      <c r="K116" s="26"/>
    </row>
    <row r="117" spans="1:11" s="3" customFormat="1" ht="14.1" customHeight="1" x14ac:dyDescent="0.25">
      <c r="A117" s="7" t="s">
        <v>164</v>
      </c>
      <c r="B117" s="7" t="s">
        <v>165</v>
      </c>
      <c r="C117" s="8" t="s">
        <v>166</v>
      </c>
      <c r="D117" s="9">
        <f>F117+H117+J117</f>
        <v>0</v>
      </c>
      <c r="E117" s="9">
        <f>G117+I117+K117</f>
        <v>0</v>
      </c>
      <c r="F117" s="10">
        <f>SUM(F118:F120)</f>
        <v>0</v>
      </c>
      <c r="G117" s="10">
        <f t="shared" ref="G117:K117" si="34">SUM(G118:G120)</f>
        <v>0</v>
      </c>
      <c r="H117" s="10">
        <f t="shared" si="34"/>
        <v>0</v>
      </c>
      <c r="I117" s="10">
        <f t="shared" si="34"/>
        <v>0</v>
      </c>
      <c r="J117" s="10">
        <f t="shared" si="34"/>
        <v>0</v>
      </c>
      <c r="K117" s="10">
        <f t="shared" si="34"/>
        <v>0</v>
      </c>
    </row>
    <row r="118" spans="1:11" ht="14.1" customHeight="1" x14ac:dyDescent="0.25">
      <c r="A118" s="24"/>
      <c r="B118" s="24"/>
      <c r="C118" s="25" t="s">
        <v>167</v>
      </c>
      <c r="D118" s="26"/>
      <c r="E118" s="26"/>
      <c r="F118" s="26"/>
      <c r="G118" s="26"/>
      <c r="H118" s="26"/>
      <c r="I118" s="26"/>
      <c r="J118" s="26"/>
      <c r="K118" s="26"/>
    </row>
    <row r="119" spans="1:11" ht="14.1" customHeight="1" x14ac:dyDescent="0.25">
      <c r="A119" s="24"/>
      <c r="B119" s="24"/>
      <c r="C119" s="25" t="s">
        <v>168</v>
      </c>
      <c r="D119" s="26"/>
      <c r="E119" s="26"/>
      <c r="F119" s="26"/>
      <c r="G119" s="26"/>
      <c r="H119" s="26"/>
      <c r="I119" s="26"/>
      <c r="J119" s="26"/>
      <c r="K119" s="26"/>
    </row>
    <row r="120" spans="1:11" ht="14.1" customHeight="1" x14ac:dyDescent="0.25">
      <c r="A120" s="24"/>
      <c r="B120" s="24"/>
      <c r="C120" s="25" t="s">
        <v>169</v>
      </c>
      <c r="D120" s="26"/>
      <c r="E120" s="26"/>
      <c r="F120" s="26"/>
      <c r="G120" s="26"/>
      <c r="H120" s="26"/>
      <c r="I120" s="26"/>
      <c r="J120" s="26"/>
      <c r="K120" s="26"/>
    </row>
    <row r="121" spans="1:11" s="3" customFormat="1" ht="14.1" customHeight="1" x14ac:dyDescent="0.25">
      <c r="A121" s="7" t="s">
        <v>170</v>
      </c>
      <c r="B121" s="7" t="s">
        <v>171</v>
      </c>
      <c r="C121" s="8" t="s">
        <v>172</v>
      </c>
      <c r="D121" s="9">
        <f>F121+H121+J121</f>
        <v>0</v>
      </c>
      <c r="E121" s="9">
        <f>G121+I121+K121</f>
        <v>0</v>
      </c>
      <c r="F121" s="10">
        <f>SUM(F122:F125)</f>
        <v>0</v>
      </c>
      <c r="G121" s="10">
        <f t="shared" ref="G121:K121" si="35">SUM(G122:G125)</f>
        <v>0</v>
      </c>
      <c r="H121" s="10">
        <f t="shared" si="35"/>
        <v>0</v>
      </c>
      <c r="I121" s="10">
        <f t="shared" si="35"/>
        <v>0</v>
      </c>
      <c r="J121" s="10">
        <f t="shared" si="35"/>
        <v>0</v>
      </c>
      <c r="K121" s="10">
        <f t="shared" si="35"/>
        <v>0</v>
      </c>
    </row>
    <row r="122" spans="1:11" ht="14.1" customHeight="1" x14ac:dyDescent="0.25">
      <c r="A122" s="24"/>
      <c r="B122" s="24"/>
      <c r="C122" s="25" t="s">
        <v>173</v>
      </c>
      <c r="D122" s="26"/>
      <c r="E122" s="26"/>
      <c r="F122" s="26"/>
      <c r="G122" s="26"/>
      <c r="H122" s="26"/>
      <c r="I122" s="26"/>
      <c r="J122" s="26"/>
      <c r="K122" s="26"/>
    </row>
    <row r="123" spans="1:11" ht="14.1" customHeight="1" x14ac:dyDescent="0.25">
      <c r="A123" s="24"/>
      <c r="B123" s="24"/>
      <c r="C123" s="25" t="s">
        <v>174</v>
      </c>
      <c r="D123" s="26"/>
      <c r="E123" s="26"/>
      <c r="F123" s="26"/>
      <c r="G123" s="26"/>
      <c r="H123" s="26"/>
      <c r="I123" s="26"/>
      <c r="J123" s="26"/>
      <c r="K123" s="26"/>
    </row>
    <row r="124" spans="1:11" ht="14.1" customHeight="1" x14ac:dyDescent="0.25">
      <c r="A124" s="24"/>
      <c r="B124" s="24"/>
      <c r="C124" s="25" t="s">
        <v>175</v>
      </c>
      <c r="D124" s="26"/>
      <c r="E124" s="26"/>
      <c r="F124" s="26"/>
      <c r="G124" s="26"/>
      <c r="H124" s="26"/>
      <c r="I124" s="26"/>
      <c r="J124" s="26"/>
      <c r="K124" s="26"/>
    </row>
    <row r="125" spans="1:11" ht="14.1" customHeight="1" x14ac:dyDescent="0.25">
      <c r="A125" s="24"/>
      <c r="B125" s="24"/>
      <c r="C125" s="25" t="s">
        <v>176</v>
      </c>
      <c r="D125" s="26"/>
      <c r="E125" s="26"/>
      <c r="F125" s="26"/>
      <c r="G125" s="26"/>
      <c r="H125" s="26"/>
      <c r="I125" s="26"/>
      <c r="J125" s="26"/>
      <c r="K125" s="26"/>
    </row>
    <row r="126" spans="1:11" s="3" customFormat="1" ht="14.1" customHeight="1" x14ac:dyDescent="0.25">
      <c r="A126" s="7" t="s">
        <v>177</v>
      </c>
      <c r="B126" s="7" t="s">
        <v>178</v>
      </c>
      <c r="C126" s="8" t="s">
        <v>179</v>
      </c>
      <c r="D126" s="9">
        <f>F126+H126+J126</f>
        <v>0</v>
      </c>
      <c r="E126" s="9">
        <f>G126+I126+K126</f>
        <v>0</v>
      </c>
      <c r="F126" s="10">
        <f>SUM(F127:F128)</f>
        <v>0</v>
      </c>
      <c r="G126" s="10">
        <f t="shared" ref="G126:K126" si="36">SUM(G127:G128)</f>
        <v>0</v>
      </c>
      <c r="H126" s="10">
        <f t="shared" si="36"/>
        <v>0</v>
      </c>
      <c r="I126" s="10">
        <f t="shared" si="36"/>
        <v>0</v>
      </c>
      <c r="J126" s="10">
        <f t="shared" si="36"/>
        <v>0</v>
      </c>
      <c r="K126" s="10">
        <f t="shared" si="36"/>
        <v>0</v>
      </c>
    </row>
    <row r="127" spans="1:11" ht="14.1" customHeight="1" x14ac:dyDescent="0.25">
      <c r="A127" s="24"/>
      <c r="B127" s="24"/>
      <c r="C127" s="25" t="s">
        <v>180</v>
      </c>
      <c r="D127" s="26"/>
      <c r="E127" s="26"/>
      <c r="F127" s="26"/>
      <c r="G127" s="26"/>
      <c r="H127" s="26"/>
      <c r="I127" s="26"/>
      <c r="J127" s="26"/>
      <c r="K127" s="26"/>
    </row>
    <row r="128" spans="1:11" ht="14.1" customHeight="1" x14ac:dyDescent="0.25">
      <c r="A128" s="24"/>
      <c r="B128" s="24"/>
      <c r="C128" s="25" t="s">
        <v>181</v>
      </c>
      <c r="D128" s="26"/>
      <c r="E128" s="26"/>
      <c r="F128" s="26"/>
      <c r="G128" s="26"/>
      <c r="H128" s="26"/>
      <c r="I128" s="26"/>
      <c r="J128" s="26"/>
      <c r="K128" s="26"/>
    </row>
    <row r="129" spans="1:254" s="3" customFormat="1" ht="14.1" customHeight="1" x14ac:dyDescent="0.25">
      <c r="A129" s="7" t="s">
        <v>182</v>
      </c>
      <c r="B129" s="7" t="s">
        <v>183</v>
      </c>
      <c r="C129" s="8" t="s">
        <v>184</v>
      </c>
      <c r="D129" s="9">
        <f>F129+H129+J129</f>
        <v>20</v>
      </c>
      <c r="E129" s="9">
        <f>G129+I129+K129</f>
        <v>100</v>
      </c>
      <c r="F129" s="10">
        <f>SUM(F130:F133)</f>
        <v>15</v>
      </c>
      <c r="G129" s="10">
        <f t="shared" ref="G129:K129" si="37">SUM(G130:G133)</f>
        <v>100</v>
      </c>
      <c r="H129" s="10">
        <f t="shared" si="37"/>
        <v>0</v>
      </c>
      <c r="I129" s="10">
        <f t="shared" si="37"/>
        <v>0</v>
      </c>
      <c r="J129" s="10">
        <f t="shared" si="37"/>
        <v>5</v>
      </c>
      <c r="K129" s="10">
        <f t="shared" si="37"/>
        <v>0</v>
      </c>
    </row>
    <row r="130" spans="1:254" ht="14.1" customHeight="1" x14ac:dyDescent="0.25">
      <c r="A130" s="24"/>
      <c r="B130" s="24"/>
      <c r="C130" s="25" t="s">
        <v>185</v>
      </c>
      <c r="D130" s="26"/>
      <c r="E130" s="26"/>
      <c r="F130" s="26"/>
      <c r="G130" s="26"/>
      <c r="H130" s="26"/>
      <c r="I130" s="26"/>
      <c r="J130" s="26"/>
      <c r="K130" s="26"/>
    </row>
    <row r="131" spans="1:254" ht="14.1" customHeight="1" x14ac:dyDescent="0.25">
      <c r="A131" s="24"/>
      <c r="B131" s="24"/>
      <c r="C131" s="25" t="s">
        <v>186</v>
      </c>
      <c r="D131" s="26"/>
      <c r="E131" s="26"/>
      <c r="F131" s="26"/>
      <c r="G131" s="26"/>
      <c r="H131" s="26"/>
      <c r="I131" s="26"/>
      <c r="J131" s="26"/>
      <c r="K131" s="26"/>
    </row>
    <row r="132" spans="1:254" ht="14.1" customHeight="1" x14ac:dyDescent="0.25">
      <c r="A132" s="24"/>
      <c r="B132" s="24"/>
      <c r="C132" s="25" t="s">
        <v>187</v>
      </c>
      <c r="D132" s="26"/>
      <c r="E132" s="26"/>
      <c r="F132" s="26"/>
      <c r="G132" s="26"/>
      <c r="H132" s="26"/>
      <c r="I132" s="26"/>
      <c r="J132" s="26"/>
      <c r="K132" s="26"/>
    </row>
    <row r="133" spans="1:254" ht="14.1" customHeight="1" x14ac:dyDescent="0.25">
      <c r="A133" s="24"/>
      <c r="B133" s="24"/>
      <c r="C133" s="25" t="s">
        <v>188</v>
      </c>
      <c r="D133" s="26"/>
      <c r="E133" s="26"/>
      <c r="F133" s="26">
        <v>15</v>
      </c>
      <c r="G133" s="26">
        <v>100</v>
      </c>
      <c r="H133" s="26"/>
      <c r="I133" s="26"/>
      <c r="J133" s="26">
        <v>5</v>
      </c>
      <c r="K133" s="26"/>
    </row>
    <row r="134" spans="1:254" s="3" customFormat="1" ht="14.1" customHeight="1" x14ac:dyDescent="0.25">
      <c r="A134" s="16" t="s">
        <v>189</v>
      </c>
      <c r="B134" s="16" t="s">
        <v>190</v>
      </c>
      <c r="C134" s="17" t="s">
        <v>191</v>
      </c>
      <c r="D134" s="19">
        <f>D114+D117+D121+D126+D129</f>
        <v>1944</v>
      </c>
      <c r="E134" s="19">
        <f t="shared" ref="E134:K134" si="38">E114+E117+E121+E126+E129</f>
        <v>2625</v>
      </c>
      <c r="F134" s="19">
        <f t="shared" si="38"/>
        <v>1788</v>
      </c>
      <c r="G134" s="19">
        <f t="shared" si="38"/>
        <v>2463</v>
      </c>
      <c r="H134" s="19">
        <f t="shared" si="38"/>
        <v>151</v>
      </c>
      <c r="I134" s="19">
        <f t="shared" si="38"/>
        <v>162</v>
      </c>
      <c r="J134" s="19">
        <f t="shared" si="38"/>
        <v>5</v>
      </c>
      <c r="K134" s="19">
        <f t="shared" si="38"/>
        <v>0</v>
      </c>
    </row>
    <row r="135" spans="1:254" s="3" customFormat="1" ht="14.1" customHeight="1" x14ac:dyDescent="0.25">
      <c r="A135" s="20" t="s">
        <v>192</v>
      </c>
      <c r="B135" s="20" t="s">
        <v>193</v>
      </c>
      <c r="C135" s="21" t="s">
        <v>292</v>
      </c>
      <c r="D135" s="23">
        <f>D74+D85+D108+D113+D134</f>
        <v>13167</v>
      </c>
      <c r="E135" s="23">
        <f t="shared" ref="E135:K135" si="39">E74+E85+E108+E113+E134</f>
        <v>14606</v>
      </c>
      <c r="F135" s="23">
        <f t="shared" si="39"/>
        <v>8406</v>
      </c>
      <c r="G135" s="23">
        <f t="shared" si="39"/>
        <v>11264</v>
      </c>
      <c r="H135" s="23">
        <f t="shared" si="39"/>
        <v>2151</v>
      </c>
      <c r="I135" s="23">
        <f t="shared" si="39"/>
        <v>762</v>
      </c>
      <c r="J135" s="23">
        <f t="shared" si="39"/>
        <v>2610</v>
      </c>
      <c r="K135" s="23">
        <f t="shared" si="39"/>
        <v>2580</v>
      </c>
    </row>
    <row r="136" spans="1:254" ht="14.1" customHeight="1" x14ac:dyDescent="0.2">
      <c r="A136" s="963" t="s">
        <v>291</v>
      </c>
      <c r="B136" s="964"/>
      <c r="C136" s="965"/>
      <c r="D136" s="28">
        <f>D51+D135</f>
        <v>27915</v>
      </c>
      <c r="E136" s="28">
        <f t="shared" ref="E136:K136" si="40">E51+E135</f>
        <v>27157</v>
      </c>
      <c r="F136" s="28">
        <f t="shared" si="40"/>
        <v>19820</v>
      </c>
      <c r="G136" s="28">
        <f t="shared" si="40"/>
        <v>22988</v>
      </c>
      <c r="H136" s="28">
        <f t="shared" si="40"/>
        <v>2151</v>
      </c>
      <c r="I136" s="28">
        <f t="shared" si="40"/>
        <v>762</v>
      </c>
      <c r="J136" s="28">
        <f t="shared" si="40"/>
        <v>5944</v>
      </c>
      <c r="K136" s="28">
        <f t="shared" si="40"/>
        <v>3407</v>
      </c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  <c r="GY136" s="27"/>
      <c r="GZ136" s="27"/>
      <c r="HA136" s="27"/>
      <c r="HB136" s="27"/>
      <c r="HC136" s="27"/>
      <c r="HD136" s="27"/>
      <c r="HE136" s="27"/>
      <c r="HF136" s="27"/>
      <c r="HG136" s="27"/>
      <c r="HH136" s="27"/>
      <c r="HI136" s="27"/>
      <c r="HJ136" s="27"/>
      <c r="HK136" s="27"/>
      <c r="HL136" s="27"/>
      <c r="HM136" s="27"/>
      <c r="HN136" s="27"/>
      <c r="HO136" s="27"/>
      <c r="HP136" s="27"/>
      <c r="HQ136" s="27"/>
      <c r="HR136" s="27"/>
      <c r="HS136" s="27"/>
      <c r="HT136" s="27"/>
      <c r="HU136" s="27"/>
      <c r="HV136" s="27"/>
      <c r="HW136" s="27"/>
      <c r="HX136" s="27"/>
      <c r="HY136" s="27"/>
      <c r="HZ136" s="27"/>
      <c r="IA136" s="27"/>
      <c r="IB136" s="27"/>
      <c r="IC136" s="27"/>
      <c r="ID136" s="27"/>
      <c r="IE136" s="27"/>
      <c r="IF136" s="27"/>
      <c r="IG136" s="27"/>
      <c r="IH136" s="27"/>
      <c r="II136" s="27"/>
      <c r="IJ136" s="27"/>
      <c r="IK136" s="27"/>
      <c r="IL136" s="27"/>
      <c r="IM136" s="27"/>
      <c r="IN136" s="27"/>
      <c r="IO136" s="27"/>
      <c r="IP136" s="27"/>
      <c r="IQ136" s="27"/>
      <c r="IR136" s="27"/>
      <c r="IS136" s="27"/>
      <c r="IT136" s="27"/>
    </row>
    <row r="137" spans="1:254" ht="12.75" customHeight="1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  <c r="GY137" s="27"/>
      <c r="GZ137" s="27"/>
      <c r="HA137" s="27"/>
      <c r="HB137" s="27"/>
      <c r="HC137" s="27"/>
      <c r="HD137" s="27"/>
      <c r="HE137" s="27"/>
      <c r="HF137" s="27"/>
      <c r="HG137" s="27"/>
      <c r="HH137" s="27"/>
      <c r="HI137" s="27"/>
      <c r="HJ137" s="27"/>
      <c r="HK137" s="27"/>
      <c r="HL137" s="27"/>
      <c r="HM137" s="27"/>
      <c r="HN137" s="27"/>
      <c r="HO137" s="27"/>
      <c r="HP137" s="27"/>
      <c r="HQ137" s="27"/>
      <c r="HR137" s="27"/>
      <c r="HS137" s="27"/>
      <c r="HT137" s="27"/>
      <c r="HU137" s="27"/>
      <c r="HV137" s="27"/>
      <c r="HW137" s="27"/>
      <c r="HX137" s="27"/>
      <c r="HY137" s="27"/>
      <c r="HZ137" s="27"/>
      <c r="IA137" s="27"/>
      <c r="IB137" s="27"/>
      <c r="IC137" s="27"/>
      <c r="ID137" s="27"/>
      <c r="IE137" s="27"/>
      <c r="IF137" s="27"/>
      <c r="IG137" s="27"/>
      <c r="IH137" s="27"/>
      <c r="II137" s="27"/>
      <c r="IJ137" s="27"/>
      <c r="IK137" s="27"/>
      <c r="IL137" s="27"/>
      <c r="IM137" s="27"/>
      <c r="IN137" s="27"/>
      <c r="IO137" s="27"/>
      <c r="IP137" s="27"/>
      <c r="IQ137" s="27"/>
      <c r="IR137" s="27"/>
      <c r="IS137" s="27"/>
      <c r="IT137" s="27"/>
    </row>
    <row r="138" spans="1:254" ht="14.1" customHeight="1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  <c r="IS138" s="27"/>
      <c r="IT138" s="27"/>
    </row>
    <row r="140" spans="1:254" s="1" customFormat="1" ht="12.75" customHeight="1" x14ac:dyDescent="0.25">
      <c r="A140" s="975" t="s">
        <v>579</v>
      </c>
      <c r="B140" s="976"/>
      <c r="C140" s="976"/>
      <c r="D140" s="976"/>
      <c r="E140" s="976"/>
      <c r="F140" s="976"/>
      <c r="G140" s="976"/>
      <c r="H140" s="976"/>
      <c r="I140" s="976"/>
      <c r="J140" s="976"/>
      <c r="K140" s="977"/>
    </row>
    <row r="141" spans="1:254" s="1" customFormat="1" ht="14.1" customHeight="1" x14ac:dyDescent="0.25">
      <c r="A141" s="957" t="s">
        <v>0</v>
      </c>
      <c r="B141" s="961" t="s">
        <v>1</v>
      </c>
      <c r="C141" s="957" t="s">
        <v>2</v>
      </c>
      <c r="D141" s="962" t="s">
        <v>260</v>
      </c>
      <c r="E141" s="952" t="s">
        <v>259</v>
      </c>
      <c r="F141" s="954" t="s">
        <v>360</v>
      </c>
      <c r="G141" s="955"/>
      <c r="H141" s="954" t="s">
        <v>580</v>
      </c>
      <c r="I141" s="955"/>
      <c r="J141" s="954" t="s">
        <v>361</v>
      </c>
      <c r="K141" s="955"/>
    </row>
    <row r="142" spans="1:254" s="3" customFormat="1" ht="27" customHeight="1" x14ac:dyDescent="0.25">
      <c r="A142" s="957"/>
      <c r="B142" s="961"/>
      <c r="C142" s="957"/>
      <c r="D142" s="962"/>
      <c r="E142" s="953"/>
      <c r="F142" s="97" t="s">
        <v>260</v>
      </c>
      <c r="G142" s="97" t="s">
        <v>259</v>
      </c>
      <c r="H142" s="97" t="s">
        <v>260</v>
      </c>
      <c r="I142" s="97" t="s">
        <v>259</v>
      </c>
      <c r="J142" s="97" t="s">
        <v>260</v>
      </c>
      <c r="K142" s="97" t="s">
        <v>259</v>
      </c>
    </row>
    <row r="143" spans="1:254" ht="5.65" customHeight="1" x14ac:dyDescent="0.25"/>
    <row r="144" spans="1:254" ht="14.1" customHeight="1" x14ac:dyDescent="0.25">
      <c r="A144" s="956" t="s">
        <v>194</v>
      </c>
      <c r="B144" s="956"/>
      <c r="C144" s="956"/>
      <c r="D144" s="956"/>
      <c r="E144" s="956"/>
      <c r="F144" s="956"/>
      <c r="G144" s="956"/>
      <c r="H144" s="956"/>
      <c r="I144" s="956"/>
      <c r="J144" s="101"/>
      <c r="K144" s="101"/>
    </row>
    <row r="145" spans="1:11" ht="14.1" customHeight="1" x14ac:dyDescent="0.25">
      <c r="A145" s="24" t="s">
        <v>195</v>
      </c>
      <c r="B145" s="24" t="s">
        <v>196</v>
      </c>
      <c r="C145" s="25" t="s">
        <v>197</v>
      </c>
      <c r="D145" s="26">
        <f>F145+H145+J145</f>
        <v>0</v>
      </c>
      <c r="E145" s="26">
        <f>G145+I145+K145</f>
        <v>0</v>
      </c>
      <c r="F145" s="26"/>
      <c r="G145" s="26"/>
      <c r="H145" s="26"/>
      <c r="I145" s="26"/>
      <c r="J145" s="26"/>
      <c r="K145" s="26"/>
    </row>
    <row r="146" spans="1:11" ht="14.1" customHeight="1" x14ac:dyDescent="0.25">
      <c r="A146" s="24" t="s">
        <v>198</v>
      </c>
      <c r="B146" s="24" t="s">
        <v>199</v>
      </c>
      <c r="C146" s="25" t="s">
        <v>200</v>
      </c>
      <c r="D146" s="26">
        <f t="shared" ref="D146:E158" si="41">F146+H146+J146</f>
        <v>0</v>
      </c>
      <c r="E146" s="26">
        <f t="shared" si="41"/>
        <v>0</v>
      </c>
      <c r="F146" s="26"/>
      <c r="G146" s="26"/>
      <c r="H146" s="26"/>
      <c r="I146" s="26"/>
      <c r="J146" s="26"/>
      <c r="K146" s="26"/>
    </row>
    <row r="147" spans="1:11" ht="14.1" customHeight="1" x14ac:dyDescent="0.25">
      <c r="A147" s="24" t="s">
        <v>201</v>
      </c>
      <c r="B147" s="24" t="s">
        <v>202</v>
      </c>
      <c r="C147" s="25" t="s">
        <v>203</v>
      </c>
      <c r="D147" s="26">
        <f t="shared" si="41"/>
        <v>520</v>
      </c>
      <c r="E147" s="26">
        <f t="shared" si="41"/>
        <v>200</v>
      </c>
      <c r="F147" s="26">
        <v>520</v>
      </c>
      <c r="G147" s="26">
        <v>200</v>
      </c>
      <c r="H147" s="26"/>
      <c r="I147" s="26"/>
      <c r="J147" s="26"/>
      <c r="K147" s="26"/>
    </row>
    <row r="148" spans="1:11" ht="14.1" customHeight="1" x14ac:dyDescent="0.25">
      <c r="A148" s="24" t="s">
        <v>204</v>
      </c>
      <c r="B148" s="24" t="s">
        <v>205</v>
      </c>
      <c r="C148" s="25" t="s">
        <v>206</v>
      </c>
      <c r="D148" s="26">
        <f t="shared" si="41"/>
        <v>40</v>
      </c>
      <c r="E148" s="26">
        <f t="shared" si="41"/>
        <v>3460</v>
      </c>
      <c r="F148" s="26">
        <v>30</v>
      </c>
      <c r="G148" s="26">
        <v>460</v>
      </c>
      <c r="H148" s="26"/>
      <c r="I148" s="26">
        <f>1700+1300</f>
        <v>3000</v>
      </c>
      <c r="J148" s="26">
        <v>10</v>
      </c>
      <c r="K148" s="26"/>
    </row>
    <row r="149" spans="1:11" ht="14.1" customHeight="1" x14ac:dyDescent="0.25">
      <c r="A149" s="24"/>
      <c r="B149" s="24" t="s">
        <v>207</v>
      </c>
      <c r="C149" s="25" t="s">
        <v>208</v>
      </c>
      <c r="D149" s="26">
        <f t="shared" si="41"/>
        <v>0</v>
      </c>
      <c r="E149" s="26">
        <f t="shared" si="41"/>
        <v>0</v>
      </c>
      <c r="F149" s="26"/>
      <c r="G149" s="26"/>
      <c r="H149" s="26"/>
      <c r="I149" s="26"/>
      <c r="J149" s="26"/>
      <c r="K149" s="26"/>
    </row>
    <row r="150" spans="1:11" ht="14.1" customHeight="1" x14ac:dyDescent="0.25">
      <c r="A150" s="24" t="s">
        <v>209</v>
      </c>
      <c r="B150" s="24" t="s">
        <v>210</v>
      </c>
      <c r="C150" s="25" t="s">
        <v>211</v>
      </c>
      <c r="D150" s="26">
        <f t="shared" si="41"/>
        <v>0</v>
      </c>
      <c r="E150" s="26">
        <f t="shared" si="41"/>
        <v>0</v>
      </c>
      <c r="F150" s="26"/>
      <c r="G150" s="26"/>
      <c r="H150" s="26"/>
      <c r="I150" s="26"/>
      <c r="J150" s="26"/>
      <c r="K150" s="26"/>
    </row>
    <row r="151" spans="1:11" ht="14.1" customHeight="1" x14ac:dyDescent="0.25">
      <c r="A151" s="24" t="s">
        <v>212</v>
      </c>
      <c r="B151" s="24" t="s">
        <v>213</v>
      </c>
      <c r="C151" s="25" t="s">
        <v>214</v>
      </c>
      <c r="D151" s="26">
        <f t="shared" si="41"/>
        <v>0</v>
      </c>
      <c r="E151" s="26">
        <f t="shared" si="41"/>
        <v>0</v>
      </c>
      <c r="F151" s="26"/>
      <c r="G151" s="26"/>
      <c r="H151" s="26"/>
      <c r="I151" s="26"/>
      <c r="J151" s="26"/>
      <c r="K151" s="26"/>
    </row>
    <row r="152" spans="1:11" ht="14.1" customHeight="1" x14ac:dyDescent="0.25">
      <c r="A152" s="24" t="s">
        <v>215</v>
      </c>
      <c r="B152" s="24" t="s">
        <v>216</v>
      </c>
      <c r="C152" s="25" t="s">
        <v>217</v>
      </c>
      <c r="D152" s="26">
        <f t="shared" si="41"/>
        <v>152</v>
      </c>
      <c r="E152" s="26">
        <f t="shared" si="41"/>
        <v>538</v>
      </c>
      <c r="F152" s="26">
        <v>149</v>
      </c>
      <c r="G152" s="26">
        <f>ROUND((G145+G146+G147+G148+G149)*0.27,0)</f>
        <v>178</v>
      </c>
      <c r="H152" s="26">
        <v>0</v>
      </c>
      <c r="I152" s="26">
        <f>ROUND((I145+I146+I147+I148+I149)*0.12,0)</f>
        <v>360</v>
      </c>
      <c r="J152" s="26">
        <v>3</v>
      </c>
      <c r="K152" s="26"/>
    </row>
    <row r="153" spans="1:11" s="3" customFormat="1" ht="14.1" customHeight="1" x14ac:dyDescent="0.25">
      <c r="A153" s="16" t="s">
        <v>218</v>
      </c>
      <c r="B153" s="20" t="s">
        <v>219</v>
      </c>
      <c r="C153" s="21" t="s">
        <v>220</v>
      </c>
      <c r="D153" s="22">
        <f>SUM(D145:D152)</f>
        <v>712</v>
      </c>
      <c r="E153" s="22">
        <f t="shared" ref="E153:K153" si="42">SUM(E145:E152)</f>
        <v>4198</v>
      </c>
      <c r="F153" s="22">
        <f t="shared" si="42"/>
        <v>699</v>
      </c>
      <c r="G153" s="22">
        <f t="shared" si="42"/>
        <v>838</v>
      </c>
      <c r="H153" s="22">
        <f t="shared" si="42"/>
        <v>0</v>
      </c>
      <c r="I153" s="22">
        <f t="shared" si="42"/>
        <v>3360</v>
      </c>
      <c r="J153" s="22">
        <f t="shared" si="42"/>
        <v>13</v>
      </c>
      <c r="K153" s="22">
        <f t="shared" si="42"/>
        <v>0</v>
      </c>
    </row>
    <row r="154" spans="1:11" ht="14.1" customHeight="1" x14ac:dyDescent="0.25">
      <c r="A154" s="24" t="s">
        <v>221</v>
      </c>
      <c r="B154" s="24" t="s">
        <v>222</v>
      </c>
      <c r="C154" s="25" t="s">
        <v>223</v>
      </c>
      <c r="D154" s="26">
        <f t="shared" si="41"/>
        <v>0</v>
      </c>
      <c r="E154" s="26">
        <f t="shared" si="41"/>
        <v>0</v>
      </c>
      <c r="F154" s="26"/>
      <c r="G154" s="26"/>
      <c r="H154" s="26"/>
      <c r="I154" s="26"/>
      <c r="J154" s="26"/>
      <c r="K154" s="26"/>
    </row>
    <row r="155" spans="1:11" ht="14.1" customHeight="1" x14ac:dyDescent="0.25">
      <c r="A155" s="24" t="s">
        <v>224</v>
      </c>
      <c r="B155" s="24" t="s">
        <v>225</v>
      </c>
      <c r="C155" s="25" t="s">
        <v>226</v>
      </c>
      <c r="D155" s="26">
        <f t="shared" si="41"/>
        <v>0</v>
      </c>
      <c r="E155" s="26">
        <f t="shared" si="41"/>
        <v>0</v>
      </c>
      <c r="F155" s="26"/>
      <c r="G155" s="26"/>
      <c r="H155" s="26"/>
      <c r="I155" s="26"/>
      <c r="J155" s="26"/>
      <c r="K155" s="26"/>
    </row>
    <row r="156" spans="1:11" ht="14.1" customHeight="1" x14ac:dyDescent="0.25">
      <c r="A156" s="24" t="s">
        <v>227</v>
      </c>
      <c r="B156" s="24" t="s">
        <v>228</v>
      </c>
      <c r="C156" s="25" t="s">
        <v>229</v>
      </c>
      <c r="D156" s="26">
        <f t="shared" si="41"/>
        <v>0</v>
      </c>
      <c r="E156" s="26">
        <f t="shared" si="41"/>
        <v>0</v>
      </c>
      <c r="F156" s="26"/>
      <c r="G156" s="26"/>
      <c r="H156" s="26"/>
      <c r="I156" s="26"/>
      <c r="J156" s="26"/>
      <c r="K156" s="26"/>
    </row>
    <row r="157" spans="1:11" ht="14.1" customHeight="1" x14ac:dyDescent="0.25">
      <c r="A157" s="24"/>
      <c r="B157" s="24" t="s">
        <v>230</v>
      </c>
      <c r="C157" s="25" t="s">
        <v>231</v>
      </c>
      <c r="D157" s="26">
        <f t="shared" si="41"/>
        <v>0</v>
      </c>
      <c r="E157" s="26">
        <f t="shared" si="41"/>
        <v>0</v>
      </c>
      <c r="F157" s="26"/>
      <c r="G157" s="26"/>
      <c r="H157" s="26"/>
      <c r="I157" s="26"/>
      <c r="J157" s="26"/>
      <c r="K157" s="26"/>
    </row>
    <row r="158" spans="1:11" ht="14.1" customHeight="1" x14ac:dyDescent="0.25">
      <c r="A158" s="24" t="s">
        <v>232</v>
      </c>
      <c r="B158" s="24" t="s">
        <v>233</v>
      </c>
      <c r="C158" s="25" t="s">
        <v>234</v>
      </c>
      <c r="D158" s="26">
        <f t="shared" si="41"/>
        <v>0</v>
      </c>
      <c r="E158" s="26">
        <f t="shared" si="41"/>
        <v>0</v>
      </c>
      <c r="F158" s="26">
        <v>0</v>
      </c>
      <c r="G158" s="26">
        <f>ROUND((G154+G155+G156+G157)*0.27,0)</f>
        <v>0</v>
      </c>
      <c r="H158" s="26">
        <v>0</v>
      </c>
      <c r="I158" s="26">
        <f>ROUND((I154+I155+I156+I157)*0.27,0)</f>
        <v>0</v>
      </c>
      <c r="J158" s="26"/>
      <c r="K158" s="26"/>
    </row>
    <row r="159" spans="1:11" s="3" customFormat="1" ht="14.1" customHeight="1" x14ac:dyDescent="0.25">
      <c r="A159" s="16" t="s">
        <v>235</v>
      </c>
      <c r="B159" s="20" t="s">
        <v>236</v>
      </c>
      <c r="C159" s="21" t="s">
        <v>237</v>
      </c>
      <c r="D159" s="22">
        <f>SUM(D154:D158)</f>
        <v>0</v>
      </c>
      <c r="E159" s="22">
        <f t="shared" ref="E159:K159" si="43">SUM(E154:E158)</f>
        <v>0</v>
      </c>
      <c r="F159" s="22">
        <f t="shared" si="43"/>
        <v>0</v>
      </c>
      <c r="G159" s="22">
        <f t="shared" si="43"/>
        <v>0</v>
      </c>
      <c r="H159" s="22">
        <f t="shared" si="43"/>
        <v>0</v>
      </c>
      <c r="I159" s="22">
        <f t="shared" si="43"/>
        <v>0</v>
      </c>
      <c r="J159" s="22">
        <f t="shared" si="43"/>
        <v>0</v>
      </c>
      <c r="K159" s="22">
        <f t="shared" si="43"/>
        <v>0</v>
      </c>
    </row>
    <row r="160" spans="1:11" s="3" customFormat="1" ht="14.1" customHeight="1" x14ac:dyDescent="0.25">
      <c r="A160" s="963" t="s">
        <v>293</v>
      </c>
      <c r="B160" s="964"/>
      <c r="C160" s="965" t="s">
        <v>238</v>
      </c>
      <c r="D160" s="28">
        <f>D153+D159</f>
        <v>712</v>
      </c>
      <c r="E160" s="28">
        <f t="shared" ref="E160:K160" si="44">E153+E159</f>
        <v>4198</v>
      </c>
      <c r="F160" s="28">
        <f t="shared" si="44"/>
        <v>699</v>
      </c>
      <c r="G160" s="28">
        <f t="shared" si="44"/>
        <v>838</v>
      </c>
      <c r="H160" s="28">
        <f t="shared" si="44"/>
        <v>0</v>
      </c>
      <c r="I160" s="28">
        <f t="shared" si="44"/>
        <v>3360</v>
      </c>
      <c r="J160" s="28">
        <f t="shared" si="44"/>
        <v>13</v>
      </c>
      <c r="K160" s="28">
        <f t="shared" si="44"/>
        <v>0</v>
      </c>
    </row>
    <row r="161" spans="1:11" ht="6.75" customHeight="1" x14ac:dyDescent="0.25"/>
    <row r="162" spans="1:11" ht="14.1" customHeight="1" x14ac:dyDescent="0.25">
      <c r="A162" s="958" t="s">
        <v>294</v>
      </c>
      <c r="B162" s="959"/>
      <c r="C162" s="960"/>
      <c r="D162" s="30">
        <f>D160+D136</f>
        <v>28627</v>
      </c>
      <c r="E162" s="30">
        <f t="shared" ref="E162:K162" si="45">E160+E136</f>
        <v>31355</v>
      </c>
      <c r="F162" s="30">
        <f t="shared" si="45"/>
        <v>20519</v>
      </c>
      <c r="G162" s="30">
        <f t="shared" si="45"/>
        <v>23826</v>
      </c>
      <c r="H162" s="30">
        <f t="shared" si="45"/>
        <v>2151</v>
      </c>
      <c r="I162" s="30">
        <f t="shared" si="45"/>
        <v>4122</v>
      </c>
      <c r="J162" s="30">
        <f t="shared" si="45"/>
        <v>5957</v>
      </c>
      <c r="K162" s="30">
        <f t="shared" si="45"/>
        <v>3407</v>
      </c>
    </row>
    <row r="167" spans="1:11" s="1" customFormat="1" ht="12.75" customHeight="1" x14ac:dyDescent="0.25">
      <c r="A167" s="975" t="s">
        <v>578</v>
      </c>
      <c r="B167" s="976"/>
      <c r="C167" s="976"/>
      <c r="D167" s="976"/>
      <c r="E167" s="976"/>
      <c r="F167" s="976"/>
      <c r="G167" s="976"/>
      <c r="H167" s="976"/>
      <c r="I167" s="976"/>
      <c r="J167" s="976"/>
      <c r="K167" s="977"/>
    </row>
    <row r="168" spans="1:11" s="1" customFormat="1" ht="14.1" customHeight="1" x14ac:dyDescent="0.25">
      <c r="A168" s="957" t="s">
        <v>0</v>
      </c>
      <c r="B168" s="961" t="s">
        <v>1</v>
      </c>
      <c r="C168" s="957" t="s">
        <v>2</v>
      </c>
      <c r="D168" s="962" t="s">
        <v>260</v>
      </c>
      <c r="E168" s="952" t="s">
        <v>259</v>
      </c>
      <c r="F168" s="954" t="s">
        <v>360</v>
      </c>
      <c r="G168" s="955"/>
      <c r="H168" s="954" t="s">
        <v>580</v>
      </c>
      <c r="I168" s="955"/>
      <c r="J168" s="954" t="s">
        <v>361</v>
      </c>
      <c r="K168" s="955"/>
    </row>
    <row r="169" spans="1:11" s="3" customFormat="1" ht="23.25" customHeight="1" x14ac:dyDescent="0.25">
      <c r="A169" s="957"/>
      <c r="B169" s="961"/>
      <c r="C169" s="957"/>
      <c r="D169" s="962"/>
      <c r="E169" s="953"/>
      <c r="F169" s="97" t="s">
        <v>260</v>
      </c>
      <c r="G169" s="97" t="s">
        <v>259</v>
      </c>
      <c r="H169" s="97" t="s">
        <v>260</v>
      </c>
      <c r="I169" s="97" t="s">
        <v>259</v>
      </c>
      <c r="J169" s="97" t="s">
        <v>260</v>
      </c>
      <c r="K169" s="97" t="s">
        <v>259</v>
      </c>
    </row>
    <row r="170" spans="1:11" ht="5.65" customHeight="1" x14ac:dyDescent="0.25"/>
    <row r="171" spans="1:11" ht="14.1" customHeight="1" x14ac:dyDescent="0.25">
      <c r="A171" s="956" t="s">
        <v>239</v>
      </c>
      <c r="B171" s="956"/>
      <c r="C171" s="956"/>
      <c r="D171" s="956"/>
      <c r="E171" s="956"/>
      <c r="F171" s="956"/>
      <c r="G171" s="956"/>
      <c r="H171" s="956"/>
      <c r="I171" s="956"/>
      <c r="J171" s="101"/>
      <c r="K171" s="101"/>
    </row>
    <row r="172" spans="1:11" s="3" customFormat="1" ht="14.1" customHeight="1" x14ac:dyDescent="0.25">
      <c r="A172" s="20" t="s">
        <v>240</v>
      </c>
      <c r="B172" s="20"/>
      <c r="C172" s="21" t="s">
        <v>241</v>
      </c>
      <c r="D172" s="23">
        <f>SUM(D173:D182)</f>
        <v>294</v>
      </c>
      <c r="E172" s="23">
        <f t="shared" ref="E172:K172" si="46">SUM(E173:E182)</f>
        <v>254</v>
      </c>
      <c r="F172" s="23">
        <f t="shared" si="46"/>
        <v>294</v>
      </c>
      <c r="G172" s="23">
        <f t="shared" si="46"/>
        <v>254</v>
      </c>
      <c r="H172" s="23">
        <f t="shared" si="46"/>
        <v>0</v>
      </c>
      <c r="I172" s="23">
        <f t="shared" si="46"/>
        <v>0</v>
      </c>
      <c r="J172" s="23">
        <f t="shared" si="46"/>
        <v>0</v>
      </c>
      <c r="K172" s="23">
        <f t="shared" si="46"/>
        <v>0</v>
      </c>
    </row>
    <row r="173" spans="1:11" ht="14.1" customHeight="1" x14ac:dyDescent="0.25">
      <c r="A173" s="24" t="s">
        <v>242</v>
      </c>
      <c r="B173" s="24"/>
      <c r="C173" s="25" t="s">
        <v>243</v>
      </c>
      <c r="D173" s="26">
        <f t="shared" ref="D173:E182" si="47">F173+H173+J173</f>
        <v>0</v>
      </c>
      <c r="E173" s="26">
        <f t="shared" si="47"/>
        <v>0</v>
      </c>
      <c r="F173" s="26"/>
      <c r="G173" s="26"/>
      <c r="H173" s="26"/>
      <c r="I173" s="26"/>
      <c r="J173" s="26"/>
      <c r="K173" s="26"/>
    </row>
    <row r="174" spans="1:11" ht="14.1" customHeight="1" x14ac:dyDescent="0.25">
      <c r="A174" s="24" t="s">
        <v>244</v>
      </c>
      <c r="B174" s="24"/>
      <c r="C174" s="25" t="s">
        <v>245</v>
      </c>
      <c r="D174" s="26">
        <f t="shared" si="47"/>
        <v>230</v>
      </c>
      <c r="E174" s="26">
        <f t="shared" si="47"/>
        <v>200</v>
      </c>
      <c r="F174" s="26">
        <v>230</v>
      </c>
      <c r="G174" s="26">
        <v>200</v>
      </c>
      <c r="H174" s="26"/>
      <c r="I174" s="26"/>
      <c r="J174" s="26"/>
      <c r="K174" s="26"/>
    </row>
    <row r="175" spans="1:11" ht="14.1" customHeight="1" x14ac:dyDescent="0.25">
      <c r="A175" s="24" t="s">
        <v>246</v>
      </c>
      <c r="B175" s="24"/>
      <c r="C175" s="25" t="s">
        <v>247</v>
      </c>
      <c r="D175" s="26">
        <f t="shared" si="47"/>
        <v>0</v>
      </c>
      <c r="E175" s="26">
        <f t="shared" si="47"/>
        <v>0</v>
      </c>
      <c r="F175" s="26"/>
      <c r="G175" s="26"/>
      <c r="H175" s="26"/>
      <c r="I175" s="26"/>
      <c r="J175" s="26"/>
      <c r="K175" s="26"/>
    </row>
    <row r="176" spans="1:11" ht="14.1" customHeight="1" x14ac:dyDescent="0.25">
      <c r="A176" s="24" t="s">
        <v>248</v>
      </c>
      <c r="B176" s="24"/>
      <c r="C176" s="25" t="s">
        <v>249</v>
      </c>
      <c r="D176" s="26">
        <f t="shared" si="47"/>
        <v>0</v>
      </c>
      <c r="E176" s="26">
        <f t="shared" si="47"/>
        <v>0</v>
      </c>
      <c r="F176" s="26"/>
      <c r="G176" s="26"/>
      <c r="H176" s="26"/>
      <c r="I176" s="26"/>
      <c r="J176" s="26"/>
      <c r="K176" s="26"/>
    </row>
    <row r="177" spans="1:11" ht="14.1" customHeight="1" x14ac:dyDescent="0.25">
      <c r="A177" s="24" t="s">
        <v>296</v>
      </c>
      <c r="B177" s="24"/>
      <c r="C177" s="25" t="s">
        <v>297</v>
      </c>
      <c r="D177" s="26">
        <f t="shared" si="47"/>
        <v>0</v>
      </c>
      <c r="E177" s="26">
        <f t="shared" si="47"/>
        <v>0</v>
      </c>
      <c r="F177" s="26"/>
      <c r="G177" s="26"/>
      <c r="H177" s="26"/>
      <c r="I177" s="26"/>
      <c r="J177" s="26"/>
      <c r="K177" s="26"/>
    </row>
    <row r="178" spans="1:11" ht="14.1" customHeight="1" x14ac:dyDescent="0.25">
      <c r="A178" s="24" t="s">
        <v>250</v>
      </c>
      <c r="B178" s="24"/>
      <c r="C178" s="25" t="s">
        <v>251</v>
      </c>
      <c r="D178" s="26">
        <f t="shared" si="47"/>
        <v>54</v>
      </c>
      <c r="E178" s="26">
        <f t="shared" si="47"/>
        <v>54</v>
      </c>
      <c r="F178" s="26">
        <v>54</v>
      </c>
      <c r="G178" s="26">
        <f>ROUND((G173+G174+G175+G176+G177)*0.27,0)</f>
        <v>54</v>
      </c>
      <c r="H178" s="26"/>
      <c r="I178" s="26">
        <f>ROUND((I173+I174+I175+I176+I177)*0.27,0)</f>
        <v>0</v>
      </c>
      <c r="J178" s="26"/>
      <c r="K178" s="26"/>
    </row>
    <row r="179" spans="1:11" ht="14.1" customHeight="1" x14ac:dyDescent="0.25">
      <c r="A179" s="24" t="s">
        <v>298</v>
      </c>
      <c r="B179" s="24"/>
      <c r="C179" s="25" t="s">
        <v>299</v>
      </c>
      <c r="D179" s="26">
        <f t="shared" si="47"/>
        <v>0</v>
      </c>
      <c r="E179" s="26">
        <f t="shared" si="47"/>
        <v>0</v>
      </c>
      <c r="F179" s="26"/>
      <c r="G179" s="26"/>
      <c r="H179" s="26"/>
      <c r="I179" s="26"/>
      <c r="J179" s="26"/>
      <c r="K179" s="26"/>
    </row>
    <row r="180" spans="1:11" ht="14.1" customHeight="1" x14ac:dyDescent="0.25">
      <c r="A180" s="24" t="s">
        <v>252</v>
      </c>
      <c r="B180" s="24"/>
      <c r="C180" s="25" t="s">
        <v>253</v>
      </c>
      <c r="D180" s="26">
        <f t="shared" si="47"/>
        <v>0</v>
      </c>
      <c r="E180" s="26">
        <f t="shared" si="47"/>
        <v>0</v>
      </c>
      <c r="F180" s="26"/>
      <c r="G180" s="26"/>
      <c r="H180" s="26"/>
      <c r="I180" s="26"/>
      <c r="J180" s="26"/>
      <c r="K180" s="26"/>
    </row>
    <row r="181" spans="1:11" ht="14.1" customHeight="1" x14ac:dyDescent="0.25">
      <c r="A181" s="24" t="s">
        <v>300</v>
      </c>
      <c r="B181" s="24"/>
      <c r="C181" s="25" t="s">
        <v>301</v>
      </c>
      <c r="D181" s="26">
        <f t="shared" si="47"/>
        <v>0</v>
      </c>
      <c r="E181" s="26">
        <f t="shared" si="47"/>
        <v>0</v>
      </c>
      <c r="F181" s="26"/>
      <c r="G181" s="26"/>
      <c r="H181" s="26"/>
      <c r="I181" s="26"/>
      <c r="J181" s="26"/>
      <c r="K181" s="26"/>
    </row>
    <row r="182" spans="1:11" ht="14.1" customHeight="1" x14ac:dyDescent="0.25">
      <c r="A182" s="24" t="s">
        <v>254</v>
      </c>
      <c r="B182" s="24"/>
      <c r="C182" s="25" t="s">
        <v>255</v>
      </c>
      <c r="D182" s="26">
        <f t="shared" si="47"/>
        <v>10</v>
      </c>
      <c r="E182" s="26">
        <f t="shared" si="47"/>
        <v>0</v>
      </c>
      <c r="F182" s="26">
        <v>10</v>
      </c>
      <c r="G182" s="26"/>
      <c r="H182" s="26"/>
      <c r="I182" s="26"/>
      <c r="J182" s="26"/>
      <c r="K182" s="26"/>
    </row>
    <row r="183" spans="1:11" s="3" customFormat="1" ht="14.1" customHeight="1" x14ac:dyDescent="0.25">
      <c r="A183" s="20" t="s">
        <v>256</v>
      </c>
      <c r="B183" s="20"/>
      <c r="C183" s="21" t="s">
        <v>257</v>
      </c>
      <c r="D183" s="23">
        <f>F183+H183</f>
        <v>0</v>
      </c>
      <c r="E183" s="23">
        <f>G183+I183</f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</row>
    <row r="184" spans="1:11" s="3" customFormat="1" ht="14.1" customHeight="1" x14ac:dyDescent="0.25">
      <c r="A184" s="958" t="s">
        <v>295</v>
      </c>
      <c r="B184" s="959"/>
      <c r="C184" s="960"/>
      <c r="D184" s="30">
        <f>D172+D183</f>
        <v>294</v>
      </c>
      <c r="E184" s="30">
        <f t="shared" ref="E184:K184" si="48">E172+E183</f>
        <v>254</v>
      </c>
      <c r="F184" s="30">
        <f t="shared" si="48"/>
        <v>294</v>
      </c>
      <c r="G184" s="30">
        <f t="shared" si="48"/>
        <v>254</v>
      </c>
      <c r="H184" s="30">
        <f t="shared" si="48"/>
        <v>0</v>
      </c>
      <c r="I184" s="30">
        <f t="shared" si="48"/>
        <v>0</v>
      </c>
      <c r="J184" s="30">
        <f t="shared" si="48"/>
        <v>0</v>
      </c>
      <c r="K184" s="30">
        <f t="shared" si="48"/>
        <v>0</v>
      </c>
    </row>
  </sheetData>
  <sheetProtection selectLockedCells="1" selectUnlockedCells="1"/>
  <customSheetViews>
    <customSheetView guid="{7F1DC213-A29D-4C8C-BAC3-F1BD898020FD}" scale="150" fitToPage="1" hiddenRows="1" state="hidden" topLeftCell="B1">
      <pane xSplit="2" ySplit="3" topLeftCell="D102" activePane="bottomRight" state="frozen"/>
      <selection pane="bottomRight" activeCell="E113" sqref="E113"/>
      <rowBreaks count="1" manualBreakCount="1">
        <brk id="102" max="10" man="1"/>
      </rowBreaks>
      <pageMargins left="0.15748031496062992" right="0.15748031496062992" top="0.19685039370078741" bottom="0.15748031496062992" header="0.31496062992125984" footer="0.31496062992125984"/>
      <printOptions horizontalCentered="1"/>
      <pageSetup paperSize="8" fitToHeight="0" orientation="portrait" useFirstPageNumber="1" copies="2" r:id="rId1"/>
      <headerFooter alignWithMargins="0"/>
    </customSheetView>
    <customSheetView guid="{4DCB1349-1166-4B69-AE14-D6B08F9FCE74}" scale="150" fitToPage="1" hiddenRows="1" state="hidden" topLeftCell="B1">
      <pane xSplit="2" ySplit="3" topLeftCell="D102" activePane="bottomRight" state="frozen"/>
      <selection pane="bottomRight" activeCell="E113" sqref="E113"/>
      <rowBreaks count="1" manualBreakCount="1">
        <brk id="102" max="10" man="1"/>
      </rowBreaks>
      <pageMargins left="0.15748031496062992" right="0.15748031496062992" top="0.19685039370078741" bottom="0.15748031496062992" header="0.31496062992125984" footer="0.31496062992125984"/>
      <printOptions horizontalCentered="1"/>
      <pageSetup paperSize="8" fitToHeight="0" orientation="portrait" useFirstPageNumber="1" copies="2" r:id="rId2"/>
      <headerFooter alignWithMargins="0"/>
    </customSheetView>
  </customSheetViews>
  <mergeCells count="45">
    <mergeCell ref="F2:G2"/>
    <mergeCell ref="H2:I2"/>
    <mergeCell ref="A1:K1"/>
    <mergeCell ref="A2:A3"/>
    <mergeCell ref="B2:B3"/>
    <mergeCell ref="C2:C3"/>
    <mergeCell ref="D2:D3"/>
    <mergeCell ref="E2:E3"/>
    <mergeCell ref="A5:I5"/>
    <mergeCell ref="A51:C51"/>
    <mergeCell ref="A53:A54"/>
    <mergeCell ref="B53:B54"/>
    <mergeCell ref="C53:C54"/>
    <mergeCell ref="D53:D54"/>
    <mergeCell ref="E53:E54"/>
    <mergeCell ref="F53:G53"/>
    <mergeCell ref="H53:I53"/>
    <mergeCell ref="E168:E169"/>
    <mergeCell ref="F168:G168"/>
    <mergeCell ref="A56:I56"/>
    <mergeCell ref="A136:C136"/>
    <mergeCell ref="A141:A142"/>
    <mergeCell ref="B141:B142"/>
    <mergeCell ref="C141:C142"/>
    <mergeCell ref="D141:D142"/>
    <mergeCell ref="E141:E142"/>
    <mergeCell ref="F141:G141"/>
    <mergeCell ref="H141:I141"/>
    <mergeCell ref="H168:I168"/>
    <mergeCell ref="A171:I171"/>
    <mergeCell ref="A184:C184"/>
    <mergeCell ref="J2:K2"/>
    <mergeCell ref="J53:K53"/>
    <mergeCell ref="J141:K141"/>
    <mergeCell ref="J168:K168"/>
    <mergeCell ref="A52:K52"/>
    <mergeCell ref="A140:K140"/>
    <mergeCell ref="A167:K167"/>
    <mergeCell ref="A144:I144"/>
    <mergeCell ref="A160:C160"/>
    <mergeCell ref="A162:C162"/>
    <mergeCell ref="A168:A169"/>
    <mergeCell ref="B168:B169"/>
    <mergeCell ref="C168:C169"/>
    <mergeCell ref="D168:D169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3"/>
  <headerFooter alignWithMargins="0"/>
  <rowBreaks count="1" manualBreakCount="1">
    <brk id="102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  <pageSetUpPr fitToPage="1"/>
  </sheetPr>
  <dimension ref="A1:K20"/>
  <sheetViews>
    <sheetView showZeros="0" view="pageLayout" zoomScaleNormal="100" zoomScaleSheetLayoutView="100" workbookViewId="0"/>
  </sheetViews>
  <sheetFormatPr defaultColWidth="12.42578125" defaultRowHeight="12.75" x14ac:dyDescent="0.2"/>
  <cols>
    <col min="1" max="1" width="63.28515625" style="257" customWidth="1"/>
    <col min="2" max="2" width="13.7109375" style="258" hidden="1" customWidth="1"/>
    <col min="3" max="4" width="10.140625" style="258" hidden="1" customWidth="1"/>
    <col min="5" max="5" width="9.42578125" style="258" hidden="1" customWidth="1"/>
    <col min="6" max="6" width="12.42578125" style="258" hidden="1" customWidth="1"/>
    <col min="7" max="7" width="17.7109375" style="257" customWidth="1"/>
    <col min="8" max="9" width="12.42578125" style="257" hidden="1" customWidth="1"/>
    <col min="10" max="10" width="16.5703125" style="257" customWidth="1"/>
    <col min="11" max="11" width="12.42578125" style="257" hidden="1" customWidth="1"/>
    <col min="12" max="16384" width="12.42578125" style="257"/>
  </cols>
  <sheetData>
    <row r="1" spans="1:11" s="256" customFormat="1" ht="16.5" customHeight="1" x14ac:dyDescent="0.25">
      <c r="A1" s="755" t="s">
        <v>1375</v>
      </c>
      <c r="B1" s="754"/>
      <c r="C1" s="754"/>
      <c r="D1" s="754"/>
      <c r="E1" s="754"/>
      <c r="F1" s="754"/>
      <c r="G1" s="755" t="s">
        <v>1365</v>
      </c>
      <c r="H1" s="755"/>
      <c r="I1" s="755"/>
      <c r="J1" s="755" t="s">
        <v>1366</v>
      </c>
      <c r="K1" s="567"/>
    </row>
    <row r="2" spans="1:11" ht="39.75" customHeight="1" x14ac:dyDescent="0.2">
      <c r="A2" s="980" t="s">
        <v>1156</v>
      </c>
      <c r="B2" s="978" t="s">
        <v>1245</v>
      </c>
      <c r="C2" s="978" t="s">
        <v>1189</v>
      </c>
      <c r="D2" s="978"/>
      <c r="E2" s="978" t="s">
        <v>1157</v>
      </c>
      <c r="F2" s="978" t="s">
        <v>1161</v>
      </c>
      <c r="G2" s="978" t="s">
        <v>1360</v>
      </c>
      <c r="H2" s="978" t="s">
        <v>1252</v>
      </c>
      <c r="I2" s="978"/>
      <c r="J2" s="978" t="s">
        <v>1359</v>
      </c>
      <c r="K2" s="979" t="s">
        <v>1161</v>
      </c>
    </row>
    <row r="3" spans="1:11" s="258" customFormat="1" ht="45" x14ac:dyDescent="0.25">
      <c r="A3" s="980"/>
      <c r="B3" s="978"/>
      <c r="C3" s="684" t="s">
        <v>1158</v>
      </c>
      <c r="D3" s="684" t="s">
        <v>1159</v>
      </c>
      <c r="E3" s="978"/>
      <c r="F3" s="978"/>
      <c r="G3" s="978"/>
      <c r="H3" s="684" t="s">
        <v>1158</v>
      </c>
      <c r="I3" s="684" t="s">
        <v>1159</v>
      </c>
      <c r="J3" s="978"/>
      <c r="K3" s="979"/>
    </row>
    <row r="4" spans="1:11" s="258" customFormat="1" x14ac:dyDescent="0.25">
      <c r="A4" s="574"/>
      <c r="B4" s="575" t="s">
        <v>1188</v>
      </c>
      <c r="C4" s="576"/>
      <c r="D4" s="576"/>
      <c r="E4" s="575" t="s">
        <v>1188</v>
      </c>
      <c r="F4" s="575" t="s">
        <v>1188</v>
      </c>
      <c r="G4" s="577" t="s">
        <v>1419</v>
      </c>
      <c r="H4" s="578"/>
      <c r="I4" s="578"/>
      <c r="J4" s="577" t="s">
        <v>1419</v>
      </c>
      <c r="K4" s="259" t="s">
        <v>1251</v>
      </c>
    </row>
    <row r="5" spans="1:11" s="261" customFormat="1" ht="18" customHeight="1" x14ac:dyDescent="0.25">
      <c r="A5" s="260"/>
      <c r="B5" s="260"/>
      <c r="C5" s="260"/>
      <c r="D5" s="260"/>
      <c r="E5" s="260"/>
      <c r="F5" s="260"/>
      <c r="G5" s="260"/>
      <c r="H5" s="260"/>
      <c r="I5" s="260"/>
      <c r="J5" s="260"/>
      <c r="K5" s="260"/>
    </row>
    <row r="6" spans="1:11" s="261" customFormat="1" ht="23.25" customHeight="1" x14ac:dyDescent="0.25">
      <c r="A6" s="262" t="s">
        <v>1140</v>
      </c>
      <c r="B6" s="263">
        <f>'2.2. Önk kiad'!C5</f>
        <v>12</v>
      </c>
      <c r="C6" s="353">
        <v>7</v>
      </c>
      <c r="D6" s="353">
        <v>1</v>
      </c>
      <c r="E6" s="263">
        <f>'2.2. Önk kiad'!C6</f>
        <v>25</v>
      </c>
      <c r="F6" s="263">
        <v>0</v>
      </c>
      <c r="G6" s="843">
        <f>'2.2. Önk kiad'!W5</f>
        <v>24</v>
      </c>
      <c r="H6" s="505"/>
      <c r="I6" s="505"/>
      <c r="J6" s="843">
        <v>60</v>
      </c>
      <c r="K6" s="263">
        <v>0</v>
      </c>
    </row>
    <row r="7" spans="1:11" s="261" customFormat="1" ht="23.25" customHeight="1" x14ac:dyDescent="0.25">
      <c r="A7" s="262" t="s">
        <v>966</v>
      </c>
      <c r="B7" s="263">
        <f>'3.1. PH'!C5</f>
        <v>0</v>
      </c>
      <c r="C7" s="353">
        <v>69</v>
      </c>
      <c r="D7" s="353">
        <v>2</v>
      </c>
      <c r="E7" s="263">
        <f>'3.1. PH'!C6</f>
        <v>0</v>
      </c>
      <c r="F7" s="263">
        <f>'3.1. PH'!C7</f>
        <v>0</v>
      </c>
      <c r="G7" s="843">
        <f>'3.1. PH'!W5</f>
        <v>59</v>
      </c>
      <c r="H7" s="505"/>
      <c r="I7" s="505"/>
      <c r="J7" s="843" t="s">
        <v>1362</v>
      </c>
      <c r="K7" s="263">
        <f>'3.1. PH'!W7</f>
        <v>0</v>
      </c>
    </row>
    <row r="8" spans="1:11" s="261" customFormat="1" ht="23.25" customHeight="1" x14ac:dyDescent="0.25">
      <c r="A8" s="262" t="s">
        <v>1294</v>
      </c>
      <c r="B8" s="263"/>
      <c r="C8" s="544"/>
      <c r="D8" s="544"/>
      <c r="E8" s="263"/>
      <c r="F8" s="263"/>
      <c r="G8" s="844">
        <v>78</v>
      </c>
      <c r="H8" s="544"/>
      <c r="I8" s="544"/>
      <c r="J8" s="843">
        <v>180</v>
      </c>
      <c r="K8" s="263"/>
    </row>
    <row r="9" spans="1:11" s="258" customFormat="1" ht="23.25" customHeight="1" x14ac:dyDescent="0.25">
      <c r="A9" s="264" t="s">
        <v>1293</v>
      </c>
      <c r="B9" s="266">
        <f>114.5-17.5</f>
        <v>97</v>
      </c>
      <c r="C9" s="352">
        <v>89</v>
      </c>
      <c r="D9" s="352">
        <v>7</v>
      </c>
      <c r="E9" s="265">
        <f>'4.1. Vesz'!C6</f>
        <v>97</v>
      </c>
      <c r="F9" s="265">
        <v>0</v>
      </c>
      <c r="G9" s="844">
        <v>98.5</v>
      </c>
      <c r="H9" s="510"/>
      <c r="I9" s="510"/>
      <c r="J9" s="844">
        <v>12</v>
      </c>
      <c r="K9" s="265">
        <v>0</v>
      </c>
    </row>
    <row r="10" spans="1:11" s="572" customFormat="1" ht="23.25" customHeight="1" x14ac:dyDescent="0.25">
      <c r="A10" s="568" t="s">
        <v>986</v>
      </c>
      <c r="B10" s="569">
        <f>SUM(B6:B9)</f>
        <v>109</v>
      </c>
      <c r="C10" s="570">
        <f t="shared" ref="C10:D10" si="0">SUM(C6:C9)</f>
        <v>165</v>
      </c>
      <c r="D10" s="570">
        <f t="shared" si="0"/>
        <v>10</v>
      </c>
      <c r="E10" s="569">
        <f>SUM(E7:E9)</f>
        <v>97</v>
      </c>
      <c r="F10" s="569">
        <f>SUM(F7:F9)</f>
        <v>0</v>
      </c>
      <c r="G10" s="846">
        <f>SUM(G6:G9)</f>
        <v>259.5</v>
      </c>
      <c r="H10" s="846">
        <f t="shared" ref="H10:I10" si="1">SUM(H6:H9)</f>
        <v>0</v>
      </c>
      <c r="I10" s="846">
        <f t="shared" si="1"/>
        <v>0</v>
      </c>
      <c r="J10" s="846">
        <f>SUM(J6:J9)</f>
        <v>252</v>
      </c>
      <c r="K10" s="571">
        <f>SUM(K7:K9)</f>
        <v>0</v>
      </c>
    </row>
    <row r="11" spans="1:11" s="261" customFormat="1" ht="23.25" customHeight="1" x14ac:dyDescent="0.25">
      <c r="A11" s="260" t="s">
        <v>1141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0"/>
    </row>
    <row r="12" spans="1:11" s="256" customFormat="1" ht="27.75" customHeight="1" x14ac:dyDescent="0.25">
      <c r="A12" s="262" t="s">
        <v>1330</v>
      </c>
      <c r="B12" s="267">
        <f>'5. Eszi'!G6</f>
        <v>12.5</v>
      </c>
      <c r="C12" s="353">
        <v>12</v>
      </c>
      <c r="D12" s="353">
        <v>1</v>
      </c>
      <c r="E12" s="267">
        <f>'5. Eszi'!G7</f>
        <v>0</v>
      </c>
      <c r="F12" s="267">
        <v>0</v>
      </c>
      <c r="G12" s="843">
        <v>79</v>
      </c>
      <c r="H12" s="845"/>
      <c r="I12" s="845"/>
      <c r="J12" s="843">
        <v>16</v>
      </c>
      <c r="K12" s="267">
        <v>0</v>
      </c>
    </row>
    <row r="13" spans="1:11" s="256" customFormat="1" ht="23.25" customHeight="1" x14ac:dyDescent="0.25">
      <c r="A13" s="264" t="s">
        <v>1331</v>
      </c>
      <c r="B13" s="267">
        <f>'6.1. Óvoda'!G6</f>
        <v>32</v>
      </c>
      <c r="C13" s="353">
        <v>28</v>
      </c>
      <c r="D13" s="353">
        <v>1</v>
      </c>
      <c r="E13" s="268">
        <f>'6.1. Óvoda'!G7</f>
        <v>0</v>
      </c>
      <c r="F13" s="268">
        <v>0</v>
      </c>
      <c r="G13" s="843">
        <v>49</v>
      </c>
      <c r="H13" s="845"/>
      <c r="I13" s="845"/>
      <c r="J13" s="843">
        <v>30</v>
      </c>
      <c r="K13" s="268">
        <v>0</v>
      </c>
    </row>
    <row r="14" spans="1:11" s="256" customFormat="1" ht="23.25" customHeight="1" x14ac:dyDescent="0.25">
      <c r="A14" s="264" t="s">
        <v>1332</v>
      </c>
      <c r="B14" s="267">
        <f>'6.2. Kalandpark'!G6</f>
        <v>56</v>
      </c>
      <c r="C14" s="353">
        <v>53</v>
      </c>
      <c r="D14" s="353">
        <v>4</v>
      </c>
      <c r="E14" s="267">
        <f>'6.2. Kalandpark'!G7</f>
        <v>0</v>
      </c>
      <c r="F14" s="267">
        <v>0</v>
      </c>
      <c r="G14" s="843">
        <v>21</v>
      </c>
      <c r="H14" s="845"/>
      <c r="I14" s="845"/>
      <c r="J14" s="843">
        <v>15</v>
      </c>
      <c r="K14" s="267">
        <v>0</v>
      </c>
    </row>
    <row r="15" spans="1:11" s="256" customFormat="1" ht="23.25" customHeight="1" x14ac:dyDescent="0.25">
      <c r="A15" s="264" t="s">
        <v>1333</v>
      </c>
      <c r="B15" s="267">
        <v>15</v>
      </c>
      <c r="C15" s="353">
        <v>11</v>
      </c>
      <c r="D15" s="353">
        <v>3</v>
      </c>
      <c r="E15" s="268">
        <f>'6.3. KLMK'!G7</f>
        <v>0</v>
      </c>
      <c r="F15" s="268">
        <v>0</v>
      </c>
      <c r="G15" s="843">
        <v>7</v>
      </c>
      <c r="H15" s="845"/>
      <c r="I15" s="845"/>
      <c r="J15" s="843">
        <v>3</v>
      </c>
      <c r="K15" s="268">
        <v>0</v>
      </c>
    </row>
    <row r="16" spans="1:11" s="256" customFormat="1" ht="23.25" customHeight="1" x14ac:dyDescent="0.25">
      <c r="A16" s="264"/>
      <c r="B16" s="268">
        <v>5</v>
      </c>
      <c r="C16" s="353">
        <v>4</v>
      </c>
      <c r="D16" s="353">
        <v>1</v>
      </c>
      <c r="E16" s="268">
        <f>'6.4. Könyvtár'!G7</f>
        <v>0</v>
      </c>
      <c r="F16" s="268">
        <v>0</v>
      </c>
      <c r="G16" s="268">
        <f>+'6.4. Könyvtár'!W6</f>
        <v>0</v>
      </c>
      <c r="H16" s="505"/>
      <c r="I16" s="505"/>
      <c r="J16" s="268">
        <f>'6.4. Könyvtár'!L7</f>
        <v>0</v>
      </c>
      <c r="K16" s="268">
        <v>0</v>
      </c>
    </row>
    <row r="17" spans="1:11" s="256" customFormat="1" ht="23.25" customHeight="1" x14ac:dyDescent="0.25">
      <c r="A17" s="264"/>
      <c r="B17" s="267">
        <f>'5F Segítő Kéz'!G6</f>
        <v>17</v>
      </c>
      <c r="C17" s="353">
        <v>13</v>
      </c>
      <c r="D17" s="353">
        <v>4</v>
      </c>
      <c r="E17" s="267">
        <f>'5F Segítő Kéz'!G7</f>
        <v>0</v>
      </c>
      <c r="F17" s="267">
        <v>0</v>
      </c>
      <c r="G17" s="267">
        <f>'5F Segítő Kéz'!W6</f>
        <v>0</v>
      </c>
      <c r="H17" s="505"/>
      <c r="I17" s="505"/>
      <c r="J17" s="267">
        <f>'5F Segítő Kéz'!L7</f>
        <v>0</v>
      </c>
      <c r="K17" s="267">
        <v>0</v>
      </c>
    </row>
    <row r="18" spans="1:11" s="256" customFormat="1" ht="23.25" customHeight="1" x14ac:dyDescent="0.25">
      <c r="A18" s="264"/>
      <c r="B18" s="267">
        <v>24</v>
      </c>
      <c r="C18" s="353">
        <v>22</v>
      </c>
      <c r="D18" s="353"/>
      <c r="E18" s="267"/>
      <c r="F18" s="267"/>
      <c r="G18" s="267">
        <f>+'5G Szérüskert'!W6</f>
        <v>0</v>
      </c>
      <c r="H18" s="505"/>
      <c r="I18" s="505"/>
      <c r="J18" s="267"/>
      <c r="K18" s="267"/>
    </row>
    <row r="19" spans="1:11" s="572" customFormat="1" ht="23.25" customHeight="1" x14ac:dyDescent="0.25">
      <c r="A19" s="568" t="s">
        <v>986</v>
      </c>
      <c r="B19" s="685">
        <f>SUM(B12:B18)</f>
        <v>161.5</v>
      </c>
      <c r="C19" s="578">
        <f>SUM(C12:C18)</f>
        <v>143</v>
      </c>
      <c r="D19" s="578">
        <f t="shared" ref="D19:F19" si="2">SUM(D12:D17)</f>
        <v>14</v>
      </c>
      <c r="E19" s="685">
        <f t="shared" si="2"/>
        <v>0</v>
      </c>
      <c r="F19" s="685">
        <f t="shared" si="2"/>
        <v>0</v>
      </c>
      <c r="G19" s="846">
        <f>SUM(G12:G18)</f>
        <v>156</v>
      </c>
      <c r="H19" s="846">
        <f>SUM(H12:H18)</f>
        <v>0</v>
      </c>
      <c r="I19" s="846">
        <f t="shared" ref="I19:K19" si="3">SUM(I12:I17)</f>
        <v>0</v>
      </c>
      <c r="J19" s="846">
        <f t="shared" si="3"/>
        <v>64</v>
      </c>
      <c r="K19" s="573">
        <f t="shared" si="3"/>
        <v>0</v>
      </c>
    </row>
    <row r="20" spans="1:11" ht="21.75" customHeight="1" x14ac:dyDescent="0.2">
      <c r="A20" s="686" t="s">
        <v>1357</v>
      </c>
      <c r="B20" s="687"/>
      <c r="C20" s="687"/>
      <c r="D20" s="687"/>
      <c r="E20" s="687"/>
      <c r="F20" s="687"/>
      <c r="G20" s="688">
        <f>SUM(G10+G19)</f>
        <v>415.5</v>
      </c>
      <c r="H20" s="688">
        <f t="shared" ref="H20:J20" si="4">SUM(H10+H19)</f>
        <v>0</v>
      </c>
      <c r="I20" s="688">
        <f t="shared" si="4"/>
        <v>0</v>
      </c>
      <c r="J20" s="688">
        <f t="shared" si="4"/>
        <v>316</v>
      </c>
    </row>
  </sheetData>
  <customSheetViews>
    <customSheetView guid="{7F1DC213-A29D-4C8C-BAC3-F1BD898020FD}" zeroValues="0" fitToPage="1" hiddenColumns="1">
      <selection activeCell="P12" sqref="P12"/>
      <pageMargins left="0.78740157480314965" right="0.78740157480314965" top="1.6141732283464567" bottom="1.0236220472440944" header="0.78740157480314965" footer="0.78740157480314965"/>
      <pageSetup paperSize="9" scale="87" firstPageNumber="0" orientation="portrait" r:id="rId1"/>
      <headerFooter alignWithMargins="0">
        <oddHeader>&amp;L 7. melléklet a ...../2019. (.....) önkormányzati rendelethez&amp;C&amp;"-,Félkövér"&amp;14Az Önkormányzat költségvetési szerveinek létszámkerete</oddHeader>
      </headerFooter>
    </customSheetView>
    <customSheetView guid="{4DCB1349-1166-4B69-AE14-D6B08F9FCE74}" zeroValues="0" fitToPage="1" hiddenColumns="1">
      <selection activeCell="P12" sqref="P12"/>
      <pageMargins left="0.78740157480314965" right="0.78740157480314965" top="1.6141732283464567" bottom="1.0236220472440944" header="0.78740157480314965" footer="0.78740157480314965"/>
      <pageSetup paperSize="9" scale="87" firstPageNumber="0" orientation="portrait" r:id="rId2"/>
      <headerFooter alignWithMargins="0">
        <oddHeader>&amp;L 7. melléklet a ...../2019. (.....) önkormányzati rendelethez&amp;C&amp;"-,Félkövér"&amp;14Az Önkormányzat költségvetési szerveinek létszámkerete</oddHeader>
      </headerFooter>
    </customSheetView>
  </customSheetViews>
  <mergeCells count="9">
    <mergeCell ref="J2:J3"/>
    <mergeCell ref="K2:K3"/>
    <mergeCell ref="G2:G3"/>
    <mergeCell ref="F2:F3"/>
    <mergeCell ref="A2:A3"/>
    <mergeCell ref="B2:B3"/>
    <mergeCell ref="C2:D2"/>
    <mergeCell ref="E2:E3"/>
    <mergeCell ref="H2:I2"/>
  </mergeCells>
  <pageMargins left="0.78740157480314965" right="0.78740157480314965" top="1.6141732283464567" bottom="1.0236220472440944" header="0.78740157480314965" footer="0.78740157480314965"/>
  <pageSetup paperSize="9" scale="87" firstPageNumber="0" orientation="portrait" r:id="rId3"/>
  <headerFooter alignWithMargins="0">
    <oddHeader>&amp;L7. melléklet a 3/2019. (II.20.) önkormányzati rendelethez&amp;C&amp;"-,Félkövér"&amp;14
Az Önkormányzat költségvetési szerveinek létszámkerete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1:X61"/>
  <sheetViews>
    <sheetView showZeros="0" view="pageLayout" zoomScaleNormal="85" zoomScaleSheetLayoutView="100" workbookViewId="0">
      <selection activeCell="AB6" sqref="AB6"/>
    </sheetView>
  </sheetViews>
  <sheetFormatPr defaultColWidth="9.140625" defaultRowHeight="15" x14ac:dyDescent="0.2"/>
  <cols>
    <col min="1" max="1" width="5.42578125" style="406" customWidth="1"/>
    <col min="2" max="2" width="64" style="407" customWidth="1"/>
    <col min="3" max="5" width="15" style="407" hidden="1" customWidth="1"/>
    <col min="6" max="6" width="20.28515625" style="407" hidden="1" customWidth="1"/>
    <col min="7" max="7" width="17" style="407" hidden="1" customWidth="1"/>
    <col min="8" max="8" width="15" style="409" hidden="1" customWidth="1"/>
    <col min="9" max="9" width="19.140625" style="409" hidden="1" customWidth="1"/>
    <col min="10" max="10" width="19.7109375" style="408" hidden="1" customWidth="1"/>
    <col min="11" max="11" width="18" style="407" hidden="1" customWidth="1"/>
    <col min="12" max="12" width="16" style="407" hidden="1" customWidth="1"/>
    <col min="13" max="13" width="9.140625" style="407" hidden="1" customWidth="1"/>
    <col min="14" max="14" width="21.42578125" style="407" hidden="1" customWidth="1"/>
    <col min="15" max="18" width="9.140625" style="407" hidden="1" customWidth="1"/>
    <col min="19" max="19" width="19.140625" style="407" hidden="1" customWidth="1"/>
    <col min="20" max="20" width="15.5703125" style="836" customWidth="1"/>
    <col min="21" max="22" width="19.5703125" style="407" customWidth="1"/>
    <col min="23" max="23" width="16.7109375" style="407" hidden="1" customWidth="1"/>
    <col min="24" max="24" width="13.5703125" style="407" customWidth="1"/>
    <col min="25" max="16384" width="9.140625" style="407"/>
  </cols>
  <sheetData>
    <row r="1" spans="1:24" s="550" customFormat="1" ht="15.75" x14ac:dyDescent="0.25">
      <c r="A1" s="757" t="s">
        <v>1375</v>
      </c>
      <c r="B1" s="758" t="s">
        <v>1365</v>
      </c>
      <c r="C1" s="759"/>
      <c r="D1" s="759"/>
      <c r="E1" s="759"/>
      <c r="F1" s="759" t="s">
        <v>1366</v>
      </c>
      <c r="G1" s="759"/>
      <c r="H1" s="760"/>
      <c r="I1" s="760"/>
      <c r="J1" s="756" t="s">
        <v>1376</v>
      </c>
      <c r="K1" s="756"/>
      <c r="L1" s="756"/>
      <c r="M1" s="756"/>
      <c r="N1" s="756" t="s">
        <v>1377</v>
      </c>
      <c r="O1" s="756"/>
      <c r="P1" s="756"/>
      <c r="Q1" s="756"/>
      <c r="R1" s="756"/>
      <c r="S1" s="756" t="s">
        <v>1377</v>
      </c>
      <c r="T1" s="756" t="s">
        <v>1366</v>
      </c>
      <c r="U1" s="756" t="s">
        <v>1376</v>
      </c>
      <c r="V1" s="756" t="s">
        <v>1376</v>
      </c>
      <c r="W1" s="756" t="s">
        <v>1376</v>
      </c>
    </row>
    <row r="2" spans="1:24" ht="45" x14ac:dyDescent="0.2">
      <c r="A2" s="589" t="s">
        <v>305</v>
      </c>
      <c r="B2" s="595" t="s">
        <v>306</v>
      </c>
      <c r="C2" s="906" t="s">
        <v>1279</v>
      </c>
      <c r="D2" s="907"/>
      <c r="E2" s="907"/>
      <c r="F2" s="907"/>
      <c r="G2" s="906" t="s">
        <v>1391</v>
      </c>
      <c r="H2" s="907"/>
      <c r="I2" s="907"/>
      <c r="J2" s="907"/>
      <c r="K2" s="906" t="s">
        <v>1392</v>
      </c>
      <c r="L2" s="907"/>
      <c r="M2" s="907"/>
      <c r="N2" s="907"/>
      <c r="O2" s="906" t="s">
        <v>1246</v>
      </c>
      <c r="P2" s="907"/>
      <c r="Q2" s="907"/>
      <c r="R2" s="907"/>
      <c r="S2" s="719" t="s">
        <v>1374</v>
      </c>
      <c r="T2" s="854" t="s">
        <v>1424</v>
      </c>
      <c r="U2" s="854" t="s">
        <v>1452</v>
      </c>
      <c r="V2" s="854" t="s">
        <v>1444</v>
      </c>
      <c r="W2" s="854" t="s">
        <v>1456</v>
      </c>
    </row>
    <row r="3" spans="1:24" x14ac:dyDescent="0.2">
      <c r="A3" s="456" t="s">
        <v>309</v>
      </c>
      <c r="B3" s="592" t="s">
        <v>965</v>
      </c>
      <c r="C3" s="593"/>
      <c r="D3" s="594"/>
      <c r="E3" s="594"/>
      <c r="F3" s="610">
        <f t="shared" ref="F3:M3" si="0">SUM(F4:F21)</f>
        <v>4446715</v>
      </c>
      <c r="G3" s="610">
        <f t="shared" si="0"/>
        <v>4446715</v>
      </c>
      <c r="H3" s="610">
        <f t="shared" si="0"/>
        <v>4446715</v>
      </c>
      <c r="I3" s="610">
        <f t="shared" si="0"/>
        <v>4446715</v>
      </c>
      <c r="J3" s="610">
        <f t="shared" si="0"/>
        <v>3455334</v>
      </c>
      <c r="K3" s="610">
        <f t="shared" si="0"/>
        <v>4327097</v>
      </c>
      <c r="L3" s="610">
        <f t="shared" si="0"/>
        <v>4327097</v>
      </c>
      <c r="M3" s="610">
        <f t="shared" si="0"/>
        <v>4327097</v>
      </c>
      <c r="N3" s="610">
        <v>3631402</v>
      </c>
      <c r="O3" s="610">
        <f>SUM(O4:O21)</f>
        <v>4327097</v>
      </c>
      <c r="P3" s="610">
        <f>SUM(P4:P21)</f>
        <v>4327097</v>
      </c>
      <c r="Q3" s="610">
        <f>SUM(Q4:Q21)</f>
        <v>4327097</v>
      </c>
      <c r="R3" s="610">
        <f>SUM(R4:R21)</f>
        <v>4327097</v>
      </c>
      <c r="S3" s="610">
        <f>SUM(S4:S21)</f>
        <v>141237</v>
      </c>
      <c r="T3" s="610">
        <f>SUM(T4:T29)</f>
        <v>4745394</v>
      </c>
      <c r="U3" s="610">
        <v>4939048</v>
      </c>
      <c r="V3" s="610">
        <f>SUM(V4:V28)+V29</f>
        <v>4354797</v>
      </c>
      <c r="W3" s="610">
        <v>447858</v>
      </c>
    </row>
    <row r="4" spans="1:24" ht="30" x14ac:dyDescent="0.25">
      <c r="A4" s="596" t="s">
        <v>311</v>
      </c>
      <c r="B4" s="584" t="s">
        <v>1334</v>
      </c>
      <c r="C4" s="585"/>
      <c r="D4" s="585"/>
      <c r="E4" s="585"/>
      <c r="F4" s="597">
        <v>29809</v>
      </c>
      <c r="G4" s="597">
        <v>29809</v>
      </c>
      <c r="H4" s="597">
        <v>29809</v>
      </c>
      <c r="I4" s="597">
        <v>29809</v>
      </c>
      <c r="J4" s="597">
        <v>29809</v>
      </c>
      <c r="K4" s="597">
        <v>29809</v>
      </c>
      <c r="L4" s="597">
        <v>29809</v>
      </c>
      <c r="M4" s="597">
        <v>29809</v>
      </c>
      <c r="N4" s="781">
        <v>25333</v>
      </c>
      <c r="O4" s="597">
        <v>29809</v>
      </c>
      <c r="P4" s="597">
        <v>29809</v>
      </c>
      <c r="Q4" s="597">
        <v>29809</v>
      </c>
      <c r="R4" s="597">
        <v>29809</v>
      </c>
      <c r="S4" s="735" t="s">
        <v>1373</v>
      </c>
      <c r="T4" s="781">
        <v>9634</v>
      </c>
      <c r="U4" s="781">
        <v>9634</v>
      </c>
      <c r="V4" s="781">
        <v>9634</v>
      </c>
      <c r="W4" s="781">
        <v>2542</v>
      </c>
      <c r="X4" s="893"/>
    </row>
    <row r="5" spans="1:24" ht="30" x14ac:dyDescent="0.25">
      <c r="A5" s="596" t="s">
        <v>322</v>
      </c>
      <c r="B5" s="584" t="s">
        <v>1335</v>
      </c>
      <c r="C5" s="585"/>
      <c r="D5" s="585"/>
      <c r="E5" s="585"/>
      <c r="F5" s="597">
        <v>249613</v>
      </c>
      <c r="G5" s="597">
        <v>249613</v>
      </c>
      <c r="H5" s="597">
        <v>249613</v>
      </c>
      <c r="I5" s="597">
        <v>249613</v>
      </c>
      <c r="J5" s="597">
        <v>94084</v>
      </c>
      <c r="K5" s="597">
        <v>249613</v>
      </c>
      <c r="L5" s="597">
        <v>249613</v>
      </c>
      <c r="M5" s="597">
        <v>249613</v>
      </c>
      <c r="N5" s="781">
        <v>96525</v>
      </c>
      <c r="O5" s="597">
        <v>249613</v>
      </c>
      <c r="P5" s="597">
        <v>249613</v>
      </c>
      <c r="Q5" s="597">
        <v>249613</v>
      </c>
      <c r="R5" s="597">
        <v>249613</v>
      </c>
      <c r="S5" s="735" t="s">
        <v>1373</v>
      </c>
      <c r="T5" s="781">
        <v>246306</v>
      </c>
      <c r="U5" s="781">
        <v>246306</v>
      </c>
      <c r="V5" s="781">
        <v>70772</v>
      </c>
      <c r="W5" s="781">
        <v>91947</v>
      </c>
    </row>
    <row r="6" spans="1:24" ht="15.75" x14ac:dyDescent="0.25">
      <c r="A6" s="596" t="s">
        <v>315</v>
      </c>
      <c r="B6" s="584" t="s">
        <v>1336</v>
      </c>
      <c r="C6" s="585"/>
      <c r="D6" s="585"/>
      <c r="E6" s="585"/>
      <c r="F6" s="597">
        <v>386174</v>
      </c>
      <c r="G6" s="597">
        <v>386174</v>
      </c>
      <c r="H6" s="597">
        <v>386174</v>
      </c>
      <c r="I6" s="597">
        <v>386174</v>
      </c>
      <c r="J6" s="597">
        <v>386174</v>
      </c>
      <c r="K6" s="597">
        <v>386174</v>
      </c>
      <c r="L6" s="597">
        <v>386174</v>
      </c>
      <c r="M6" s="597">
        <v>386174</v>
      </c>
      <c r="N6" s="781">
        <v>383774</v>
      </c>
      <c r="O6" s="597">
        <v>386174</v>
      </c>
      <c r="P6" s="597">
        <v>386174</v>
      </c>
      <c r="Q6" s="597">
        <v>386174</v>
      </c>
      <c r="R6" s="597">
        <v>386174</v>
      </c>
      <c r="S6" s="597">
        <v>20970</v>
      </c>
      <c r="T6" s="781">
        <v>360000</v>
      </c>
      <c r="U6" s="781">
        <v>360000</v>
      </c>
      <c r="V6" s="781">
        <v>360000</v>
      </c>
      <c r="W6" s="781">
        <v>97200</v>
      </c>
    </row>
    <row r="7" spans="1:24" ht="30" x14ac:dyDescent="0.25">
      <c r="A7" s="596" t="s">
        <v>336</v>
      </c>
      <c r="B7" s="584" t="s">
        <v>1337</v>
      </c>
      <c r="C7" s="585"/>
      <c r="D7" s="585"/>
      <c r="E7" s="585"/>
      <c r="F7" s="597">
        <v>281692</v>
      </c>
      <c r="G7" s="597">
        <v>281692</v>
      </c>
      <c r="H7" s="597">
        <v>281692</v>
      </c>
      <c r="I7" s="597">
        <v>281692</v>
      </c>
      <c r="J7" s="597">
        <v>0</v>
      </c>
      <c r="K7" s="597">
        <v>281692</v>
      </c>
      <c r="L7" s="597">
        <v>281692</v>
      </c>
      <c r="M7" s="597">
        <v>281692</v>
      </c>
      <c r="N7" s="782"/>
      <c r="O7" s="597">
        <v>281692</v>
      </c>
      <c r="P7" s="597">
        <v>281692</v>
      </c>
      <c r="Q7" s="597">
        <v>281692</v>
      </c>
      <c r="R7" s="597">
        <v>281692</v>
      </c>
      <c r="S7" s="735" t="s">
        <v>1373</v>
      </c>
      <c r="T7" s="782" t="s">
        <v>1435</v>
      </c>
      <c r="U7" s="782" t="s">
        <v>1435</v>
      </c>
      <c r="V7" s="781" t="s">
        <v>1463</v>
      </c>
      <c r="W7" s="781" t="s">
        <v>1466</v>
      </c>
    </row>
    <row r="8" spans="1:24" ht="45" x14ac:dyDescent="0.25">
      <c r="A8" s="596" t="s">
        <v>338</v>
      </c>
      <c r="B8" s="584" t="s">
        <v>1338</v>
      </c>
      <c r="C8" s="585"/>
      <c r="D8" s="585"/>
      <c r="E8" s="585"/>
      <c r="F8" s="597">
        <v>363922</v>
      </c>
      <c r="G8" s="597">
        <v>363922</v>
      </c>
      <c r="H8" s="597">
        <v>363922</v>
      </c>
      <c r="I8" s="597">
        <v>363922</v>
      </c>
      <c r="J8" s="597">
        <v>363922</v>
      </c>
      <c r="K8" s="597">
        <v>363922</v>
      </c>
      <c r="L8" s="597">
        <v>363922</v>
      </c>
      <c r="M8" s="597">
        <v>363922</v>
      </c>
      <c r="N8" s="781">
        <v>356585</v>
      </c>
      <c r="O8" s="597">
        <v>363922</v>
      </c>
      <c r="P8" s="597">
        <v>363922</v>
      </c>
      <c r="Q8" s="597">
        <v>363922</v>
      </c>
      <c r="R8" s="597">
        <v>363922</v>
      </c>
      <c r="S8" s="597">
        <v>41470</v>
      </c>
      <c r="T8" s="781">
        <v>168357</v>
      </c>
      <c r="U8" s="781">
        <v>168357</v>
      </c>
      <c r="V8" s="781">
        <v>168357</v>
      </c>
      <c r="W8" s="781">
        <v>41566</v>
      </c>
    </row>
    <row r="9" spans="1:24" ht="30" x14ac:dyDescent="0.25">
      <c r="A9" s="596" t="s">
        <v>552</v>
      </c>
      <c r="B9" s="584" t="s">
        <v>1339</v>
      </c>
      <c r="C9" s="585"/>
      <c r="D9" s="585"/>
      <c r="E9" s="585"/>
      <c r="F9" s="597">
        <v>46662</v>
      </c>
      <c r="G9" s="597">
        <v>46662</v>
      </c>
      <c r="H9" s="597">
        <v>46662</v>
      </c>
      <c r="I9" s="597">
        <v>46662</v>
      </c>
      <c r="J9" s="597">
        <v>46662</v>
      </c>
      <c r="K9" s="597">
        <v>46662</v>
      </c>
      <c r="L9" s="597">
        <v>46662</v>
      </c>
      <c r="M9" s="597">
        <v>46662</v>
      </c>
      <c r="N9" s="781">
        <v>45802</v>
      </c>
      <c r="O9" s="597">
        <v>46662</v>
      </c>
      <c r="P9" s="597">
        <v>46662</v>
      </c>
      <c r="Q9" s="597">
        <v>46662</v>
      </c>
      <c r="R9" s="597">
        <v>46662</v>
      </c>
      <c r="S9" s="597">
        <v>12042</v>
      </c>
      <c r="T9" s="781">
        <v>8508</v>
      </c>
      <c r="U9" s="781">
        <v>8508</v>
      </c>
      <c r="V9" s="781">
        <v>8508</v>
      </c>
      <c r="W9" s="781">
        <v>0</v>
      </c>
    </row>
    <row r="10" spans="1:24" ht="45" x14ac:dyDescent="0.25">
      <c r="A10" s="596" t="s">
        <v>554</v>
      </c>
      <c r="B10" s="584" t="s">
        <v>1340</v>
      </c>
      <c r="C10" s="585"/>
      <c r="D10" s="585"/>
      <c r="E10" s="585"/>
      <c r="F10" s="597">
        <v>293942</v>
      </c>
      <c r="G10" s="597">
        <v>293942</v>
      </c>
      <c r="H10" s="597">
        <v>293942</v>
      </c>
      <c r="I10" s="597">
        <v>293942</v>
      </c>
      <c r="J10" s="597">
        <v>287213</v>
      </c>
      <c r="K10" s="597">
        <v>293942</v>
      </c>
      <c r="L10" s="597">
        <v>293942</v>
      </c>
      <c r="M10" s="597">
        <v>293942</v>
      </c>
      <c r="N10" s="781">
        <f>288995-5080</f>
        <v>283915</v>
      </c>
      <c r="O10" s="597">
        <v>293942</v>
      </c>
      <c r="P10" s="597">
        <v>293942</v>
      </c>
      <c r="Q10" s="597">
        <v>293942</v>
      </c>
      <c r="R10" s="597">
        <v>293942</v>
      </c>
      <c r="S10" s="735" t="s">
        <v>1373</v>
      </c>
      <c r="T10" s="781">
        <v>276736</v>
      </c>
      <c r="U10" s="781">
        <v>276736</v>
      </c>
      <c r="V10" s="781">
        <v>276736</v>
      </c>
      <c r="W10" s="781">
        <v>49374</v>
      </c>
    </row>
    <row r="11" spans="1:24" ht="15.75" x14ac:dyDescent="0.25">
      <c r="A11" s="596" t="s">
        <v>556</v>
      </c>
      <c r="B11" s="584" t="s">
        <v>1341</v>
      </c>
      <c r="C11" s="585"/>
      <c r="D11" s="585"/>
      <c r="E11" s="585"/>
      <c r="F11" s="597">
        <v>437865</v>
      </c>
      <c r="G11" s="597">
        <v>437865</v>
      </c>
      <c r="H11" s="597">
        <v>437865</v>
      </c>
      <c r="I11" s="597">
        <v>437865</v>
      </c>
      <c r="J11" s="597">
        <v>204147</v>
      </c>
      <c r="K11" s="597">
        <v>437865</v>
      </c>
      <c r="L11" s="597">
        <v>437865</v>
      </c>
      <c r="M11" s="597">
        <v>437865</v>
      </c>
      <c r="N11" s="781">
        <v>13157</v>
      </c>
      <c r="O11" s="597">
        <v>437865</v>
      </c>
      <c r="P11" s="597">
        <v>437865</v>
      </c>
      <c r="Q11" s="597">
        <v>437865</v>
      </c>
      <c r="R11" s="597">
        <v>437865</v>
      </c>
      <c r="S11" s="597">
        <v>14054</v>
      </c>
      <c r="T11" s="781">
        <v>345366</v>
      </c>
      <c r="U11" s="781">
        <v>345366</v>
      </c>
      <c r="V11" s="781">
        <v>256817</v>
      </c>
      <c r="W11" s="781">
        <v>6530</v>
      </c>
    </row>
    <row r="12" spans="1:24" ht="30" x14ac:dyDescent="0.25">
      <c r="A12" s="596" t="s">
        <v>558</v>
      </c>
      <c r="B12" s="584" t="s">
        <v>1342</v>
      </c>
      <c r="C12" s="585"/>
      <c r="D12" s="585"/>
      <c r="E12" s="585"/>
      <c r="F12" s="597">
        <v>420602</v>
      </c>
      <c r="G12" s="597">
        <v>420602</v>
      </c>
      <c r="H12" s="597">
        <v>420602</v>
      </c>
      <c r="I12" s="597">
        <v>420602</v>
      </c>
      <c r="J12" s="597">
        <v>420602</v>
      </c>
      <c r="K12" s="597">
        <v>420602</v>
      </c>
      <c r="L12" s="597">
        <v>420602</v>
      </c>
      <c r="M12" s="597">
        <v>420602</v>
      </c>
      <c r="N12" s="781">
        <v>389730</v>
      </c>
      <c r="O12" s="597">
        <v>420602</v>
      </c>
      <c r="P12" s="597">
        <v>420602</v>
      </c>
      <c r="Q12" s="597">
        <v>420602</v>
      </c>
      <c r="R12" s="597">
        <v>420602</v>
      </c>
      <c r="S12" s="597">
        <v>46502</v>
      </c>
      <c r="T12" s="781">
        <v>190000</v>
      </c>
      <c r="U12" s="781">
        <v>190000</v>
      </c>
      <c r="V12" s="781">
        <v>190000</v>
      </c>
      <c r="W12" s="781">
        <v>34930</v>
      </c>
    </row>
    <row r="13" spans="1:24" ht="30" x14ac:dyDescent="0.25">
      <c r="A13" s="596" t="s">
        <v>559</v>
      </c>
      <c r="B13" s="584" t="s">
        <v>1343</v>
      </c>
      <c r="C13" s="585"/>
      <c r="D13" s="585"/>
      <c r="E13" s="585"/>
      <c r="F13" s="597">
        <v>96008</v>
      </c>
      <c r="G13" s="597">
        <v>96008</v>
      </c>
      <c r="H13" s="597">
        <v>96008</v>
      </c>
      <c r="I13" s="597">
        <v>96008</v>
      </c>
      <c r="J13" s="597">
        <v>96008</v>
      </c>
      <c r="K13" s="597">
        <v>96008</v>
      </c>
      <c r="L13" s="597">
        <v>96008</v>
      </c>
      <c r="M13" s="597">
        <v>96008</v>
      </c>
      <c r="N13" s="781">
        <v>85577</v>
      </c>
      <c r="O13" s="597">
        <v>96008</v>
      </c>
      <c r="P13" s="597">
        <v>96008</v>
      </c>
      <c r="Q13" s="597">
        <v>96008</v>
      </c>
      <c r="R13" s="597">
        <v>96008</v>
      </c>
      <c r="S13" s="597">
        <v>6199</v>
      </c>
      <c r="T13" s="781">
        <v>20250</v>
      </c>
      <c r="U13" s="781">
        <v>20250</v>
      </c>
      <c r="V13" s="781">
        <v>20250</v>
      </c>
      <c r="W13" s="781">
        <v>11309</v>
      </c>
    </row>
    <row r="14" spans="1:24" ht="30" x14ac:dyDescent="0.25">
      <c r="A14" s="596" t="s">
        <v>561</v>
      </c>
      <c r="B14" s="584" t="s">
        <v>1344</v>
      </c>
      <c r="C14" s="585"/>
      <c r="D14" s="585"/>
      <c r="E14" s="585"/>
      <c r="F14" s="597">
        <v>123777</v>
      </c>
      <c r="G14" s="597">
        <v>123777</v>
      </c>
      <c r="H14" s="597">
        <v>123777</v>
      </c>
      <c r="I14" s="597">
        <v>123777</v>
      </c>
      <c r="J14" s="597">
        <v>89905</v>
      </c>
      <c r="K14" s="597">
        <v>123777</v>
      </c>
      <c r="L14" s="597">
        <v>123777</v>
      </c>
      <c r="M14" s="597">
        <v>123777</v>
      </c>
      <c r="N14" s="781">
        <v>28479</v>
      </c>
      <c r="O14" s="597">
        <v>123777</v>
      </c>
      <c r="P14" s="597">
        <v>123777</v>
      </c>
      <c r="Q14" s="597">
        <v>123777</v>
      </c>
      <c r="R14" s="597">
        <v>123777</v>
      </c>
      <c r="S14" s="735" t="s">
        <v>1373</v>
      </c>
      <c r="T14" s="781">
        <v>11106</v>
      </c>
      <c r="U14" s="781">
        <v>11106</v>
      </c>
      <c r="V14" s="781">
        <v>11106</v>
      </c>
      <c r="W14" s="781">
        <v>11322</v>
      </c>
    </row>
    <row r="15" spans="1:24" ht="30" x14ac:dyDescent="0.25">
      <c r="A15" s="596" t="s">
        <v>562</v>
      </c>
      <c r="B15" s="586" t="s">
        <v>1345</v>
      </c>
      <c r="C15" s="585"/>
      <c r="D15" s="585"/>
      <c r="E15" s="585"/>
      <c r="F15" s="597">
        <v>185359</v>
      </c>
      <c r="G15" s="597">
        <v>185359</v>
      </c>
      <c r="H15" s="597">
        <v>185359</v>
      </c>
      <c r="I15" s="597">
        <v>185359</v>
      </c>
      <c r="J15" s="597">
        <v>0</v>
      </c>
      <c r="K15" s="597">
        <v>185359</v>
      </c>
      <c r="L15" s="597">
        <v>185359</v>
      </c>
      <c r="M15" s="597">
        <v>185359</v>
      </c>
      <c r="N15" s="782" t="s">
        <v>1373</v>
      </c>
      <c r="O15" s="597">
        <v>185359</v>
      </c>
      <c r="P15" s="597">
        <v>185359</v>
      </c>
      <c r="Q15" s="597">
        <v>185359</v>
      </c>
      <c r="R15" s="597">
        <v>185359</v>
      </c>
      <c r="S15" s="735" t="s">
        <v>1373</v>
      </c>
      <c r="T15" s="782" t="s">
        <v>1436</v>
      </c>
      <c r="U15" s="782" t="s">
        <v>1436</v>
      </c>
      <c r="V15" s="782" t="s">
        <v>1436</v>
      </c>
      <c r="W15" s="781" t="s">
        <v>1373</v>
      </c>
    </row>
    <row r="16" spans="1:24" ht="15.75" x14ac:dyDescent="0.25">
      <c r="A16" s="596" t="s">
        <v>563</v>
      </c>
      <c r="B16" s="586" t="s">
        <v>1346</v>
      </c>
      <c r="C16" s="585"/>
      <c r="D16" s="585"/>
      <c r="E16" s="585"/>
      <c r="F16" s="597">
        <v>305038</v>
      </c>
      <c r="G16" s="597">
        <v>305038</v>
      </c>
      <c r="H16" s="597">
        <v>305038</v>
      </c>
      <c r="I16" s="597">
        <v>305038</v>
      </c>
      <c r="J16" s="597">
        <v>212712</v>
      </c>
      <c r="K16" s="597">
        <v>305038</v>
      </c>
      <c r="L16" s="597">
        <v>305038</v>
      </c>
      <c r="M16" s="597">
        <v>305038</v>
      </c>
      <c r="N16" s="782" t="s">
        <v>1373</v>
      </c>
      <c r="O16" s="597">
        <v>305038</v>
      </c>
      <c r="P16" s="597">
        <v>305038</v>
      </c>
      <c r="Q16" s="597">
        <v>305038</v>
      </c>
      <c r="R16" s="597">
        <v>305038</v>
      </c>
      <c r="S16" s="735" t="s">
        <v>1373</v>
      </c>
      <c r="T16" s="782" t="s">
        <v>1437</v>
      </c>
      <c r="U16" s="782" t="s">
        <v>1437</v>
      </c>
      <c r="V16" s="782" t="s">
        <v>1437</v>
      </c>
      <c r="W16" s="781">
        <v>0</v>
      </c>
    </row>
    <row r="17" spans="1:23" ht="15.75" x14ac:dyDescent="0.25">
      <c r="A17" s="596" t="s">
        <v>564</v>
      </c>
      <c r="B17" s="586" t="s">
        <v>1347</v>
      </c>
      <c r="C17" s="585"/>
      <c r="D17" s="585"/>
      <c r="E17" s="585"/>
      <c r="F17" s="597">
        <v>108362</v>
      </c>
      <c r="G17" s="597">
        <v>108362</v>
      </c>
      <c r="H17" s="597">
        <v>108362</v>
      </c>
      <c r="I17" s="597">
        <v>108362</v>
      </c>
      <c r="J17" s="597">
        <v>108362</v>
      </c>
      <c r="K17" s="597">
        <v>108362</v>
      </c>
      <c r="L17" s="597">
        <v>108362</v>
      </c>
      <c r="M17" s="597">
        <v>108362</v>
      </c>
      <c r="N17" s="782" t="s">
        <v>1373</v>
      </c>
      <c r="O17" s="597">
        <v>108362</v>
      </c>
      <c r="P17" s="597">
        <v>108362</v>
      </c>
      <c r="Q17" s="597">
        <v>108362</v>
      </c>
      <c r="R17" s="597">
        <v>108362</v>
      </c>
      <c r="S17" s="735" t="s">
        <v>1373</v>
      </c>
      <c r="T17" s="782" t="s">
        <v>1438</v>
      </c>
      <c r="U17" s="782" t="s">
        <v>1438</v>
      </c>
      <c r="V17" s="782" t="s">
        <v>1438</v>
      </c>
      <c r="W17" s="781" t="s">
        <v>1373</v>
      </c>
    </row>
    <row r="18" spans="1:23" ht="15.75" x14ac:dyDescent="0.25">
      <c r="A18" s="596" t="s">
        <v>565</v>
      </c>
      <c r="B18" s="783" t="s">
        <v>1404</v>
      </c>
      <c r="C18" s="585"/>
      <c r="D18" s="585"/>
      <c r="E18" s="585"/>
      <c r="F18" s="597"/>
      <c r="G18" s="597"/>
      <c r="H18" s="597"/>
      <c r="I18" s="597"/>
      <c r="J18" s="597"/>
      <c r="K18" s="597"/>
      <c r="L18" s="597"/>
      <c r="M18" s="597"/>
      <c r="N18" s="781">
        <v>341380</v>
      </c>
      <c r="O18" s="597"/>
      <c r="P18" s="597"/>
      <c r="Q18" s="597"/>
      <c r="R18" s="597"/>
      <c r="S18" s="735"/>
      <c r="T18" s="781">
        <v>250000</v>
      </c>
      <c r="U18" s="781">
        <v>250000</v>
      </c>
      <c r="V18" s="781">
        <v>250000</v>
      </c>
      <c r="W18" s="781">
        <v>35696</v>
      </c>
    </row>
    <row r="19" spans="1:23" ht="30" x14ac:dyDescent="0.25">
      <c r="A19" s="596" t="s">
        <v>700</v>
      </c>
      <c r="B19" s="587" t="s">
        <v>1348</v>
      </c>
      <c r="C19" s="585"/>
      <c r="D19" s="585"/>
      <c r="E19" s="585"/>
      <c r="F19" s="597">
        <v>499698</v>
      </c>
      <c r="G19" s="597">
        <v>499698</v>
      </c>
      <c r="H19" s="597">
        <v>499698</v>
      </c>
      <c r="I19" s="597">
        <v>499698</v>
      </c>
      <c r="J19" s="597">
        <v>498768</v>
      </c>
      <c r="K19" s="597">
        <v>499698</v>
      </c>
      <c r="L19" s="597">
        <v>499698</v>
      </c>
      <c r="M19" s="597">
        <v>499698</v>
      </c>
      <c r="N19" s="781">
        <v>623014</v>
      </c>
      <c r="O19" s="597">
        <v>499698</v>
      </c>
      <c r="P19" s="597">
        <v>499698</v>
      </c>
      <c r="Q19" s="597">
        <v>499698</v>
      </c>
      <c r="R19" s="597">
        <v>499698</v>
      </c>
      <c r="S19" s="735" t="s">
        <v>1373</v>
      </c>
      <c r="T19" s="781">
        <v>134991</v>
      </c>
      <c r="U19" s="781">
        <v>134991</v>
      </c>
      <c r="V19" s="781">
        <v>134991</v>
      </c>
      <c r="W19" s="781">
        <v>19650</v>
      </c>
    </row>
    <row r="20" spans="1:23" ht="30" x14ac:dyDescent="0.25">
      <c r="A20" s="596" t="s">
        <v>701</v>
      </c>
      <c r="B20" s="587" t="s">
        <v>1349</v>
      </c>
      <c r="C20" s="585"/>
      <c r="D20" s="585"/>
      <c r="E20" s="585"/>
      <c r="F20" s="597">
        <v>498574</v>
      </c>
      <c r="G20" s="597">
        <v>498574</v>
      </c>
      <c r="H20" s="597">
        <v>498574</v>
      </c>
      <c r="I20" s="597">
        <v>498574</v>
      </c>
      <c r="J20" s="597">
        <v>497677</v>
      </c>
      <c r="K20" s="597">
        <v>498574</v>
      </c>
      <c r="L20" s="597">
        <v>498574</v>
      </c>
      <c r="M20" s="597">
        <v>498574</v>
      </c>
      <c r="N20" s="781">
        <v>674157</v>
      </c>
      <c r="O20" s="597">
        <v>498574</v>
      </c>
      <c r="P20" s="597">
        <v>498574</v>
      </c>
      <c r="Q20" s="597">
        <v>498574</v>
      </c>
      <c r="R20" s="597">
        <v>498574</v>
      </c>
      <c r="S20" s="735" t="s">
        <v>1373</v>
      </c>
      <c r="T20" s="781">
        <v>144678</v>
      </c>
      <c r="U20" s="781">
        <v>144678</v>
      </c>
      <c r="V20" s="781">
        <v>144678</v>
      </c>
      <c r="W20" s="781">
        <v>21856</v>
      </c>
    </row>
    <row r="21" spans="1:23" ht="15.75" x14ac:dyDescent="0.25">
      <c r="A21" s="596" t="s">
        <v>703</v>
      </c>
      <c r="B21" s="587" t="s">
        <v>1350</v>
      </c>
      <c r="C21" s="585"/>
      <c r="D21" s="585"/>
      <c r="E21" s="585"/>
      <c r="F21" s="597">
        <v>119618</v>
      </c>
      <c r="G21" s="597">
        <v>119618</v>
      </c>
      <c r="H21" s="597">
        <v>119618</v>
      </c>
      <c r="I21" s="597">
        <v>119618</v>
      </c>
      <c r="J21" s="597">
        <v>119289</v>
      </c>
      <c r="K21" s="597"/>
      <c r="L21" s="597"/>
      <c r="M21" s="597"/>
      <c r="N21" s="781">
        <v>116613</v>
      </c>
      <c r="O21" s="597"/>
      <c r="P21" s="597"/>
      <c r="Q21" s="597"/>
      <c r="R21" s="597"/>
      <c r="S21" s="735"/>
      <c r="T21" s="781">
        <v>29658</v>
      </c>
      <c r="U21" s="781">
        <v>29658</v>
      </c>
      <c r="V21" s="781">
        <v>29658</v>
      </c>
      <c r="W21" s="781">
        <v>0</v>
      </c>
    </row>
    <row r="22" spans="1:23" ht="45" x14ac:dyDescent="0.25">
      <c r="A22" s="596" t="s">
        <v>705</v>
      </c>
      <c r="B22" s="826" t="s">
        <v>1425</v>
      </c>
      <c r="C22" s="585"/>
      <c r="D22" s="585"/>
      <c r="E22" s="585"/>
      <c r="F22" s="597"/>
      <c r="G22" s="597"/>
      <c r="H22" s="597"/>
      <c r="I22" s="597"/>
      <c r="J22" s="597"/>
      <c r="K22" s="597"/>
      <c r="L22" s="597"/>
      <c r="M22" s="597"/>
      <c r="N22" s="781"/>
      <c r="O22" s="597"/>
      <c r="P22" s="597"/>
      <c r="Q22" s="597"/>
      <c r="R22" s="597"/>
      <c r="S22" s="735"/>
      <c r="T22" s="837">
        <v>641506</v>
      </c>
      <c r="U22" s="837">
        <v>641506</v>
      </c>
      <c r="V22" s="837">
        <v>641506</v>
      </c>
      <c r="W22" s="837">
        <v>0</v>
      </c>
    </row>
    <row r="23" spans="1:23" ht="45" x14ac:dyDescent="0.25">
      <c r="A23" s="596" t="s">
        <v>706</v>
      </c>
      <c r="B23" s="826" t="s">
        <v>1426</v>
      </c>
      <c r="C23" s="585"/>
      <c r="D23" s="585"/>
      <c r="E23" s="585"/>
      <c r="F23" s="597"/>
      <c r="G23" s="597"/>
      <c r="H23" s="597"/>
      <c r="I23" s="597"/>
      <c r="J23" s="597"/>
      <c r="K23" s="597"/>
      <c r="L23" s="597"/>
      <c r="M23" s="597"/>
      <c r="N23" s="781"/>
      <c r="O23" s="597"/>
      <c r="P23" s="597"/>
      <c r="Q23" s="597"/>
      <c r="R23" s="597"/>
      <c r="S23" s="735"/>
      <c r="T23" s="837">
        <v>1366573</v>
      </c>
      <c r="U23" s="837">
        <v>1240059</v>
      </c>
      <c r="V23" s="837">
        <v>1240059</v>
      </c>
      <c r="W23" s="837">
        <v>0</v>
      </c>
    </row>
    <row r="24" spans="1:23" ht="45" x14ac:dyDescent="0.25">
      <c r="A24" s="596" t="s">
        <v>708</v>
      </c>
      <c r="B24" s="238" t="s">
        <v>1427</v>
      </c>
      <c r="C24" s="585"/>
      <c r="D24" s="585"/>
      <c r="E24" s="585"/>
      <c r="F24" s="597"/>
      <c r="G24" s="597"/>
      <c r="H24" s="597"/>
      <c r="I24" s="597"/>
      <c r="J24" s="597"/>
      <c r="K24" s="597"/>
      <c r="L24" s="597"/>
      <c r="M24" s="597"/>
      <c r="N24" s="781"/>
      <c r="O24" s="597"/>
      <c r="P24" s="597"/>
      <c r="Q24" s="597"/>
      <c r="R24" s="597"/>
      <c r="S24" s="735"/>
      <c r="T24" s="837">
        <v>69018</v>
      </c>
      <c r="U24" s="837">
        <v>69018</v>
      </c>
      <c r="V24" s="837">
        <v>69018</v>
      </c>
      <c r="W24" s="837">
        <v>0</v>
      </c>
    </row>
    <row r="25" spans="1:23" ht="30" x14ac:dyDescent="0.25">
      <c r="A25" s="596" t="s">
        <v>710</v>
      </c>
      <c r="B25" s="238" t="s">
        <v>1428</v>
      </c>
      <c r="C25" s="585"/>
      <c r="D25" s="585"/>
      <c r="E25" s="585"/>
      <c r="F25" s="597"/>
      <c r="G25" s="597"/>
      <c r="H25" s="597"/>
      <c r="I25" s="597"/>
      <c r="J25" s="597"/>
      <c r="K25" s="597"/>
      <c r="L25" s="597"/>
      <c r="M25" s="597"/>
      <c r="N25" s="781"/>
      <c r="O25" s="597"/>
      <c r="P25" s="597"/>
      <c r="Q25" s="597"/>
      <c r="R25" s="597"/>
      <c r="S25" s="735"/>
      <c r="T25" s="837">
        <v>17457</v>
      </c>
      <c r="U25" s="837">
        <v>17457</v>
      </c>
      <c r="V25" s="837">
        <v>17457</v>
      </c>
      <c r="W25" s="837">
        <v>0</v>
      </c>
    </row>
    <row r="26" spans="1:23" ht="45" x14ac:dyDescent="0.25">
      <c r="A26" s="596" t="s">
        <v>712</v>
      </c>
      <c r="B26" s="238" t="s">
        <v>1429</v>
      </c>
      <c r="C26" s="585"/>
      <c r="D26" s="585"/>
      <c r="E26" s="585"/>
      <c r="F26" s="597"/>
      <c r="G26" s="597"/>
      <c r="H26" s="597"/>
      <c r="I26" s="597"/>
      <c r="J26" s="597"/>
      <c r="K26" s="597"/>
      <c r="L26" s="597"/>
      <c r="M26" s="597"/>
      <c r="N26" s="781"/>
      <c r="O26" s="597"/>
      <c r="P26" s="597"/>
      <c r="Q26" s="597"/>
      <c r="R26" s="597"/>
      <c r="S26" s="735"/>
      <c r="T26" s="837">
        <v>72226</v>
      </c>
      <c r="U26" s="837">
        <v>72226</v>
      </c>
      <c r="V26" s="837">
        <v>72226</v>
      </c>
      <c r="W26" s="837">
        <v>0</v>
      </c>
    </row>
    <row r="27" spans="1:23" ht="30" x14ac:dyDescent="0.25">
      <c r="A27" s="596" t="s">
        <v>714</v>
      </c>
      <c r="B27" s="827" t="s">
        <v>1430</v>
      </c>
      <c r="C27" s="585"/>
      <c r="D27" s="585"/>
      <c r="E27" s="585"/>
      <c r="F27" s="597"/>
      <c r="G27" s="597"/>
      <c r="H27" s="597"/>
      <c r="I27" s="597"/>
      <c r="J27" s="597"/>
      <c r="K27" s="597"/>
      <c r="L27" s="597"/>
      <c r="M27" s="597"/>
      <c r="N27" s="781"/>
      <c r="O27" s="597"/>
      <c r="P27" s="597"/>
      <c r="Q27" s="597"/>
      <c r="R27" s="597"/>
      <c r="S27" s="735"/>
      <c r="T27" s="837">
        <v>50750</v>
      </c>
      <c r="U27" s="837">
        <v>50750</v>
      </c>
      <c r="V27" s="837">
        <v>50750</v>
      </c>
      <c r="W27" s="837">
        <v>0</v>
      </c>
    </row>
    <row r="28" spans="1:23" ht="30" x14ac:dyDescent="0.25">
      <c r="A28" s="596" t="s">
        <v>716</v>
      </c>
      <c r="B28" s="827" t="s">
        <v>1433</v>
      </c>
      <c r="C28" s="585"/>
      <c r="D28" s="585"/>
      <c r="E28" s="585"/>
      <c r="F28" s="597"/>
      <c r="G28" s="597"/>
      <c r="H28" s="597"/>
      <c r="I28" s="597"/>
      <c r="J28" s="597"/>
      <c r="K28" s="597"/>
      <c r="L28" s="597"/>
      <c r="M28" s="597"/>
      <c r="N28" s="781"/>
      <c r="O28" s="597"/>
      <c r="P28" s="597"/>
      <c r="Q28" s="597"/>
      <c r="R28" s="597"/>
      <c r="S28" s="735"/>
      <c r="T28" s="838">
        <v>277274</v>
      </c>
      <c r="U28" s="838">
        <v>277274</v>
      </c>
      <c r="V28" s="838">
        <v>277274</v>
      </c>
      <c r="W28" s="838">
        <v>0</v>
      </c>
    </row>
    <row r="29" spans="1:23" ht="15.75" x14ac:dyDescent="0.25">
      <c r="A29" s="611" t="s">
        <v>318</v>
      </c>
      <c r="B29" s="612" t="s">
        <v>1351</v>
      </c>
      <c r="C29" s="603"/>
      <c r="D29" s="603"/>
      <c r="E29" s="603"/>
      <c r="F29" s="608">
        <f t="shared" ref="F29:R29" si="1">SUM(F30:F33)</f>
        <v>80000</v>
      </c>
      <c r="G29" s="608">
        <f t="shared" si="1"/>
        <v>80000</v>
      </c>
      <c r="H29" s="608">
        <f t="shared" si="1"/>
        <v>80000</v>
      </c>
      <c r="I29" s="608">
        <f t="shared" si="1"/>
        <v>80000</v>
      </c>
      <c r="J29" s="608">
        <f t="shared" si="1"/>
        <v>80000</v>
      </c>
      <c r="K29" s="608">
        <f t="shared" si="1"/>
        <v>80000</v>
      </c>
      <c r="L29" s="608">
        <f t="shared" si="1"/>
        <v>80000</v>
      </c>
      <c r="M29" s="608">
        <f t="shared" si="1"/>
        <v>80000</v>
      </c>
      <c r="N29" s="608">
        <f t="shared" si="1"/>
        <v>80000</v>
      </c>
      <c r="O29" s="608">
        <f t="shared" si="1"/>
        <v>80000</v>
      </c>
      <c r="P29" s="608">
        <f t="shared" si="1"/>
        <v>80000</v>
      </c>
      <c r="Q29" s="608">
        <f t="shared" si="1"/>
        <v>80000</v>
      </c>
      <c r="R29" s="608">
        <f t="shared" si="1"/>
        <v>80000</v>
      </c>
      <c r="S29" s="608">
        <f>SUM(S30:S33)</f>
        <v>11972</v>
      </c>
      <c r="T29" s="830">
        <f>SUM(T30:T33)</f>
        <v>55000</v>
      </c>
      <c r="U29" s="830">
        <f>SUM(U30:U33)</f>
        <v>55000</v>
      </c>
      <c r="V29" s="830">
        <f>SUM(V30:V33)</f>
        <v>55000</v>
      </c>
      <c r="W29" s="830">
        <f>SUM(W30:W33)</f>
        <v>40917</v>
      </c>
    </row>
    <row r="30" spans="1:23" ht="15.75" x14ac:dyDescent="0.25">
      <c r="A30" s="596" t="s">
        <v>311</v>
      </c>
      <c r="B30" s="587" t="s">
        <v>1352</v>
      </c>
      <c r="C30" s="585"/>
      <c r="D30" s="585"/>
      <c r="E30" s="585"/>
      <c r="F30" s="597">
        <v>30000</v>
      </c>
      <c r="G30" s="597">
        <v>30000</v>
      </c>
      <c r="H30" s="597">
        <v>30000</v>
      </c>
      <c r="I30" s="597">
        <v>30000</v>
      </c>
      <c r="J30" s="597">
        <v>30000</v>
      </c>
      <c r="K30" s="597">
        <v>30000</v>
      </c>
      <c r="L30" s="597">
        <v>30000</v>
      </c>
      <c r="M30" s="597">
        <v>30000</v>
      </c>
      <c r="N30" s="597">
        <v>30000</v>
      </c>
      <c r="O30" s="597">
        <v>30000</v>
      </c>
      <c r="P30" s="597">
        <v>30000</v>
      </c>
      <c r="Q30" s="597">
        <v>30000</v>
      </c>
      <c r="R30" s="597">
        <v>30000</v>
      </c>
      <c r="S30" s="597">
        <v>11972</v>
      </c>
      <c r="T30" s="831">
        <v>20000</v>
      </c>
      <c r="U30" s="831">
        <v>20000</v>
      </c>
      <c r="V30" s="831">
        <v>28500</v>
      </c>
      <c r="W30" s="831">
        <v>28417</v>
      </c>
    </row>
    <row r="31" spans="1:23" ht="15.75" x14ac:dyDescent="0.25">
      <c r="A31" s="596" t="s">
        <v>322</v>
      </c>
      <c r="B31" s="587" t="s">
        <v>1353</v>
      </c>
      <c r="C31" s="585"/>
      <c r="D31" s="585"/>
      <c r="E31" s="585"/>
      <c r="F31" s="597">
        <v>15000</v>
      </c>
      <c r="G31" s="597">
        <v>15000</v>
      </c>
      <c r="H31" s="597">
        <v>15000</v>
      </c>
      <c r="I31" s="597">
        <v>15000</v>
      </c>
      <c r="J31" s="597">
        <v>15000</v>
      </c>
      <c r="K31" s="597">
        <v>15000</v>
      </c>
      <c r="L31" s="597">
        <v>15000</v>
      </c>
      <c r="M31" s="597">
        <v>15000</v>
      </c>
      <c r="N31" s="597">
        <v>15000</v>
      </c>
      <c r="O31" s="597">
        <v>15000</v>
      </c>
      <c r="P31" s="597">
        <v>15000</v>
      </c>
      <c r="Q31" s="597">
        <v>15000</v>
      </c>
      <c r="R31" s="597">
        <v>15000</v>
      </c>
      <c r="S31" s="735" t="s">
        <v>1373</v>
      </c>
      <c r="T31" s="831">
        <v>15000</v>
      </c>
      <c r="U31" s="831">
        <v>15000</v>
      </c>
      <c r="V31" s="831">
        <v>6500</v>
      </c>
      <c r="W31" s="831">
        <v>5000</v>
      </c>
    </row>
    <row r="32" spans="1:23" ht="15.75" x14ac:dyDescent="0.25">
      <c r="A32" s="596" t="s">
        <v>315</v>
      </c>
      <c r="B32" s="587" t="s">
        <v>1354</v>
      </c>
      <c r="C32" s="585"/>
      <c r="D32" s="585"/>
      <c r="E32" s="585"/>
      <c r="F32" s="597">
        <v>15000</v>
      </c>
      <c r="G32" s="597">
        <v>15000</v>
      </c>
      <c r="H32" s="597">
        <v>15000</v>
      </c>
      <c r="I32" s="597">
        <v>15000</v>
      </c>
      <c r="J32" s="597">
        <v>15000</v>
      </c>
      <c r="K32" s="597">
        <v>15000</v>
      </c>
      <c r="L32" s="597">
        <v>15000</v>
      </c>
      <c r="M32" s="597">
        <v>15000</v>
      </c>
      <c r="N32" s="597">
        <v>15000</v>
      </c>
      <c r="O32" s="597">
        <v>15000</v>
      </c>
      <c r="P32" s="597">
        <v>15000</v>
      </c>
      <c r="Q32" s="597">
        <v>15000</v>
      </c>
      <c r="R32" s="597">
        <v>15000</v>
      </c>
      <c r="S32" s="735" t="s">
        <v>1373</v>
      </c>
      <c r="T32" s="831">
        <v>15000</v>
      </c>
      <c r="U32" s="831">
        <v>15000</v>
      </c>
      <c r="V32" s="831">
        <v>15000</v>
      </c>
      <c r="W32" s="831">
        <v>7500</v>
      </c>
    </row>
    <row r="33" spans="1:23" ht="15.75" x14ac:dyDescent="0.25">
      <c r="A33" s="596">
        <v>4</v>
      </c>
      <c r="B33" s="587" t="s">
        <v>1358</v>
      </c>
      <c r="C33" s="585"/>
      <c r="D33" s="585"/>
      <c r="E33" s="585"/>
      <c r="F33" s="597">
        <v>20000</v>
      </c>
      <c r="G33" s="597">
        <v>20000</v>
      </c>
      <c r="H33" s="597">
        <v>20000</v>
      </c>
      <c r="I33" s="597">
        <v>20000</v>
      </c>
      <c r="J33" s="597">
        <v>20000</v>
      </c>
      <c r="K33" s="597">
        <v>20000</v>
      </c>
      <c r="L33" s="597">
        <v>20000</v>
      </c>
      <c r="M33" s="597">
        <v>20000</v>
      </c>
      <c r="N33" s="597">
        <v>20000</v>
      </c>
      <c r="O33" s="597">
        <v>20000</v>
      </c>
      <c r="P33" s="597">
        <v>20000</v>
      </c>
      <c r="Q33" s="597">
        <v>20000</v>
      </c>
      <c r="R33" s="597">
        <v>20000</v>
      </c>
      <c r="S33" s="735" t="s">
        <v>1373</v>
      </c>
      <c r="T33" s="831">
        <v>5000</v>
      </c>
      <c r="U33" s="831">
        <v>5000</v>
      </c>
      <c r="V33" s="831">
        <v>5000</v>
      </c>
      <c r="W33" s="831">
        <v>0</v>
      </c>
    </row>
    <row r="34" spans="1:23" ht="15.75" x14ac:dyDescent="0.25">
      <c r="A34" s="606" t="s">
        <v>328</v>
      </c>
      <c r="B34" s="603" t="s">
        <v>341</v>
      </c>
      <c r="C34" s="603"/>
      <c r="D34" s="603"/>
      <c r="E34" s="603"/>
      <c r="F34" s="608">
        <f t="shared" ref="F34:R34" si="2">F36</f>
        <v>29925</v>
      </c>
      <c r="G34" s="608">
        <f t="shared" si="2"/>
        <v>29925</v>
      </c>
      <c r="H34" s="608">
        <f t="shared" si="2"/>
        <v>29925</v>
      </c>
      <c r="I34" s="608">
        <f t="shared" si="2"/>
        <v>29925</v>
      </c>
      <c r="J34" s="608">
        <f t="shared" si="2"/>
        <v>29925</v>
      </c>
      <c r="K34" s="608">
        <f t="shared" si="2"/>
        <v>29925</v>
      </c>
      <c r="L34" s="608">
        <f t="shared" si="2"/>
        <v>29925</v>
      </c>
      <c r="M34" s="608">
        <f t="shared" si="2"/>
        <v>29925</v>
      </c>
      <c r="N34" s="608">
        <f>SUM(N36:N37)</f>
        <v>30902</v>
      </c>
      <c r="O34" s="608">
        <f t="shared" si="2"/>
        <v>29925</v>
      </c>
      <c r="P34" s="608">
        <f t="shared" si="2"/>
        <v>29925</v>
      </c>
      <c r="Q34" s="608">
        <f t="shared" si="2"/>
        <v>29925</v>
      </c>
      <c r="R34" s="608">
        <f t="shared" si="2"/>
        <v>29925</v>
      </c>
      <c r="S34" s="608">
        <f>S36</f>
        <v>5166</v>
      </c>
      <c r="T34" s="830">
        <f>SUM(T35:T38)</f>
        <v>23440</v>
      </c>
      <c r="U34" s="830">
        <f>SUM(U35:U41)</f>
        <v>40595</v>
      </c>
      <c r="V34" s="830">
        <f>SUM(V35:V41)</f>
        <v>50503</v>
      </c>
      <c r="W34" s="830">
        <f>SUM(W35:W41)</f>
        <v>9950</v>
      </c>
    </row>
    <row r="35" spans="1:23" ht="15.75" x14ac:dyDescent="0.25">
      <c r="A35" s="602" t="s">
        <v>1355</v>
      </c>
      <c r="B35" s="607" t="s">
        <v>1331</v>
      </c>
      <c r="C35" s="598"/>
      <c r="D35" s="598"/>
      <c r="E35" s="598"/>
      <c r="F35" s="598"/>
      <c r="G35" s="598"/>
      <c r="H35" s="599"/>
      <c r="I35" s="599"/>
      <c r="J35" s="600"/>
      <c r="K35" s="598"/>
      <c r="L35" s="598"/>
      <c r="M35" s="598"/>
      <c r="N35" s="598"/>
      <c r="O35" s="598"/>
      <c r="P35" s="598"/>
      <c r="Q35" s="598"/>
      <c r="R35" s="598"/>
      <c r="S35" s="736" t="s">
        <v>1373</v>
      </c>
      <c r="T35" s="832"/>
      <c r="U35" s="832"/>
      <c r="V35" s="832"/>
      <c r="W35" s="832"/>
    </row>
    <row r="36" spans="1:23" ht="15.75" x14ac:dyDescent="0.25">
      <c r="A36" s="601"/>
      <c r="B36" s="598" t="s">
        <v>1356</v>
      </c>
      <c r="C36" s="598"/>
      <c r="D36" s="598"/>
      <c r="E36" s="598"/>
      <c r="F36" s="609">
        <v>29925</v>
      </c>
      <c r="G36" s="609">
        <v>29925</v>
      </c>
      <c r="H36" s="609">
        <v>29925</v>
      </c>
      <c r="I36" s="609">
        <v>29925</v>
      </c>
      <c r="J36" s="609">
        <v>29925</v>
      </c>
      <c r="K36" s="609">
        <v>29925</v>
      </c>
      <c r="L36" s="609">
        <v>29925</v>
      </c>
      <c r="M36" s="609">
        <v>29925</v>
      </c>
      <c r="N36" s="609">
        <v>29925</v>
      </c>
      <c r="O36" s="609">
        <v>29925</v>
      </c>
      <c r="P36" s="609">
        <v>29925</v>
      </c>
      <c r="Q36" s="609">
        <v>29925</v>
      </c>
      <c r="R36" s="609">
        <v>29925</v>
      </c>
      <c r="S36" s="609">
        <v>5166</v>
      </c>
      <c r="T36" s="833">
        <v>22440</v>
      </c>
      <c r="U36" s="833">
        <v>22440</v>
      </c>
      <c r="V36" s="833">
        <v>22615</v>
      </c>
      <c r="W36" s="833">
        <v>7403</v>
      </c>
    </row>
    <row r="37" spans="1:23" ht="15.75" x14ac:dyDescent="0.25">
      <c r="A37" s="784" t="s">
        <v>322</v>
      </c>
      <c r="B37" s="607" t="s">
        <v>1332</v>
      </c>
      <c r="C37" s="598"/>
      <c r="D37" s="598"/>
      <c r="E37" s="598"/>
      <c r="F37" s="609"/>
      <c r="G37" s="609"/>
      <c r="H37" s="609"/>
      <c r="I37" s="609"/>
      <c r="J37" s="609"/>
      <c r="K37" s="609"/>
      <c r="L37" s="609"/>
      <c r="M37" s="609"/>
      <c r="N37" s="609">
        <v>977</v>
      </c>
      <c r="O37" s="609"/>
      <c r="P37" s="609"/>
      <c r="Q37" s="609"/>
      <c r="R37" s="609"/>
      <c r="S37" s="609"/>
      <c r="T37" s="833"/>
      <c r="U37" s="833"/>
      <c r="V37" s="833"/>
      <c r="W37" s="833"/>
    </row>
    <row r="38" spans="1:23" ht="15.75" x14ac:dyDescent="0.25">
      <c r="A38" s="784"/>
      <c r="B38" s="598" t="s">
        <v>1465</v>
      </c>
      <c r="C38" s="598"/>
      <c r="D38" s="598"/>
      <c r="E38" s="598"/>
      <c r="F38" s="609"/>
      <c r="G38" s="609"/>
      <c r="H38" s="609"/>
      <c r="I38" s="609"/>
      <c r="J38" s="609"/>
      <c r="K38" s="609"/>
      <c r="L38" s="609"/>
      <c r="M38" s="609"/>
      <c r="N38" s="609"/>
      <c r="O38" s="609"/>
      <c r="P38" s="609"/>
      <c r="Q38" s="609"/>
      <c r="R38" s="609"/>
      <c r="S38" s="609"/>
      <c r="T38" s="833">
        <v>1000</v>
      </c>
      <c r="U38" s="833">
        <v>15859</v>
      </c>
      <c r="V38" s="833">
        <v>14240</v>
      </c>
      <c r="W38" s="833">
        <v>239</v>
      </c>
    </row>
    <row r="39" spans="1:23" ht="15.75" x14ac:dyDescent="0.25">
      <c r="A39" s="784" t="s">
        <v>315</v>
      </c>
      <c r="B39" s="598" t="s">
        <v>1448</v>
      </c>
      <c r="C39" s="598"/>
      <c r="D39" s="598"/>
      <c r="E39" s="598"/>
      <c r="F39" s="609"/>
      <c r="G39" s="609"/>
      <c r="H39" s="609"/>
      <c r="I39" s="609"/>
      <c r="J39" s="609"/>
      <c r="K39" s="609"/>
      <c r="L39" s="609"/>
      <c r="M39" s="609"/>
      <c r="N39" s="609"/>
      <c r="O39" s="609"/>
      <c r="P39" s="609"/>
      <c r="Q39" s="609"/>
      <c r="R39" s="609"/>
      <c r="S39" s="609"/>
      <c r="T39" s="833"/>
      <c r="U39" s="833">
        <v>722</v>
      </c>
      <c r="V39" s="833">
        <v>874</v>
      </c>
      <c r="W39" s="833">
        <v>734</v>
      </c>
    </row>
    <row r="40" spans="1:23" ht="15.75" x14ac:dyDescent="0.25">
      <c r="A40" s="784" t="s">
        <v>336</v>
      </c>
      <c r="B40" s="598" t="s">
        <v>1294</v>
      </c>
      <c r="C40" s="598"/>
      <c r="D40" s="598"/>
      <c r="E40" s="598"/>
      <c r="F40" s="609"/>
      <c r="G40" s="609"/>
      <c r="H40" s="609"/>
      <c r="I40" s="609"/>
      <c r="J40" s="609"/>
      <c r="K40" s="609"/>
      <c r="L40" s="609"/>
      <c r="M40" s="609"/>
      <c r="N40" s="609"/>
      <c r="O40" s="609"/>
      <c r="P40" s="609"/>
      <c r="Q40" s="609"/>
      <c r="R40" s="609"/>
      <c r="S40" s="609"/>
      <c r="T40" s="833"/>
      <c r="U40" s="833"/>
      <c r="V40" s="833">
        <v>9730</v>
      </c>
      <c r="W40" s="833"/>
    </row>
    <row r="41" spans="1:23" ht="15.75" x14ac:dyDescent="0.25">
      <c r="A41" s="784" t="s">
        <v>338</v>
      </c>
      <c r="B41" s="598" t="s">
        <v>1447</v>
      </c>
      <c r="C41" s="598"/>
      <c r="D41" s="598"/>
      <c r="E41" s="598"/>
      <c r="F41" s="609"/>
      <c r="G41" s="609"/>
      <c r="H41" s="609"/>
      <c r="I41" s="609"/>
      <c r="J41" s="609"/>
      <c r="K41" s="609"/>
      <c r="L41" s="609"/>
      <c r="M41" s="609"/>
      <c r="N41" s="609"/>
      <c r="O41" s="609"/>
      <c r="P41" s="609"/>
      <c r="Q41" s="609"/>
      <c r="R41" s="609"/>
      <c r="S41" s="609"/>
      <c r="T41" s="833"/>
      <c r="U41" s="833">
        <v>1574</v>
      </c>
      <c r="V41" s="833">
        <v>3044</v>
      </c>
      <c r="W41" s="833">
        <v>1574</v>
      </c>
    </row>
    <row r="42" spans="1:23" ht="15.75" x14ac:dyDescent="0.25">
      <c r="A42" s="696"/>
      <c r="B42" s="697" t="s">
        <v>1357</v>
      </c>
      <c r="C42" s="697"/>
      <c r="D42" s="697"/>
      <c r="E42" s="697"/>
      <c r="F42" s="698">
        <f t="shared" ref="F42:M42" si="3">SUM(F3+F29+F34)</f>
        <v>4556640</v>
      </c>
      <c r="G42" s="698">
        <f t="shared" si="3"/>
        <v>4556640</v>
      </c>
      <c r="H42" s="698">
        <f t="shared" si="3"/>
        <v>4556640</v>
      </c>
      <c r="I42" s="698">
        <f t="shared" si="3"/>
        <v>4556640</v>
      </c>
      <c r="J42" s="698">
        <f t="shared" si="3"/>
        <v>3565259</v>
      </c>
      <c r="K42" s="698">
        <f t="shared" si="3"/>
        <v>4437022</v>
      </c>
      <c r="L42" s="698">
        <f t="shared" si="3"/>
        <v>4437022</v>
      </c>
      <c r="M42" s="698">
        <f t="shared" si="3"/>
        <v>4437022</v>
      </c>
      <c r="N42" s="698">
        <v>3672216</v>
      </c>
      <c r="O42" s="698">
        <f>SUM(O3+O29+O34)</f>
        <v>4437022</v>
      </c>
      <c r="P42" s="698">
        <f>SUM(P3+P29+P34)</f>
        <v>4437022</v>
      </c>
      <c r="Q42" s="698">
        <f>SUM(Q3+Q29+Q34)</f>
        <v>4437022</v>
      </c>
      <c r="R42" s="698">
        <f>SUM(R3+R29+R34)</f>
        <v>4437022</v>
      </c>
      <c r="S42" s="698">
        <f>SUM(S3+S29+S34)</f>
        <v>158375</v>
      </c>
      <c r="T42" s="834">
        <f>+T34+T3</f>
        <v>4768834</v>
      </c>
      <c r="U42" s="834">
        <v>4986984</v>
      </c>
      <c r="V42" s="834">
        <f>V3+V34</f>
        <v>4405300</v>
      </c>
      <c r="W42" s="834">
        <v>457808</v>
      </c>
    </row>
    <row r="43" spans="1:23" ht="15.75" x14ac:dyDescent="0.25">
      <c r="B43" s="579"/>
      <c r="C43" s="579"/>
      <c r="D43" s="579"/>
      <c r="E43" s="579"/>
      <c r="F43" s="579"/>
      <c r="G43" s="579"/>
      <c r="H43" s="580"/>
      <c r="I43" s="580"/>
      <c r="J43" s="581"/>
      <c r="K43" s="579"/>
      <c r="L43" s="579"/>
      <c r="M43" s="579"/>
      <c r="N43" s="579"/>
      <c r="O43" s="579"/>
      <c r="P43" s="579"/>
      <c r="Q43" s="579"/>
      <c r="R43" s="579"/>
      <c r="S43" s="579"/>
      <c r="T43" s="835"/>
    </row>
    <row r="44" spans="1:23" ht="15.75" x14ac:dyDescent="0.25">
      <c r="B44" s="579"/>
      <c r="C44" s="579"/>
      <c r="D44" s="579"/>
      <c r="E44" s="579"/>
      <c r="F44" s="579"/>
      <c r="G44" s="579"/>
      <c r="H44" s="580"/>
      <c r="I44" s="580"/>
      <c r="J44" s="581"/>
      <c r="K44" s="579"/>
      <c r="L44" s="579"/>
      <c r="M44" s="579"/>
      <c r="N44" s="579"/>
      <c r="O44" s="579"/>
      <c r="P44" s="579"/>
      <c r="Q44" s="579"/>
      <c r="R44" s="579"/>
      <c r="S44" s="579"/>
      <c r="T44" s="835"/>
    </row>
    <row r="45" spans="1:23" ht="15.75" x14ac:dyDescent="0.25">
      <c r="B45" s="579"/>
      <c r="C45" s="579"/>
      <c r="D45" s="579"/>
      <c r="E45" s="579"/>
      <c r="F45" s="579"/>
      <c r="G45" s="579"/>
      <c r="H45" s="580"/>
      <c r="I45" s="580"/>
      <c r="J45" s="581"/>
      <c r="K45" s="579"/>
      <c r="L45" s="579"/>
      <c r="M45" s="579"/>
      <c r="N45" s="579"/>
      <c r="O45" s="579"/>
      <c r="P45" s="579"/>
      <c r="Q45" s="579"/>
      <c r="R45" s="579"/>
      <c r="S45" s="579"/>
      <c r="T45" s="835"/>
    </row>
    <row r="46" spans="1:23" ht="15.75" x14ac:dyDescent="0.25">
      <c r="B46" s="579"/>
      <c r="C46" s="579"/>
      <c r="D46" s="579"/>
      <c r="E46" s="579"/>
      <c r="F46" s="579"/>
      <c r="G46" s="579"/>
      <c r="H46" s="580"/>
      <c r="I46" s="580"/>
      <c r="J46" s="581"/>
      <c r="K46" s="579"/>
      <c r="L46" s="579"/>
      <c r="M46" s="579"/>
      <c r="N46" s="579"/>
      <c r="O46" s="579"/>
      <c r="P46" s="579"/>
      <c r="Q46" s="579"/>
      <c r="R46" s="579"/>
      <c r="S46" s="579"/>
      <c r="T46" s="835"/>
    </row>
    <row r="47" spans="1:23" ht="15.75" x14ac:dyDescent="0.25">
      <c r="B47" s="579"/>
      <c r="C47" s="579"/>
      <c r="D47" s="579"/>
      <c r="E47" s="579"/>
      <c r="F47" s="579"/>
      <c r="G47" s="579"/>
      <c r="H47" s="580"/>
      <c r="I47" s="580"/>
      <c r="J47" s="581"/>
      <c r="K47" s="579"/>
      <c r="L47" s="579"/>
      <c r="M47" s="579"/>
      <c r="N47" s="579"/>
      <c r="O47" s="579"/>
      <c r="P47" s="579"/>
      <c r="Q47" s="579"/>
      <c r="R47" s="579"/>
      <c r="S47" s="579"/>
      <c r="T47" s="835"/>
    </row>
    <row r="48" spans="1:23" ht="15.75" x14ac:dyDescent="0.25">
      <c r="B48" s="579"/>
      <c r="C48" s="579"/>
      <c r="D48" s="579"/>
      <c r="E48" s="579"/>
      <c r="F48" s="579"/>
      <c r="G48" s="579"/>
      <c r="H48" s="580"/>
      <c r="I48" s="580"/>
      <c r="J48" s="581"/>
      <c r="K48" s="579"/>
      <c r="L48" s="579"/>
      <c r="M48" s="579"/>
      <c r="N48" s="579"/>
      <c r="O48" s="579"/>
      <c r="P48" s="579"/>
      <c r="Q48" s="579"/>
      <c r="R48" s="579"/>
      <c r="S48" s="579"/>
      <c r="T48" s="835"/>
    </row>
    <row r="49" spans="2:20" ht="15.75" x14ac:dyDescent="0.25">
      <c r="B49" s="579"/>
      <c r="C49" s="579"/>
      <c r="D49" s="579"/>
      <c r="E49" s="579"/>
      <c r="F49" s="579"/>
      <c r="G49" s="579"/>
      <c r="H49" s="580"/>
      <c r="I49" s="580"/>
      <c r="J49" s="581"/>
      <c r="K49" s="579"/>
      <c r="L49" s="579"/>
      <c r="M49" s="579"/>
      <c r="N49" s="579"/>
      <c r="O49" s="579"/>
      <c r="P49" s="579"/>
      <c r="Q49" s="579"/>
      <c r="R49" s="579"/>
      <c r="S49" s="579"/>
      <c r="T49" s="835"/>
    </row>
    <row r="50" spans="2:20" ht="15.75" x14ac:dyDescent="0.25">
      <c r="B50" s="579"/>
      <c r="C50" s="579"/>
      <c r="D50" s="579"/>
      <c r="E50" s="579"/>
      <c r="F50" s="579"/>
      <c r="G50" s="579"/>
      <c r="H50" s="580"/>
      <c r="I50" s="580"/>
      <c r="J50" s="581"/>
      <c r="K50" s="579"/>
      <c r="L50" s="579"/>
      <c r="M50" s="579"/>
      <c r="N50" s="579"/>
      <c r="O50" s="579"/>
      <c r="P50" s="579"/>
      <c r="Q50" s="579"/>
      <c r="R50" s="579"/>
      <c r="S50" s="579"/>
      <c r="T50" s="835"/>
    </row>
    <row r="51" spans="2:20" ht="15.75" x14ac:dyDescent="0.25">
      <c r="B51" s="579"/>
      <c r="C51" s="579"/>
      <c r="D51" s="579"/>
      <c r="E51" s="579"/>
      <c r="F51" s="579"/>
      <c r="G51" s="579"/>
      <c r="H51" s="580"/>
      <c r="I51" s="580"/>
      <c r="J51" s="581"/>
      <c r="K51" s="579"/>
      <c r="L51" s="579"/>
      <c r="M51" s="579"/>
      <c r="N51" s="579"/>
      <c r="O51" s="579"/>
      <c r="P51" s="579"/>
      <c r="Q51" s="579"/>
      <c r="R51" s="579"/>
      <c r="S51" s="579"/>
      <c r="T51" s="835"/>
    </row>
    <row r="52" spans="2:20" ht="15.75" x14ac:dyDescent="0.25">
      <c r="B52" s="579"/>
      <c r="C52" s="579"/>
      <c r="D52" s="579"/>
      <c r="E52" s="579"/>
      <c r="F52" s="579"/>
      <c r="G52" s="579"/>
      <c r="H52" s="580"/>
      <c r="I52" s="580"/>
      <c r="J52" s="581"/>
      <c r="K52" s="579"/>
      <c r="L52" s="579"/>
      <c r="M52" s="579"/>
      <c r="N52" s="579"/>
      <c r="O52" s="579"/>
      <c r="P52" s="579"/>
      <c r="Q52" s="579"/>
      <c r="R52" s="579"/>
      <c r="S52" s="579"/>
      <c r="T52" s="835"/>
    </row>
    <row r="53" spans="2:20" ht="15.75" x14ac:dyDescent="0.25">
      <c r="B53" s="579"/>
      <c r="C53" s="579"/>
      <c r="D53" s="579"/>
      <c r="E53" s="579"/>
      <c r="F53" s="579"/>
      <c r="G53" s="579"/>
      <c r="H53" s="580"/>
      <c r="I53" s="580"/>
      <c r="J53" s="581"/>
      <c r="K53" s="579"/>
      <c r="L53" s="579"/>
      <c r="M53" s="579"/>
      <c r="N53" s="579"/>
      <c r="O53" s="579"/>
      <c r="P53" s="579"/>
      <c r="Q53" s="579"/>
      <c r="R53" s="579"/>
      <c r="S53" s="579"/>
      <c r="T53" s="835"/>
    </row>
    <row r="54" spans="2:20" ht="15.75" x14ac:dyDescent="0.25">
      <c r="B54" s="579"/>
      <c r="C54" s="579"/>
      <c r="D54" s="579"/>
      <c r="E54" s="579"/>
      <c r="F54" s="579"/>
      <c r="G54" s="579"/>
      <c r="H54" s="580"/>
      <c r="I54" s="580"/>
      <c r="J54" s="581"/>
      <c r="K54" s="579"/>
      <c r="L54" s="579"/>
      <c r="M54" s="579"/>
      <c r="N54" s="579"/>
      <c r="O54" s="579"/>
      <c r="P54" s="579"/>
      <c r="Q54" s="579"/>
      <c r="R54" s="579"/>
      <c r="S54" s="579"/>
      <c r="T54" s="835"/>
    </row>
    <row r="55" spans="2:20" ht="15.75" x14ac:dyDescent="0.25">
      <c r="B55" s="579"/>
      <c r="C55" s="579"/>
      <c r="D55" s="579"/>
      <c r="E55" s="579"/>
      <c r="F55" s="579"/>
      <c r="G55" s="579"/>
      <c r="H55" s="580"/>
      <c r="I55" s="580"/>
      <c r="J55" s="581"/>
      <c r="K55" s="579"/>
      <c r="L55" s="579"/>
      <c r="M55" s="579"/>
      <c r="N55" s="579"/>
      <c r="O55" s="579"/>
      <c r="P55" s="579"/>
      <c r="Q55" s="579"/>
      <c r="R55" s="579"/>
      <c r="S55" s="579"/>
      <c r="T55" s="835"/>
    </row>
    <row r="56" spans="2:20" ht="15.75" x14ac:dyDescent="0.25">
      <c r="B56" s="579"/>
      <c r="C56" s="579"/>
      <c r="D56" s="579"/>
      <c r="E56" s="579"/>
      <c r="F56" s="579"/>
      <c r="G56" s="579"/>
      <c r="H56" s="580"/>
      <c r="I56" s="580"/>
      <c r="J56" s="581"/>
      <c r="K56" s="579"/>
      <c r="L56" s="579"/>
      <c r="M56" s="579"/>
      <c r="N56" s="579"/>
      <c r="O56" s="579"/>
      <c r="P56" s="579"/>
      <c r="Q56" s="579"/>
      <c r="R56" s="579"/>
      <c r="S56" s="579"/>
      <c r="T56" s="835"/>
    </row>
    <row r="57" spans="2:20" ht="15.75" x14ac:dyDescent="0.25">
      <c r="B57" s="579"/>
      <c r="C57" s="579"/>
      <c r="D57" s="579"/>
      <c r="E57" s="579"/>
      <c r="F57" s="579"/>
      <c r="G57" s="579"/>
      <c r="H57" s="580"/>
      <c r="I57" s="580"/>
      <c r="J57" s="581"/>
      <c r="K57" s="579"/>
      <c r="L57" s="579"/>
      <c r="M57" s="579"/>
      <c r="N57" s="579"/>
      <c r="O57" s="579"/>
      <c r="P57" s="579"/>
      <c r="Q57" s="579"/>
      <c r="R57" s="579"/>
      <c r="S57" s="579"/>
      <c r="T57" s="835"/>
    </row>
    <row r="58" spans="2:20" ht="15.75" x14ac:dyDescent="0.25">
      <c r="B58" s="579"/>
      <c r="C58" s="579"/>
      <c r="D58" s="579"/>
      <c r="E58" s="579"/>
      <c r="F58" s="579"/>
      <c r="G58" s="579"/>
      <c r="H58" s="580"/>
      <c r="I58" s="580"/>
      <c r="J58" s="581"/>
      <c r="K58" s="579"/>
      <c r="L58" s="579"/>
      <c r="M58" s="579"/>
      <c r="N58" s="579"/>
      <c r="O58" s="579"/>
      <c r="P58" s="579"/>
      <c r="Q58" s="579"/>
      <c r="R58" s="579"/>
      <c r="S58" s="579"/>
      <c r="T58" s="835"/>
    </row>
    <row r="59" spans="2:20" ht="15.75" x14ac:dyDescent="0.25">
      <c r="B59" s="579"/>
      <c r="C59" s="579"/>
      <c r="D59" s="579"/>
      <c r="E59" s="579"/>
      <c r="F59" s="579"/>
      <c r="G59" s="579"/>
      <c r="H59" s="580"/>
      <c r="I59" s="580"/>
      <c r="J59" s="581"/>
      <c r="K59" s="579"/>
      <c r="L59" s="579"/>
      <c r="M59" s="579"/>
      <c r="N59" s="579"/>
      <c r="O59" s="579"/>
      <c r="P59" s="579"/>
      <c r="Q59" s="579"/>
      <c r="R59" s="579"/>
      <c r="S59" s="579"/>
      <c r="T59" s="835"/>
    </row>
    <row r="60" spans="2:20" ht="15.75" x14ac:dyDescent="0.25">
      <c r="B60" s="579"/>
      <c r="C60" s="579"/>
      <c r="D60" s="579"/>
      <c r="E60" s="579"/>
      <c r="F60" s="579"/>
      <c r="G60" s="579"/>
      <c r="H60" s="580"/>
      <c r="I60" s="580"/>
      <c r="J60" s="581"/>
      <c r="K60" s="579"/>
      <c r="L60" s="579"/>
      <c r="M60" s="579"/>
      <c r="N60" s="579"/>
      <c r="O60" s="579"/>
      <c r="P60" s="579"/>
      <c r="Q60" s="579"/>
      <c r="R60" s="579"/>
      <c r="S60" s="579"/>
      <c r="T60" s="835"/>
    </row>
    <row r="61" spans="2:20" ht="15.75" x14ac:dyDescent="0.25">
      <c r="B61" s="579"/>
      <c r="C61" s="579"/>
      <c r="D61" s="579"/>
      <c r="E61" s="579"/>
      <c r="F61" s="579"/>
      <c r="G61" s="579"/>
      <c r="H61" s="580"/>
      <c r="I61" s="580"/>
      <c r="J61" s="581"/>
      <c r="K61" s="579"/>
      <c r="L61" s="579"/>
      <c r="M61" s="579"/>
      <c r="N61" s="579"/>
      <c r="O61" s="579"/>
      <c r="P61" s="579"/>
      <c r="Q61" s="579"/>
      <c r="R61" s="579"/>
      <c r="S61" s="579"/>
      <c r="T61" s="835"/>
    </row>
  </sheetData>
  <customSheetViews>
    <customSheetView guid="{7F1DC213-A29D-4C8C-BAC3-F1BD898020FD}" scale="85" zeroValues="0" hiddenColumns="1">
      <pane xSplit="4" ySplit="2" topLeftCell="T30" activePane="bottomRight" state="frozen"/>
      <selection pane="bottomRight" activeCell="U4" sqref="U4"/>
      <pageMargins left="0.70866141732283472" right="0.70866141732283472" top="1.1417322834645669" bottom="0.59055118110236227" header="0.31496062992125984" footer="0.31496062992125984"/>
      <printOptions horizontalCentered="1"/>
      <pageSetup paperSize="9" scale="70" fitToHeight="2" orientation="portrait" r:id="rId1"/>
      <headerFooter>
        <oddHeader>&amp;L 8. melléklet a ...../2019. (.....) önkormányzati rendelethez&amp;C&amp;"-,Félkövér"&amp;14Beruházások célonkénti részletezése 2019. év&amp;RAdatok ezer forintban</oddHeader>
      </headerFooter>
    </customSheetView>
    <customSheetView guid="{4DCB1349-1166-4B69-AE14-D6B08F9FCE74}" scale="85" zeroValues="0" hiddenColumns="1">
      <pane xSplit="4" ySplit="2" topLeftCell="T30" activePane="bottomRight" state="frozen"/>
      <selection pane="bottomRight" activeCell="U4" sqref="U4"/>
      <pageMargins left="0.70866141732283472" right="0.70866141732283472" top="1.1417322834645669" bottom="0.59055118110236227" header="0.31496062992125984" footer="0.31496062992125984"/>
      <printOptions horizontalCentered="1"/>
      <pageSetup paperSize="9" scale="70" fitToHeight="2" orientation="portrait" r:id="rId2"/>
      <headerFooter>
        <oddHeader>&amp;L 8. melléklet a ...../2019. (.....) önkormányzati rendelethez&amp;C&amp;"-,Félkövér"&amp;14Beruházások célonkénti részletezése 2019. év&amp;RAdatok ezer forintban</oddHeader>
      </headerFooter>
    </customSheetView>
  </customSheetViews>
  <mergeCells count="4">
    <mergeCell ref="O2:R2"/>
    <mergeCell ref="C2:F2"/>
    <mergeCell ref="G2:J2"/>
    <mergeCell ref="K2:N2"/>
  </mergeCells>
  <phoneticPr fontId="57" type="noConversion"/>
  <printOptions horizontalCentered="1"/>
  <pageMargins left="0.70866141732283472" right="0.70866141732283472" top="1.1417322834645669" bottom="0.59055118110236227" header="0.31496062992125984" footer="0.31496062992125984"/>
  <pageSetup paperSize="9" scale="70" fitToHeight="2" orientation="portrait" r:id="rId3"/>
  <headerFooter>
    <oddHeader>&amp;L8. melléklet a 3/2019. (II.20.) önkormányzati rendelethez&amp;C&amp;"-,Félkövér"&amp;14
Beruházások célonkénti részletezése 2019. év&amp;RAdatok ezer forintban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X29"/>
  <sheetViews>
    <sheetView showZeros="0" view="pageLayout" zoomScaleNormal="100" zoomScaleSheetLayoutView="75" workbookViewId="0">
      <selection activeCell="V16" sqref="V16"/>
    </sheetView>
  </sheetViews>
  <sheetFormatPr defaultColWidth="9.140625" defaultRowHeight="15" x14ac:dyDescent="0.25"/>
  <cols>
    <col min="1" max="1" width="6.28515625" style="176" customWidth="1"/>
    <col min="2" max="2" width="49.85546875" style="176" customWidth="1"/>
    <col min="3" max="3" width="15" style="176" hidden="1" customWidth="1"/>
    <col min="4" max="4" width="14" style="344" hidden="1" customWidth="1"/>
    <col min="5" max="5" width="14.7109375" style="344" hidden="1" customWidth="1"/>
    <col min="6" max="6" width="14.140625" style="176" hidden="1" customWidth="1"/>
    <col min="7" max="7" width="16.85546875" style="406" hidden="1" customWidth="1"/>
    <col min="8" max="8" width="14.7109375" style="176" hidden="1" customWidth="1"/>
    <col min="9" max="9" width="12.85546875" style="176" hidden="1" customWidth="1"/>
    <col min="10" max="10" width="9.140625" style="176" hidden="1" customWidth="1"/>
    <col min="11" max="11" width="17.7109375" style="176" hidden="1" customWidth="1"/>
    <col min="12" max="12" width="17.5703125" style="176" hidden="1" customWidth="1"/>
    <col min="13" max="13" width="13.85546875" style="176" hidden="1" customWidth="1"/>
    <col min="14" max="19" width="9.140625" style="176" hidden="1" customWidth="1"/>
    <col min="20" max="20" width="18.140625" style="176" hidden="1" customWidth="1"/>
    <col min="21" max="21" width="16.140625" style="176" customWidth="1"/>
    <col min="22" max="22" width="15.7109375" style="176" customWidth="1"/>
    <col min="23" max="23" width="17.28515625" style="176" customWidth="1"/>
    <col min="24" max="24" width="16" style="176" hidden="1" customWidth="1"/>
    <col min="25" max="16384" width="9.140625" style="176"/>
  </cols>
  <sheetData>
    <row r="1" spans="1:24" ht="15.75" x14ac:dyDescent="0.25">
      <c r="A1" s="757" t="s">
        <v>1375</v>
      </c>
      <c r="B1" s="758" t="s">
        <v>1365</v>
      </c>
      <c r="C1" s="759"/>
      <c r="D1" s="759"/>
      <c r="E1" s="759"/>
      <c r="F1" s="759" t="s">
        <v>1366</v>
      </c>
      <c r="G1" s="759" t="s">
        <v>1366</v>
      </c>
      <c r="H1" s="760"/>
      <c r="I1" s="760"/>
      <c r="J1" s="756" t="s">
        <v>1376</v>
      </c>
      <c r="K1" s="756" t="s">
        <v>1376</v>
      </c>
      <c r="L1" s="756" t="s">
        <v>1377</v>
      </c>
      <c r="M1" s="756"/>
      <c r="N1" s="756"/>
      <c r="O1" s="756"/>
      <c r="P1" s="756"/>
      <c r="Q1" s="756"/>
      <c r="R1" s="756"/>
      <c r="S1" s="756" t="s">
        <v>1377</v>
      </c>
      <c r="T1" s="761" t="s">
        <v>1377</v>
      </c>
      <c r="U1" s="855" t="s">
        <v>1366</v>
      </c>
      <c r="V1" s="855" t="s">
        <v>1376</v>
      </c>
      <c r="W1" s="855" t="s">
        <v>1376</v>
      </c>
      <c r="X1" s="855" t="s">
        <v>1376</v>
      </c>
    </row>
    <row r="2" spans="1:24" ht="48" customHeight="1" x14ac:dyDescent="0.25">
      <c r="A2" s="732" t="s">
        <v>305</v>
      </c>
      <c r="B2" s="734" t="s">
        <v>306</v>
      </c>
      <c r="C2" s="733" t="s">
        <v>1193</v>
      </c>
      <c r="D2" s="898" t="s">
        <v>1279</v>
      </c>
      <c r="E2" s="899"/>
      <c r="F2" s="899"/>
      <c r="G2" s="900"/>
      <c r="H2" s="898" t="s">
        <v>1406</v>
      </c>
      <c r="I2" s="899"/>
      <c r="J2" s="899"/>
      <c r="K2" s="900"/>
      <c r="L2" s="898" t="s">
        <v>1392</v>
      </c>
      <c r="M2" s="899"/>
      <c r="N2" s="899"/>
      <c r="O2" s="900"/>
      <c r="P2" s="898" t="s">
        <v>1246</v>
      </c>
      <c r="Q2" s="899"/>
      <c r="R2" s="899"/>
      <c r="S2" s="900"/>
      <c r="T2" s="733" t="s">
        <v>1369</v>
      </c>
      <c r="U2" s="812" t="s">
        <v>1424</v>
      </c>
      <c r="V2" s="854" t="s">
        <v>1452</v>
      </c>
      <c r="W2" s="854" t="s">
        <v>1444</v>
      </c>
      <c r="X2" s="854" t="s">
        <v>1456</v>
      </c>
    </row>
    <row r="3" spans="1:24" x14ac:dyDescent="0.25">
      <c r="A3" s="456" t="s">
        <v>309</v>
      </c>
      <c r="B3" s="592" t="s">
        <v>967</v>
      </c>
      <c r="C3" s="593"/>
      <c r="D3" s="593"/>
      <c r="E3" s="594"/>
      <c r="F3" s="594"/>
      <c r="G3" s="610"/>
      <c r="H3" s="610">
        <f>SUM(H7:H7)</f>
        <v>35000</v>
      </c>
      <c r="I3" s="610">
        <f>SUM(I7:I7)</f>
        <v>35000</v>
      </c>
      <c r="J3" s="610">
        <f>SUM(J7:J7)</f>
        <v>35000</v>
      </c>
      <c r="K3" s="610">
        <f>K6</f>
        <v>1795736</v>
      </c>
      <c r="L3" s="610">
        <v>1827873</v>
      </c>
      <c r="M3" s="610">
        <f t="shared" ref="M3:S3" si="0">SUM(M7:M7)</f>
        <v>35000</v>
      </c>
      <c r="N3" s="610">
        <f t="shared" si="0"/>
        <v>35000</v>
      </c>
      <c r="O3" s="610">
        <f t="shared" si="0"/>
        <v>35000</v>
      </c>
      <c r="P3" s="610">
        <f t="shared" si="0"/>
        <v>35000</v>
      </c>
      <c r="Q3" s="610">
        <f t="shared" si="0"/>
        <v>35000</v>
      </c>
      <c r="R3" s="610">
        <f t="shared" si="0"/>
        <v>35000</v>
      </c>
      <c r="S3" s="610">
        <f t="shared" si="0"/>
        <v>35000</v>
      </c>
      <c r="T3" s="610">
        <f>SUM(T7:T8)</f>
        <v>195222</v>
      </c>
      <c r="U3" s="610">
        <f>SUM(U4:U6)</f>
        <v>139260</v>
      </c>
      <c r="V3" s="610">
        <f t="shared" ref="V3:X3" si="1">SUM(V4:V6)</f>
        <v>139260</v>
      </c>
      <c r="W3" s="610">
        <f t="shared" si="1"/>
        <v>139260</v>
      </c>
      <c r="X3" s="610">
        <f t="shared" si="1"/>
        <v>16640</v>
      </c>
    </row>
    <row r="4" spans="1:24" s="787" customFormat="1" x14ac:dyDescent="0.25">
      <c r="A4" s="689" t="s">
        <v>311</v>
      </c>
      <c r="B4" s="827" t="s">
        <v>1431</v>
      </c>
      <c r="C4" s="785"/>
      <c r="D4" s="785"/>
      <c r="E4" s="583"/>
      <c r="F4" s="583"/>
      <c r="G4" s="786"/>
      <c r="H4" s="786"/>
      <c r="I4" s="786"/>
      <c r="J4" s="786"/>
      <c r="K4" s="597"/>
      <c r="L4" s="597">
        <v>150000</v>
      </c>
      <c r="M4" s="786"/>
      <c r="N4" s="786"/>
      <c r="O4" s="786"/>
      <c r="P4" s="786"/>
      <c r="Q4" s="786"/>
      <c r="R4" s="786"/>
      <c r="S4" s="786"/>
      <c r="T4" s="786"/>
      <c r="U4" s="839">
        <v>40760</v>
      </c>
      <c r="V4" s="839">
        <v>40760</v>
      </c>
      <c r="W4" s="839">
        <v>40760</v>
      </c>
      <c r="X4" s="839">
        <v>1540</v>
      </c>
    </row>
    <row r="5" spans="1:24" s="787" customFormat="1" x14ac:dyDescent="0.25">
      <c r="A5" s="689" t="s">
        <v>322</v>
      </c>
      <c r="B5" s="827" t="s">
        <v>1432</v>
      </c>
      <c r="C5" s="785"/>
      <c r="D5" s="785"/>
      <c r="E5" s="583"/>
      <c r="F5" s="583"/>
      <c r="G5" s="786"/>
      <c r="H5" s="786"/>
      <c r="I5" s="786"/>
      <c r="J5" s="786"/>
      <c r="K5" s="597"/>
      <c r="L5" s="597">
        <v>281692</v>
      </c>
      <c r="M5" s="786"/>
      <c r="N5" s="786"/>
      <c r="O5" s="786"/>
      <c r="P5" s="786"/>
      <c r="Q5" s="786"/>
      <c r="R5" s="786"/>
      <c r="S5" s="786"/>
      <c r="T5" s="786"/>
      <c r="U5" s="839">
        <v>53500</v>
      </c>
      <c r="V5" s="839">
        <v>53500</v>
      </c>
      <c r="W5" s="839">
        <v>53500</v>
      </c>
      <c r="X5" s="839">
        <v>100</v>
      </c>
    </row>
    <row r="6" spans="1:24" x14ac:dyDescent="0.25">
      <c r="A6" s="456" t="s">
        <v>318</v>
      </c>
      <c r="B6" s="592" t="s">
        <v>1405</v>
      </c>
      <c r="C6" s="593"/>
      <c r="D6" s="593"/>
      <c r="E6" s="594"/>
      <c r="F6" s="594"/>
      <c r="G6" s="610">
        <f t="shared" ref="G6:L6" si="2">SUM(G7:G8)</f>
        <v>35000</v>
      </c>
      <c r="H6" s="610">
        <f t="shared" si="2"/>
        <v>35000</v>
      </c>
      <c r="I6" s="610">
        <f t="shared" si="2"/>
        <v>35000</v>
      </c>
      <c r="J6" s="610">
        <f t="shared" si="2"/>
        <v>35000</v>
      </c>
      <c r="K6" s="610">
        <f t="shared" si="2"/>
        <v>1795736</v>
      </c>
      <c r="L6" s="610">
        <f t="shared" si="2"/>
        <v>50284</v>
      </c>
      <c r="M6" s="610"/>
      <c r="N6" s="610"/>
      <c r="O6" s="610"/>
      <c r="P6" s="610"/>
      <c r="Q6" s="610"/>
      <c r="R6" s="610"/>
      <c r="S6" s="610"/>
      <c r="T6" s="610"/>
      <c r="U6" s="610">
        <f>SUM(U7:U8)</f>
        <v>45000</v>
      </c>
      <c r="V6" s="610">
        <f t="shared" ref="V6:X6" si="3">SUM(V7:V8)</f>
        <v>45000</v>
      </c>
      <c r="W6" s="610">
        <f t="shared" si="3"/>
        <v>45000</v>
      </c>
      <c r="X6" s="610">
        <f t="shared" si="3"/>
        <v>15000</v>
      </c>
    </row>
    <row r="7" spans="1:24" x14ac:dyDescent="0.25">
      <c r="A7" s="689" t="s">
        <v>311</v>
      </c>
      <c r="B7" s="690" t="s">
        <v>1361</v>
      </c>
      <c r="C7" s="691"/>
      <c r="D7" s="691"/>
      <c r="E7" s="689"/>
      <c r="F7" s="689"/>
      <c r="G7" s="692">
        <v>35000</v>
      </c>
      <c r="H7" s="692">
        <v>35000</v>
      </c>
      <c r="I7" s="692">
        <v>35000</v>
      </c>
      <c r="J7" s="692">
        <v>35000</v>
      </c>
      <c r="K7" s="692">
        <v>35000</v>
      </c>
      <c r="L7" s="692">
        <v>35000</v>
      </c>
      <c r="M7" s="692">
        <v>35000</v>
      </c>
      <c r="N7" s="692">
        <v>35000</v>
      </c>
      <c r="O7" s="692">
        <v>35000</v>
      </c>
      <c r="P7" s="692">
        <v>35000</v>
      </c>
      <c r="Q7" s="692">
        <v>35000</v>
      </c>
      <c r="R7" s="692">
        <v>35000</v>
      </c>
      <c r="S7" s="692">
        <v>35000</v>
      </c>
      <c r="T7" s="737" t="s">
        <v>1373</v>
      </c>
      <c r="U7" s="692">
        <v>15000</v>
      </c>
      <c r="V7" s="692">
        <v>15000</v>
      </c>
      <c r="W7" s="692">
        <v>15000</v>
      </c>
      <c r="X7" s="692">
        <v>15000</v>
      </c>
    </row>
    <row r="8" spans="1:24" x14ac:dyDescent="0.25">
      <c r="A8" s="689" t="s">
        <v>322</v>
      </c>
      <c r="B8" s="824" t="s">
        <v>1420</v>
      </c>
      <c r="C8" s="691"/>
      <c r="D8" s="691"/>
      <c r="E8" s="689"/>
      <c r="F8" s="689"/>
      <c r="G8" s="737" t="s">
        <v>1373</v>
      </c>
      <c r="H8" s="692"/>
      <c r="I8" s="692"/>
      <c r="J8" s="692"/>
      <c r="K8" s="692">
        <v>1760736</v>
      </c>
      <c r="L8" s="692">
        <v>15284</v>
      </c>
      <c r="M8" s="692"/>
      <c r="N8" s="692"/>
      <c r="O8" s="692"/>
      <c r="P8" s="692"/>
      <c r="Q8" s="692"/>
      <c r="R8" s="692"/>
      <c r="S8" s="692"/>
      <c r="T8" s="692">
        <v>195222</v>
      </c>
      <c r="U8" s="692">
        <v>30000</v>
      </c>
      <c r="V8" s="692">
        <v>30000</v>
      </c>
      <c r="W8" s="692">
        <v>30000</v>
      </c>
      <c r="X8" s="692">
        <v>0</v>
      </c>
    </row>
    <row r="9" spans="1:24" x14ac:dyDescent="0.25">
      <c r="A9" s="606" t="s">
        <v>328</v>
      </c>
      <c r="B9" s="603" t="s">
        <v>969</v>
      </c>
      <c r="C9" s="603"/>
      <c r="D9" s="603"/>
      <c r="E9" s="603"/>
      <c r="F9" s="603"/>
      <c r="G9" s="603"/>
      <c r="H9" s="603"/>
      <c r="I9" s="604"/>
      <c r="J9" s="604"/>
      <c r="K9" s="605"/>
      <c r="L9" s="603">
        <v>1963</v>
      </c>
      <c r="M9" s="603"/>
      <c r="N9" s="603"/>
      <c r="O9" s="603"/>
      <c r="P9" s="603"/>
      <c r="Q9" s="603"/>
      <c r="R9" s="603"/>
      <c r="S9" s="603"/>
      <c r="T9" s="608" t="s">
        <v>1362</v>
      </c>
      <c r="U9" s="608">
        <v>0</v>
      </c>
      <c r="V9" s="608">
        <v>17825</v>
      </c>
      <c r="W9" s="608">
        <v>26463</v>
      </c>
      <c r="X9" s="608">
        <v>17825</v>
      </c>
    </row>
    <row r="10" spans="1:24" x14ac:dyDescent="0.25">
      <c r="A10" s="606" t="s">
        <v>1057</v>
      </c>
      <c r="B10" s="603" t="s">
        <v>1449</v>
      </c>
      <c r="C10" s="603"/>
      <c r="D10" s="603"/>
      <c r="E10" s="603"/>
      <c r="F10" s="603"/>
      <c r="G10" s="603"/>
      <c r="H10" s="603"/>
      <c r="I10" s="604"/>
      <c r="J10" s="604"/>
      <c r="K10" s="605"/>
      <c r="L10" s="603"/>
      <c r="M10" s="603"/>
      <c r="N10" s="603"/>
      <c r="O10" s="603"/>
      <c r="P10" s="603"/>
      <c r="Q10" s="603"/>
      <c r="R10" s="603"/>
      <c r="S10" s="603"/>
      <c r="T10" s="608"/>
      <c r="U10" s="608"/>
      <c r="V10" s="608">
        <v>871657</v>
      </c>
      <c r="W10" s="608">
        <v>1586087</v>
      </c>
      <c r="X10" s="608">
        <v>521044</v>
      </c>
    </row>
    <row r="11" spans="1:24" x14ac:dyDescent="0.25">
      <c r="A11" s="696"/>
      <c r="B11" s="697" t="s">
        <v>1357</v>
      </c>
      <c r="C11" s="697"/>
      <c r="D11" s="697"/>
      <c r="E11" s="697"/>
      <c r="F11" s="697"/>
      <c r="G11" s="698">
        <v>50000</v>
      </c>
      <c r="H11" s="698">
        <v>50000</v>
      </c>
      <c r="I11" s="698">
        <v>50000</v>
      </c>
      <c r="J11" s="698">
        <v>50000</v>
      </c>
      <c r="K11" s="698">
        <f>K6</f>
        <v>1795736</v>
      </c>
      <c r="L11" s="698">
        <v>1829836</v>
      </c>
      <c r="M11" s="698">
        <v>50000</v>
      </c>
      <c r="N11" s="698">
        <v>50000</v>
      </c>
      <c r="O11" s="698">
        <v>50000</v>
      </c>
      <c r="P11" s="698">
        <v>50000</v>
      </c>
      <c r="Q11" s="698">
        <v>50000</v>
      </c>
      <c r="R11" s="698">
        <v>50000</v>
      </c>
      <c r="S11" s="698">
        <v>50000</v>
      </c>
      <c r="T11" s="698">
        <v>195222</v>
      </c>
      <c r="U11" s="698">
        <f>+U3+U9</f>
        <v>139260</v>
      </c>
      <c r="V11" s="698">
        <f>+V3+V9+V10</f>
        <v>1028742</v>
      </c>
      <c r="W11" s="698">
        <f>+W3+W9+W10</f>
        <v>1751810</v>
      </c>
      <c r="X11" s="698">
        <f>+X3+X9+X10</f>
        <v>555509</v>
      </c>
    </row>
    <row r="14" spans="1:24" x14ac:dyDescent="0.25">
      <c r="T14" s="176">
        <v>111067</v>
      </c>
    </row>
    <row r="22" spans="20:20" x14ac:dyDescent="0.25">
      <c r="T22" s="176">
        <v>29150</v>
      </c>
    </row>
    <row r="23" spans="20:20" x14ac:dyDescent="0.25">
      <c r="T23" s="176">
        <v>8252</v>
      </c>
    </row>
    <row r="24" spans="20:20" x14ac:dyDescent="0.25">
      <c r="T24" s="176">
        <v>5156</v>
      </c>
    </row>
    <row r="25" spans="20:20" x14ac:dyDescent="0.25">
      <c r="T25" s="176">
        <v>8312</v>
      </c>
    </row>
    <row r="26" spans="20:20" x14ac:dyDescent="0.25">
      <c r="T26" s="176">
        <v>275</v>
      </c>
    </row>
    <row r="27" spans="20:20" x14ac:dyDescent="0.25">
      <c r="T27" s="176">
        <v>1316</v>
      </c>
    </row>
    <row r="28" spans="20:20" x14ac:dyDescent="0.25">
      <c r="T28" s="176">
        <v>17</v>
      </c>
    </row>
    <row r="29" spans="20:20" x14ac:dyDescent="0.25">
      <c r="T29" s="816">
        <f>+T20+T3</f>
        <v>195222</v>
      </c>
    </row>
  </sheetData>
  <customSheetViews>
    <customSheetView guid="{7F1DC213-A29D-4C8C-BAC3-F1BD898020FD}" zeroValues="0" hiddenColumns="1">
      <pane xSplit="5" ySplit="2" topLeftCell="U3" activePane="bottomRight" state="frozen"/>
      <selection pane="bottomRight" activeCell="V10" sqref="V10"/>
      <pageMargins left="0.70866141732283472" right="0.70866141732283472" top="1.1417322834645669" bottom="0.74803149606299213" header="0.31496062992125984" footer="0.31496062992125984"/>
      <printOptions horizontalCentered="1"/>
      <pageSetup paperSize="9" scale="80" fitToHeight="0" orientation="portrait" r:id="rId1"/>
      <headerFooter>
        <oddHeader>&amp;L 9. melléklet a ...../2019. (.....) önkormányzati rendelethez&amp;C&amp;"Times New Roman,Félkövér"&amp;12Felújítások célonkénti részletezése2019. év&amp;RAdatok ezer forintban</oddHeader>
      </headerFooter>
    </customSheetView>
    <customSheetView guid="{4DCB1349-1166-4B69-AE14-D6B08F9FCE74}" zeroValues="0" hiddenColumns="1">
      <pane xSplit="5" ySplit="2" topLeftCell="U3" activePane="bottomRight" state="frozen"/>
      <selection pane="bottomRight" activeCell="V10" sqref="V10"/>
      <pageMargins left="0.70866141732283472" right="0.70866141732283472" top="1.1417322834645669" bottom="0.74803149606299213" header="0.31496062992125984" footer="0.31496062992125984"/>
      <printOptions horizontalCentered="1"/>
      <pageSetup paperSize="9" scale="80" fitToHeight="0" orientation="portrait" r:id="rId2"/>
      <headerFooter>
        <oddHeader>&amp;L 9. melléklet a ...../2019. (.....) önkormányzati rendelethez&amp;C&amp;"Times New Roman,Félkövér"&amp;12Felújítások célonkénti részletezése2019. év&amp;RAdatok ezer forintban</oddHeader>
      </headerFooter>
    </customSheetView>
  </customSheetViews>
  <mergeCells count="4">
    <mergeCell ref="L2:O2"/>
    <mergeCell ref="P2:S2"/>
    <mergeCell ref="D2:G2"/>
    <mergeCell ref="H2:K2"/>
  </mergeCells>
  <printOptions horizontalCentered="1"/>
  <pageMargins left="0.70866141732283472" right="0.70866141732283472" top="1.1417322834645669" bottom="0.74803149606299213" header="0.31496062992125984" footer="0.31496062992125984"/>
  <pageSetup paperSize="9" scale="80" fitToHeight="0" orientation="portrait" r:id="rId3"/>
  <headerFooter>
    <oddHeader>&amp;L9. melléklet a 3/2019. (II.20.) önkormányzati rendelethez&amp;C&amp;"Times New Roman,Félkövér"&amp;12
&amp;"-,Félkövér"&amp;14Felújítások célonkénti részletezése2019. év&amp;RAdatok ezer forintban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</sheetPr>
  <dimension ref="A1:N30"/>
  <sheetViews>
    <sheetView view="pageLayout" zoomScaleNormal="100" zoomScaleSheetLayoutView="100" workbookViewId="0">
      <selection activeCell="C15" sqref="C15"/>
    </sheetView>
  </sheetViews>
  <sheetFormatPr defaultRowHeight="15" x14ac:dyDescent="0.25"/>
  <cols>
    <col min="2" max="2" width="55.140625" style="246" customWidth="1"/>
    <col min="3" max="3" width="18.42578125" customWidth="1"/>
    <col min="4" max="4" width="13.42578125" customWidth="1"/>
    <col min="9" max="9" width="10" bestFit="1" customWidth="1"/>
    <col min="11" max="11" width="14.42578125" customWidth="1"/>
    <col min="12" max="12" width="14.5703125" bestFit="1" customWidth="1"/>
    <col min="13" max="13" width="14.5703125" customWidth="1"/>
    <col min="14" max="14" width="18.140625" customWidth="1"/>
  </cols>
  <sheetData>
    <row r="1" spans="1:13" ht="75.75" customHeight="1" x14ac:dyDescent="0.25">
      <c r="A1" s="981" t="s">
        <v>1088</v>
      </c>
      <c r="B1" s="981"/>
      <c r="C1" s="981"/>
    </row>
    <row r="2" spans="1:13" s="715" customFormat="1" ht="18.75" customHeight="1" x14ac:dyDescent="0.25">
      <c r="A2" s="718" t="s">
        <v>1088</v>
      </c>
      <c r="B2" s="718" t="s">
        <v>1365</v>
      </c>
      <c r="C2" s="718" t="s">
        <v>1366</v>
      </c>
      <c r="K2" s="716"/>
      <c r="L2" s="716"/>
      <c r="M2" s="716"/>
    </row>
    <row r="3" spans="1:13" ht="39" customHeight="1" x14ac:dyDescent="0.25">
      <c r="A3" s="717" t="s">
        <v>1089</v>
      </c>
      <c r="B3" s="717" t="s">
        <v>306</v>
      </c>
      <c r="C3" s="717" t="s">
        <v>1419</v>
      </c>
    </row>
    <row r="4" spans="1:13" x14ac:dyDescent="0.25">
      <c r="A4" s="237" t="s">
        <v>1090</v>
      </c>
      <c r="B4" s="238" t="s">
        <v>1091</v>
      </c>
      <c r="C4" s="239">
        <v>877224</v>
      </c>
      <c r="K4" s="507"/>
      <c r="L4" s="507"/>
      <c r="M4" s="507"/>
    </row>
    <row r="5" spans="1:13" x14ac:dyDescent="0.25">
      <c r="A5" s="237" t="s">
        <v>1092</v>
      </c>
      <c r="B5" s="238" t="s">
        <v>1093</v>
      </c>
      <c r="C5" s="239"/>
      <c r="K5" s="247"/>
      <c r="L5" s="247"/>
      <c r="M5" s="247"/>
    </row>
    <row r="6" spans="1:13" x14ac:dyDescent="0.25">
      <c r="A6" s="237" t="s">
        <v>1094</v>
      </c>
      <c r="B6" s="238" t="s">
        <v>1095</v>
      </c>
      <c r="C6" s="239">
        <v>1500</v>
      </c>
    </row>
    <row r="7" spans="1:13" ht="30" x14ac:dyDescent="0.25">
      <c r="A7" s="237" t="s">
        <v>1096</v>
      </c>
      <c r="B7" s="238" t="s">
        <v>1097</v>
      </c>
      <c r="C7" s="239">
        <v>35000</v>
      </c>
      <c r="M7" s="247"/>
    </row>
    <row r="8" spans="1:13" x14ac:dyDescent="0.25">
      <c r="A8" s="237" t="s">
        <v>1098</v>
      </c>
      <c r="B8" s="238" t="s">
        <v>1099</v>
      </c>
      <c r="C8" s="239"/>
    </row>
    <row r="9" spans="1:13" ht="30" x14ac:dyDescent="0.25">
      <c r="A9" s="237" t="s">
        <v>1100</v>
      </c>
      <c r="B9" s="238" t="s">
        <v>1101</v>
      </c>
      <c r="C9" s="239"/>
      <c r="M9" s="507"/>
    </row>
    <row r="10" spans="1:13" x14ac:dyDescent="0.25">
      <c r="A10" s="237" t="s">
        <v>1102</v>
      </c>
      <c r="B10" s="238" t="s">
        <v>1103</v>
      </c>
      <c r="C10" s="239"/>
      <c r="M10" s="247"/>
    </row>
    <row r="11" spans="1:13" x14ac:dyDescent="0.25">
      <c r="A11" s="240" t="s">
        <v>1104</v>
      </c>
      <c r="B11" s="241" t="s">
        <v>1105</v>
      </c>
      <c r="C11" s="242">
        <f>SUM(C4:C10)</f>
        <v>913724</v>
      </c>
    </row>
    <row r="12" spans="1:13" x14ac:dyDescent="0.25">
      <c r="A12" s="243" t="s">
        <v>1106</v>
      </c>
      <c r="B12" s="244" t="s">
        <v>1107</v>
      </c>
      <c r="C12" s="245">
        <f>C11*0.5</f>
        <v>456862</v>
      </c>
      <c r="M12" s="247"/>
    </row>
    <row r="13" spans="1:13" ht="25.5" x14ac:dyDescent="0.25">
      <c r="A13" s="240" t="s">
        <v>1108</v>
      </c>
      <c r="B13" s="241" t="s">
        <v>1109</v>
      </c>
      <c r="C13" s="242">
        <f>SUM(C14:C20)</f>
        <v>65630</v>
      </c>
    </row>
    <row r="14" spans="1:13" x14ac:dyDescent="0.25">
      <c r="A14" s="237" t="s">
        <v>1110</v>
      </c>
      <c r="B14" s="238" t="s">
        <v>1111</v>
      </c>
      <c r="C14" s="239">
        <v>65630</v>
      </c>
      <c r="M14" s="507"/>
    </row>
    <row r="15" spans="1:13" x14ac:dyDescent="0.25">
      <c r="A15" s="237" t="s">
        <v>1112</v>
      </c>
      <c r="B15" s="238" t="s">
        <v>1113</v>
      </c>
      <c r="C15" s="239"/>
      <c r="M15" s="247"/>
    </row>
    <row r="16" spans="1:13" x14ac:dyDescent="0.25">
      <c r="A16" s="237" t="s">
        <v>1114</v>
      </c>
      <c r="B16" s="238" t="s">
        <v>1115</v>
      </c>
      <c r="C16" s="239"/>
    </row>
    <row r="17" spans="1:14" x14ac:dyDescent="0.25">
      <c r="A17" s="237" t="s">
        <v>1116</v>
      </c>
      <c r="B17" s="238" t="s">
        <v>1117</v>
      </c>
      <c r="C17" s="239"/>
      <c r="M17" s="247"/>
      <c r="N17" s="247"/>
    </row>
    <row r="18" spans="1:14" x14ac:dyDescent="0.25">
      <c r="A18" s="237" t="s">
        <v>1118</v>
      </c>
      <c r="B18" s="238" t="s">
        <v>1119</v>
      </c>
      <c r="C18" s="239"/>
    </row>
    <row r="19" spans="1:14" x14ac:dyDescent="0.25">
      <c r="A19" s="237" t="s">
        <v>1120</v>
      </c>
      <c r="B19" s="238" t="s">
        <v>1121</v>
      </c>
      <c r="C19" s="239"/>
      <c r="M19" s="507"/>
      <c r="N19" s="507"/>
    </row>
    <row r="20" spans="1:14" x14ac:dyDescent="0.25">
      <c r="A20" s="237" t="s">
        <v>1122</v>
      </c>
      <c r="B20" s="238" t="s">
        <v>1123</v>
      </c>
      <c r="C20" s="348">
        <v>0</v>
      </c>
      <c r="M20" s="247"/>
      <c r="N20" s="247"/>
    </row>
    <row r="21" spans="1:14" ht="25.5" x14ac:dyDescent="0.25">
      <c r="A21" s="240" t="s">
        <v>1124</v>
      </c>
      <c r="B21" s="241" t="s">
        <v>1125</v>
      </c>
      <c r="C21" s="242">
        <f>SUM(C22:C28)</f>
        <v>2138</v>
      </c>
      <c r="N21" s="508"/>
    </row>
    <row r="22" spans="1:14" x14ac:dyDescent="0.25">
      <c r="A22" s="237" t="s">
        <v>1126</v>
      </c>
      <c r="B22" s="238" t="s">
        <v>1111</v>
      </c>
      <c r="C22" s="239"/>
    </row>
    <row r="23" spans="1:14" x14ac:dyDescent="0.25">
      <c r="A23" s="237" t="s">
        <v>1127</v>
      </c>
      <c r="B23" s="238" t="s">
        <v>1113</v>
      </c>
      <c r="C23" s="239"/>
    </row>
    <row r="24" spans="1:14" x14ac:dyDescent="0.25">
      <c r="A24" s="237" t="s">
        <v>1128</v>
      </c>
      <c r="B24" s="238" t="s">
        <v>1115</v>
      </c>
      <c r="C24" s="239"/>
    </row>
    <row r="25" spans="1:14" x14ac:dyDescent="0.25">
      <c r="A25" s="237" t="s">
        <v>1129</v>
      </c>
      <c r="B25" s="238" t="s">
        <v>1117</v>
      </c>
      <c r="C25" s="239"/>
    </row>
    <row r="26" spans="1:14" x14ac:dyDescent="0.25">
      <c r="A26" s="237" t="s">
        <v>1130</v>
      </c>
      <c r="B26" s="347" t="s">
        <v>1119</v>
      </c>
      <c r="C26" s="239">
        <v>2138</v>
      </c>
    </row>
    <row r="27" spans="1:14" x14ac:dyDescent="0.25">
      <c r="A27" s="237" t="s">
        <v>1131</v>
      </c>
      <c r="B27" s="238" t="s">
        <v>1121</v>
      </c>
      <c r="C27" s="239"/>
    </row>
    <row r="28" spans="1:14" x14ac:dyDescent="0.25">
      <c r="A28" s="237" t="s">
        <v>1132</v>
      </c>
      <c r="B28" s="238" t="s">
        <v>1123</v>
      </c>
      <c r="C28" s="239"/>
    </row>
    <row r="29" spans="1:14" x14ac:dyDescent="0.25">
      <c r="A29" s="243" t="s">
        <v>1133</v>
      </c>
      <c r="B29" s="244" t="s">
        <v>1134</v>
      </c>
      <c r="C29" s="245">
        <f>C13+C21</f>
        <v>67768</v>
      </c>
    </row>
    <row r="30" spans="1:14" x14ac:dyDescent="0.25">
      <c r="A30" s="693" t="s">
        <v>1135</v>
      </c>
      <c r="B30" s="694" t="s">
        <v>1136</v>
      </c>
      <c r="C30" s="695">
        <f>C12-C29</f>
        <v>389094</v>
      </c>
    </row>
  </sheetData>
  <customSheetViews>
    <customSheetView guid="{7F1DC213-A29D-4C8C-BAC3-F1BD898020FD}" topLeftCell="A4">
      <selection activeCell="K18" sqref="K18"/>
      <colBreaks count="1" manualBreakCount="1">
        <brk id="3" max="29" man="1"/>
      </colBreaks>
      <pageMargins left="0.70866141732283472" right="0.70866141732283472" top="0.74803149606299213" bottom="0.74803149606299213" header="0.31496062992125984" footer="0.31496062992125984"/>
      <printOptions horizontalCentered="1"/>
      <pageSetup paperSize="9" scale="85" orientation="portrait" r:id="rId1"/>
      <headerFooter>
        <oddHeader>&amp;L10. melléklet a .../2019. (....) önkormányzati rendelethez&amp;RAdatok ezer forintban</oddHeader>
      </headerFooter>
    </customSheetView>
    <customSheetView guid="{4DCB1349-1166-4B69-AE14-D6B08F9FCE74}" topLeftCell="A4">
      <selection activeCell="K18" sqref="K18"/>
      <colBreaks count="1" manualBreakCount="1">
        <brk id="3" max="29" man="1"/>
      </colBreaks>
      <pageMargins left="0.70866141732283472" right="0.70866141732283472" top="0.74803149606299213" bottom="0.74803149606299213" header="0.31496062992125984" footer="0.31496062992125984"/>
      <printOptions horizontalCentered="1"/>
      <pageSetup paperSize="9" scale="85" orientation="portrait" r:id="rId2"/>
      <headerFooter>
        <oddHeader>&amp;L10. melléklet a .../2019. (....) önkormányzati rendelethez&amp;RAdatok ezer forintban</oddHeader>
      </headerFooter>
    </customSheetView>
  </customSheetViews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3"/>
  <headerFooter>
    <oddHeader>&amp;L10. melléklet a 3/2019. (II.20.) önkormányzati rendelethez&amp;RAdatok ezer forintban</oddHeader>
  </headerFooter>
  <colBreaks count="1" manualBreakCount="1">
    <brk id="3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M60"/>
  <sheetViews>
    <sheetView view="pageLayout" zoomScaleNormal="100" zoomScaleSheetLayoutView="75" workbookViewId="0"/>
  </sheetViews>
  <sheetFormatPr defaultRowHeight="15" x14ac:dyDescent="0.25"/>
  <cols>
    <col min="1" max="1" width="5.7109375" style="216" customWidth="1"/>
    <col min="2" max="2" width="47.42578125" style="246" customWidth="1"/>
    <col min="3" max="3" width="13.28515625" style="246" hidden="1" customWidth="1"/>
    <col min="4" max="4" width="9.85546875" style="246" hidden="1" customWidth="1"/>
    <col min="5" max="5" width="10.140625" style="246" hidden="1" customWidth="1"/>
    <col min="6" max="6" width="10.5703125" style="246" hidden="1" customWidth="1"/>
    <col min="7" max="7" width="9.7109375" style="246" hidden="1" customWidth="1"/>
    <col min="8" max="8" width="9.85546875" style="246" hidden="1" customWidth="1"/>
    <col min="9" max="9" width="9.85546875" style="427" hidden="1" customWidth="1"/>
    <col min="10" max="10" width="10" style="427" hidden="1" customWidth="1"/>
    <col min="11" max="11" width="9.85546875" style="427" hidden="1" customWidth="1"/>
    <col min="12" max="12" width="10.85546875" style="246" hidden="1" customWidth="1"/>
    <col min="13" max="13" width="10.140625" style="246" hidden="1" customWidth="1"/>
    <col min="14" max="14" width="10.5703125" style="246" hidden="1" customWidth="1"/>
    <col min="15" max="15" width="9.85546875" style="246" hidden="1" customWidth="1"/>
    <col min="16" max="16" width="10.42578125" style="246" hidden="1" customWidth="1"/>
    <col min="17" max="17" width="10.85546875" style="246" hidden="1" customWidth="1"/>
    <col min="18" max="18" width="9.7109375" style="246" hidden="1" customWidth="1"/>
    <col min="19" max="19" width="9.85546875" style="246" hidden="1" customWidth="1"/>
    <col min="20" max="20" width="12" style="246" hidden="1" customWidth="1"/>
    <col min="21" max="21" width="13.28515625" style="246" hidden="1" customWidth="1"/>
    <col min="22" max="22" width="12.7109375" style="246" hidden="1" customWidth="1"/>
    <col min="23" max="23" width="12.42578125" style="246" hidden="1" customWidth="1"/>
    <col min="24" max="24" width="10.85546875" style="246" customWidth="1"/>
    <col min="25" max="25" width="10.140625" style="246" customWidth="1"/>
    <col min="26" max="26" width="10.5703125" style="246" customWidth="1"/>
    <col min="27" max="27" width="9.85546875" style="246" customWidth="1"/>
    <col min="28" max="28" width="12" style="246" customWidth="1"/>
    <col min="29" max="29" width="9.140625" style="246"/>
    <col min="30" max="30" width="10.7109375" style="246" customWidth="1"/>
    <col min="31" max="31" width="10.85546875" style="246" customWidth="1"/>
    <col min="32" max="32" width="11.28515625" style="246" customWidth="1"/>
    <col min="33" max="33" width="10.42578125" style="246" customWidth="1"/>
    <col min="34" max="34" width="10" style="246" customWidth="1"/>
    <col min="35" max="35" width="12" style="246" customWidth="1"/>
    <col min="36" max="36" width="11.7109375" style="246" hidden="1" customWidth="1"/>
    <col min="37" max="37" width="11.28515625" style="246" hidden="1" customWidth="1"/>
    <col min="38" max="38" width="11" style="246" hidden="1" customWidth="1"/>
    <col min="39" max="39" width="12.140625" style="246" hidden="1" customWidth="1"/>
    <col min="40" max="16384" width="9.140625" style="246"/>
  </cols>
  <sheetData>
    <row r="1" spans="1:39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X1" s="742" t="s">
        <v>1366</v>
      </c>
      <c r="Y1" s="742" t="s">
        <v>1376</v>
      </c>
      <c r="Z1" s="742" t="s">
        <v>1377</v>
      </c>
      <c r="AA1" s="742" t="s">
        <v>1378</v>
      </c>
      <c r="AB1" s="742" t="s">
        <v>1379</v>
      </c>
      <c r="AC1" s="742" t="s">
        <v>1380</v>
      </c>
      <c r="AD1" s="742" t="s">
        <v>1381</v>
      </c>
      <c r="AE1" s="742" t="s">
        <v>1382</v>
      </c>
      <c r="AF1" s="742" t="s">
        <v>1383</v>
      </c>
      <c r="AG1" s="742" t="s">
        <v>1384</v>
      </c>
      <c r="AH1" s="742" t="s">
        <v>1385</v>
      </c>
      <c r="AI1" s="742" t="s">
        <v>1386</v>
      </c>
      <c r="AJ1" s="742"/>
      <c r="AK1" s="742"/>
      <c r="AL1" s="742"/>
      <c r="AM1" s="742"/>
    </row>
    <row r="2" spans="1:39" ht="30" customHeight="1" x14ac:dyDescent="0.25">
      <c r="A2" s="897" t="s">
        <v>305</v>
      </c>
      <c r="B2" s="897" t="s">
        <v>472</v>
      </c>
      <c r="C2" s="591" t="s">
        <v>1193</v>
      </c>
      <c r="D2" s="898" t="s">
        <v>1279</v>
      </c>
      <c r="E2" s="899"/>
      <c r="F2" s="899"/>
      <c r="G2" s="900"/>
      <c r="H2" s="898" t="s">
        <v>1391</v>
      </c>
      <c r="I2" s="899"/>
      <c r="J2" s="899"/>
      <c r="K2" s="900"/>
      <c r="L2" s="898" t="s">
        <v>1392</v>
      </c>
      <c r="M2" s="899"/>
      <c r="N2" s="899"/>
      <c r="O2" s="900"/>
      <c r="P2" s="898" t="s">
        <v>1280</v>
      </c>
      <c r="Q2" s="899"/>
      <c r="R2" s="899"/>
      <c r="S2" s="900"/>
      <c r="T2" s="898" t="s">
        <v>1387</v>
      </c>
      <c r="U2" s="901"/>
      <c r="V2" s="901"/>
      <c r="W2" s="902"/>
      <c r="X2" s="898" t="s">
        <v>1414</v>
      </c>
      <c r="Y2" s="899"/>
      <c r="Z2" s="899"/>
      <c r="AA2" s="900"/>
      <c r="AB2" s="897" t="s">
        <v>1455</v>
      </c>
      <c r="AC2" s="897"/>
      <c r="AD2" s="897"/>
      <c r="AE2" s="897"/>
      <c r="AF2" s="897" t="s">
        <v>1445</v>
      </c>
      <c r="AG2" s="897"/>
      <c r="AH2" s="897"/>
      <c r="AI2" s="897"/>
      <c r="AJ2" s="897" t="s">
        <v>1456</v>
      </c>
      <c r="AK2" s="897"/>
      <c r="AL2" s="897"/>
      <c r="AM2" s="897"/>
    </row>
    <row r="3" spans="1:39" ht="60" x14ac:dyDescent="0.25">
      <c r="A3" s="897"/>
      <c r="B3" s="897"/>
      <c r="C3" s="591" t="s">
        <v>546</v>
      </c>
      <c r="D3" s="591" t="s">
        <v>1209</v>
      </c>
      <c r="E3" s="591" t="s">
        <v>1210</v>
      </c>
      <c r="F3" s="591" t="s">
        <v>1211</v>
      </c>
      <c r="G3" s="591" t="s">
        <v>546</v>
      </c>
      <c r="H3" s="591" t="s">
        <v>1209</v>
      </c>
      <c r="I3" s="616" t="s">
        <v>1210</v>
      </c>
      <c r="J3" s="616" t="s">
        <v>1211</v>
      </c>
      <c r="K3" s="616" t="s">
        <v>546</v>
      </c>
      <c r="L3" s="591" t="s">
        <v>1209</v>
      </c>
      <c r="M3" s="616" t="s">
        <v>1210</v>
      </c>
      <c r="N3" s="616" t="s">
        <v>1211</v>
      </c>
      <c r="O3" s="616" t="s">
        <v>546</v>
      </c>
      <c r="P3" s="591" t="s">
        <v>1209</v>
      </c>
      <c r="Q3" s="616" t="s">
        <v>1210</v>
      </c>
      <c r="R3" s="616" t="s">
        <v>1211</v>
      </c>
      <c r="S3" s="616" t="s">
        <v>546</v>
      </c>
      <c r="T3" s="591" t="s">
        <v>1209</v>
      </c>
      <c r="U3" s="616" t="s">
        <v>1210</v>
      </c>
      <c r="V3" s="616" t="s">
        <v>1211</v>
      </c>
      <c r="W3" s="616" t="s">
        <v>546</v>
      </c>
      <c r="X3" s="813" t="s">
        <v>1209</v>
      </c>
      <c r="Y3" s="616" t="s">
        <v>1210</v>
      </c>
      <c r="Z3" s="616" t="s">
        <v>1211</v>
      </c>
      <c r="AA3" s="616" t="s">
        <v>546</v>
      </c>
      <c r="AB3" s="856" t="s">
        <v>1209</v>
      </c>
      <c r="AC3" s="856" t="s">
        <v>1210</v>
      </c>
      <c r="AD3" s="856" t="s">
        <v>1211</v>
      </c>
      <c r="AE3" s="856" t="s">
        <v>546</v>
      </c>
      <c r="AF3" s="882" t="s">
        <v>1209</v>
      </c>
      <c r="AG3" s="882" t="s">
        <v>1210</v>
      </c>
      <c r="AH3" s="882" t="s">
        <v>1211</v>
      </c>
      <c r="AI3" s="882" t="s">
        <v>546</v>
      </c>
      <c r="AJ3" s="882" t="s">
        <v>1209</v>
      </c>
      <c r="AK3" s="882" t="s">
        <v>1210</v>
      </c>
      <c r="AL3" s="882" t="s">
        <v>1211</v>
      </c>
      <c r="AM3" s="882" t="s">
        <v>546</v>
      </c>
    </row>
    <row r="4" spans="1:39" x14ac:dyDescent="0.25">
      <c r="A4" s="456" t="s">
        <v>309</v>
      </c>
      <c r="B4" s="457" t="s">
        <v>310</v>
      </c>
      <c r="C4" s="458">
        <f>C5+C10+C17+C27</f>
        <v>0</v>
      </c>
      <c r="D4" s="458">
        <f>D5+D10+D17+D27</f>
        <v>2358308</v>
      </c>
      <c r="E4" s="458">
        <f t="shared" ref="E4:F4" si="0">E5+E10+E17+E27</f>
        <v>58899</v>
      </c>
      <c r="F4" s="458">
        <f t="shared" si="0"/>
        <v>0</v>
      </c>
      <c r="G4" s="458">
        <f>SUM(D4:F4)</f>
        <v>2417207</v>
      </c>
      <c r="H4" s="458">
        <f>H5+H10+H17+H27</f>
        <v>2703066</v>
      </c>
      <c r="I4" s="462">
        <f t="shared" ref="I4:J4" si="1">I5+I10+I17+I27</f>
        <v>58899</v>
      </c>
      <c r="J4" s="462">
        <f t="shared" si="1"/>
        <v>0</v>
      </c>
      <c r="K4" s="462">
        <f>SUM(H4:J4)</f>
        <v>2761965</v>
      </c>
      <c r="L4" s="458">
        <f>L5+L10+L17+L27</f>
        <v>2763032</v>
      </c>
      <c r="M4" s="462">
        <f t="shared" ref="M4:N4" si="2">M5+M10+M17+M27</f>
        <v>66304</v>
      </c>
      <c r="N4" s="462">
        <f t="shared" si="2"/>
        <v>0</v>
      </c>
      <c r="O4" s="462">
        <f>SUM(L4:N4)</f>
        <v>2829336</v>
      </c>
      <c r="P4" s="458">
        <f>P5+P10+P17+P27</f>
        <v>0</v>
      </c>
      <c r="Q4" s="462">
        <f t="shared" ref="Q4:R4" si="3">Q5+Q10+Q17+Q27</f>
        <v>0</v>
      </c>
      <c r="R4" s="462">
        <f t="shared" si="3"/>
        <v>0</v>
      </c>
      <c r="S4" s="462">
        <f>SUM(P4:R4)</f>
        <v>0</v>
      </c>
      <c r="T4" s="458" t="e">
        <f>T5+T10+T17+T27</f>
        <v>#REF!</v>
      </c>
      <c r="U4" s="462" t="e">
        <f t="shared" ref="U4:V4" si="4">U5+U10+U17+U27</f>
        <v>#REF!</v>
      </c>
      <c r="V4" s="462" t="e">
        <f t="shared" si="4"/>
        <v>#REF!</v>
      </c>
      <c r="W4" s="462" t="e">
        <f>SUM(T4:V4)</f>
        <v>#REF!</v>
      </c>
      <c r="X4" s="458">
        <f>X5+X10+X17+X27</f>
        <v>2568117</v>
      </c>
      <c r="Y4" s="462">
        <f t="shared" ref="Y4:Z4" si="5">Y5+Y10+Y17+Y27</f>
        <v>73904</v>
      </c>
      <c r="Z4" s="462">
        <f t="shared" si="5"/>
        <v>0</v>
      </c>
      <c r="AA4" s="462">
        <f>SUM(X4:Z4)</f>
        <v>2642021</v>
      </c>
      <c r="AB4" s="458">
        <f>AB5+AB10+AB17+AB27</f>
        <v>2972646</v>
      </c>
      <c r="AC4" s="458">
        <f t="shared" ref="AC4:AD4" si="6">AC5+AC10+AC17+AC27</f>
        <v>32410</v>
      </c>
      <c r="AD4" s="458">
        <f t="shared" si="6"/>
        <v>0</v>
      </c>
      <c r="AE4" s="458">
        <f>SUM(AB4:AD4)</f>
        <v>3005056</v>
      </c>
      <c r="AF4" s="458">
        <f>AF5+AF10+AF17+AF27</f>
        <v>3192249</v>
      </c>
      <c r="AG4" s="458">
        <f t="shared" ref="AG4:AH4" si="7">AG5+AG10+AG17+AG27</f>
        <v>105730</v>
      </c>
      <c r="AH4" s="458">
        <f t="shared" si="7"/>
        <v>0</v>
      </c>
      <c r="AI4" s="458">
        <f>SUM(AF4:AH4)</f>
        <v>3297979</v>
      </c>
      <c r="AJ4" s="458">
        <f>AJ5+AJ10+AJ17+AJ27</f>
        <v>1523114</v>
      </c>
      <c r="AK4" s="458">
        <f t="shared" ref="AK4:AL4" si="8">AK5+AK10+AK17+AK27</f>
        <v>32647</v>
      </c>
      <c r="AL4" s="458">
        <f t="shared" si="8"/>
        <v>0</v>
      </c>
      <c r="AM4" s="458">
        <f>SUM(AJ4:AL4)</f>
        <v>1555761</v>
      </c>
    </row>
    <row r="5" spans="1:39" ht="30" x14ac:dyDescent="0.25">
      <c r="A5" s="617" t="s">
        <v>311</v>
      </c>
      <c r="B5" s="618" t="s">
        <v>312</v>
      </c>
      <c r="C5" s="619">
        <f t="shared" ref="C5" si="9">SUM(C6:C9)</f>
        <v>0</v>
      </c>
      <c r="D5" s="619">
        <f t="shared" ref="D5:F5" si="10">SUM(D6:D9)</f>
        <v>932744</v>
      </c>
      <c r="E5" s="619">
        <f t="shared" si="10"/>
        <v>0</v>
      </c>
      <c r="F5" s="619">
        <f t="shared" si="10"/>
        <v>0</v>
      </c>
      <c r="G5" s="619">
        <f t="shared" ref="G5:G60" si="11">SUM(D5:F5)</f>
        <v>932744</v>
      </c>
      <c r="H5" s="619">
        <f t="shared" ref="H5:J5" si="12">SUM(H6:H9)</f>
        <v>1191739</v>
      </c>
      <c r="I5" s="620">
        <f t="shared" si="12"/>
        <v>0</v>
      </c>
      <c r="J5" s="620">
        <f t="shared" si="12"/>
        <v>0</v>
      </c>
      <c r="K5" s="620">
        <f t="shared" ref="K5:K60" si="13">SUM(H5:J5)</f>
        <v>1191739</v>
      </c>
      <c r="L5" s="619">
        <f t="shared" ref="L5:N5" si="14">SUM(L6:L9)</f>
        <v>1251600</v>
      </c>
      <c r="M5" s="620">
        <f t="shared" si="14"/>
        <v>0</v>
      </c>
      <c r="N5" s="620">
        <f t="shared" si="14"/>
        <v>0</v>
      </c>
      <c r="O5" s="620">
        <f t="shared" ref="O5:O59" si="15">SUM(L5:N5)</f>
        <v>1251600</v>
      </c>
      <c r="P5" s="619">
        <f t="shared" ref="P5:R5" si="16">SUM(P6:P9)</f>
        <v>0</v>
      </c>
      <c r="Q5" s="620">
        <f t="shared" si="16"/>
        <v>0</v>
      </c>
      <c r="R5" s="620">
        <f t="shared" si="16"/>
        <v>0</v>
      </c>
      <c r="S5" s="620">
        <f t="shared" ref="S5:S60" si="17">SUM(P5:R5)</f>
        <v>0</v>
      </c>
      <c r="T5" s="619" t="e">
        <f t="shared" ref="T5:V5" si="18">SUM(T6:T9)</f>
        <v>#REF!</v>
      </c>
      <c r="U5" s="620" t="e">
        <f t="shared" si="18"/>
        <v>#REF!</v>
      </c>
      <c r="V5" s="620" t="e">
        <f t="shared" si="18"/>
        <v>#REF!</v>
      </c>
      <c r="W5" s="620" t="e">
        <f t="shared" ref="W5:W60" si="19">SUM(T5:V5)</f>
        <v>#REF!</v>
      </c>
      <c r="X5" s="619">
        <f>SUM(X6:X9)</f>
        <v>947204</v>
      </c>
      <c r="Y5" s="620">
        <f t="shared" ref="Y5:Z5" si="20">SUM(Y6:Y9)</f>
        <v>0</v>
      </c>
      <c r="Z5" s="620">
        <f t="shared" si="20"/>
        <v>0</v>
      </c>
      <c r="AA5" s="620">
        <f t="shared" ref="AA5" si="21">SUM(X5:Z5)</f>
        <v>947204</v>
      </c>
      <c r="AB5" s="619">
        <f>SUM(AB6:AB9)</f>
        <v>1267698</v>
      </c>
      <c r="AC5" s="619">
        <v>0</v>
      </c>
      <c r="AD5" s="619">
        <v>0</v>
      </c>
      <c r="AE5" s="619">
        <f>SUM(AB5:AD5)</f>
        <v>1267698</v>
      </c>
      <c r="AF5" s="619">
        <f>SUM(AF6:AF9)</f>
        <v>1459544</v>
      </c>
      <c r="AG5" s="619">
        <v>0</v>
      </c>
      <c r="AH5" s="619">
        <v>0</v>
      </c>
      <c r="AI5" s="619">
        <f>SUM(AF5:AH5)</f>
        <v>1459544</v>
      </c>
      <c r="AJ5" s="619">
        <f>SUM(AJ6:AJ9)</f>
        <v>724847</v>
      </c>
      <c r="AK5" s="619">
        <v>0</v>
      </c>
      <c r="AL5" s="619">
        <v>0</v>
      </c>
      <c r="AM5" s="619">
        <f>SUM(AJ5:AL5)</f>
        <v>724847</v>
      </c>
    </row>
    <row r="6" spans="1:39" s="95" customFormat="1" x14ac:dyDescent="0.25">
      <c r="A6" s="430"/>
      <c r="B6" s="299" t="s">
        <v>473</v>
      </c>
      <c r="C6" s="300"/>
      <c r="D6" s="300">
        <f>'2.1. Önk bev'!D7</f>
        <v>833424</v>
      </c>
      <c r="E6" s="300"/>
      <c r="F6" s="300"/>
      <c r="G6" s="300">
        <f>SUM(D6:F6)</f>
        <v>833424</v>
      </c>
      <c r="H6" s="300">
        <f>'2.1. Önk bev'!H7</f>
        <v>859008</v>
      </c>
      <c r="I6" s="410">
        <v>0</v>
      </c>
      <c r="J6" s="410">
        <v>0</v>
      </c>
      <c r="K6" s="410">
        <f>SUM(H6:J6)</f>
        <v>859008</v>
      </c>
      <c r="L6" s="300">
        <f>'2.1. Önk bev'!L7</f>
        <v>866427</v>
      </c>
      <c r="M6" s="410"/>
      <c r="N6" s="410"/>
      <c r="O6" s="410">
        <f>SUM(L6:N6)</f>
        <v>866427</v>
      </c>
      <c r="P6" s="300"/>
      <c r="Q6" s="410"/>
      <c r="R6" s="410"/>
      <c r="S6" s="410"/>
      <c r="T6" s="300">
        <f>'2.1. Önk bev'!X7</f>
        <v>303436</v>
      </c>
      <c r="U6" s="410">
        <f>'2.1. Önk bev'!Y7</f>
        <v>0</v>
      </c>
      <c r="V6" s="410">
        <f>'2.1. Önk bev'!Z7</f>
        <v>0</v>
      </c>
      <c r="W6" s="410">
        <f t="shared" si="19"/>
        <v>303436</v>
      </c>
      <c r="X6" s="300">
        <f>+'2.1. Önk bev'!P7</f>
        <v>860704</v>
      </c>
      <c r="Y6" s="410"/>
      <c r="Z6" s="410"/>
      <c r="AA6" s="410">
        <f>SUM(X6:Z6)</f>
        <v>860704</v>
      </c>
      <c r="AB6" s="325">
        <v>908678</v>
      </c>
      <c r="AC6" s="325"/>
      <c r="AD6" s="325"/>
      <c r="AE6" s="325">
        <f>SUM(AB6:AD6)</f>
        <v>908678</v>
      </c>
      <c r="AF6" s="325">
        <f>'2.1. Önk bev'!AF7+1</f>
        <v>975669</v>
      </c>
      <c r="AG6" s="325"/>
      <c r="AH6" s="325"/>
      <c r="AI6" s="325">
        <f>SUM(AF6:AH6)</f>
        <v>975669</v>
      </c>
      <c r="AJ6" s="325">
        <v>466914</v>
      </c>
      <c r="AK6" s="325"/>
      <c r="AL6" s="325"/>
      <c r="AM6" s="325">
        <f>SUM(AJ6:AL6)</f>
        <v>466914</v>
      </c>
    </row>
    <row r="7" spans="1:39" x14ac:dyDescent="0.25">
      <c r="A7" s="430"/>
      <c r="B7" s="299" t="s">
        <v>480</v>
      </c>
      <c r="C7" s="300"/>
      <c r="D7" s="300">
        <f>'2.1. Önk bev'!D15</f>
        <v>0</v>
      </c>
      <c r="E7" s="300"/>
      <c r="F7" s="300"/>
      <c r="G7" s="300">
        <f t="shared" ref="G7:G9" si="22">SUM(D7:F7)</f>
        <v>0</v>
      </c>
      <c r="H7" s="300">
        <f>'2.1. Önk bev'!H15</f>
        <v>4</v>
      </c>
      <c r="I7" s="410">
        <v>0</v>
      </c>
      <c r="J7" s="410">
        <v>0</v>
      </c>
      <c r="K7" s="410">
        <f t="shared" ref="K7:K9" si="23">SUM(H7:J7)</f>
        <v>4</v>
      </c>
      <c r="L7" s="300">
        <f>'2.1. Önk bev'!L15</f>
        <v>3</v>
      </c>
      <c r="M7" s="410"/>
      <c r="N7" s="410"/>
      <c r="O7" s="410">
        <f t="shared" ref="O7:O9" si="24">SUM(L7:N7)</f>
        <v>3</v>
      </c>
      <c r="P7" s="300"/>
      <c r="Q7" s="410"/>
      <c r="R7" s="410"/>
      <c r="S7" s="410"/>
      <c r="T7" s="300">
        <f>'2.1. Önk bev'!X15</f>
        <v>4</v>
      </c>
      <c r="U7" s="410">
        <f>'2.1. Önk bev'!Y15</f>
        <v>0</v>
      </c>
      <c r="V7" s="410">
        <f>'2.1. Önk bev'!Z15</f>
        <v>0</v>
      </c>
      <c r="W7" s="410">
        <f t="shared" si="19"/>
        <v>4</v>
      </c>
      <c r="X7" s="300">
        <f>+'2.1. Önk bev'!P15</f>
        <v>0</v>
      </c>
      <c r="Y7" s="410"/>
      <c r="Z7" s="410"/>
      <c r="AA7" s="410">
        <f t="shared" ref="AA7:AA10" si="25">SUM(X7:Z7)</f>
        <v>0</v>
      </c>
      <c r="AB7" s="445">
        <v>0</v>
      </c>
      <c r="AC7" s="445"/>
      <c r="AD7" s="445"/>
      <c r="AE7" s="325">
        <f t="shared" ref="AE7:AE9" si="26">SUM(AB7:AD7)</f>
        <v>0</v>
      </c>
      <c r="AF7" s="325">
        <v>0</v>
      </c>
      <c r="AG7" s="445"/>
      <c r="AH7" s="445"/>
      <c r="AI7" s="325">
        <f t="shared" ref="AI7:AI9" si="27">SUM(AF7:AH7)</f>
        <v>0</v>
      </c>
      <c r="AJ7" s="445">
        <v>0</v>
      </c>
      <c r="AK7" s="445"/>
      <c r="AL7" s="445"/>
      <c r="AM7" s="325">
        <f t="shared" ref="AM7:AM9" si="28">SUM(AJ7:AL7)</f>
        <v>0</v>
      </c>
    </row>
    <row r="8" spans="1:39" ht="30" x14ac:dyDescent="0.25">
      <c r="A8" s="430"/>
      <c r="B8" s="299" t="s">
        <v>481</v>
      </c>
      <c r="C8" s="300"/>
      <c r="D8" s="300">
        <f>'2.1. Önk bev'!D16</f>
        <v>0</v>
      </c>
      <c r="E8" s="300"/>
      <c r="F8" s="300"/>
      <c r="G8" s="300">
        <f t="shared" si="22"/>
        <v>0</v>
      </c>
      <c r="H8" s="300">
        <f>'2.1. Önk bev'!H16</f>
        <v>0</v>
      </c>
      <c r="I8" s="410">
        <v>0</v>
      </c>
      <c r="J8" s="410">
        <v>0</v>
      </c>
      <c r="K8" s="410">
        <f t="shared" si="23"/>
        <v>0</v>
      </c>
      <c r="L8" s="300">
        <f>'2.1. Önk bev'!L16</f>
        <v>0</v>
      </c>
      <c r="M8" s="410"/>
      <c r="N8" s="410"/>
      <c r="O8" s="410">
        <f t="shared" si="24"/>
        <v>0</v>
      </c>
      <c r="P8" s="300"/>
      <c r="Q8" s="410"/>
      <c r="R8" s="410"/>
      <c r="S8" s="410"/>
      <c r="T8" s="300">
        <f>'2.1. Önk bev'!X16</f>
        <v>0</v>
      </c>
      <c r="U8" s="410">
        <f>'2.1. Önk bev'!Y16</f>
        <v>0</v>
      </c>
      <c r="V8" s="410">
        <f>'2.1. Önk bev'!Z16</f>
        <v>0</v>
      </c>
      <c r="W8" s="410">
        <f t="shared" si="19"/>
        <v>0</v>
      </c>
      <c r="X8" s="300">
        <f>'2.1. Önk bev'!X16</f>
        <v>0</v>
      </c>
      <c r="Y8" s="410"/>
      <c r="Z8" s="410"/>
      <c r="AA8" s="410">
        <f t="shared" si="25"/>
        <v>0</v>
      </c>
      <c r="AB8" s="445">
        <v>0</v>
      </c>
      <c r="AC8" s="445"/>
      <c r="AD8" s="445"/>
      <c r="AE8" s="325">
        <f t="shared" si="26"/>
        <v>0</v>
      </c>
      <c r="AF8" s="445">
        <v>0</v>
      </c>
      <c r="AG8" s="445"/>
      <c r="AH8" s="445"/>
      <c r="AI8" s="325">
        <f t="shared" si="27"/>
        <v>0</v>
      </c>
      <c r="AJ8" s="445">
        <v>0</v>
      </c>
      <c r="AK8" s="445"/>
      <c r="AL8" s="445"/>
      <c r="AM8" s="325">
        <f t="shared" si="28"/>
        <v>0</v>
      </c>
    </row>
    <row r="9" spans="1:39" ht="30" x14ac:dyDescent="0.25">
      <c r="A9" s="430"/>
      <c r="B9" s="299" t="s">
        <v>482</v>
      </c>
      <c r="C9" s="300"/>
      <c r="D9" s="300">
        <f>'2.1. Önk bev'!D17+'6.3. KLMK'!D10</f>
        <v>99320</v>
      </c>
      <c r="E9" s="300"/>
      <c r="F9" s="300"/>
      <c r="G9" s="300">
        <f t="shared" si="22"/>
        <v>99320</v>
      </c>
      <c r="H9" s="300">
        <f>'2.1. Önk bev'!H17+'6.3. KLMK'!H10+'4.1. Vesz'!H10+'5. Eszi'!H10+'6.1. Óvoda'!H10</f>
        <v>332727</v>
      </c>
      <c r="I9" s="410">
        <v>0</v>
      </c>
      <c r="J9" s="410">
        <v>0</v>
      </c>
      <c r="K9" s="410">
        <f t="shared" si="23"/>
        <v>332727</v>
      </c>
      <c r="L9" s="300">
        <f>'2.1. Önk bev'!L17+'6.3. KLMK'!L10+'4.1. Vesz'!L10+'5. Eszi'!L10+'6.1. Óvoda'!L10+'6.2. Kalandpark'!L10+'6.4. Könyvtár'!L10</f>
        <v>385170</v>
      </c>
      <c r="M9" s="410"/>
      <c r="N9" s="410"/>
      <c r="O9" s="410">
        <f t="shared" si="24"/>
        <v>385170</v>
      </c>
      <c r="P9" s="300"/>
      <c r="Q9" s="410"/>
      <c r="R9" s="410"/>
      <c r="S9" s="410"/>
      <c r="T9" s="300" t="e">
        <f>'2.1. Önk bev'!X17+'6.3. KLMK'!T10</f>
        <v>#REF!</v>
      </c>
      <c r="U9" s="410" t="e">
        <f>'2.1. Önk bev'!Y17</f>
        <v>#REF!</v>
      </c>
      <c r="V9" s="410" t="e">
        <f>'2.1. Önk bev'!Z17</f>
        <v>#REF!</v>
      </c>
      <c r="W9" s="410" t="e">
        <f t="shared" si="19"/>
        <v>#REF!</v>
      </c>
      <c r="X9" s="300">
        <f>+'2.1. Önk bev'!P17+'4.1. Vesz'!X10+'5. Eszi'!X10+'6.1. Óvoda'!X9+'6.2. Kalandpark'!X9+'6.3. KLMK'!Y9+'6.4. Könyvtár'!X9</f>
        <v>86500</v>
      </c>
      <c r="Y9" s="410"/>
      <c r="Z9" s="410"/>
      <c r="AA9" s="410">
        <f t="shared" si="25"/>
        <v>86500</v>
      </c>
      <c r="AB9" s="325">
        <v>359020</v>
      </c>
      <c r="AC9" s="325"/>
      <c r="AD9" s="325"/>
      <c r="AE9" s="325">
        <f t="shared" si="26"/>
        <v>359020</v>
      </c>
      <c r="AF9" s="325">
        <f>'2.1. Önk bev'!AF17+'3.1. PH'!AG10+'4.1. Vesz'!AF10+'5. Eszi'!AF10+'6.1. Óvoda'!AF10+'6.2. Kalandpark'!AF10+'6.3. KLMK'!AG10+'6.4. Könyvtár'!AF10</f>
        <v>483875</v>
      </c>
      <c r="AG9" s="423">
        <v>0</v>
      </c>
      <c r="AH9" s="325"/>
      <c r="AI9" s="325">
        <f t="shared" si="27"/>
        <v>483875</v>
      </c>
      <c r="AJ9" s="445">
        <v>257933</v>
      </c>
      <c r="AK9" s="445"/>
      <c r="AL9" s="445"/>
      <c r="AM9" s="325">
        <f t="shared" si="28"/>
        <v>257933</v>
      </c>
    </row>
    <row r="10" spans="1:39" x14ac:dyDescent="0.25">
      <c r="A10" s="617" t="s">
        <v>322</v>
      </c>
      <c r="B10" s="618" t="s">
        <v>484</v>
      </c>
      <c r="C10" s="619">
        <f t="shared" ref="C10" si="29">SUM(C11:C14)</f>
        <v>0</v>
      </c>
      <c r="D10" s="619">
        <f t="shared" ref="D10:F10" si="30">SUM(D11:D14)</f>
        <v>738450</v>
      </c>
      <c r="E10" s="619">
        <f t="shared" si="30"/>
        <v>0</v>
      </c>
      <c r="F10" s="619">
        <f t="shared" si="30"/>
        <v>0</v>
      </c>
      <c r="G10" s="619">
        <f t="shared" si="11"/>
        <v>738450</v>
      </c>
      <c r="H10" s="619">
        <f t="shared" ref="H10:J10" si="31">SUM(H11:H14)</f>
        <v>738450</v>
      </c>
      <c r="I10" s="620">
        <f t="shared" si="31"/>
        <v>0</v>
      </c>
      <c r="J10" s="620">
        <f t="shared" si="31"/>
        <v>0</v>
      </c>
      <c r="K10" s="620">
        <f t="shared" si="13"/>
        <v>738450</v>
      </c>
      <c r="L10" s="619">
        <f t="shared" ref="L10:N10" si="32">SUM(L11:L14)</f>
        <v>738800</v>
      </c>
      <c r="M10" s="620">
        <f t="shared" si="32"/>
        <v>0</v>
      </c>
      <c r="N10" s="620">
        <f t="shared" si="32"/>
        <v>0</v>
      </c>
      <c r="O10" s="620">
        <f t="shared" si="15"/>
        <v>738800</v>
      </c>
      <c r="P10" s="619">
        <f t="shared" ref="P10:R10" si="33">SUM(P11:P14)</f>
        <v>0</v>
      </c>
      <c r="Q10" s="620">
        <f t="shared" si="33"/>
        <v>0</v>
      </c>
      <c r="R10" s="620">
        <f t="shared" si="33"/>
        <v>0</v>
      </c>
      <c r="S10" s="620">
        <f t="shared" si="17"/>
        <v>0</v>
      </c>
      <c r="T10" s="619">
        <f t="shared" ref="T10:V10" si="34">SUM(T11:T14)</f>
        <v>332141</v>
      </c>
      <c r="U10" s="620">
        <f t="shared" si="34"/>
        <v>0</v>
      </c>
      <c r="V10" s="620">
        <f t="shared" si="34"/>
        <v>0</v>
      </c>
      <c r="W10" s="620">
        <f t="shared" si="19"/>
        <v>332141</v>
      </c>
      <c r="X10" s="619">
        <f t="shared" ref="X10:Z10" si="35">SUM(X11:X14)</f>
        <v>891100</v>
      </c>
      <c r="Y10" s="620">
        <f t="shared" si="35"/>
        <v>13850</v>
      </c>
      <c r="Z10" s="620">
        <f t="shared" si="35"/>
        <v>0</v>
      </c>
      <c r="AA10" s="620">
        <f t="shared" si="25"/>
        <v>904950</v>
      </c>
      <c r="AB10" s="619">
        <v>891100</v>
      </c>
      <c r="AC10" s="619">
        <v>13850</v>
      </c>
      <c r="AD10" s="619">
        <v>0</v>
      </c>
      <c r="AE10" s="619">
        <v>904950</v>
      </c>
      <c r="AF10" s="619">
        <f>SUM(AF11:AF16)</f>
        <v>866273</v>
      </c>
      <c r="AG10" s="619">
        <f t="shared" ref="AG10:AH10" si="36">SUM(AG11:AG16)</f>
        <v>46601</v>
      </c>
      <c r="AH10" s="619">
        <f t="shared" si="36"/>
        <v>0</v>
      </c>
      <c r="AI10" s="619">
        <f>SUM(AF10:AH10)</f>
        <v>912874</v>
      </c>
      <c r="AJ10" s="619">
        <f>SUM(AJ11:AJ16)</f>
        <v>483047</v>
      </c>
      <c r="AK10" s="619">
        <f t="shared" ref="AK10" si="37">SUM(AK11:AK16)</f>
        <v>0</v>
      </c>
      <c r="AL10" s="619">
        <f t="shared" ref="AL10" si="38">SUM(AL11:AL16)</f>
        <v>0</v>
      </c>
      <c r="AM10" s="619">
        <f>SUM(AJ10:AL10)</f>
        <v>483047</v>
      </c>
    </row>
    <row r="11" spans="1:39" x14ac:dyDescent="0.25">
      <c r="A11" s="430"/>
      <c r="B11" s="299" t="s">
        <v>485</v>
      </c>
      <c r="C11" s="300"/>
      <c r="D11" s="300">
        <f>'2.1. Önk bev'!D27</f>
        <v>44000</v>
      </c>
      <c r="E11" s="410">
        <f>'2.1. Önk bev'!E27</f>
        <v>0</v>
      </c>
      <c r="F11" s="410">
        <f>'2.1. Önk bev'!F27</f>
        <v>0</v>
      </c>
      <c r="G11" s="300">
        <f>SUM(D11:F11)</f>
        <v>44000</v>
      </c>
      <c r="H11" s="300">
        <f>'2.1. Önk bev'!H27</f>
        <v>44000</v>
      </c>
      <c r="I11" s="410">
        <f>'2.1. Önk bev'!I27</f>
        <v>0</v>
      </c>
      <c r="J11" s="410">
        <f>'2.1. Önk bev'!J27</f>
        <v>0</v>
      </c>
      <c r="K11" s="410">
        <f>SUM(H11:J11)</f>
        <v>44000</v>
      </c>
      <c r="L11" s="300">
        <f>'2.1. Önk bev'!L27</f>
        <v>44000</v>
      </c>
      <c r="M11" s="410">
        <f>'2.1. Önk bev'!M27</f>
        <v>0</v>
      </c>
      <c r="N11" s="410">
        <f>'2.1. Önk bev'!N27</f>
        <v>0</v>
      </c>
      <c r="O11" s="410">
        <f>SUM(L11:N11)</f>
        <v>44000</v>
      </c>
      <c r="P11" s="300"/>
      <c r="Q11" s="410"/>
      <c r="R11" s="410"/>
      <c r="S11" s="410"/>
      <c r="T11" s="300">
        <f>'2.1. Önk bev'!X27</f>
        <v>18668</v>
      </c>
      <c r="U11" s="410">
        <f>'2.1. Önk bev'!Y27</f>
        <v>0</v>
      </c>
      <c r="V11" s="410">
        <f>'2.1. Önk bev'!Z27</f>
        <v>0</v>
      </c>
      <c r="W11" s="410">
        <f t="shared" si="19"/>
        <v>18668</v>
      </c>
      <c r="X11" s="300">
        <f>+'2.1. Önk bev'!P27</f>
        <v>48000</v>
      </c>
      <c r="Y11" s="410">
        <f>'2.1. Önk bev'!Y27</f>
        <v>0</v>
      </c>
      <c r="Z11" s="410">
        <f>'2.1. Önk bev'!Z27</f>
        <v>0</v>
      </c>
      <c r="AA11" s="410">
        <f>SUM(X11:Z11)</f>
        <v>48000</v>
      </c>
      <c r="AB11" s="445">
        <v>48000</v>
      </c>
      <c r="AC11" s="445">
        <v>0</v>
      </c>
      <c r="AD11" s="445">
        <v>0</v>
      </c>
      <c r="AE11" s="445">
        <v>48000</v>
      </c>
      <c r="AF11" s="445">
        <f>+'2.1. Önk bev'!AF27</f>
        <v>48000</v>
      </c>
      <c r="AG11" s="445">
        <f>+'2.1. Önk bev'!AG27</f>
        <v>0</v>
      </c>
      <c r="AH11" s="445"/>
      <c r="AI11" s="445">
        <f>SUM(AF11:AH11)</f>
        <v>48000</v>
      </c>
      <c r="AJ11" s="445">
        <f>+'2.1. Önk bev'!AJ27</f>
        <v>20538</v>
      </c>
      <c r="AK11" s="445"/>
      <c r="AL11" s="445"/>
      <c r="AM11" s="445">
        <f>SUM(AJ11:AL11)</f>
        <v>20538</v>
      </c>
    </row>
    <row r="12" spans="1:39" x14ac:dyDescent="0.25">
      <c r="A12" s="430"/>
      <c r="B12" s="299" t="s">
        <v>488</v>
      </c>
      <c r="C12" s="300"/>
      <c r="D12" s="300">
        <f>'2.1. Önk bev'!D31</f>
        <v>686000</v>
      </c>
      <c r="E12" s="410">
        <f>'2.1. Önk bev'!E31</f>
        <v>0</v>
      </c>
      <c r="F12" s="410">
        <f>'2.1. Önk bev'!F31</f>
        <v>0</v>
      </c>
      <c r="G12" s="300">
        <f t="shared" ref="G12:G16" si="39">SUM(D12:F12)</f>
        <v>686000</v>
      </c>
      <c r="H12" s="300">
        <f>'2.1. Önk bev'!H31</f>
        <v>686000</v>
      </c>
      <c r="I12" s="410">
        <f>'2.1. Önk bev'!I31</f>
        <v>0</v>
      </c>
      <c r="J12" s="410">
        <f>'2.1. Önk bev'!J31</f>
        <v>0</v>
      </c>
      <c r="K12" s="410">
        <f t="shared" ref="K12:K16" si="40">SUM(H12:J12)</f>
        <v>686000</v>
      </c>
      <c r="L12" s="300">
        <f>'2.1. Önk bev'!L31</f>
        <v>686000</v>
      </c>
      <c r="M12" s="410">
        <f>'2.1. Önk bev'!M31</f>
        <v>0</v>
      </c>
      <c r="N12" s="410">
        <f>'2.1. Önk bev'!N31</f>
        <v>0</v>
      </c>
      <c r="O12" s="410">
        <f t="shared" ref="O12:O16" si="41">SUM(L12:N12)</f>
        <v>686000</v>
      </c>
      <c r="P12" s="300"/>
      <c r="Q12" s="410"/>
      <c r="R12" s="410"/>
      <c r="S12" s="410"/>
      <c r="T12" s="300">
        <f>'2.1. Önk bev'!X31</f>
        <v>311024</v>
      </c>
      <c r="U12" s="410">
        <f>'2.1. Önk bev'!Y31</f>
        <v>0</v>
      </c>
      <c r="V12" s="410">
        <f>'2.1. Önk bev'!Z31</f>
        <v>0</v>
      </c>
      <c r="W12" s="410">
        <f t="shared" si="19"/>
        <v>311024</v>
      </c>
      <c r="X12" s="300">
        <f>+'2.1. Önk bev'!P31</f>
        <v>834600</v>
      </c>
      <c r="Y12" s="300">
        <f>+'2.1. Önk bev'!Q31</f>
        <v>13850</v>
      </c>
      <c r="Z12" s="410">
        <f>'2.1. Önk bev'!Z31</f>
        <v>0</v>
      </c>
      <c r="AA12" s="410">
        <f t="shared" ref="AA12:AA16" si="42">SUM(X12:Z12)</f>
        <v>848450</v>
      </c>
      <c r="AB12" s="445">
        <v>834600</v>
      </c>
      <c r="AC12" s="445">
        <v>13850</v>
      </c>
      <c r="AD12" s="445">
        <v>0</v>
      </c>
      <c r="AE12" s="445">
        <v>848450</v>
      </c>
      <c r="AF12" s="445">
        <f>+'2.1. Önk bev'!AF31</f>
        <v>809773</v>
      </c>
      <c r="AG12" s="449">
        <f>+'2.1. Önk bev'!AG31</f>
        <v>46601</v>
      </c>
      <c r="AH12" s="445"/>
      <c r="AI12" s="445">
        <f t="shared" ref="AI12:AI16" si="43">SUM(AF12:AH12)</f>
        <v>856374</v>
      </c>
      <c r="AJ12" s="445">
        <f>+'2.1. Önk bev'!AJ31</f>
        <v>459382</v>
      </c>
      <c r="AK12" s="892">
        <f>+'2.1. Önk bev'!AK31</f>
        <v>0</v>
      </c>
      <c r="AL12" s="445"/>
      <c r="AM12" s="445">
        <f t="shared" ref="AM12:AM16" si="44">SUM(AJ12:AL12)</f>
        <v>459382</v>
      </c>
    </row>
    <row r="13" spans="1:39" x14ac:dyDescent="0.25">
      <c r="A13" s="430"/>
      <c r="B13" s="299" t="s">
        <v>491</v>
      </c>
      <c r="C13" s="300"/>
      <c r="D13" s="300">
        <f>'2.1. Önk bev'!D34</f>
        <v>4950</v>
      </c>
      <c r="E13" s="410">
        <f>'2.1. Önk bev'!E34</f>
        <v>0</v>
      </c>
      <c r="F13" s="410">
        <f>'2.1. Önk bev'!F34</f>
        <v>0</v>
      </c>
      <c r="G13" s="300">
        <f t="shared" si="39"/>
        <v>4950</v>
      </c>
      <c r="H13" s="300">
        <f>'2.1. Önk bev'!H34</f>
        <v>4950</v>
      </c>
      <c r="I13" s="410">
        <f>'2.1. Önk bev'!I34</f>
        <v>0</v>
      </c>
      <c r="J13" s="410">
        <f>'2.1. Önk bev'!J34</f>
        <v>0</v>
      </c>
      <c r="K13" s="410">
        <f t="shared" si="40"/>
        <v>4950</v>
      </c>
      <c r="L13" s="300">
        <f>'2.1. Önk bev'!L34</f>
        <v>4800</v>
      </c>
      <c r="M13" s="410">
        <f>'2.1. Önk bev'!M34</f>
        <v>0</v>
      </c>
      <c r="N13" s="410">
        <f>'2.1. Önk bev'!N34</f>
        <v>0</v>
      </c>
      <c r="O13" s="410">
        <f t="shared" si="41"/>
        <v>4800</v>
      </c>
      <c r="P13" s="300"/>
      <c r="Q13" s="410"/>
      <c r="R13" s="410"/>
      <c r="S13" s="410"/>
      <c r="T13" s="300">
        <f>'2.1. Önk bev'!X34</f>
        <v>1252</v>
      </c>
      <c r="U13" s="410">
        <f>'2.1. Önk bev'!Y34</f>
        <v>0</v>
      </c>
      <c r="V13" s="410">
        <f>'2.1. Önk bev'!Z34</f>
        <v>0</v>
      </c>
      <c r="W13" s="410">
        <f t="shared" si="19"/>
        <v>1252</v>
      </c>
      <c r="X13" s="300">
        <f>+'2.1. Önk bev'!P34</f>
        <v>7000</v>
      </c>
      <c r="Y13" s="410">
        <f>'2.1. Önk bev'!Y34</f>
        <v>0</v>
      </c>
      <c r="Z13" s="410">
        <f>'2.1. Önk bev'!Z34</f>
        <v>0</v>
      </c>
      <c r="AA13" s="410">
        <f t="shared" si="42"/>
        <v>7000</v>
      </c>
      <c r="AB13" s="445">
        <v>7000</v>
      </c>
      <c r="AC13" s="445">
        <v>0</v>
      </c>
      <c r="AD13" s="445">
        <v>0</v>
      </c>
      <c r="AE13" s="445">
        <v>7000</v>
      </c>
      <c r="AF13" s="445">
        <f>+'2.1. Önk bev'!AF34</f>
        <v>7000</v>
      </c>
      <c r="AG13" s="445">
        <f>+'2.1. Önk bev'!AG34</f>
        <v>0</v>
      </c>
      <c r="AH13" s="445"/>
      <c r="AI13" s="445">
        <f t="shared" si="43"/>
        <v>7000</v>
      </c>
      <c r="AJ13" s="445">
        <f>+'2.1. Önk bev'!AJ34</f>
        <v>2319</v>
      </c>
      <c r="AK13" s="445"/>
      <c r="AL13" s="445"/>
      <c r="AM13" s="445">
        <f t="shared" si="44"/>
        <v>2319</v>
      </c>
    </row>
    <row r="14" spans="1:39" x14ac:dyDescent="0.25">
      <c r="A14" s="430"/>
      <c r="B14" s="299" t="s">
        <v>495</v>
      </c>
      <c r="C14" s="300"/>
      <c r="D14" s="300">
        <f t="shared" ref="D14:F14" si="45">D15+D16</f>
        <v>3500</v>
      </c>
      <c r="E14" s="410">
        <f t="shared" si="45"/>
        <v>0</v>
      </c>
      <c r="F14" s="410">
        <f t="shared" si="45"/>
        <v>0</v>
      </c>
      <c r="G14" s="300">
        <f t="shared" si="39"/>
        <v>3500</v>
      </c>
      <c r="H14" s="300">
        <f t="shared" ref="H14:J14" si="46">H15+H16</f>
        <v>3500</v>
      </c>
      <c r="I14" s="410">
        <f t="shared" si="46"/>
        <v>0</v>
      </c>
      <c r="J14" s="410">
        <f t="shared" si="46"/>
        <v>0</v>
      </c>
      <c r="K14" s="410">
        <f t="shared" si="40"/>
        <v>3500</v>
      </c>
      <c r="L14" s="300">
        <f t="shared" ref="L14:N14" si="47">L15+L16</f>
        <v>4000</v>
      </c>
      <c r="M14" s="410">
        <f t="shared" si="47"/>
        <v>0</v>
      </c>
      <c r="N14" s="410">
        <f t="shared" si="47"/>
        <v>0</v>
      </c>
      <c r="O14" s="410">
        <f t="shared" si="41"/>
        <v>4000</v>
      </c>
      <c r="P14" s="300"/>
      <c r="Q14" s="410"/>
      <c r="R14" s="410"/>
      <c r="S14" s="410"/>
      <c r="T14" s="300">
        <f t="shared" ref="T14:V14" si="48">T15+T16</f>
        <v>1197</v>
      </c>
      <c r="U14" s="410">
        <f t="shared" si="48"/>
        <v>0</v>
      </c>
      <c r="V14" s="410">
        <f t="shared" si="48"/>
        <v>0</v>
      </c>
      <c r="W14" s="410">
        <f t="shared" si="19"/>
        <v>1197</v>
      </c>
      <c r="X14" s="300">
        <f>+'2.1. Önk bev'!P38</f>
        <v>1500</v>
      </c>
      <c r="Y14" s="410">
        <f t="shared" ref="Y14:Z14" si="49">Y15+Y16</f>
        <v>0</v>
      </c>
      <c r="Z14" s="410">
        <f t="shared" si="49"/>
        <v>0</v>
      </c>
      <c r="AA14" s="410">
        <f t="shared" si="42"/>
        <v>1500</v>
      </c>
      <c r="AB14" s="445">
        <v>1500</v>
      </c>
      <c r="AC14" s="445">
        <v>0</v>
      </c>
      <c r="AD14" s="445">
        <v>0</v>
      </c>
      <c r="AE14" s="445">
        <v>1500</v>
      </c>
      <c r="AF14" s="445">
        <f>+'2.1. Önk bev'!AF38</f>
        <v>1500</v>
      </c>
      <c r="AG14" s="445">
        <f>+'2.1. Önk bev'!AG38</f>
        <v>0</v>
      </c>
      <c r="AH14" s="445"/>
      <c r="AI14" s="445">
        <f t="shared" si="43"/>
        <v>1500</v>
      </c>
      <c r="AJ14" s="445">
        <f>+'2.1. Önk bev'!AJ38</f>
        <v>808</v>
      </c>
      <c r="AK14" s="445"/>
      <c r="AL14" s="445"/>
      <c r="AM14" s="445">
        <f t="shared" si="44"/>
        <v>808</v>
      </c>
    </row>
    <row r="15" spans="1:39" x14ac:dyDescent="0.25">
      <c r="A15" s="430"/>
      <c r="B15" s="299" t="s">
        <v>496</v>
      </c>
      <c r="C15" s="300"/>
      <c r="D15" s="300">
        <f>'2.1. Önk bev'!D39+'3.1. PH'!D12</f>
        <v>0</v>
      </c>
      <c r="E15" s="410">
        <f>'2.1. Önk bev'!E39+'3.1. PH'!E12</f>
        <v>0</v>
      </c>
      <c r="F15" s="410">
        <f>'2.1. Önk bev'!F39+'3.1. PH'!F12</f>
        <v>0</v>
      </c>
      <c r="G15" s="300">
        <f t="shared" si="39"/>
        <v>0</v>
      </c>
      <c r="H15" s="300">
        <f>'2.1. Önk bev'!H39+'3.1. PH'!H12</f>
        <v>0</v>
      </c>
      <c r="I15" s="410">
        <f>'2.1. Önk bev'!I39+'3.1. PH'!I12</f>
        <v>0</v>
      </c>
      <c r="J15" s="410">
        <f>'2.1. Önk bev'!J39+'3.1. PH'!J12</f>
        <v>0</v>
      </c>
      <c r="K15" s="410">
        <f t="shared" si="40"/>
        <v>0</v>
      </c>
      <c r="L15" s="300">
        <f>'2.1. Önk bev'!L39+'3.1. PH'!L12</f>
        <v>0</v>
      </c>
      <c r="M15" s="410">
        <f>'2.1. Önk bev'!M39+'3.1. PH'!M12</f>
        <v>0</v>
      </c>
      <c r="N15" s="410">
        <f>'2.1. Önk bev'!N39+'3.1. PH'!N12</f>
        <v>0</v>
      </c>
      <c r="O15" s="410">
        <f t="shared" si="41"/>
        <v>0</v>
      </c>
      <c r="P15" s="300"/>
      <c r="Q15" s="410"/>
      <c r="R15" s="410"/>
      <c r="S15" s="410"/>
      <c r="T15" s="300">
        <f>'2.1. Önk bev'!X39+'3.1. PH'!T12</f>
        <v>0</v>
      </c>
      <c r="U15" s="410">
        <f>'2.1. Önk bev'!Y39+'3.1. PH'!U12</f>
        <v>0</v>
      </c>
      <c r="V15" s="410">
        <f>'2.1. Önk bev'!Z39+'3.1. PH'!V12</f>
        <v>0</v>
      </c>
      <c r="W15" s="410">
        <f t="shared" si="19"/>
        <v>0</v>
      </c>
      <c r="X15" s="300">
        <f>'2.1. Önk bev'!X39+'3.1. PH'!X12</f>
        <v>0</v>
      </c>
      <c r="Y15" s="410">
        <f>'2.1. Önk bev'!Y39+'3.1. PH'!Y12</f>
        <v>0</v>
      </c>
      <c r="Z15" s="410">
        <f>'2.1. Önk bev'!Z39+'3.1. PH'!Z12</f>
        <v>0</v>
      </c>
      <c r="AA15" s="410">
        <f t="shared" si="42"/>
        <v>0</v>
      </c>
      <c r="AB15" s="445">
        <v>0</v>
      </c>
      <c r="AC15" s="445">
        <v>0</v>
      </c>
      <c r="AD15" s="445">
        <v>0</v>
      </c>
      <c r="AE15" s="445">
        <v>0</v>
      </c>
      <c r="AF15" s="445">
        <f>'2.1. Önk bev'!AF39+'3.1. PH'!AF12</f>
        <v>0</v>
      </c>
      <c r="AG15" s="445">
        <f>'2.1. Önk bev'!AG39+'3.1. PH'!AG12</f>
        <v>0</v>
      </c>
      <c r="AH15" s="445"/>
      <c r="AI15" s="445">
        <f t="shared" si="43"/>
        <v>0</v>
      </c>
      <c r="AJ15" s="445">
        <f>'2.1. Önk bev'!AJ39+'3.1. PH'!AJ12</f>
        <v>0</v>
      </c>
      <c r="AK15" s="445"/>
      <c r="AL15" s="445"/>
      <c r="AM15" s="445">
        <f t="shared" si="44"/>
        <v>0</v>
      </c>
    </row>
    <row r="16" spans="1:39" x14ac:dyDescent="0.25">
      <c r="A16" s="430"/>
      <c r="B16" s="299" t="s">
        <v>665</v>
      </c>
      <c r="C16" s="300"/>
      <c r="D16" s="300">
        <f>'2.1. Önk bev'!D40+'2.1. Önk bev'!D41+'2.1. Önk bev'!D42</f>
        <v>3500</v>
      </c>
      <c r="E16" s="410">
        <f>'2.1. Önk bev'!E40+'2.1. Önk bev'!E41+'2.1. Önk bev'!E42</f>
        <v>0</v>
      </c>
      <c r="F16" s="410">
        <f>'2.1. Önk bev'!F40+'2.1. Önk bev'!F41+'2.1. Önk bev'!F42</f>
        <v>0</v>
      </c>
      <c r="G16" s="300">
        <f t="shared" si="39"/>
        <v>3500</v>
      </c>
      <c r="H16" s="300">
        <f>'2.1. Önk bev'!H40+'2.1. Önk bev'!H41+'2.1. Önk bev'!H42</f>
        <v>3500</v>
      </c>
      <c r="I16" s="410">
        <f>'2.1. Önk bev'!I40+'2.1. Önk bev'!I41+'2.1. Önk bev'!I42</f>
        <v>0</v>
      </c>
      <c r="J16" s="410">
        <f>'2.1. Önk bev'!J40+'2.1. Önk bev'!J41+'2.1. Önk bev'!J42</f>
        <v>0</v>
      </c>
      <c r="K16" s="410">
        <f t="shared" si="40"/>
        <v>3500</v>
      </c>
      <c r="L16" s="300">
        <f>'2.1. Önk bev'!L40+'2.1. Önk bev'!L41+'2.1. Önk bev'!L42</f>
        <v>4000</v>
      </c>
      <c r="M16" s="410">
        <f>'2.1. Önk bev'!M40+'2.1. Önk bev'!M41+'2.1. Önk bev'!M42</f>
        <v>0</v>
      </c>
      <c r="N16" s="410">
        <f>'2.1. Önk bev'!N40+'2.1. Önk bev'!N41+'2.1. Önk bev'!N42</f>
        <v>0</v>
      </c>
      <c r="O16" s="410">
        <f t="shared" si="41"/>
        <v>4000</v>
      </c>
      <c r="P16" s="300"/>
      <c r="Q16" s="410"/>
      <c r="R16" s="410"/>
      <c r="S16" s="410"/>
      <c r="T16" s="300">
        <f>'2.1. Önk bev'!X40+'2.1. Önk bev'!X41+'2.1. Önk bev'!X42</f>
        <v>1197</v>
      </c>
      <c r="U16" s="410">
        <f>'2.1. Önk bev'!Y40+'2.1. Önk bev'!Y41+'2.1. Önk bev'!Y42</f>
        <v>0</v>
      </c>
      <c r="V16" s="410">
        <f>'2.1. Önk bev'!Z40+'2.1. Önk bev'!Z41+'2.1. Önk bev'!Z42</f>
        <v>0</v>
      </c>
      <c r="W16" s="410">
        <f t="shared" si="19"/>
        <v>1197</v>
      </c>
      <c r="X16" s="300"/>
      <c r="Y16" s="410">
        <f>'2.1. Önk bev'!Y40+'2.1. Önk bev'!Y41+'2.1. Önk bev'!Y42</f>
        <v>0</v>
      </c>
      <c r="Z16" s="410">
        <f>'2.1. Önk bev'!Z40+'2.1. Önk bev'!Z41+'2.1. Önk bev'!Z42</f>
        <v>0</v>
      </c>
      <c r="AA16" s="410">
        <f t="shared" si="42"/>
        <v>0</v>
      </c>
      <c r="AB16" s="445"/>
      <c r="AC16" s="445">
        <v>0</v>
      </c>
      <c r="AD16" s="445">
        <v>0</v>
      </c>
      <c r="AE16" s="445">
        <v>0</v>
      </c>
      <c r="AF16" s="445"/>
      <c r="AG16" s="445"/>
      <c r="AH16" s="445"/>
      <c r="AI16" s="445">
        <f t="shared" si="43"/>
        <v>0</v>
      </c>
      <c r="AJ16" s="445"/>
      <c r="AK16" s="445"/>
      <c r="AL16" s="445"/>
      <c r="AM16" s="445">
        <f t="shared" si="44"/>
        <v>0</v>
      </c>
    </row>
    <row r="17" spans="1:39" x14ac:dyDescent="0.25">
      <c r="A17" s="617" t="s">
        <v>315</v>
      </c>
      <c r="B17" s="618" t="s">
        <v>314</v>
      </c>
      <c r="C17" s="619">
        <f t="shared" ref="C17" si="50">SUM(C18:C26)</f>
        <v>0</v>
      </c>
      <c r="D17" s="619">
        <f t="shared" ref="D17:F17" si="51">SUM(D18:D26)</f>
        <v>675079</v>
      </c>
      <c r="E17" s="619">
        <f t="shared" si="51"/>
        <v>58899</v>
      </c>
      <c r="F17" s="619">
        <f t="shared" si="51"/>
        <v>0</v>
      </c>
      <c r="G17" s="619">
        <f t="shared" si="11"/>
        <v>733978</v>
      </c>
      <c r="H17" s="619">
        <f t="shared" ref="H17:J17" si="52">SUM(H18:H26)</f>
        <v>701845</v>
      </c>
      <c r="I17" s="620">
        <f t="shared" si="52"/>
        <v>58899</v>
      </c>
      <c r="J17" s="620">
        <f t="shared" si="52"/>
        <v>0</v>
      </c>
      <c r="K17" s="620">
        <f t="shared" si="13"/>
        <v>760744</v>
      </c>
      <c r="L17" s="619">
        <f t="shared" ref="L17:N17" si="53">SUM(L18:L26)</f>
        <v>709542</v>
      </c>
      <c r="M17" s="620">
        <f t="shared" si="53"/>
        <v>66304</v>
      </c>
      <c r="N17" s="620">
        <f t="shared" si="53"/>
        <v>0</v>
      </c>
      <c r="O17" s="620">
        <f t="shared" si="15"/>
        <v>775846</v>
      </c>
      <c r="P17" s="619">
        <f t="shared" ref="P17:R17" si="54">SUM(P18:P26)</f>
        <v>0</v>
      </c>
      <c r="Q17" s="620">
        <f t="shared" si="54"/>
        <v>0</v>
      </c>
      <c r="R17" s="620">
        <f t="shared" si="54"/>
        <v>0</v>
      </c>
      <c r="S17" s="620">
        <f t="shared" si="17"/>
        <v>0</v>
      </c>
      <c r="T17" s="619">
        <f>SUM(T18:T26)</f>
        <v>140178</v>
      </c>
      <c r="U17" s="620">
        <f t="shared" ref="U17:V17" si="55">SUM(U18:U26)</f>
        <v>14604</v>
      </c>
      <c r="V17" s="620">
        <f t="shared" si="55"/>
        <v>0</v>
      </c>
      <c r="W17" s="620">
        <f>SUM(W18:W26)</f>
        <v>154782</v>
      </c>
      <c r="X17" s="619">
        <f>SUM(X18:X26)</f>
        <v>717443</v>
      </c>
      <c r="Y17" s="620">
        <f t="shared" ref="Y17:Z17" si="56">SUM(Y18:Y26)</f>
        <v>60054</v>
      </c>
      <c r="Z17" s="620">
        <f t="shared" si="56"/>
        <v>0</v>
      </c>
      <c r="AA17" s="620">
        <f t="shared" ref="AA17" si="57">SUM(X17:Z17)</f>
        <v>777497</v>
      </c>
      <c r="AB17" s="619">
        <f>SUM(AB18:AB26)</f>
        <v>796284</v>
      </c>
      <c r="AC17" s="619">
        <f t="shared" ref="AC17:AD17" si="58">SUM(AC18:AC26)</f>
        <v>18560</v>
      </c>
      <c r="AD17" s="619">
        <f t="shared" si="58"/>
        <v>0</v>
      </c>
      <c r="AE17" s="619">
        <f>SUM(AB17:AD17)</f>
        <v>814844</v>
      </c>
      <c r="AF17" s="619">
        <f>SUM(AF18:AF26)</f>
        <v>840868</v>
      </c>
      <c r="AG17" s="619">
        <f t="shared" ref="AG17:AH17" si="59">SUM(AG18:AG26)</f>
        <v>59129</v>
      </c>
      <c r="AH17" s="619">
        <f t="shared" si="59"/>
        <v>0</v>
      </c>
      <c r="AI17" s="619">
        <f>SUM(AF17:AH17)</f>
        <v>899997</v>
      </c>
      <c r="AJ17" s="619">
        <f>SUM(AJ18:AJ26)</f>
        <v>315026</v>
      </c>
      <c r="AK17" s="619">
        <f t="shared" ref="AK17:AL17" si="60">SUM(AK18:AK26)</f>
        <v>32647</v>
      </c>
      <c r="AL17" s="619">
        <f t="shared" si="60"/>
        <v>0</v>
      </c>
      <c r="AM17" s="619">
        <f>SUM(AJ17:AL17)</f>
        <v>347673</v>
      </c>
    </row>
    <row r="18" spans="1:39" x14ac:dyDescent="0.25">
      <c r="A18" s="430"/>
      <c r="B18" s="299" t="s">
        <v>500</v>
      </c>
      <c r="C18" s="300"/>
      <c r="D18" s="300">
        <f>'2.1. Önk bev'!D44+'3.1. PH'!D15+'4.1. Vesz'!D12+'5. Eszi'!D12+'6.1. Óvoda'!D12+'6.2. Kalandpark'!D12+'6.3. KLMK'!D12+'6.4. Könyvtár'!D12+'5F Segítő Kéz'!D12</f>
        <v>1905</v>
      </c>
      <c r="E18" s="410">
        <f>'2.1. Önk bev'!E44+'3.1. PH'!E15+'4.1. Vesz'!E12+'5. Eszi'!E12+'6.1. Óvoda'!E12+'6.2. Kalandpark'!E12+'6.3. KLMK'!E12+'6.4. Könyvtár'!E12+'5F Segítő Kéz'!E12</f>
        <v>320</v>
      </c>
      <c r="F18" s="410">
        <f>'2.1. Önk bev'!F44+'3.1. PH'!F15+'4.1. Vesz'!F12+'5. Eszi'!F12+'6.1. Óvoda'!F12+'6.2. Kalandpark'!F12+'6.3. KLMK'!F12+'6.4. Könyvtár'!F12+'5F Segítő Kéz'!F12</f>
        <v>0</v>
      </c>
      <c r="G18" s="300">
        <f>SUM(D18:F18)</f>
        <v>2225</v>
      </c>
      <c r="H18" s="300">
        <f>'2.1. Önk bev'!H44+'3.1. PH'!H15+'4.1. Vesz'!H12+'5. Eszi'!H12+'6.1. Óvoda'!H12+'6.2. Kalandpark'!H12+'6.3. KLMK'!H12+'6.4. Könyvtár'!H12+'5F Segítő Kéz'!H12</f>
        <v>1905</v>
      </c>
      <c r="I18" s="410">
        <f>'2.1. Önk bev'!I44+'3.1. PH'!I15+'4.1. Vesz'!I12+'5. Eszi'!I12+'6.1. Óvoda'!I12+'6.2. Kalandpark'!I12+'6.3. KLMK'!I12+'6.4. Könyvtár'!I12+'5F Segítő Kéz'!I12</f>
        <v>320</v>
      </c>
      <c r="J18" s="410">
        <f>'2.1. Önk bev'!J44+'3.1. PH'!J15+'4.1. Vesz'!J12+'5. Eszi'!J12+'6.1. Óvoda'!J12+'6.2. Kalandpark'!J12+'6.3. KLMK'!J12+'6.4. Könyvtár'!J12+'5F Segítő Kéz'!J12</f>
        <v>0</v>
      </c>
      <c r="K18" s="410">
        <f>SUM(H18:J18)</f>
        <v>2225</v>
      </c>
      <c r="L18" s="300">
        <f>'2.1. Önk bev'!L44+'3.1. PH'!L15+'4.1. Vesz'!L12+'5. Eszi'!L12+'6.1. Óvoda'!L12+'6.2. Kalandpark'!L12+'6.3. KLMK'!L12+'6.4. Könyvtár'!L12</f>
        <v>13571</v>
      </c>
      <c r="M18" s="410">
        <f>'2.1. Önk bev'!M44+'3.1. PH'!M15+'4.1. Vesz'!M12+'5. Eszi'!M12+'6.1. Óvoda'!M12+'6.2. Kalandpark'!M12+'6.3. KLMK'!M12+'6.4. Könyvtár'!M12</f>
        <v>0</v>
      </c>
      <c r="N18" s="410">
        <f>'2.1. Önk bev'!N44+'3.1. PH'!N15+'4.1. Vesz'!N12+'5. Eszi'!N12+'6.1. Óvoda'!N12+'6.2. Kalandpark'!N12+'6.3. KLMK'!N12+'6.4. Könyvtár'!N12</f>
        <v>0</v>
      </c>
      <c r="O18" s="410">
        <f>SUM(L18:N18)</f>
        <v>13571</v>
      </c>
      <c r="P18" s="300"/>
      <c r="Q18" s="410"/>
      <c r="R18" s="410"/>
      <c r="S18" s="410"/>
      <c r="T18" s="300">
        <f>'2.1. Önk bev'!X44+'3.1. PH'!T15+'4.1. Vesz'!T12+'5. Eszi'!T12+'6.1. Óvoda'!T12+'6.2. Kalandpark'!T12+'6.3. KLMK'!T12+'6.4. Könyvtár'!T12+'5F Segítő Kéz'!T12</f>
        <v>85</v>
      </c>
      <c r="U18" s="410">
        <f>'2.1. Önk bev'!Y44+'3.1. PH'!U15+'4.1. Vesz'!U12+'5. Eszi'!U12+'6.1. Óvoda'!U12+'6.2. Kalandpark'!U12+'6.3. KLMK'!U12+'6.4. Könyvtár'!U12+'5F Segítő Kéz'!U12</f>
        <v>0</v>
      </c>
      <c r="V18" s="410">
        <f>'2.1. Önk bev'!Z44+'3.1. PH'!V15+'4.1. Vesz'!V12+'5. Eszi'!V12+'6.1. Óvoda'!V12+'6.2. Kalandpark'!V12+'6.3. KLMK'!V12+'6.4. Könyvtár'!V12+'5F Segítő Kéz'!V12</f>
        <v>0</v>
      </c>
      <c r="W18" s="410">
        <f t="shared" si="19"/>
        <v>85</v>
      </c>
      <c r="X18" s="300">
        <f>+'2.1. Önk bev'!P44+'3.1. PH'!Y15+'4.1. Vesz'!X12+'6.1. Óvoda'!X12+'6.2. Kalandpark'!X12+'6.3. KLMK'!Y12+'6.4. Könyvtár'!X12</f>
        <v>1575</v>
      </c>
      <c r="Y18" s="410">
        <f>+'2.1. Önk bev'!Q44+'6.3. KLMK'!Z12+'3.1. PH'!Z15</f>
        <v>300</v>
      </c>
      <c r="Z18" s="410"/>
      <c r="AA18" s="410">
        <f>SUM(X18:Z18)</f>
        <v>1875</v>
      </c>
      <c r="AB18" s="445">
        <f>+'2.1. Önk bev'!AB44+'3.1. PH'!AC15+'4.1. Vesz'!AB12+'6.1. Óvoda'!AB12+'6.2. Kalandpark'!AB12+'6.3. KLMK'!AC12+'6.4. Könyvtár'!AB12</f>
        <v>9766</v>
      </c>
      <c r="AC18" s="445">
        <f>+'2.1. Önk bev'!AC44+'3.1. PH'!AD15+'4.1. Vesz'!AC12+'6.1. Óvoda'!AC12+'6.2. Kalandpark'!AC12+'6.3. KLMK'!AD12+'6.4. Könyvtár'!AC12</f>
        <v>300</v>
      </c>
      <c r="AD18" s="445"/>
      <c r="AE18" s="445">
        <f>SUM(AB18:AD18)</f>
        <v>10066</v>
      </c>
      <c r="AF18" s="445">
        <f>+'2.1. Önk bev'!AF44+'3.1. PH'!AG15+'4.1. Vesz'!AF12+'6.1. Óvoda'!AF12+'6.2. Kalandpark'!AF12+'6.3. KLMK'!AG12+'6.4. Könyvtár'!AF12</f>
        <v>14545</v>
      </c>
      <c r="AG18" s="445">
        <f>+'2.1. Önk bev'!AG44+'3.1. PH'!AH15+'4.1. Vesz'!AG12+'6.1. Óvoda'!AG12+'6.2. Kalandpark'!AG12+'6.3. KLMK'!AH12+'6.4. Könyvtár'!AG12</f>
        <v>300</v>
      </c>
      <c r="AH18" s="445"/>
      <c r="AI18" s="445">
        <f>SUM(AF18:AH18)</f>
        <v>14845</v>
      </c>
      <c r="AJ18" s="445">
        <f>+'2.1. Önk bev'!AJ44+'3.1. PH'!AK15+'4.1. Vesz'!AJ12+'6.1. Óvoda'!AJ12+'6.2. Kalandpark'!AJ12+'6.3. KLMK'!AK12+'6.4. Könyvtár'!AJ12</f>
        <v>8930</v>
      </c>
      <c r="AK18" s="445">
        <f>+'2.1. Önk bev'!AK44+'3.1. PH'!AL15+'4.1. Vesz'!AK12+'6.1. Óvoda'!AK12+'6.2. Kalandpark'!AK12+'6.3. KLMK'!AL12+'6.4. Könyvtár'!AK12</f>
        <v>0</v>
      </c>
      <c r="AL18" s="445"/>
      <c r="AM18" s="445">
        <f>SUM(AJ18:AL18)</f>
        <v>8930</v>
      </c>
    </row>
    <row r="19" spans="1:39" x14ac:dyDescent="0.25">
      <c r="A19" s="430"/>
      <c r="B19" s="299" t="s">
        <v>501</v>
      </c>
      <c r="C19" s="300"/>
      <c r="D19" s="300">
        <f>'2.1. Önk bev'!D45+'3.1. PH'!D16+'4.1. Vesz'!D13+'5. Eszi'!D13+'6.1. Óvoda'!D13+'6.2. Kalandpark'!D13+'6.3. KLMK'!D13+'6.4. Könyvtár'!D13</f>
        <v>365107</v>
      </c>
      <c r="E19" s="300">
        <f>'2.1. Önk bev'!E45+'3.1. PH'!E16+'4.1. Vesz'!E13+'5. Eszi'!E13+'6.1. Óvoda'!E13+'6.2. Kalandpark'!E13+'6.3. KLMK'!E13+'6.4. Könyvtár'!E13</f>
        <v>57507</v>
      </c>
      <c r="F19" s="410">
        <f>'2.1. Önk bev'!F45+'3.1. PH'!F16+'4.1. Vesz'!F13+'5. Eszi'!F13+'6.1. Óvoda'!F13+'6.2. Kalandpark'!F13+'6.3. KLMK'!F13+'6.4. Könyvtár'!F13+'5F Segítő Kéz'!F13</f>
        <v>0</v>
      </c>
      <c r="G19" s="300">
        <f t="shared" ref="G19:G26" si="61">SUM(D19:F19)</f>
        <v>422614</v>
      </c>
      <c r="H19" s="300">
        <f>'2.1. Önk bev'!H45+'3.1. PH'!H16+'4.1. Vesz'!H13+'5. Eszi'!H13+'6.1. Óvoda'!H13+'6.2. Kalandpark'!H13+'6.3. KLMK'!H13+'6.4. Könyvtár'!H13</f>
        <v>362194</v>
      </c>
      <c r="I19" s="300">
        <f>'2.1. Önk bev'!I45+'3.1. PH'!I16+'4.1. Vesz'!I13+'5. Eszi'!I13+'6.1. Óvoda'!I13+'6.2. Kalandpark'!I13+'6.3. KLMK'!I13+'6.4. Könyvtár'!I13</f>
        <v>57507</v>
      </c>
      <c r="J19" s="410">
        <f>'2.1. Önk bev'!J45+'3.1. PH'!J16+'4.1. Vesz'!J13+'5. Eszi'!J13+'6.1. Óvoda'!J13+'6.2. Kalandpark'!J13+'6.3. KLMK'!J13+'6.4. Könyvtár'!J13</f>
        <v>0</v>
      </c>
      <c r="K19" s="410">
        <f t="shared" ref="K19:K26" si="62">SUM(H19:J19)</f>
        <v>419701</v>
      </c>
      <c r="L19" s="300">
        <f>'2.1. Önk bev'!L45+'3.1. PH'!L16+'4.1. Vesz'!L13+'5. Eszi'!L13+'6.1. Óvoda'!L13+'6.2. Kalandpark'!L13+'6.3. KLMK'!L13+'6.4. Könyvtár'!L13-182</f>
        <v>356510</v>
      </c>
      <c r="M19" s="410">
        <f>'2.1. Önk bev'!M45+'3.1. PH'!M16+'4.1. Vesz'!M13+'5. Eszi'!M13+'6.1. Óvoda'!M13+'6.2. Kalandpark'!M13+'6.3. KLMK'!M13+'6.4. Könyvtár'!M13</f>
        <v>63322</v>
      </c>
      <c r="N19" s="410">
        <f>'2.1. Önk bev'!N45+'3.1. PH'!N16+'4.1. Vesz'!N13+'5. Eszi'!N13+'6.1. Óvoda'!N13+'6.2. Kalandpark'!N13+'6.3. KLMK'!N13+'6.4. Könyvtár'!N13</f>
        <v>0</v>
      </c>
      <c r="O19" s="410">
        <f t="shared" ref="O19:O26" si="63">SUM(L19:N19)</f>
        <v>419832</v>
      </c>
      <c r="P19" s="300"/>
      <c r="Q19" s="410"/>
      <c r="R19" s="410"/>
      <c r="S19" s="410"/>
      <c r="T19" s="300">
        <f>'2.1. Önk bev'!X45+'3.1. PH'!T16+'4.1. Vesz'!T13+'5. Eszi'!T13+'6.1. Óvoda'!T13+'6.2. Kalandpark'!T13+'6.3. KLMK'!T13+'6.4. Könyvtár'!T13</f>
        <v>47289</v>
      </c>
      <c r="U19" s="300">
        <f>'2.1. Önk bev'!Y45+'3.1. PH'!U16+'4.1. Vesz'!U13+'5. Eszi'!U13+'6.1. Óvoda'!U13+'6.2. Kalandpark'!U13+'6.3. KLMK'!U13+'6.4. Könyvtár'!U13</f>
        <v>14323</v>
      </c>
      <c r="V19" s="410">
        <f>'2.1. Önk bev'!Z45+'3.1. PH'!V16+'4.1. Vesz'!V13+'5. Eszi'!V13+'6.1. Óvoda'!V13+'6.2. Kalandpark'!V13+'6.3. KLMK'!V13+'6.4. Könyvtár'!V13+'5F Segítő Kéz'!V13</f>
        <v>0</v>
      </c>
      <c r="W19" s="410">
        <f t="shared" si="19"/>
        <v>61612</v>
      </c>
      <c r="X19" s="300">
        <f>+'2.1. Önk bev'!P45+'3.1. PH'!Y16+'4.1. Vesz'!X13+'5. Eszi'!X13+'6.1. Óvoda'!X13+'6.2. Kalandpark'!X13+'6.3. KLMK'!Y13+'6.4. Könyvtár'!X13</f>
        <v>391603</v>
      </c>
      <c r="Y19" s="410">
        <f>+'2.1. Önk bev'!Q45+'6.3. KLMK'!Z13+'3.1. PH'!Z16</f>
        <v>57770</v>
      </c>
      <c r="Z19" s="410"/>
      <c r="AA19" s="410">
        <f t="shared" ref="AA19:AA26" si="64">SUM(X19:Z19)</f>
        <v>449373</v>
      </c>
      <c r="AB19" s="445">
        <v>393796</v>
      </c>
      <c r="AC19" s="445">
        <v>17201</v>
      </c>
      <c r="AD19" s="445"/>
      <c r="AE19" s="445">
        <f t="shared" ref="AE19:AE26" si="65">SUM(AB19:AD19)</f>
        <v>410997</v>
      </c>
      <c r="AF19" s="445">
        <f>+'2.1. Önk bev'!AF45+'3.1. PH'!AG16+'4.1. Vesz'!AF13+'5. Eszi'!AF13+'6.1. Óvoda'!AF13+'6.2. Kalandpark'!AF13+'6.3. KLMK'!AG13+'6.4. Könyvtár'!AF13+1</f>
        <v>443412</v>
      </c>
      <c r="AG19" s="445">
        <f>+'2.1. Önk bev'!AG45+'6.3. KLMK'!AH13+'3.1. PH'!AH16</f>
        <v>57770</v>
      </c>
      <c r="AH19" s="445"/>
      <c r="AI19" s="445">
        <f>SUM(AF19:AH19)+1008</f>
        <v>502190</v>
      </c>
      <c r="AJ19" s="445">
        <v>103229</v>
      </c>
      <c r="AK19" s="445">
        <f>+'2.1. Önk bev'!AK45+'3.1. PH'!AL16+'4.1. Vesz'!AK13+'5. Eszi'!AK13+'6.1. Óvoda'!AK13+'6.2. Kalandpark'!AK13+'6.3. KLMK'!AL13+'6.4. Könyvtár'!AK13+1008</f>
        <v>31967</v>
      </c>
      <c r="AL19" s="445"/>
      <c r="AM19" s="445">
        <f t="shared" ref="AM19:AM26" si="66">SUM(AJ19:AL19)</f>
        <v>135196</v>
      </c>
    </row>
    <row r="20" spans="1:39" x14ac:dyDescent="0.25">
      <c r="A20" s="566"/>
      <c r="B20" s="299" t="s">
        <v>1326</v>
      </c>
      <c r="C20" s="300"/>
      <c r="D20" s="300">
        <f>'2.1. Önk bev'!D46+'3.1. PH'!D17+'4.1. Vesz'!D14+'5. Eszi'!D14+'6.1. Óvoda'!D14+'6.2. Kalandpark'!D14+'6.3. KLMK'!D14+'6.4. Könyvtár'!D14</f>
        <v>5000</v>
      </c>
      <c r="E20" s="300">
        <f>'2.1. Önk bev'!E46+'3.1. PH'!E17+'4.1. Vesz'!E14+'5. Eszi'!E14+'6.1. Óvoda'!E14+'6.2. Kalandpark'!E14+'6.3. KLMK'!E14+'6.4. Könyvtár'!E14</f>
        <v>0</v>
      </c>
      <c r="F20" s="300">
        <f>'2.1. Önk bev'!F46+'3.1. PH'!F17+'4.1. Vesz'!F14+'5. Eszi'!F14+'6.1. Óvoda'!F14+'6.2. Kalandpark'!F14+'6.3. KLMK'!F14+'6.4. Könyvtár'!F14</f>
        <v>0</v>
      </c>
      <c r="G20" s="300">
        <f t="shared" si="61"/>
        <v>5000</v>
      </c>
      <c r="H20" s="300">
        <f>'2.1. Önk bev'!H46+'3.1. PH'!H17+'4.1. Vesz'!H14+'5. Eszi'!H14+'6.1. Óvoda'!H14+'6.2. Kalandpark'!H14+'6.3. KLMK'!H14+'6.4. Könyvtár'!H14</f>
        <v>5000</v>
      </c>
      <c r="I20" s="300">
        <f>'2.1. Önk bev'!I46+'3.1. PH'!I17+'4.1. Vesz'!I14+'5. Eszi'!I14+'6.1. Óvoda'!I14+'6.2. Kalandpark'!I14+'6.3. KLMK'!I14+'6.4. Könyvtár'!I14</f>
        <v>0</v>
      </c>
      <c r="J20" s="300">
        <f>'2.1. Önk bev'!J46+'3.1. PH'!J17+'4.1. Vesz'!J14+'5. Eszi'!J14+'6.1. Óvoda'!J14+'6.2. Kalandpark'!J14+'6.3. KLMK'!J14+'6.4. Könyvtár'!J14</f>
        <v>0</v>
      </c>
      <c r="K20" s="410">
        <f t="shared" si="62"/>
        <v>5000</v>
      </c>
      <c r="L20" s="300">
        <f>'2.1. Önk bev'!L46+'3.1. PH'!L17+'4.1. Vesz'!L14+'5. Eszi'!L14+'6.1. Óvoda'!L14+'6.2. Kalandpark'!L14+'6.3. KLMK'!L14+'6.4. Könyvtár'!L14</f>
        <v>5582</v>
      </c>
      <c r="M20" s="410">
        <f>'2.1. Önk bev'!M46+'3.1. PH'!M17+'4.1. Vesz'!M14+'5. Eszi'!M14+'6.1. Óvoda'!M14+'6.2. Kalandpark'!M14+'6.3. KLMK'!M14+'6.4. Könyvtár'!M14</f>
        <v>0</v>
      </c>
      <c r="N20" s="410">
        <f>'2.1. Önk bev'!N46+'3.1. PH'!N17+'4.1. Vesz'!N14+'5. Eszi'!N14+'6.1. Óvoda'!N14+'6.2. Kalandpark'!N14+'6.3. KLMK'!N14+'6.4. Könyvtár'!N14</f>
        <v>0</v>
      </c>
      <c r="O20" s="410">
        <f t="shared" si="63"/>
        <v>5582</v>
      </c>
      <c r="P20" s="300"/>
      <c r="Q20" s="410"/>
      <c r="R20" s="410"/>
      <c r="S20" s="410"/>
      <c r="T20" s="300">
        <f>'2.1. Önk bev'!X46+'3.1. PH'!T17+'4.1. Vesz'!T14+'5. Eszi'!T14+'6.1. Óvoda'!T14+'6.2. Kalandpark'!T14+'6.3. KLMK'!T14+'6.4. Könyvtár'!T14</f>
        <v>0</v>
      </c>
      <c r="U20" s="300">
        <f>'2.1. Önk bev'!Y46+'3.1. PH'!U17+'4.1. Vesz'!U14+'5. Eszi'!U14+'6.1. Óvoda'!U14+'6.2. Kalandpark'!U14+'6.3. KLMK'!U14+'6.4. Könyvtár'!U14</f>
        <v>0</v>
      </c>
      <c r="V20" s="300">
        <f>'2.1. Önk bev'!Z46+'3.1. PH'!V17+'4.1. Vesz'!V14+'5. Eszi'!V14+'6.1. Óvoda'!V14+'6.2. Kalandpark'!V14+'6.3. KLMK'!V14+'6.4. Könyvtár'!V14</f>
        <v>0</v>
      </c>
      <c r="W20" s="410">
        <f t="shared" si="19"/>
        <v>0</v>
      </c>
      <c r="X20" s="300">
        <f>+'3.1. PH'!Y17+'6.2. Kalandpark'!X14</f>
        <v>3574</v>
      </c>
      <c r="Y20" s="410">
        <f>+'2.1. Önk bev'!Q46+'6.3. KLMK'!Z14+'3.1. PH'!Z17</f>
        <v>0</v>
      </c>
      <c r="Z20" s="410"/>
      <c r="AA20" s="410">
        <f t="shared" si="64"/>
        <v>3574</v>
      </c>
      <c r="AB20" s="445">
        <f>+'3.1. PH'!AC17+'6.2. Kalandpark'!AB14</f>
        <v>3574</v>
      </c>
      <c r="AC20" s="445">
        <f>+'3.1. PH'!AD17+'6.2. Kalandpark'!AC14</f>
        <v>0</v>
      </c>
      <c r="AD20" s="445"/>
      <c r="AE20" s="445">
        <f t="shared" si="65"/>
        <v>3574</v>
      </c>
      <c r="AF20" s="445">
        <f>+'3.1. PH'!AG17+'6.2. Kalandpark'!AF14</f>
        <v>3574</v>
      </c>
      <c r="AG20" s="445">
        <f>+'3.1. PH'!AH17+'6.2. Kalandpark'!AG14</f>
        <v>0</v>
      </c>
      <c r="AH20" s="445"/>
      <c r="AI20" s="445">
        <f t="shared" ref="AI20:AI26" si="67">SUM(AF20:AH20)</f>
        <v>3574</v>
      </c>
      <c r="AJ20" s="445">
        <f>+'3.1. PH'!AK17+'6.2. Kalandpark'!AJ14</f>
        <v>0</v>
      </c>
      <c r="AK20" s="445">
        <f>+'3.1. PH'!AL17+'6.2. Kalandpark'!AK14</f>
        <v>0</v>
      </c>
      <c r="AL20" s="445"/>
      <c r="AM20" s="445">
        <f t="shared" si="66"/>
        <v>0</v>
      </c>
    </row>
    <row r="21" spans="1:39" x14ac:dyDescent="0.25">
      <c r="A21" s="430"/>
      <c r="B21" s="299" t="s">
        <v>504</v>
      </c>
      <c r="C21" s="300"/>
      <c r="D21" s="300">
        <f>'2.1. Önk bev'!D48</f>
        <v>58150</v>
      </c>
      <c r="E21" s="410">
        <f>'2.1. Önk bev'!E48+'3.1. PH'!E17+'4.1. Vesz'!E14+'5. Eszi'!E14+'6.1. Óvoda'!E14+'6.2. Kalandpark'!E14+'6.3. KLMK'!E14+'6.4. Könyvtár'!E14+'5F Segítő Kéz'!E14</f>
        <v>0</v>
      </c>
      <c r="F21" s="410">
        <f>'2.1. Önk bev'!F48+'3.1. PH'!F17+'4.1. Vesz'!F14+'5. Eszi'!F14+'6.1. Óvoda'!F14+'6.2. Kalandpark'!F14+'6.3. KLMK'!F14+'6.4. Könyvtár'!F14+'5F Segítő Kéz'!F14</f>
        <v>0</v>
      </c>
      <c r="G21" s="300">
        <f t="shared" si="61"/>
        <v>58150</v>
      </c>
      <c r="H21" s="300">
        <f>'2.1. Önk bev'!H48</f>
        <v>58150</v>
      </c>
      <c r="I21" s="410">
        <f>'2.1. Önk bev'!I48+'3.1. PH'!I17+'4.1. Vesz'!I14+'5. Eszi'!I14+'6.1. Óvoda'!I14+'6.2. Kalandpark'!I14+'6.3. KLMK'!I14+'6.4. Könyvtár'!I14+'5F Segítő Kéz'!I14</f>
        <v>0</v>
      </c>
      <c r="J21" s="410">
        <f>'2.1. Önk bev'!J48+'3.1. PH'!J17+'4.1. Vesz'!J14+'5. Eszi'!J14+'6.1. Óvoda'!J14+'6.2. Kalandpark'!J14+'6.3. KLMK'!J14+'6.4. Könyvtár'!J14+'5F Segítő Kéz'!J14</f>
        <v>0</v>
      </c>
      <c r="K21" s="410">
        <f t="shared" si="62"/>
        <v>58150</v>
      </c>
      <c r="L21" s="300">
        <f>'2.1. Önk bev'!L48</f>
        <v>58150</v>
      </c>
      <c r="M21" s="410">
        <f>'2.1. Önk bev'!M48+'3.1. PH'!M17+'4.1. Vesz'!M14+'5. Eszi'!M14+'6.1. Óvoda'!M14+'6.2. Kalandpark'!M14+'6.3. KLMK'!M14+'6.4. Könyvtár'!M14</f>
        <v>0</v>
      </c>
      <c r="N21" s="410">
        <f>'2.1. Önk bev'!N48+'3.1. PH'!N17+'4.1. Vesz'!N14+'5. Eszi'!N14+'6.1. Óvoda'!N14+'6.2. Kalandpark'!N14+'6.3. KLMK'!N14+'6.4. Könyvtár'!N14</f>
        <v>0</v>
      </c>
      <c r="O21" s="410">
        <f t="shared" si="63"/>
        <v>58150</v>
      </c>
      <c r="P21" s="300"/>
      <c r="Q21" s="410"/>
      <c r="R21" s="410"/>
      <c r="S21" s="410"/>
      <c r="T21" s="300">
        <f>'2.1. Önk bev'!X48</f>
        <v>14929</v>
      </c>
      <c r="U21" s="410">
        <f>'2.1. Önk bev'!Y48+'3.1. PH'!U17+'4.1. Vesz'!U14+'5. Eszi'!U14+'6.1. Óvoda'!U14+'6.2. Kalandpark'!U14+'6.3. KLMK'!U14+'6.4. Könyvtár'!U14+'5F Segítő Kéz'!U14</f>
        <v>0</v>
      </c>
      <c r="V21" s="410">
        <f>'2.1. Önk bev'!Z48+'3.1. PH'!V17+'4.1. Vesz'!V14+'5. Eszi'!V14+'6.1. Óvoda'!V14+'6.2. Kalandpark'!V14+'6.3. KLMK'!V14+'6.4. Könyvtár'!V14+'5F Segítő Kéz'!V14</f>
        <v>0</v>
      </c>
      <c r="W21" s="410">
        <f t="shared" si="19"/>
        <v>14929</v>
      </c>
      <c r="X21" s="300">
        <f>+'2.1. Önk bev'!P48</f>
        <v>58150</v>
      </c>
      <c r="Y21" s="410"/>
      <c r="Z21" s="410"/>
      <c r="AA21" s="410">
        <f t="shared" si="64"/>
        <v>58150</v>
      </c>
      <c r="AB21" s="445">
        <f>+'2.1. Önk bev'!AB48</f>
        <v>58150</v>
      </c>
      <c r="AC21" s="445">
        <f>+'2.1. Önk bev'!AC48</f>
        <v>0</v>
      </c>
      <c r="AD21" s="445"/>
      <c r="AE21" s="445">
        <f t="shared" si="65"/>
        <v>58150</v>
      </c>
      <c r="AF21" s="445">
        <f>+'2.1. Önk bev'!AF48</f>
        <v>83319</v>
      </c>
      <c r="AG21" s="445">
        <f>+'2.1. Önk bev'!Y48</f>
        <v>0</v>
      </c>
      <c r="AH21" s="445"/>
      <c r="AI21" s="445">
        <f t="shared" si="67"/>
        <v>83319</v>
      </c>
      <c r="AJ21" s="445">
        <f>+'2.1. Önk bev'!AJ48</f>
        <v>24023</v>
      </c>
      <c r="AK21" s="445">
        <f>+'2.1. Önk bev'!AK48</f>
        <v>0</v>
      </c>
      <c r="AL21" s="445"/>
      <c r="AM21" s="445">
        <f t="shared" si="66"/>
        <v>24023</v>
      </c>
    </row>
    <row r="22" spans="1:39" x14ac:dyDescent="0.25">
      <c r="A22" s="430"/>
      <c r="B22" s="299" t="s">
        <v>506</v>
      </c>
      <c r="C22" s="300"/>
      <c r="D22" s="300">
        <f>'2.1. Önk bev'!D52+'3.1. PH'!D18+'4.1. Vesz'!D15+'5. Eszi'!D15+'6.1. Óvoda'!D15+'6.2. Kalandpark'!D15+'6.3. KLMK'!D15+'6.4. Könyvtár'!D15</f>
        <v>114700</v>
      </c>
      <c r="E22" s="410">
        <f>'2.1. Önk bev'!E52+'3.1. PH'!E18+'4.1. Vesz'!E15+'5. Eszi'!E15+'6.1. Óvoda'!E15+'6.2. Kalandpark'!E15+'6.3. KLMK'!E15+'6.4. Könyvtár'!E15+'5F Segítő Kéz'!E15+'5G Szérüskert'!E15</f>
        <v>0</v>
      </c>
      <c r="F22" s="410">
        <f>'2.1. Önk bev'!F52+'3.1. PH'!F18+'4.1. Vesz'!F15+'5. Eszi'!F15+'6.1. Óvoda'!F15+'6.2. Kalandpark'!F15+'6.3. KLMK'!F15+'6.4. Könyvtár'!F15+'5F Segítő Kéz'!F15+'5G Szérüskert'!F15</f>
        <v>0</v>
      </c>
      <c r="G22" s="300">
        <f t="shared" si="61"/>
        <v>114700</v>
      </c>
      <c r="H22" s="300">
        <f>'2.1. Önk bev'!H52+'3.1. PH'!H18+'4.1. Vesz'!H15+'5. Eszi'!H15+'6.1. Óvoda'!H15+'6.2. Kalandpark'!H15+'6.3. KLMK'!H15+'6.4. Könyvtár'!H15</f>
        <v>117200</v>
      </c>
      <c r="I22" s="410">
        <f>'2.1. Önk bev'!I52+'3.1. PH'!I18+'4.1. Vesz'!I15+'5. Eszi'!I15+'6.1. Óvoda'!I15+'6.2. Kalandpark'!I15+'6.3. KLMK'!I15+'6.4. Könyvtár'!I15+'5F Segítő Kéz'!I15+'5G Szérüskert'!I15</f>
        <v>0</v>
      </c>
      <c r="J22" s="410">
        <f>'2.1. Önk bev'!J52+'3.1. PH'!J18+'4.1. Vesz'!J15+'5. Eszi'!J15+'6.1. Óvoda'!J15+'6.2. Kalandpark'!J15+'6.3. KLMK'!J15+'6.4. Könyvtár'!J15</f>
        <v>0</v>
      </c>
      <c r="K22" s="410">
        <f t="shared" si="62"/>
        <v>117200</v>
      </c>
      <c r="L22" s="300">
        <f>'2.1. Önk bev'!L52+'3.1. PH'!L18+'4.1. Vesz'!L15+'5. Eszi'!L15+'6.1. Óvoda'!L15+'6.2. Kalandpark'!L15+'6.3. KLMK'!L15+'6.4. Könyvtár'!L15</f>
        <v>117200</v>
      </c>
      <c r="M22" s="410">
        <f>'2.1. Önk bev'!M52+'3.1. PH'!M18+'4.1. Vesz'!M15+'5. Eszi'!M15+'6.1. Óvoda'!M15+'6.2. Kalandpark'!M15+'6.3. KLMK'!M15+'6.4. Könyvtár'!M15</f>
        <v>0</v>
      </c>
      <c r="N22" s="410">
        <f>'2.1. Önk bev'!N52+'3.1. PH'!N18+'4.1. Vesz'!N15+'5. Eszi'!N15+'6.1. Óvoda'!N15+'6.2. Kalandpark'!N15+'6.3. KLMK'!N15+'6.4. Könyvtár'!N15</f>
        <v>0</v>
      </c>
      <c r="O22" s="410">
        <f t="shared" si="63"/>
        <v>117200</v>
      </c>
      <c r="P22" s="300"/>
      <c r="Q22" s="410"/>
      <c r="R22" s="410"/>
      <c r="S22" s="410"/>
      <c r="T22" s="300">
        <f>'2.1. Önk bev'!X52+'3.1. PH'!T18+'4.1. Vesz'!T15+'5. Eszi'!T15+'6.1. Óvoda'!T15+'6.2. Kalandpark'!T15+'6.3. KLMK'!T15+'6.4. Könyvtár'!T15+'5F Segítő Kéz'!T15+'5G Szérüskert'!T15</f>
        <v>34322</v>
      </c>
      <c r="U22" s="410">
        <f>'2.1. Önk bev'!Y52+'3.1. PH'!U18+'4.1. Vesz'!U15+'5. Eszi'!U15+'6.1. Óvoda'!U15+'6.2. Kalandpark'!U15+'6.3. KLMK'!U15+'6.4. Könyvtár'!U15+'5F Segítő Kéz'!U15+'5G Szérüskert'!U15</f>
        <v>0</v>
      </c>
      <c r="V22" s="410">
        <f>'2.1. Önk bev'!Z52+'3.1. PH'!V18+'4.1. Vesz'!V15+'5. Eszi'!V15+'6.1. Óvoda'!V15+'6.2. Kalandpark'!V15+'6.3. KLMK'!V15+'6.4. Könyvtár'!V15+'5F Segítő Kéz'!V15+'5G Szérüskert'!V15</f>
        <v>0</v>
      </c>
      <c r="W22" s="410">
        <f t="shared" si="19"/>
        <v>34322</v>
      </c>
      <c r="X22" s="300">
        <f>+'5. Eszi'!X15+'6.1. Óvoda'!X15+'4.1. Vesz'!X15</f>
        <v>116562</v>
      </c>
      <c r="Y22" s="410"/>
      <c r="Z22" s="410"/>
      <c r="AA22" s="410">
        <f t="shared" si="64"/>
        <v>116562</v>
      </c>
      <c r="AB22" s="445">
        <v>118062</v>
      </c>
      <c r="AC22" s="445">
        <f>+'5. Eszi'!AC15+'6.1. Óvoda'!AC15+'4.1. Vesz'!AC15</f>
        <v>0</v>
      </c>
      <c r="AD22" s="445"/>
      <c r="AE22" s="445">
        <f t="shared" si="65"/>
        <v>118062</v>
      </c>
      <c r="AF22" s="445">
        <f>+'5. Eszi'!AF15+'6.1. Óvoda'!AF15+'4.1. Vesz'!AF15</f>
        <v>118062</v>
      </c>
      <c r="AG22" s="445">
        <f>+'5. Eszi'!AG15+'6.1. Óvoda'!AG15+'4.1. Vesz'!AG15</f>
        <v>0</v>
      </c>
      <c r="AH22" s="445"/>
      <c r="AI22" s="445">
        <f t="shared" si="67"/>
        <v>118062</v>
      </c>
      <c r="AJ22" s="445">
        <f>+'5. Eszi'!AJ15+'6.1. Óvoda'!AJ15+'4.1. Vesz'!AJ15</f>
        <v>56176</v>
      </c>
      <c r="AK22" s="445">
        <f>+'5. Eszi'!AK15+'6.1. Óvoda'!AK15+'4.1. Vesz'!AK15</f>
        <v>0</v>
      </c>
      <c r="AL22" s="445"/>
      <c r="AM22" s="445">
        <f t="shared" si="66"/>
        <v>56176</v>
      </c>
    </row>
    <row r="23" spans="1:39" x14ac:dyDescent="0.25">
      <c r="A23" s="430"/>
      <c r="B23" s="299" t="s">
        <v>507</v>
      </c>
      <c r="C23" s="300"/>
      <c r="D23" s="300">
        <f>'2.1. Önk bev'!D53+'3.1. PH'!D19+'4.1. Vesz'!D16+'5. Eszi'!D16+'6.1. Óvoda'!D16+'6.2. Kalandpark'!D16+'6.3. KLMK'!D16+'6.4. Könyvtár'!D16</f>
        <v>111157</v>
      </c>
      <c r="E23" s="410">
        <f>'2.1. Önk bev'!E53+'3.1. PH'!E19+'4.1. Vesz'!E16+'5. Eszi'!E16+'6.1. Óvoda'!E16+'6.2. Kalandpark'!E16+'6.3. KLMK'!E16+'6.4. Könyvtár'!E16+'5F Segítő Kéz'!E16+'5G Szérüskert'!E16</f>
        <v>1072</v>
      </c>
      <c r="F23" s="410">
        <f>'2.1. Önk bev'!F53+'3.1. PH'!F19+'4.1. Vesz'!F16+'5. Eszi'!F16+'6.1. Óvoda'!F16+'6.2. Kalandpark'!F16+'6.3. KLMK'!F16+'6.4. Könyvtár'!F16+'5F Segítő Kéz'!F16+'5G Szérüskert'!F16</f>
        <v>0</v>
      </c>
      <c r="G23" s="300">
        <f t="shared" si="61"/>
        <v>112229</v>
      </c>
      <c r="H23" s="300">
        <f>'2.1. Önk bev'!H53+'3.1. PH'!H19+'4.1. Vesz'!H16+'5. Eszi'!H16+'6.1. Óvoda'!H16+'6.2. Kalandpark'!H16+'6.3. KLMK'!H16+'6.4. Könyvtár'!H16</f>
        <v>111157</v>
      </c>
      <c r="I23" s="410">
        <f>'2.1. Önk bev'!I53+'3.1. PH'!I19+'4.1. Vesz'!I16+'5. Eszi'!I16+'6.1. Óvoda'!I16+'6.2. Kalandpark'!I16+'6.3. KLMK'!I16+'6.4. Könyvtár'!I16+'5F Segítő Kéz'!I16+'5G Szérüskert'!I16</f>
        <v>1072</v>
      </c>
      <c r="J23" s="410">
        <f>'2.1. Önk bev'!J53+'3.1. PH'!J19+'4.1. Vesz'!J16+'5. Eszi'!J16+'6.1. Óvoda'!J16+'6.2. Kalandpark'!J16+'6.3. KLMK'!J16+'6.4. Könyvtár'!J16</f>
        <v>0</v>
      </c>
      <c r="K23" s="410">
        <f t="shared" si="62"/>
        <v>112229</v>
      </c>
      <c r="L23" s="300">
        <f>'2.1. Önk bev'!L53+'3.1. PH'!L19+'4.1. Vesz'!L16+'5. Eszi'!L16+'6.1. Óvoda'!L16+'6.2. Kalandpark'!L16+'6.3. KLMK'!L16+'6.4. Könyvtár'!L16</f>
        <v>112375</v>
      </c>
      <c r="M23" s="410">
        <f>'2.1. Önk bev'!M53+'3.1. PH'!M19+'4.1. Vesz'!M16+'5. Eszi'!M16+'6.1. Óvoda'!M16+'6.2. Kalandpark'!M16+'6.3. KLMK'!M16+'6.4. Könyvtár'!M16</f>
        <v>2982</v>
      </c>
      <c r="N23" s="410">
        <f>'2.1. Önk bev'!N53+'3.1. PH'!N19+'4.1. Vesz'!N16+'5. Eszi'!N16+'6.1. Óvoda'!N16+'6.2. Kalandpark'!N16+'6.3. KLMK'!N16+'6.4. Könyvtár'!N16</f>
        <v>0</v>
      </c>
      <c r="O23" s="410">
        <f t="shared" si="63"/>
        <v>115357</v>
      </c>
      <c r="P23" s="300"/>
      <c r="Q23" s="410"/>
      <c r="R23" s="410"/>
      <c r="S23" s="410"/>
      <c r="T23" s="300">
        <f>'2.1. Önk bev'!X53+'3.1. PH'!T19+'4.1. Vesz'!T16+'5. Eszi'!T16+'6.1. Óvoda'!T16+'6.2. Kalandpark'!T16+'6.3. KLMK'!T16+'6.4. Könyvtár'!T16</f>
        <v>15742</v>
      </c>
      <c r="U23" s="410">
        <f>'2.1. Önk bev'!Y53+'3.1. PH'!U19+'4.1. Vesz'!U16+'5. Eszi'!U16+'6.1. Óvoda'!U16+'6.2. Kalandpark'!U16+'6.3. KLMK'!U16+'6.4. Könyvtár'!U16+'5F Segítő Kéz'!U16+'5G Szérüskert'!U16</f>
        <v>281</v>
      </c>
      <c r="V23" s="410">
        <f>'2.1. Önk bev'!Z53+'3.1. PH'!V19+'4.1. Vesz'!V16+'5. Eszi'!V16+'6.1. Óvoda'!V16+'6.2. Kalandpark'!V16+'6.3. KLMK'!V16+'6.4. Könyvtár'!V16+'5F Segítő Kéz'!V16+'5G Szérüskert'!V16</f>
        <v>0</v>
      </c>
      <c r="W23" s="410">
        <f t="shared" si="19"/>
        <v>16023</v>
      </c>
      <c r="X23" s="300">
        <f>+'2.1. Önk bev'!P53+'3.1. PH'!Y19+'4.1. Vesz'!X16+'5. Eszi'!X16+'6.1. Óvoda'!X16+'6.2. Kalandpark'!X16+'6.3. KLMK'!Y16</f>
        <v>120619</v>
      </c>
      <c r="Y23" s="410">
        <f>+'6.3. KLMK'!Z16+'3.1. PH'!Y19</f>
        <v>1984</v>
      </c>
      <c r="Z23" s="410"/>
      <c r="AA23" s="410">
        <f t="shared" si="64"/>
        <v>122603</v>
      </c>
      <c r="AB23" s="445">
        <f>+'2.1. Önk bev'!AB53+'3.1. PH'!AC19+'4.1. Vesz'!AB16+'5. Eszi'!AB16+'6.1. Óvoda'!AB16+'6.2. Kalandpark'!AB16+'6.3. KLMK'!AC16</f>
        <v>122925</v>
      </c>
      <c r="AC23" s="445">
        <f>+'2.1. Önk bev'!AC53+'3.1. PH'!AD19+'4.1. Vesz'!AC16+'5. Eszi'!AC16+'6.1. Óvoda'!AC16+'6.2. Kalandpark'!AC16+'6.3. KLMK'!AD16</f>
        <v>1059</v>
      </c>
      <c r="AD23" s="445"/>
      <c r="AE23" s="445">
        <f t="shared" si="65"/>
        <v>123984</v>
      </c>
      <c r="AF23" s="445">
        <f>+'2.1. Önk bev'!AF53+'3.1. PH'!AG19+'4.1. Vesz'!AF16+'5. Eszi'!AF16+'6.1. Óvoda'!AF16+'6.2. Kalandpark'!AF16+'6.3. KLMK'!AG16</f>
        <v>124159</v>
      </c>
      <c r="AG23" s="445">
        <f>+'2.1. Önk bev'!AG53+'3.1. PH'!AH19+'4.1. Vesz'!AG16+'5. Eszi'!AG16+'6.1. Óvoda'!AG16+'6.2. Kalandpark'!AG16+'6.3. KLMK'!AH16</f>
        <v>1059</v>
      </c>
      <c r="AH23" s="445"/>
      <c r="AI23" s="445">
        <f t="shared" si="67"/>
        <v>125218</v>
      </c>
      <c r="AJ23" s="445">
        <f>+'2.1. Önk bev'!AJ53+'3.1. PH'!AK19+'4.1. Vesz'!AJ16+'5. Eszi'!AJ16+'6.1. Óvoda'!AJ16+'6.2. Kalandpark'!AJ16+'6.3. KLMK'!AK16</f>
        <v>43711</v>
      </c>
      <c r="AK23" s="445">
        <f>+'2.1. Önk bev'!AK53+'3.1. PH'!AL19+'4.1. Vesz'!AK16+'5. Eszi'!AK16+'6.1. Óvoda'!AK16+'6.2. Kalandpark'!AK16+'6.3. KLMK'!AL16</f>
        <v>680</v>
      </c>
      <c r="AL23" s="445"/>
      <c r="AM23" s="445">
        <f t="shared" si="66"/>
        <v>44391</v>
      </c>
    </row>
    <row r="24" spans="1:39" x14ac:dyDescent="0.25">
      <c r="A24" s="430"/>
      <c r="B24" s="299" t="s">
        <v>508</v>
      </c>
      <c r="C24" s="300"/>
      <c r="D24" s="300">
        <f>'2.1. Önk bev'!D54+'3.1. PH'!D20+'4.1. Vesz'!D17+'5. Eszi'!D17+'6.1. Óvoda'!D17+'6.2. Kalandpark'!D17+'6.3. KLMK'!D17+'6.4. Könyvtár'!D17+'5F Segítő Kéz'!D17+'5G Szérüskert'!D17</f>
        <v>9450</v>
      </c>
      <c r="E24" s="410">
        <f>'2.1. Önk bev'!E54+'3.1. PH'!E20+'4.1. Vesz'!E17+'5. Eszi'!E17+'6.1. Óvoda'!E17+'6.2. Kalandpark'!E17+'6.3. KLMK'!E17+'6.4. Könyvtár'!E17+'5F Segítő Kéz'!E17</f>
        <v>0</v>
      </c>
      <c r="F24" s="410">
        <f>'2.1. Önk bev'!F54+'3.1. PH'!F20+'4.1. Vesz'!F17+'5. Eszi'!F17+'6.1. Óvoda'!F17+'6.2. Kalandpark'!F17+'6.3. KLMK'!F17+'6.4. Könyvtár'!F17+'5F Segítő Kéz'!F17</f>
        <v>0</v>
      </c>
      <c r="G24" s="300">
        <f t="shared" si="61"/>
        <v>9450</v>
      </c>
      <c r="H24" s="300">
        <f>'2.1. Önk bev'!H54+'3.1. PH'!H20+'4.1. Vesz'!H17+'5. Eszi'!H17+'6.1. Óvoda'!H17+'6.2. Kalandpark'!H17+'6.3. KLMK'!H17+'6.4. Könyvtár'!H17+'5F Segítő Kéz'!H17+'5G Szérüskert'!H17</f>
        <v>9450</v>
      </c>
      <c r="I24" s="410">
        <f>'2.1. Önk bev'!I54+'3.1. PH'!I20+'4.1. Vesz'!I17+'5. Eszi'!I17+'6.1. Óvoda'!I17+'6.2. Kalandpark'!I17+'6.3. KLMK'!I17+'6.4. Könyvtár'!I17+'5F Segítő Kéz'!I17</f>
        <v>0</v>
      </c>
      <c r="J24" s="410">
        <f>'2.1. Önk bev'!J54+'3.1. PH'!J20+'4.1. Vesz'!J17+'5. Eszi'!J17+'6.1. Óvoda'!J17+'6.2. Kalandpark'!J17+'6.3. KLMK'!J17+'6.4. Könyvtár'!J17</f>
        <v>0</v>
      </c>
      <c r="K24" s="410">
        <f t="shared" si="62"/>
        <v>9450</v>
      </c>
      <c r="L24" s="300">
        <f>'2.1. Önk bev'!L54+'3.1. PH'!L20+'4.1. Vesz'!L17+'5. Eszi'!L17+'6.1. Óvoda'!L17+'6.2. Kalandpark'!L17+'6.3. KLMK'!L17+'6.4. Könyvtár'!L17</f>
        <v>9450</v>
      </c>
      <c r="M24" s="410">
        <f>'2.1. Önk bev'!M54+'3.1. PH'!M20+'4.1. Vesz'!M17+'5. Eszi'!M17+'6.1. Óvoda'!M17+'6.2. Kalandpark'!M17+'6.3. KLMK'!M17+'6.4. Könyvtár'!M17</f>
        <v>0</v>
      </c>
      <c r="N24" s="410">
        <f>'2.1. Önk bev'!N54+'3.1. PH'!N20+'4.1. Vesz'!N17+'5. Eszi'!N17+'6.1. Óvoda'!N17+'6.2. Kalandpark'!N17+'6.3. KLMK'!N17+'6.4. Könyvtár'!N17</f>
        <v>0</v>
      </c>
      <c r="O24" s="410">
        <f t="shared" si="63"/>
        <v>9450</v>
      </c>
      <c r="P24" s="300"/>
      <c r="Q24" s="410"/>
      <c r="R24" s="410"/>
      <c r="S24" s="410"/>
      <c r="T24" s="300">
        <f>'2.1. Önk bev'!X54+'3.1. PH'!T20+'4.1. Vesz'!T17+'5. Eszi'!T17+'6.1. Óvoda'!T17+'6.2. Kalandpark'!T17+'6.3. KLMK'!T17+'6.4. Könyvtár'!T17+'5F Segítő Kéz'!T17+'5G Szérüskert'!T17</f>
        <v>0</v>
      </c>
      <c r="U24" s="410">
        <f>'2.1. Önk bev'!Y54+'3.1. PH'!U20+'4.1. Vesz'!U17+'5. Eszi'!U17+'6.1. Óvoda'!U17+'6.2. Kalandpark'!U17+'6.3. KLMK'!U17+'6.4. Könyvtár'!U17+'5F Segítő Kéz'!U17</f>
        <v>0</v>
      </c>
      <c r="V24" s="410">
        <f>'2.1. Önk bev'!Z54+'3.1. PH'!V20+'4.1. Vesz'!V17+'5. Eszi'!V17+'6.1. Óvoda'!V17+'6.2. Kalandpark'!V17+'6.3. KLMK'!V17+'6.4. Könyvtár'!V17+'5F Segítő Kéz'!V17</f>
        <v>0</v>
      </c>
      <c r="W24" s="410">
        <f t="shared" si="19"/>
        <v>0</v>
      </c>
      <c r="X24" s="300">
        <f>+'2.1. Önk bev'!P54</f>
        <v>10000</v>
      </c>
      <c r="Y24" s="410">
        <f>+'2.1. Önk bev'!Q50+'6.3. KLMK'!Z18+'3.1. PH'!Z21</f>
        <v>0</v>
      </c>
      <c r="Z24" s="410"/>
      <c r="AA24" s="410">
        <f t="shared" si="64"/>
        <v>10000</v>
      </c>
      <c r="AB24" s="445">
        <f>+'2.1. Önk bev'!AB54+'5. Eszi'!AB17</f>
        <v>33940</v>
      </c>
      <c r="AC24" s="445">
        <f>+'2.1. Önk bev'!AC54+'5. Eszi'!AC17</f>
        <v>0</v>
      </c>
      <c r="AD24" s="445"/>
      <c r="AE24" s="445">
        <f t="shared" si="65"/>
        <v>33940</v>
      </c>
      <c r="AF24" s="445">
        <f>+'2.1. Önk bev'!AF54+'5. Eszi'!AF17</f>
        <v>37336</v>
      </c>
      <c r="AG24" s="445">
        <f>+'2.1. Önk bev'!Y54</f>
        <v>0</v>
      </c>
      <c r="AH24" s="445"/>
      <c r="AI24" s="445">
        <f t="shared" si="67"/>
        <v>37336</v>
      </c>
      <c r="AJ24" s="445">
        <f>+'2.1. Önk bev'!AJ54+'5. Eszi'!AJ17</f>
        <v>32608</v>
      </c>
      <c r="AK24" s="445">
        <f>+'2.1. Önk bev'!AK54+'5. Eszi'!AK17</f>
        <v>0</v>
      </c>
      <c r="AL24" s="445"/>
      <c r="AM24" s="445">
        <f t="shared" si="66"/>
        <v>32608</v>
      </c>
    </row>
    <row r="25" spans="1:39" x14ac:dyDescent="0.25">
      <c r="A25" s="430"/>
      <c r="B25" s="299" t="s">
        <v>509</v>
      </c>
      <c r="C25" s="300"/>
      <c r="D25" s="300">
        <f>'2.1. Önk bev'!D55+'3.1. PH'!D21+'4.1. Vesz'!D18+'5. Eszi'!D18+'6.1. Óvoda'!D18+'6.2. Kalandpark'!D18+'6.3. KLMK'!D18+'6.4. Könyvtár'!D18+'5F Segítő Kéz'!D18+'5G Szérüskert'!D18</f>
        <v>135</v>
      </c>
      <c r="E25" s="410">
        <f>'2.1. Önk bev'!E55+'3.1. PH'!E21+'4.1. Vesz'!E18+'5. Eszi'!E18+'6.1. Óvoda'!E18+'6.2. Kalandpark'!E18+'6.3. KLMK'!E18+'6.4. Könyvtár'!E18+'5F Segítő Kéz'!E18</f>
        <v>0</v>
      </c>
      <c r="F25" s="410">
        <f>'2.1. Önk bev'!F55+'3.1. PH'!F21+'4.1. Vesz'!F18+'5. Eszi'!F18+'6.1. Óvoda'!F18+'6.2. Kalandpark'!F18+'6.3. KLMK'!F18+'6.4. Könyvtár'!F18+'5F Segítő Kéz'!F18</f>
        <v>0</v>
      </c>
      <c r="G25" s="300">
        <f t="shared" si="61"/>
        <v>135</v>
      </c>
      <c r="H25" s="300">
        <f>'2.1. Önk bev'!H55+'3.1. PH'!H21+'4.1. Vesz'!H18+'5. Eszi'!H18+'6.1. Óvoda'!H18+'6.2. Kalandpark'!H18+'6.3. KLMK'!H18+'6.4. Könyvtár'!H18+'5F Segítő Kéz'!H18+'5G Szérüskert'!H18</f>
        <v>135</v>
      </c>
      <c r="I25" s="410">
        <f>'2.1. Önk bev'!I55+'3.1. PH'!I21+'4.1. Vesz'!I18+'5. Eszi'!I18+'6.1. Óvoda'!I18+'6.2. Kalandpark'!I18+'6.3. KLMK'!I18+'6.4. Könyvtár'!I18+'5F Segítő Kéz'!I18</f>
        <v>0</v>
      </c>
      <c r="J25" s="410">
        <f>'2.1. Önk bev'!J55+'3.1. PH'!J21+'4.1. Vesz'!J18+'5. Eszi'!J18+'6.1. Óvoda'!J18+'6.2. Kalandpark'!J18+'6.3. KLMK'!J18+'6.4. Könyvtár'!J18+'5F Segítő Kéz'!J18</f>
        <v>0</v>
      </c>
      <c r="K25" s="410">
        <f t="shared" si="62"/>
        <v>135</v>
      </c>
      <c r="L25" s="300">
        <f>'2.1. Önk bev'!L55+'3.1. PH'!L21+'4.1. Vesz'!L18+'5. Eszi'!L18+'6.1. Óvoda'!L18+'6.2. Kalandpark'!L18+'6.3. KLMK'!L18+'6.4. Könyvtár'!L18+5</f>
        <v>135</v>
      </c>
      <c r="M25" s="410">
        <f>'2.1. Önk bev'!M55+'3.1. PH'!M21+'4.1. Vesz'!M18+'5. Eszi'!M18+'6.1. Óvoda'!M18+'6.2. Kalandpark'!M18+'6.3. KLMK'!M18+'6.4. Könyvtár'!M18</f>
        <v>0</v>
      </c>
      <c r="N25" s="410">
        <f>'2.1. Önk bev'!N55+'3.1. PH'!N21+'4.1. Vesz'!N18+'5. Eszi'!N18+'6.1. Óvoda'!N18+'6.2. Kalandpark'!N18+'6.3. KLMK'!N18+'6.4. Könyvtár'!N18</f>
        <v>0</v>
      </c>
      <c r="O25" s="410">
        <f t="shared" si="63"/>
        <v>135</v>
      </c>
      <c r="P25" s="300"/>
      <c r="Q25" s="410"/>
      <c r="R25" s="410"/>
      <c r="S25" s="410"/>
      <c r="T25" s="300">
        <f>'2.1. Önk bev'!X55+'3.1. PH'!T21+'4.1. Vesz'!T18+'5. Eszi'!T18+'6.1. Óvoda'!T18+'6.2. Kalandpark'!T18+'6.3. KLMK'!T18+'6.4. Könyvtár'!T18+'5F Segítő Kéz'!T18+'5G Szérüskert'!T18</f>
        <v>80</v>
      </c>
      <c r="U25" s="410">
        <f>'2.1. Önk bev'!Y55+'3.1. PH'!U21+'4.1. Vesz'!U18+'5. Eszi'!U18+'6.1. Óvoda'!U18+'6.2. Kalandpark'!U18+'6.3. KLMK'!U18+'6.4. Könyvtár'!U18+'5F Segítő Kéz'!U18</f>
        <v>0</v>
      </c>
      <c r="V25" s="410">
        <f>'2.1. Önk bev'!Z55+'3.1. PH'!V21+'4.1. Vesz'!V18+'5. Eszi'!V18+'6.1. Óvoda'!V18+'6.2. Kalandpark'!V18+'6.3. KLMK'!V18+'6.4. Könyvtár'!V18+'5F Segítő Kéz'!V18</f>
        <v>0</v>
      </c>
      <c r="W25" s="410">
        <f t="shared" si="19"/>
        <v>80</v>
      </c>
      <c r="X25" s="300">
        <f>+'2.1. Önk bev'!P55+'5. Eszi'!X18+'4.1. Vesz'!X18</f>
        <v>15</v>
      </c>
      <c r="Y25" s="410">
        <f>+'2.1. Önk bev'!Q51+'6.3. KLMK'!Z19+'3.1. PH'!Z22</f>
        <v>0</v>
      </c>
      <c r="Z25" s="410"/>
      <c r="AA25" s="410">
        <f t="shared" si="64"/>
        <v>15</v>
      </c>
      <c r="AB25" s="445">
        <f>+'2.1. Önk bev'!AB55+'5. Eszi'!AB18+'4.1. Vesz'!AB18</f>
        <v>15</v>
      </c>
      <c r="AC25" s="445">
        <f>+'2.1. Önk bev'!AC55+'5. Eszi'!AC18+'4.1. Vesz'!AC18</f>
        <v>0</v>
      </c>
      <c r="AD25" s="445"/>
      <c r="AE25" s="445">
        <f t="shared" si="65"/>
        <v>15</v>
      </c>
      <c r="AF25" s="445">
        <f>+'2.1. Önk bev'!AF55+'5. Eszi'!AF18+'4.1. Vesz'!AF18</f>
        <v>15</v>
      </c>
      <c r="AG25" s="445">
        <f>+'2.1. Önk bev'!Y55+'5. Eszi'!AG18+'4.1. Vesz'!AG18</f>
        <v>0</v>
      </c>
      <c r="AH25" s="445"/>
      <c r="AI25" s="445">
        <f t="shared" si="67"/>
        <v>15</v>
      </c>
      <c r="AJ25" s="445">
        <f>+'2.1. Önk bev'!AJ55+'5. Eszi'!AJ18+'4.1. Vesz'!AJ18</f>
        <v>0</v>
      </c>
      <c r="AK25" s="445">
        <f>+'2.1. Önk bev'!AK55+'5. Eszi'!AK18+'4.1. Vesz'!AK18</f>
        <v>0</v>
      </c>
      <c r="AL25" s="445"/>
      <c r="AM25" s="445">
        <f t="shared" si="66"/>
        <v>0</v>
      </c>
    </row>
    <row r="26" spans="1:39" x14ac:dyDescent="0.25">
      <c r="A26" s="430"/>
      <c r="B26" s="299" t="s">
        <v>510</v>
      </c>
      <c r="C26" s="300"/>
      <c r="D26" s="300">
        <f>'2.1. Önk bev'!D56+'3.1. PH'!D22+'4.1. Vesz'!D19+'5. Eszi'!D19+'6.1. Óvoda'!D19+'6.2. Kalandpark'!D19+'6.3. KLMK'!D19+'6.4. Könyvtár'!D19+'5F Segítő Kéz'!D19+'5G Szérüskert'!D19</f>
        <v>9475</v>
      </c>
      <c r="E26" s="410">
        <f>'2.1. Önk bev'!E56+'3.1. PH'!E22+'4.1. Vesz'!E19+'5. Eszi'!E19+'6.1. Óvoda'!E19+'6.2. Kalandpark'!E19+'6.3. KLMK'!E19+'6.4. Könyvtár'!E19+'5F Segítő Kéz'!E19</f>
        <v>0</v>
      </c>
      <c r="F26" s="410">
        <f>'2.1. Önk bev'!F56+'3.1. PH'!F22+'4.1. Vesz'!F19+'5. Eszi'!F19+'6.1. Óvoda'!F19+'6.2. Kalandpark'!F19+'6.3. KLMK'!F19+'6.4. Könyvtár'!F19+'5F Segítő Kéz'!F19</f>
        <v>0</v>
      </c>
      <c r="G26" s="300">
        <f t="shared" si="61"/>
        <v>9475</v>
      </c>
      <c r="H26" s="300">
        <f>'2.1. Önk bev'!H56+'3.1. PH'!H22+'4.1. Vesz'!H19+'5. Eszi'!H19+'6.1. Óvoda'!H19+'6.2. Kalandpark'!H19+'6.3. KLMK'!H19+'6.4. Könyvtár'!H19+'5F Segítő Kéz'!H19+'5G Szérüskert'!H19</f>
        <v>36654</v>
      </c>
      <c r="I26" s="410">
        <f>'2.1. Önk bev'!I56+'3.1. PH'!I22+'4.1. Vesz'!I19+'5. Eszi'!I19+'6.1. Óvoda'!I19+'6.2. Kalandpark'!I19+'6.3. KLMK'!I19+'6.4. Könyvtár'!I19+'5F Segítő Kéz'!I19</f>
        <v>0</v>
      </c>
      <c r="J26" s="410">
        <f>'2.1. Önk bev'!J56+'3.1. PH'!J22+'4.1. Vesz'!J19+'5. Eszi'!J19+'6.1. Óvoda'!J19+'6.2. Kalandpark'!J19+'6.3. KLMK'!J19+'6.4. Könyvtár'!J19</f>
        <v>0</v>
      </c>
      <c r="K26" s="410">
        <f t="shared" si="62"/>
        <v>36654</v>
      </c>
      <c r="L26" s="300">
        <f>'2.1. Önk bev'!L56+'3.1. PH'!L22+'4.1. Vesz'!L19+'5. Eszi'!L19+'6.1. Óvoda'!L19+'6.2. Kalandpark'!L19+'6.3. KLMK'!L19+'6.4. Könyvtár'!L19</f>
        <v>36569</v>
      </c>
      <c r="M26" s="410">
        <f>'2.1. Önk bev'!M56+'3.1. PH'!M22+'4.1. Vesz'!M19+'5. Eszi'!M19+'6.1. Óvoda'!M19+'6.2. Kalandpark'!M19+'6.3. KLMK'!M19+'6.4. Könyvtár'!M19</f>
        <v>0</v>
      </c>
      <c r="N26" s="410">
        <f>'2.1. Önk bev'!N56+'3.1. PH'!N22+'4.1. Vesz'!N19+'5. Eszi'!N19+'6.1. Óvoda'!N19+'6.2. Kalandpark'!N19+'6.3. KLMK'!N19+'6.4. Könyvtár'!N19</f>
        <v>0</v>
      </c>
      <c r="O26" s="410">
        <f t="shared" si="63"/>
        <v>36569</v>
      </c>
      <c r="P26" s="300"/>
      <c r="Q26" s="410"/>
      <c r="R26" s="410"/>
      <c r="S26" s="410"/>
      <c r="T26" s="300">
        <f>'2.1. Önk bev'!X56+'3.1. PH'!T22+'4.1. Vesz'!T19+'5. Eszi'!T19+'6.1. Óvoda'!T19+'6.2. Kalandpark'!T19+'6.3. KLMK'!T19+'6.4. Könyvtár'!T19+'5F Segítő Kéz'!T19+'5G Szérüskert'!T19</f>
        <v>27731</v>
      </c>
      <c r="U26" s="410">
        <f>'2.1. Önk bev'!Y56+'3.1. PH'!U22+'4.1. Vesz'!U19+'5. Eszi'!U19+'6.1. Óvoda'!U19+'6.2. Kalandpark'!U19+'6.3. KLMK'!U19+'6.4. Könyvtár'!U19+'5F Segítő Kéz'!U19</f>
        <v>0</v>
      </c>
      <c r="V26" s="410">
        <f>'2.1. Önk bev'!Z56+'3.1. PH'!V22+'4.1. Vesz'!V19+'5. Eszi'!V19+'6.1. Óvoda'!V19+'6.2. Kalandpark'!V19+'6.3. KLMK'!V19+'6.4. Könyvtár'!V19+'5F Segítő Kéz'!V19</f>
        <v>0</v>
      </c>
      <c r="W26" s="410">
        <f t="shared" si="19"/>
        <v>27731</v>
      </c>
      <c r="X26" s="300">
        <f>+'2.1. Önk bev'!P56+'3.1. PH'!Y22+'4.1. Vesz'!X19+'5. Eszi'!X19+'6.1. Óvoda'!X19+'6.2. Kalandpark'!X19+'6.3. KLMK'!Y19+'6.4. Könyvtár'!X19</f>
        <v>15345</v>
      </c>
      <c r="Y26" s="410">
        <f>+'2.1. Önk bev'!Q52+'6.3. KLMK'!Z20+'3.1. PH'!Z23</f>
        <v>0</v>
      </c>
      <c r="Z26" s="410"/>
      <c r="AA26" s="410">
        <f t="shared" si="64"/>
        <v>15345</v>
      </c>
      <c r="AB26" s="445">
        <f>+'2.1. Önk bev'!AB56+'3.1. PH'!AC22+'4.1. Vesz'!AB19+'5. Eszi'!AB19+'6.1. Óvoda'!AB19+'6.2. Kalandpark'!AB19+'6.3. KLMK'!AC19+'6.4. Könyvtár'!AB19</f>
        <v>56056</v>
      </c>
      <c r="AC26" s="445">
        <f>+'2.1. Önk bev'!AC56+'3.1. PH'!AD22+'4.1. Vesz'!AC19+'5. Eszi'!AC19+'6.1. Óvoda'!AC19+'6.2. Kalandpark'!AC19+'6.3. KLMK'!AD19+'6.4. Könyvtár'!AC19</f>
        <v>0</v>
      </c>
      <c r="AD26" s="445"/>
      <c r="AE26" s="445">
        <f t="shared" si="65"/>
        <v>56056</v>
      </c>
      <c r="AF26" s="445">
        <f>+'2.1. Önk bev'!AF56+'3.1. PH'!AG22+'4.1. Vesz'!AF19+'5. Eszi'!AF19+'6.1. Óvoda'!AF19+'6.2. Kalandpark'!AF19+'6.3. KLMK'!AG19+'6.4. Könyvtár'!AF19</f>
        <v>16446</v>
      </c>
      <c r="AG26" s="445">
        <f>+'2.1. Önk bev'!Y56+'3.1. PH'!AH22+'4.1. Vesz'!AG19+'5. Eszi'!AG19+'6.1. Óvoda'!AG19+'6.2. Kalandpark'!AG19+'6.3. KLMK'!AH19+'6.4. Könyvtár'!AG19</f>
        <v>0</v>
      </c>
      <c r="AH26" s="445"/>
      <c r="AI26" s="445">
        <f t="shared" si="67"/>
        <v>16446</v>
      </c>
      <c r="AJ26" s="445">
        <f>+'2.1. Önk bev'!AJ56+'3.1. PH'!AK22+'4.1. Vesz'!AJ19+'5. Eszi'!AJ19+'6.1. Óvoda'!AJ19+'6.2. Kalandpark'!AJ19+'6.3. KLMK'!AK19+'6.4. Könyvtár'!AJ19</f>
        <v>46349</v>
      </c>
      <c r="AK26" s="445">
        <f>+'2.1. Önk bev'!AK56+'3.1. PH'!AL22+'4.1. Vesz'!AK19+'5. Eszi'!AK19+'6.1. Óvoda'!AK19+'6.2. Kalandpark'!AK19+'6.3. KLMK'!AL19+'6.4. Könyvtár'!AK19</f>
        <v>0</v>
      </c>
      <c r="AL26" s="445"/>
      <c r="AM26" s="445">
        <f t="shared" si="66"/>
        <v>46349</v>
      </c>
    </row>
    <row r="27" spans="1:39" x14ac:dyDescent="0.25">
      <c r="A27" s="617" t="s">
        <v>336</v>
      </c>
      <c r="B27" s="618" t="s">
        <v>316</v>
      </c>
      <c r="C27" s="619">
        <f t="shared" ref="C27" si="68">SUM(C28:C29)</f>
        <v>0</v>
      </c>
      <c r="D27" s="619">
        <f t="shared" ref="D27:F27" si="69">SUM(D28:D29)</f>
        <v>12035</v>
      </c>
      <c r="E27" s="619">
        <f t="shared" si="69"/>
        <v>0</v>
      </c>
      <c r="F27" s="619">
        <f t="shared" si="69"/>
        <v>0</v>
      </c>
      <c r="G27" s="619">
        <f t="shared" si="11"/>
        <v>12035</v>
      </c>
      <c r="H27" s="619">
        <f t="shared" ref="H27:J27" si="70">SUM(H28:H29)</f>
        <v>71032</v>
      </c>
      <c r="I27" s="620">
        <f t="shared" si="70"/>
        <v>0</v>
      </c>
      <c r="J27" s="620">
        <f t="shared" si="70"/>
        <v>0</v>
      </c>
      <c r="K27" s="620">
        <f t="shared" si="13"/>
        <v>71032</v>
      </c>
      <c r="L27" s="619">
        <f t="shared" ref="L27:N27" si="71">SUM(L28:L29)</f>
        <v>63090</v>
      </c>
      <c r="M27" s="620">
        <f t="shared" si="71"/>
        <v>0</v>
      </c>
      <c r="N27" s="620">
        <f t="shared" si="71"/>
        <v>0</v>
      </c>
      <c r="O27" s="620">
        <f t="shared" si="15"/>
        <v>63090</v>
      </c>
      <c r="P27" s="619">
        <f t="shared" ref="P27:R27" si="72">SUM(P28:P29)</f>
        <v>0</v>
      </c>
      <c r="Q27" s="620">
        <f t="shared" si="72"/>
        <v>0</v>
      </c>
      <c r="R27" s="620">
        <f t="shared" si="72"/>
        <v>0</v>
      </c>
      <c r="S27" s="620">
        <f t="shared" si="17"/>
        <v>0</v>
      </c>
      <c r="T27" s="619">
        <f t="shared" ref="T27:V27" si="73">SUM(T28:T29)</f>
        <v>57818</v>
      </c>
      <c r="U27" s="620">
        <f t="shared" si="73"/>
        <v>0</v>
      </c>
      <c r="V27" s="620">
        <f t="shared" si="73"/>
        <v>0</v>
      </c>
      <c r="W27" s="620">
        <f t="shared" si="19"/>
        <v>57818</v>
      </c>
      <c r="X27" s="619">
        <f t="shared" ref="X27:Z27" si="74">SUM(X28:X29)</f>
        <v>12370</v>
      </c>
      <c r="Y27" s="620">
        <f t="shared" si="74"/>
        <v>0</v>
      </c>
      <c r="Z27" s="620">
        <f t="shared" si="74"/>
        <v>0</v>
      </c>
      <c r="AA27" s="620">
        <f t="shared" ref="AA27" si="75">SUM(X27:Z27)</f>
        <v>12370</v>
      </c>
      <c r="AB27" s="619">
        <f>AB28+AB29</f>
        <v>17564</v>
      </c>
      <c r="AC27" s="619">
        <v>0</v>
      </c>
      <c r="AD27" s="619">
        <v>0</v>
      </c>
      <c r="AE27" s="619">
        <f>SUM(AB27:AD27)</f>
        <v>17564</v>
      </c>
      <c r="AF27" s="619">
        <f>AF28+AF29</f>
        <v>25564</v>
      </c>
      <c r="AG27" s="619">
        <v>0</v>
      </c>
      <c r="AH27" s="619">
        <v>0</v>
      </c>
      <c r="AI27" s="619">
        <f>SUM(AF27:AH27)</f>
        <v>25564</v>
      </c>
      <c r="AJ27" s="619">
        <f>AJ28+AJ29</f>
        <v>194</v>
      </c>
      <c r="AK27" s="619">
        <v>0</v>
      </c>
      <c r="AL27" s="619">
        <v>0</v>
      </c>
      <c r="AM27" s="619">
        <f>SUM(AJ27:AL27)</f>
        <v>194</v>
      </c>
    </row>
    <row r="28" spans="1:39" ht="30" x14ac:dyDescent="0.25">
      <c r="A28" s="430"/>
      <c r="B28" s="299" t="s">
        <v>511</v>
      </c>
      <c r="C28" s="300"/>
      <c r="D28" s="300">
        <f>'2.1. Önk bev'!D58</f>
        <v>0</v>
      </c>
      <c r="E28" s="300">
        <f>'2.1. Önk bev'!E58</f>
        <v>0</v>
      </c>
      <c r="F28" s="300">
        <f>'2.1. Önk bev'!F58</f>
        <v>0</v>
      </c>
      <c r="G28" s="300">
        <f>SUM(D28:F28)</f>
        <v>0</v>
      </c>
      <c r="H28" s="300">
        <f>'2.1. Önk bev'!H58</f>
        <v>0</v>
      </c>
      <c r="I28" s="300">
        <f>'2.1. Önk bev'!I58</f>
        <v>0</v>
      </c>
      <c r="J28" s="300">
        <f>'2.1. Önk bev'!J58</f>
        <v>0</v>
      </c>
      <c r="K28" s="410">
        <f>SUM(H28:J28)</f>
        <v>0</v>
      </c>
      <c r="L28" s="300">
        <f>'2.1. Önk bev'!L58</f>
        <v>0</v>
      </c>
      <c r="M28" s="410">
        <f>'2.1. Önk bev'!M58</f>
        <v>0</v>
      </c>
      <c r="N28" s="410">
        <f>'2.1. Önk bev'!N58</f>
        <v>0</v>
      </c>
      <c r="O28" s="410">
        <f>SUM(L28:N28)</f>
        <v>0</v>
      </c>
      <c r="P28" s="300"/>
      <c r="Q28" s="410"/>
      <c r="R28" s="410"/>
      <c r="S28" s="410"/>
      <c r="T28" s="300">
        <f>'2.1. Önk bev'!X58</f>
        <v>0</v>
      </c>
      <c r="U28" s="410">
        <f>'2.1. Önk bev'!Y58</f>
        <v>0</v>
      </c>
      <c r="V28" s="410">
        <f>'2.1. Önk bev'!Z58</f>
        <v>0</v>
      </c>
      <c r="W28" s="410">
        <f t="shared" si="19"/>
        <v>0</v>
      </c>
      <c r="X28" s="300">
        <f>'2.1. Önk bev'!X58</f>
        <v>0</v>
      </c>
      <c r="Y28" s="410">
        <f>'2.1. Önk bev'!Y58</f>
        <v>0</v>
      </c>
      <c r="Z28" s="410">
        <f>'2.1. Önk bev'!Z58</f>
        <v>0</v>
      </c>
      <c r="AA28" s="410">
        <f>SUM(X28:Z28)</f>
        <v>0</v>
      </c>
      <c r="AB28" s="445">
        <v>0</v>
      </c>
      <c r="AC28" s="445">
        <v>0</v>
      </c>
      <c r="AD28" s="445">
        <v>0</v>
      </c>
      <c r="AE28" s="445">
        <v>0</v>
      </c>
      <c r="AF28" s="445">
        <v>0</v>
      </c>
      <c r="AG28" s="445">
        <v>0</v>
      </c>
      <c r="AH28" s="445">
        <v>0</v>
      </c>
      <c r="AI28" s="445">
        <v>0</v>
      </c>
      <c r="AJ28" s="445">
        <v>0</v>
      </c>
      <c r="AK28" s="445">
        <v>0</v>
      </c>
      <c r="AL28" s="445">
        <v>0</v>
      </c>
      <c r="AM28" s="445">
        <v>0</v>
      </c>
    </row>
    <row r="29" spans="1:39" x14ac:dyDescent="0.25">
      <c r="A29" s="430"/>
      <c r="B29" s="299" t="s">
        <v>512</v>
      </c>
      <c r="C29" s="300"/>
      <c r="D29" s="300">
        <f>'2.1. Önk bev'!D59+'3.1. PH'!D24+'4.1. Vesz'!D21+'5. Eszi'!D21+'6.1. Óvoda'!D21+'6.2. Kalandpark'!D21+'6.3. KLMK'!D21+'6.4. Könyvtár'!D21+'5F Segítő Kéz'!D21</f>
        <v>12035</v>
      </c>
      <c r="E29" s="300"/>
      <c r="F29" s="300"/>
      <c r="G29" s="300">
        <f>SUM(D29:F29)</f>
        <v>12035</v>
      </c>
      <c r="H29" s="300">
        <f>'2.1. Önk bev'!H59+'3.1. PH'!H24+'4.1. Vesz'!H21+'5. Eszi'!H21+'6.1. Óvoda'!H21+'6.2. Kalandpark'!H21+'6.3. KLMK'!H21+'6.4. Könyvtár'!H21</f>
        <v>71032</v>
      </c>
      <c r="I29" s="300">
        <f>'2.1. Önk bev'!I59+'3.1. PH'!I24+'4.1. Vesz'!I21+'5. Eszi'!I21+'6.1. Óvoda'!I21+'6.2. Kalandpark'!I21+'6.3. KLMK'!I21+'6.4. Könyvtár'!I21+'5F Segítő Kéz'!I21</f>
        <v>0</v>
      </c>
      <c r="J29" s="300">
        <f>'2.1. Önk bev'!J59+'3.1. PH'!J24+'4.1. Vesz'!J21+'5. Eszi'!J21+'6.1. Óvoda'!J21+'6.2. Kalandpark'!J21+'6.3. KLMK'!J21+'6.4. Könyvtár'!J21+'5F Segítő Kéz'!J21</f>
        <v>0</v>
      </c>
      <c r="K29" s="410">
        <f>SUM(H29:J29)</f>
        <v>71032</v>
      </c>
      <c r="L29" s="300">
        <f>'2.1. Önk bev'!L59+'3.1. PH'!L24+'4.1. Vesz'!L21+'5. Eszi'!L21+'6.1. Óvoda'!L21+'6.2. Kalandpark'!L21+'6.3. KLMK'!L21+'6.4. Könyvtár'!L21</f>
        <v>63090</v>
      </c>
      <c r="M29" s="410"/>
      <c r="N29" s="410"/>
      <c r="O29" s="410">
        <f>SUM(L29:N29)</f>
        <v>63090</v>
      </c>
      <c r="P29" s="300"/>
      <c r="Q29" s="410"/>
      <c r="R29" s="410"/>
      <c r="S29" s="410"/>
      <c r="T29" s="300">
        <f>'2.1. Önk bev'!X59+'3.1. PH'!T24+'4.1. Vesz'!T21+'5. Eszi'!T21+'6.1. Óvoda'!T21+'6.2. Kalandpark'!T21+'6.3. KLMK'!T21+'6.4. Könyvtár'!T21+'5F Segítő Kéz'!T21</f>
        <v>57818</v>
      </c>
      <c r="U29" s="410">
        <f>'2.1. Önk bev'!Y59+'3.1. PH'!U24+'4.1. Vesz'!U21+'5. Eszi'!U21+'6.1. Óvoda'!U21+'6.2. Kalandpark'!U21+'6.3. KLMK'!U21+'6.4. Könyvtár'!U21+'5F Segítő Kéz'!U21</f>
        <v>0</v>
      </c>
      <c r="V29" s="410">
        <f>'2.1. Önk bev'!Z59+'3.1. PH'!V24+'4.1. Vesz'!V21+'5. Eszi'!V21+'6.1. Óvoda'!V21+'6.2. Kalandpark'!V21+'6.3. KLMK'!V21+'6.4. Könyvtár'!V21+'5F Segítő Kéz'!V21</f>
        <v>0</v>
      </c>
      <c r="W29" s="410">
        <f t="shared" si="19"/>
        <v>57818</v>
      </c>
      <c r="X29" s="300">
        <f>+'2.1. Önk bev'!P58+'6.2. Kalandpark'!X21+'5. Eszi'!X21+'6.1. Óvoda'!X21+'6.3. KLMK'!Y21</f>
        <v>12370</v>
      </c>
      <c r="Y29" s="410"/>
      <c r="Z29" s="410"/>
      <c r="AA29" s="410">
        <f>SUM(X29:Z29)</f>
        <v>12370</v>
      </c>
      <c r="AB29" s="445">
        <v>17564</v>
      </c>
      <c r="AC29" s="445"/>
      <c r="AD29" s="445"/>
      <c r="AE29" s="445">
        <v>17564</v>
      </c>
      <c r="AF29" s="445">
        <f>+'2.1. Önk bev'!AF58+'6.2. Kalandpark'!AF21+'5. Eszi'!AF21+'6.1. Óvoda'!AF21+'6.3. KLMK'!AG21+94</f>
        <v>25564</v>
      </c>
      <c r="AG29" s="445"/>
      <c r="AH29" s="445"/>
      <c r="AI29" s="445">
        <f>SUM(AF29:AH29)</f>
        <v>25564</v>
      </c>
      <c r="AJ29" s="445">
        <f>+'2.1. Önk bev'!AJ58+'6.2. Kalandpark'!AJ21+'5. Eszi'!AJ21+'6.1. Óvoda'!AJ21+'6.3. KLMK'!AK21+94</f>
        <v>194</v>
      </c>
      <c r="AK29" s="445"/>
      <c r="AL29" s="445"/>
      <c r="AM29" s="445">
        <f>SUM(AJ29:AL29)</f>
        <v>194</v>
      </c>
    </row>
    <row r="30" spans="1:39" x14ac:dyDescent="0.25">
      <c r="A30" s="456" t="s">
        <v>318</v>
      </c>
      <c r="B30" s="457" t="s">
        <v>319</v>
      </c>
      <c r="C30" s="458">
        <f t="shared" ref="C30" si="76">C31+C35+C40</f>
        <v>0</v>
      </c>
      <c r="D30" s="458">
        <f t="shared" ref="D30:F30" si="77">D31+D35+D40</f>
        <v>70168</v>
      </c>
      <c r="E30" s="458">
        <f t="shared" si="77"/>
        <v>3600</v>
      </c>
      <c r="F30" s="458">
        <f t="shared" si="77"/>
        <v>0</v>
      </c>
      <c r="G30" s="458">
        <f t="shared" si="11"/>
        <v>73768</v>
      </c>
      <c r="H30" s="458">
        <f t="shared" ref="H30:J30" si="78">H31+H35+H40</f>
        <v>860995</v>
      </c>
      <c r="I30" s="462">
        <f t="shared" si="78"/>
        <v>3600</v>
      </c>
      <c r="J30" s="462">
        <f t="shared" si="78"/>
        <v>0</v>
      </c>
      <c r="K30" s="462">
        <f t="shared" si="13"/>
        <v>864595</v>
      </c>
      <c r="L30" s="458">
        <f t="shared" ref="L30:N30" si="79">L31+L35+L40</f>
        <v>1034471</v>
      </c>
      <c r="M30" s="462">
        <f t="shared" si="79"/>
        <v>22305</v>
      </c>
      <c r="N30" s="462">
        <f t="shared" si="79"/>
        <v>0</v>
      </c>
      <c r="O30" s="462">
        <f t="shared" si="15"/>
        <v>1056776</v>
      </c>
      <c r="P30" s="458">
        <f t="shared" ref="P30:R30" si="80">P31+P35+P40</f>
        <v>0</v>
      </c>
      <c r="Q30" s="462">
        <f t="shared" si="80"/>
        <v>0</v>
      </c>
      <c r="R30" s="462">
        <f t="shared" si="80"/>
        <v>0</v>
      </c>
      <c r="S30" s="462">
        <f t="shared" si="17"/>
        <v>0</v>
      </c>
      <c r="T30" s="458">
        <f t="shared" ref="T30:V30" si="81">T31+T35+T40</f>
        <v>469144</v>
      </c>
      <c r="U30" s="462">
        <f t="shared" si="81"/>
        <v>0</v>
      </c>
      <c r="V30" s="462">
        <f t="shared" si="81"/>
        <v>0</v>
      </c>
      <c r="W30" s="462">
        <f t="shared" si="19"/>
        <v>469144</v>
      </c>
      <c r="X30" s="458">
        <f t="shared" ref="X30:AD30" si="82">X31+X35+X40</f>
        <v>2514452</v>
      </c>
      <c r="Y30" s="462">
        <f t="shared" si="82"/>
        <v>3600</v>
      </c>
      <c r="Z30" s="462">
        <f t="shared" si="82"/>
        <v>0</v>
      </c>
      <c r="AA30" s="462">
        <f t="shared" ref="AA30:AA33" si="83">SUM(X30:Z30)</f>
        <v>2518052</v>
      </c>
      <c r="AB30" s="458">
        <f t="shared" si="82"/>
        <v>2714981</v>
      </c>
      <c r="AC30" s="458">
        <f t="shared" si="82"/>
        <v>3600</v>
      </c>
      <c r="AD30" s="458">
        <f t="shared" si="82"/>
        <v>0</v>
      </c>
      <c r="AE30" s="458">
        <f>SUM(AB30:AD30)</f>
        <v>2718581</v>
      </c>
      <c r="AF30" s="458">
        <f t="shared" ref="AF30:AH30" si="84">AF31+AF35+AF40</f>
        <v>2952630</v>
      </c>
      <c r="AG30" s="458">
        <f t="shared" si="84"/>
        <v>3600</v>
      </c>
      <c r="AH30" s="458">
        <f t="shared" si="84"/>
        <v>0</v>
      </c>
      <c r="AI30" s="458">
        <f>SUM(AF30:AH30)</f>
        <v>2956230</v>
      </c>
      <c r="AJ30" s="458">
        <f t="shared" ref="AJ30:AL30" si="85">AJ31+AJ35+AJ40</f>
        <v>638948</v>
      </c>
      <c r="AK30" s="458">
        <f t="shared" si="85"/>
        <v>1165</v>
      </c>
      <c r="AL30" s="458">
        <f t="shared" si="85"/>
        <v>0</v>
      </c>
      <c r="AM30" s="458">
        <f>SUM(AJ30:AL30)</f>
        <v>640113</v>
      </c>
    </row>
    <row r="31" spans="1:39" ht="30" x14ac:dyDescent="0.25">
      <c r="A31" s="617" t="s">
        <v>311</v>
      </c>
      <c r="B31" s="618" t="s">
        <v>320</v>
      </c>
      <c r="C31" s="619">
        <f t="shared" ref="C31" si="86">SUM(C32:C34)</f>
        <v>0</v>
      </c>
      <c r="D31" s="619">
        <f t="shared" ref="D31:F31" si="87">SUM(D32:D34)</f>
        <v>35168</v>
      </c>
      <c r="E31" s="619">
        <f t="shared" si="87"/>
        <v>0</v>
      </c>
      <c r="F31" s="619">
        <f t="shared" si="87"/>
        <v>0</v>
      </c>
      <c r="G31" s="619">
        <f t="shared" si="11"/>
        <v>35168</v>
      </c>
      <c r="H31" s="619">
        <f t="shared" ref="H31:J31" si="88">SUM(H32:H34)</f>
        <v>837995</v>
      </c>
      <c r="I31" s="620">
        <f t="shared" si="88"/>
        <v>0</v>
      </c>
      <c r="J31" s="620">
        <f t="shared" si="88"/>
        <v>0</v>
      </c>
      <c r="K31" s="620">
        <f t="shared" si="13"/>
        <v>837995</v>
      </c>
      <c r="L31" s="619">
        <f t="shared" ref="L31:N31" si="89">SUM(L32:L34)</f>
        <v>1011471</v>
      </c>
      <c r="M31" s="620">
        <f t="shared" si="89"/>
        <v>0</v>
      </c>
      <c r="N31" s="620">
        <f t="shared" si="89"/>
        <v>0</v>
      </c>
      <c r="O31" s="620">
        <f t="shared" si="15"/>
        <v>1011471</v>
      </c>
      <c r="P31" s="619">
        <f t="shared" ref="P31:R31" si="90">SUM(P32:P34)</f>
        <v>0</v>
      </c>
      <c r="Q31" s="620">
        <f t="shared" si="90"/>
        <v>0</v>
      </c>
      <c r="R31" s="620">
        <f t="shared" si="90"/>
        <v>0</v>
      </c>
      <c r="S31" s="620">
        <f t="shared" si="17"/>
        <v>0</v>
      </c>
      <c r="T31" s="619">
        <f t="shared" ref="T31:V31" si="91">SUM(T32:T34)</f>
        <v>462464</v>
      </c>
      <c r="U31" s="620">
        <f t="shared" si="91"/>
        <v>0</v>
      </c>
      <c r="V31" s="620">
        <f t="shared" si="91"/>
        <v>0</v>
      </c>
      <c r="W31" s="620">
        <f t="shared" si="19"/>
        <v>462464</v>
      </c>
      <c r="X31" s="619">
        <f t="shared" ref="X31:Z31" si="92">SUM(X32:X34)</f>
        <v>2479452</v>
      </c>
      <c r="Y31" s="620">
        <f t="shared" si="92"/>
        <v>0</v>
      </c>
      <c r="Z31" s="620">
        <f t="shared" si="92"/>
        <v>0</v>
      </c>
      <c r="AA31" s="620">
        <f t="shared" si="83"/>
        <v>2479452</v>
      </c>
      <c r="AB31" s="619">
        <f>SUM(AB32:AB34)</f>
        <v>2679981</v>
      </c>
      <c r="AC31" s="619">
        <v>0</v>
      </c>
      <c r="AD31" s="619">
        <v>0</v>
      </c>
      <c r="AE31" s="619">
        <f>SUM(AB31:AD31)</f>
        <v>2679981</v>
      </c>
      <c r="AF31" s="619">
        <f>SUM(AF32:AF34)</f>
        <v>2917630</v>
      </c>
      <c r="AG31" s="619">
        <v>0</v>
      </c>
      <c r="AH31" s="619">
        <v>0</v>
      </c>
      <c r="AI31" s="619">
        <f>SUM(AF31:AH31)</f>
        <v>2917630</v>
      </c>
      <c r="AJ31" s="619">
        <f>SUM(AJ32:AJ34)</f>
        <v>637065</v>
      </c>
      <c r="AK31" s="619">
        <v>0</v>
      </c>
      <c r="AL31" s="619">
        <v>0</v>
      </c>
      <c r="AM31" s="619">
        <f>SUM(AJ31:AL31)</f>
        <v>637065</v>
      </c>
    </row>
    <row r="32" spans="1:39" x14ac:dyDescent="0.25">
      <c r="A32" s="430"/>
      <c r="B32" s="238" t="s">
        <v>513</v>
      </c>
      <c r="C32" s="445">
        <f>'2.1. Önk bev'!C63</f>
        <v>0</v>
      </c>
      <c r="D32" s="445">
        <f>'2.1. Önk bev'!D63</f>
        <v>0</v>
      </c>
      <c r="E32" s="445">
        <f>'2.1. Önk bev'!E63</f>
        <v>0</v>
      </c>
      <c r="F32" s="445">
        <f>'2.1. Önk bev'!F63</f>
        <v>0</v>
      </c>
      <c r="G32" s="445">
        <f t="shared" si="11"/>
        <v>0</v>
      </c>
      <c r="H32" s="445">
        <f>'2.1. Önk bev'!H63</f>
        <v>42000</v>
      </c>
      <c r="I32" s="421">
        <f>'2.1. Önk bev'!I63</f>
        <v>0</v>
      </c>
      <c r="J32" s="421">
        <f>'2.1. Önk bev'!J63</f>
        <v>0</v>
      </c>
      <c r="K32" s="421">
        <f t="shared" si="13"/>
        <v>42000</v>
      </c>
      <c r="L32" s="445">
        <f>'2.1. Önk bev'!L63</f>
        <v>59531</v>
      </c>
      <c r="M32" s="421">
        <f>'2.1. Önk bev'!M63</f>
        <v>0</v>
      </c>
      <c r="N32" s="421">
        <f>'2.1. Önk bev'!N63</f>
        <v>0</v>
      </c>
      <c r="O32" s="421">
        <f t="shared" si="15"/>
        <v>59531</v>
      </c>
      <c r="P32" s="445">
        <f>'2.1. Önk bev'!T63</f>
        <v>0</v>
      </c>
      <c r="Q32" s="421">
        <f>'2.1. Önk bev'!U63</f>
        <v>0</v>
      </c>
      <c r="R32" s="421">
        <f>'2.1. Önk bev'!V63</f>
        <v>0</v>
      </c>
      <c r="S32" s="421">
        <f t="shared" si="17"/>
        <v>0</v>
      </c>
      <c r="T32" s="445">
        <f>'2.1. Önk bev'!X63</f>
        <v>42000</v>
      </c>
      <c r="U32" s="421">
        <f>'2.1. Önk bev'!Y63</f>
        <v>0</v>
      </c>
      <c r="V32" s="421">
        <f>'2.1. Önk bev'!Z63</f>
        <v>0</v>
      </c>
      <c r="W32" s="421">
        <f t="shared" si="19"/>
        <v>42000</v>
      </c>
      <c r="X32" s="445">
        <f>+'2.1. Önk bev'!P63+'6.4. Könyvtár'!X24</f>
        <v>2462989</v>
      </c>
      <c r="Y32" s="421">
        <f>'2.1. Önk bev'!Y63</f>
        <v>0</v>
      </c>
      <c r="Z32" s="421">
        <f>'2.1. Önk bev'!Z63</f>
        <v>0</v>
      </c>
      <c r="AA32" s="421">
        <f t="shared" si="83"/>
        <v>2462989</v>
      </c>
      <c r="AB32" s="445">
        <v>2663518</v>
      </c>
      <c r="AC32" s="445">
        <v>0</v>
      </c>
      <c r="AD32" s="445">
        <v>0</v>
      </c>
      <c r="AE32" s="445">
        <f>SUM(AB32:AD32)</f>
        <v>2663518</v>
      </c>
      <c r="AF32" s="445">
        <f>+'2.1. Önk bev'!AF63+'6.4. Könyvtár'!AF24+1</f>
        <v>2901167</v>
      </c>
      <c r="AG32" s="445"/>
      <c r="AH32" s="445"/>
      <c r="AI32" s="445">
        <f t="shared" ref="AI32:AI33" si="93">SUM(AF32:AH32)</f>
        <v>2901167</v>
      </c>
      <c r="AJ32" s="445">
        <f>+'2.1. Önk bev'!AJ63+'6.4. Könyvtár'!AJ24</f>
        <v>634219</v>
      </c>
      <c r="AK32" s="445"/>
      <c r="AL32" s="445"/>
      <c r="AM32" s="445">
        <f t="shared" ref="AM32:AM33" si="94">SUM(AJ32:AL32)</f>
        <v>634219</v>
      </c>
    </row>
    <row r="33" spans="1:39" ht="30" x14ac:dyDescent="0.25">
      <c r="A33" s="430"/>
      <c r="B33" s="238" t="s">
        <v>514</v>
      </c>
      <c r="C33" s="445">
        <f>'2.1. Önk bev'!C64</f>
        <v>0</v>
      </c>
      <c r="D33" s="445">
        <f>'2.1. Önk bev'!D64</f>
        <v>0</v>
      </c>
      <c r="E33" s="445">
        <f>'2.1. Önk bev'!E64</f>
        <v>0</v>
      </c>
      <c r="F33" s="445">
        <f>'2.1. Önk bev'!F64</f>
        <v>0</v>
      </c>
      <c r="G33" s="445">
        <f t="shared" si="11"/>
        <v>0</v>
      </c>
      <c r="H33" s="445">
        <f>'2.1. Önk bev'!H64</f>
        <v>0</v>
      </c>
      <c r="I33" s="421">
        <f>'2.1. Önk bev'!I64</f>
        <v>0</v>
      </c>
      <c r="J33" s="421">
        <f>'2.1. Önk bev'!J64</f>
        <v>0</v>
      </c>
      <c r="K33" s="421">
        <f t="shared" si="13"/>
        <v>0</v>
      </c>
      <c r="L33" s="445">
        <f>'2.1. Önk bev'!L64</f>
        <v>0</v>
      </c>
      <c r="M33" s="421">
        <f>'2.1. Önk bev'!M64</f>
        <v>0</v>
      </c>
      <c r="N33" s="421">
        <f>'2.1. Önk bev'!N64</f>
        <v>0</v>
      </c>
      <c r="O33" s="421">
        <f t="shared" si="15"/>
        <v>0</v>
      </c>
      <c r="P33" s="445">
        <f>'2.1. Önk bev'!T64</f>
        <v>0</v>
      </c>
      <c r="Q33" s="421">
        <f>'2.1. Önk bev'!U64</f>
        <v>0</v>
      </c>
      <c r="R33" s="421">
        <f>'2.1. Önk bev'!V64</f>
        <v>0</v>
      </c>
      <c r="S33" s="421">
        <f t="shared" si="17"/>
        <v>0</v>
      </c>
      <c r="T33" s="445">
        <f>'2.1. Önk bev'!X64</f>
        <v>0</v>
      </c>
      <c r="U33" s="421">
        <f>'2.1. Önk bev'!Y64</f>
        <v>0</v>
      </c>
      <c r="V33" s="421">
        <f>'2.1. Önk bev'!Z64</f>
        <v>0</v>
      </c>
      <c r="W33" s="421">
        <f t="shared" si="19"/>
        <v>0</v>
      </c>
      <c r="X33" s="445">
        <f>'2.1. Önk bev'!X64</f>
        <v>0</v>
      </c>
      <c r="Y33" s="421">
        <f>'2.1. Önk bev'!Y64</f>
        <v>0</v>
      </c>
      <c r="Z33" s="421">
        <f>'2.1. Önk bev'!Z64</f>
        <v>0</v>
      </c>
      <c r="AA33" s="421">
        <f t="shared" si="83"/>
        <v>0</v>
      </c>
      <c r="AB33" s="445">
        <v>0</v>
      </c>
      <c r="AC33" s="445">
        <v>0</v>
      </c>
      <c r="AD33" s="445">
        <v>0</v>
      </c>
      <c r="AE33" s="445">
        <v>0</v>
      </c>
      <c r="AF33" s="445">
        <f>'2.1. Önk bev'!AF64</f>
        <v>0</v>
      </c>
      <c r="AG33" s="445">
        <v>0</v>
      </c>
      <c r="AH33" s="445">
        <v>0</v>
      </c>
      <c r="AI33" s="445">
        <f t="shared" si="93"/>
        <v>0</v>
      </c>
      <c r="AJ33" s="445">
        <f>'2.1. Önk bev'!AJ64</f>
        <v>0</v>
      </c>
      <c r="AK33" s="445">
        <v>0</v>
      </c>
      <c r="AL33" s="445">
        <v>0</v>
      </c>
      <c r="AM33" s="445">
        <f t="shared" si="94"/>
        <v>0</v>
      </c>
    </row>
    <row r="34" spans="1:39" ht="30" x14ac:dyDescent="0.25">
      <c r="A34" s="430"/>
      <c r="B34" s="238" t="s">
        <v>515</v>
      </c>
      <c r="C34" s="445"/>
      <c r="D34" s="445">
        <f>'2.1. Önk bev'!D65+'6.2. Kalandpark'!D29</f>
        <v>35168</v>
      </c>
      <c r="E34" s="445"/>
      <c r="F34" s="445"/>
      <c r="G34" s="445">
        <f>SUM(D34:F34)</f>
        <v>35168</v>
      </c>
      <c r="H34" s="445">
        <f>'2.1. Önk bev'!H65+'6.2. Kalandpark'!H29</f>
        <v>795995</v>
      </c>
      <c r="I34" s="421"/>
      <c r="J34" s="421"/>
      <c r="K34" s="421">
        <f>SUM(H34:J34)</f>
        <v>795995</v>
      </c>
      <c r="L34" s="445">
        <f>'2.1. Önk bev'!L65+'6.2. Kalandpark'!L29-28807</f>
        <v>951940</v>
      </c>
      <c r="M34" s="421"/>
      <c r="N34" s="421"/>
      <c r="O34" s="421">
        <f>SUM(L34:N34)</f>
        <v>951940</v>
      </c>
      <c r="P34" s="445"/>
      <c r="Q34" s="421"/>
      <c r="R34" s="421"/>
      <c r="S34" s="421"/>
      <c r="T34" s="445">
        <f>'2.1. Önk bev'!X65+'6.2. Kalandpark'!T29</f>
        <v>420464</v>
      </c>
      <c r="U34" s="421">
        <f>'2.1. Önk bev'!Y65</f>
        <v>0</v>
      </c>
      <c r="V34" s="421">
        <f>'2.1. Önk bev'!Z65</f>
        <v>0</v>
      </c>
      <c r="W34" s="421">
        <f t="shared" si="19"/>
        <v>420464</v>
      </c>
      <c r="X34" s="445">
        <f>+'2.1. Önk bev'!P65+'6.2. Kalandpark'!X29</f>
        <v>16463</v>
      </c>
      <c r="Y34" s="421"/>
      <c r="Z34" s="421"/>
      <c r="AA34" s="421">
        <f>SUM(X34:Z34)</f>
        <v>16463</v>
      </c>
      <c r="AB34" s="445">
        <v>16463</v>
      </c>
      <c r="AC34" s="445"/>
      <c r="AD34" s="445"/>
      <c r="AE34" s="445">
        <v>16463</v>
      </c>
      <c r="AF34" s="445">
        <f>+'2.1. Önk bev'!AF65+'6.2. Kalandpark'!AF29</f>
        <v>16463</v>
      </c>
      <c r="AG34" s="445"/>
      <c r="AH34" s="445"/>
      <c r="AI34" s="445">
        <f>SUM(AF34:AH34)</f>
        <v>16463</v>
      </c>
      <c r="AJ34" s="445">
        <f>+'2.1. Önk bev'!AJ65+'6.2. Kalandpark'!AJ29</f>
        <v>2846</v>
      </c>
      <c r="AK34" s="445"/>
      <c r="AL34" s="445"/>
      <c r="AM34" s="445">
        <f>SUM(AJ34:AL34)</f>
        <v>2846</v>
      </c>
    </row>
    <row r="35" spans="1:39" x14ac:dyDescent="0.25">
      <c r="A35" s="617" t="s">
        <v>322</v>
      </c>
      <c r="B35" s="618" t="s">
        <v>257</v>
      </c>
      <c r="C35" s="619">
        <f t="shared" ref="C35" si="95">SUM(C36:C39)</f>
        <v>0</v>
      </c>
      <c r="D35" s="619">
        <f t="shared" ref="D35:F35" si="96">SUM(D36:D39)</f>
        <v>35000</v>
      </c>
      <c r="E35" s="619">
        <f t="shared" si="96"/>
        <v>0</v>
      </c>
      <c r="F35" s="619">
        <f t="shared" si="96"/>
        <v>0</v>
      </c>
      <c r="G35" s="619">
        <f t="shared" si="11"/>
        <v>35000</v>
      </c>
      <c r="H35" s="619">
        <f t="shared" ref="H35:J35" si="97">SUM(H36:H39)</f>
        <v>23000</v>
      </c>
      <c r="I35" s="620">
        <f t="shared" si="97"/>
        <v>0</v>
      </c>
      <c r="J35" s="620">
        <f t="shared" si="97"/>
        <v>0</v>
      </c>
      <c r="K35" s="620">
        <f t="shared" si="13"/>
        <v>23000</v>
      </c>
      <c r="L35" s="619">
        <f t="shared" ref="L35:N35" si="98">SUM(L36:L39)</f>
        <v>23000</v>
      </c>
      <c r="M35" s="620">
        <f t="shared" si="98"/>
        <v>0</v>
      </c>
      <c r="N35" s="620">
        <f t="shared" si="98"/>
        <v>0</v>
      </c>
      <c r="O35" s="620">
        <f t="shared" si="15"/>
        <v>23000</v>
      </c>
      <c r="P35" s="619">
        <f t="shared" ref="P35:R35" si="99">SUM(P36:P39)</f>
        <v>0</v>
      </c>
      <c r="Q35" s="620">
        <f t="shared" si="99"/>
        <v>0</v>
      </c>
      <c r="R35" s="620">
        <f t="shared" si="99"/>
        <v>0</v>
      </c>
      <c r="S35" s="620">
        <f t="shared" si="17"/>
        <v>0</v>
      </c>
      <c r="T35" s="619">
        <f t="shared" ref="T35:V35" si="100">SUM(T36:T39)</f>
        <v>6680</v>
      </c>
      <c r="U35" s="620">
        <f t="shared" si="100"/>
        <v>0</v>
      </c>
      <c r="V35" s="620">
        <f t="shared" si="100"/>
        <v>0</v>
      </c>
      <c r="W35" s="620">
        <f t="shared" si="19"/>
        <v>6680</v>
      </c>
      <c r="X35" s="619">
        <f>SUM(X36:X39)</f>
        <v>35000</v>
      </c>
      <c r="Y35" s="620">
        <f t="shared" ref="Y35:Z35" si="101">SUM(Y36:Y39)</f>
        <v>0</v>
      </c>
      <c r="Z35" s="620">
        <f t="shared" si="101"/>
        <v>0</v>
      </c>
      <c r="AA35" s="620">
        <f t="shared" ref="AA35" si="102">SUM(X35:Z35)</f>
        <v>35000</v>
      </c>
      <c r="AB35" s="619">
        <v>35000</v>
      </c>
      <c r="AC35" s="619">
        <v>0</v>
      </c>
      <c r="AD35" s="619">
        <v>0</v>
      </c>
      <c r="AE35" s="619">
        <v>35000</v>
      </c>
      <c r="AF35" s="619">
        <f>SUM(AF36:AF39)</f>
        <v>35000</v>
      </c>
      <c r="AG35" s="619">
        <f t="shared" ref="AG35:AH35" si="103">SUM(AG36:AG39)</f>
        <v>0</v>
      </c>
      <c r="AH35" s="619">
        <f t="shared" si="103"/>
        <v>0</v>
      </c>
      <c r="AI35" s="619">
        <f>SUM(AF35:AH35)</f>
        <v>35000</v>
      </c>
      <c r="AJ35" s="619">
        <f>SUM(AJ36:AJ39)</f>
        <v>1883</v>
      </c>
      <c r="AK35" s="619">
        <f t="shared" ref="AK35:AL35" si="104">SUM(AK36:AK39)</f>
        <v>0</v>
      </c>
      <c r="AL35" s="619">
        <f t="shared" si="104"/>
        <v>0</v>
      </c>
      <c r="AM35" s="619">
        <f>SUM(AJ35:AL35)</f>
        <v>1883</v>
      </c>
    </row>
    <row r="36" spans="1:39" x14ac:dyDescent="0.25">
      <c r="A36" s="430"/>
      <c r="B36" s="238" t="s">
        <v>323</v>
      </c>
      <c r="C36" s="445"/>
      <c r="D36" s="445"/>
      <c r="E36" s="445"/>
      <c r="F36" s="445"/>
      <c r="G36" s="445"/>
      <c r="H36" s="445"/>
      <c r="I36" s="421"/>
      <c r="J36" s="421"/>
      <c r="K36" s="421"/>
      <c r="L36" s="445"/>
      <c r="M36" s="421"/>
      <c r="N36" s="421"/>
      <c r="O36" s="421"/>
      <c r="P36" s="445"/>
      <c r="Q36" s="421"/>
      <c r="R36" s="421"/>
      <c r="S36" s="421"/>
      <c r="T36" s="445">
        <f>'2.1. Önk bev'!X71</f>
        <v>0</v>
      </c>
      <c r="U36" s="421">
        <f>'2.1. Önk bev'!Y71</f>
        <v>0</v>
      </c>
      <c r="V36" s="421">
        <f>'2.1. Önk bev'!Z71</f>
        <v>0</v>
      </c>
      <c r="W36" s="421">
        <f t="shared" si="19"/>
        <v>0</v>
      </c>
      <c r="X36" s="445">
        <f>+'6.2. Kalandpark'!X26</f>
        <v>0</v>
      </c>
      <c r="Y36" s="421"/>
      <c r="Z36" s="421"/>
      <c r="AA36" s="421"/>
      <c r="AB36" s="445">
        <v>0</v>
      </c>
      <c r="AC36" s="445"/>
      <c r="AD36" s="445"/>
      <c r="AE36" s="445"/>
      <c r="AF36" s="445">
        <f>+'6.2. Kalandpark'!AF26</f>
        <v>0</v>
      </c>
      <c r="AG36" s="445"/>
      <c r="AH36" s="445"/>
      <c r="AI36" s="445">
        <f>SUM(AF36:AH36)</f>
        <v>0</v>
      </c>
      <c r="AJ36" s="445">
        <f>+'6.2. Kalandpark'!AJ26</f>
        <v>0</v>
      </c>
      <c r="AK36" s="445"/>
      <c r="AL36" s="445"/>
      <c r="AM36" s="445">
        <f>SUM(AJ36:AL36)</f>
        <v>0</v>
      </c>
    </row>
    <row r="37" spans="1:39" x14ac:dyDescent="0.25">
      <c r="A37" s="430"/>
      <c r="B37" s="238" t="s">
        <v>516</v>
      </c>
      <c r="C37" s="445"/>
      <c r="D37" s="445">
        <f>'2.1. Önk bev'!D72</f>
        <v>35000</v>
      </c>
      <c r="E37" s="445"/>
      <c r="F37" s="445"/>
      <c r="G37" s="445">
        <f>SUM(D37:F37)</f>
        <v>35000</v>
      </c>
      <c r="H37" s="445">
        <f>'2.1. Önk bev'!H72</f>
        <v>23000</v>
      </c>
      <c r="I37" s="421"/>
      <c r="J37" s="421"/>
      <c r="K37" s="421">
        <f>SUM(H37:J37)</f>
        <v>23000</v>
      </c>
      <c r="L37" s="445">
        <f>'2.1. Önk bev'!L72</f>
        <v>23000</v>
      </c>
      <c r="M37" s="421"/>
      <c r="N37" s="421"/>
      <c r="O37" s="421">
        <f>SUM(L37:N37)</f>
        <v>23000</v>
      </c>
      <c r="P37" s="445"/>
      <c r="Q37" s="421"/>
      <c r="R37" s="421"/>
      <c r="S37" s="421"/>
      <c r="T37" s="445">
        <f>'2.1. Önk bev'!X72</f>
        <v>6680</v>
      </c>
      <c r="U37" s="421">
        <f>'2.1. Önk bev'!Y72</f>
        <v>0</v>
      </c>
      <c r="V37" s="421">
        <f>'2.1. Önk bev'!Z72</f>
        <v>0</v>
      </c>
      <c r="W37" s="421">
        <f t="shared" si="19"/>
        <v>6680</v>
      </c>
      <c r="X37" s="445">
        <f>+'2.1. Önk bev'!P72+'6.4. Könyvtár'!X27</f>
        <v>35000</v>
      </c>
      <c r="Y37" s="421"/>
      <c r="Z37" s="421"/>
      <c r="AA37" s="421">
        <f>SUM(X37:Z37)</f>
        <v>35000</v>
      </c>
      <c r="AB37" s="445">
        <v>35000</v>
      </c>
      <c r="AC37" s="445"/>
      <c r="AD37" s="445"/>
      <c r="AE37" s="445">
        <v>35000</v>
      </c>
      <c r="AF37" s="445">
        <f>+'2.1. Önk bev'!AF72+'6.4. Könyvtár'!AF27</f>
        <v>35000</v>
      </c>
      <c r="AG37" s="445"/>
      <c r="AH37" s="445"/>
      <c r="AI37" s="445">
        <f t="shared" ref="AI37:AI39" si="105">SUM(AF37:AH37)</f>
        <v>35000</v>
      </c>
      <c r="AJ37" s="445">
        <f>+'2.1. Önk bev'!AJ72+'6.4. Könyvtár'!AJ27</f>
        <v>1764</v>
      </c>
      <c r="AK37" s="445"/>
      <c r="AL37" s="445"/>
      <c r="AM37" s="445">
        <f t="shared" ref="AM37:AM39" si="106">SUM(AJ37:AL37)</f>
        <v>1764</v>
      </c>
    </row>
    <row r="38" spans="1:39" x14ac:dyDescent="0.25">
      <c r="A38" s="430"/>
      <c r="B38" s="238" t="s">
        <v>520</v>
      </c>
      <c r="C38" s="445"/>
      <c r="D38" s="445"/>
      <c r="E38" s="445"/>
      <c r="F38" s="445"/>
      <c r="G38" s="445"/>
      <c r="H38" s="445"/>
      <c r="I38" s="421"/>
      <c r="J38" s="421"/>
      <c r="K38" s="421"/>
      <c r="L38" s="445"/>
      <c r="M38" s="421"/>
      <c r="N38" s="421"/>
      <c r="O38" s="421"/>
      <c r="P38" s="445"/>
      <c r="Q38" s="421"/>
      <c r="R38" s="421"/>
      <c r="S38" s="421"/>
      <c r="T38" s="445">
        <f>'2.1. Önk bev'!X76</f>
        <v>0</v>
      </c>
      <c r="U38" s="421">
        <f>'2.1. Önk bev'!Y76</f>
        <v>0</v>
      </c>
      <c r="V38" s="421">
        <f>'2.1. Önk bev'!Z76</f>
        <v>0</v>
      </c>
      <c r="W38" s="421">
        <f t="shared" si="19"/>
        <v>0</v>
      </c>
      <c r="X38" s="445">
        <f>+'2.1. Önk bev'!P76</f>
        <v>0</v>
      </c>
      <c r="Y38" s="421"/>
      <c r="Z38" s="421"/>
      <c r="AA38" s="421"/>
      <c r="AB38" s="445">
        <v>0</v>
      </c>
      <c r="AC38" s="445"/>
      <c r="AD38" s="445"/>
      <c r="AE38" s="445"/>
      <c r="AF38" s="445">
        <f>+'2.1. Önk bev'!X76</f>
        <v>0</v>
      </c>
      <c r="AG38" s="445"/>
      <c r="AH38" s="445"/>
      <c r="AI38" s="445">
        <f t="shared" si="105"/>
        <v>0</v>
      </c>
      <c r="AJ38" s="445">
        <v>119</v>
      </c>
      <c r="AK38" s="445"/>
      <c r="AL38" s="445"/>
      <c r="AM38" s="445">
        <f t="shared" si="106"/>
        <v>119</v>
      </c>
    </row>
    <row r="39" spans="1:39" x14ac:dyDescent="0.25">
      <c r="A39" s="430"/>
      <c r="B39" s="238" t="s">
        <v>521</v>
      </c>
      <c r="C39" s="445"/>
      <c r="D39" s="445"/>
      <c r="E39" s="445"/>
      <c r="F39" s="445"/>
      <c r="G39" s="445"/>
      <c r="H39" s="445"/>
      <c r="I39" s="421"/>
      <c r="J39" s="421"/>
      <c r="K39" s="421"/>
      <c r="L39" s="445"/>
      <c r="M39" s="421"/>
      <c r="N39" s="421"/>
      <c r="O39" s="421"/>
      <c r="P39" s="445"/>
      <c r="Q39" s="421"/>
      <c r="R39" s="421"/>
      <c r="S39" s="421"/>
      <c r="T39" s="445">
        <f>'2.1. Önk bev'!X77</f>
        <v>0</v>
      </c>
      <c r="U39" s="421">
        <f>'2.1. Önk bev'!Y77</f>
        <v>0</v>
      </c>
      <c r="V39" s="421">
        <f>'2.1. Önk bev'!Z77</f>
        <v>0</v>
      </c>
      <c r="W39" s="421">
        <f t="shared" si="19"/>
        <v>0</v>
      </c>
      <c r="X39" s="445"/>
      <c r="Y39" s="421"/>
      <c r="Z39" s="421"/>
      <c r="AA39" s="421"/>
      <c r="AB39" s="445"/>
      <c r="AC39" s="445"/>
      <c r="AD39" s="445"/>
      <c r="AE39" s="445"/>
      <c r="AF39" s="445"/>
      <c r="AG39" s="445"/>
      <c r="AH39" s="445"/>
      <c r="AI39" s="445">
        <f t="shared" si="105"/>
        <v>0</v>
      </c>
      <c r="AJ39" s="445"/>
      <c r="AK39" s="445"/>
      <c r="AL39" s="445"/>
      <c r="AM39" s="445">
        <f t="shared" si="106"/>
        <v>0</v>
      </c>
    </row>
    <row r="40" spans="1:39" x14ac:dyDescent="0.25">
      <c r="A40" s="617" t="s">
        <v>315</v>
      </c>
      <c r="B40" s="618" t="s">
        <v>325</v>
      </c>
      <c r="C40" s="619">
        <f t="shared" ref="C40" si="107">SUM(C41:C44)</f>
        <v>0</v>
      </c>
      <c r="D40" s="619">
        <f t="shared" ref="D40:F40" si="108">SUM(D41:D44)</f>
        <v>0</v>
      </c>
      <c r="E40" s="619">
        <f t="shared" si="108"/>
        <v>3600</v>
      </c>
      <c r="F40" s="619">
        <f t="shared" si="108"/>
        <v>0</v>
      </c>
      <c r="G40" s="619">
        <f t="shared" si="11"/>
        <v>3600</v>
      </c>
      <c r="H40" s="619">
        <f t="shared" ref="H40:J40" si="109">SUM(H41:H44)</f>
        <v>0</v>
      </c>
      <c r="I40" s="620">
        <f t="shared" si="109"/>
        <v>3600</v>
      </c>
      <c r="J40" s="620">
        <f t="shared" si="109"/>
        <v>0</v>
      </c>
      <c r="K40" s="620">
        <f t="shared" si="13"/>
        <v>3600</v>
      </c>
      <c r="L40" s="619">
        <f t="shared" ref="L40:N40" si="110">SUM(L41:L44)</f>
        <v>0</v>
      </c>
      <c r="M40" s="620">
        <f t="shared" si="110"/>
        <v>22305</v>
      </c>
      <c r="N40" s="620">
        <f t="shared" si="110"/>
        <v>0</v>
      </c>
      <c r="O40" s="620">
        <f t="shared" si="15"/>
        <v>22305</v>
      </c>
      <c r="P40" s="619">
        <f t="shared" ref="P40:R40" si="111">SUM(P41:P44)</f>
        <v>0</v>
      </c>
      <c r="Q40" s="620">
        <f t="shared" si="111"/>
        <v>0</v>
      </c>
      <c r="R40" s="620">
        <f t="shared" si="111"/>
        <v>0</v>
      </c>
      <c r="S40" s="620">
        <f t="shared" si="17"/>
        <v>0</v>
      </c>
      <c r="T40" s="619">
        <f t="shared" ref="T40:V40" si="112">SUM(T41:T44)</f>
        <v>0</v>
      </c>
      <c r="U40" s="620">
        <f t="shared" si="112"/>
        <v>0</v>
      </c>
      <c r="V40" s="620">
        <f t="shared" si="112"/>
        <v>0</v>
      </c>
      <c r="W40" s="620">
        <f t="shared" si="19"/>
        <v>0</v>
      </c>
      <c r="X40" s="619">
        <f t="shared" ref="X40:Z40" si="113">SUM(X41:X44)</f>
        <v>0</v>
      </c>
      <c r="Y40" s="620">
        <f t="shared" si="113"/>
        <v>3600</v>
      </c>
      <c r="Z40" s="620">
        <f t="shared" si="113"/>
        <v>0</v>
      </c>
      <c r="AA40" s="620">
        <f t="shared" ref="AA40:AA43" si="114">SUM(X40:Z40)</f>
        <v>3600</v>
      </c>
      <c r="AB40" s="619">
        <v>0</v>
      </c>
      <c r="AC40" s="619">
        <v>3600</v>
      </c>
      <c r="AD40" s="619">
        <v>0</v>
      </c>
      <c r="AE40" s="619">
        <v>3600</v>
      </c>
      <c r="AF40" s="619">
        <f>SUM(AF41:AF44)</f>
        <v>0</v>
      </c>
      <c r="AG40" s="619">
        <f t="shared" ref="AG40:AH40" si="115">SUM(AG41:AG44)</f>
        <v>3600</v>
      </c>
      <c r="AH40" s="619">
        <f t="shared" si="115"/>
        <v>0</v>
      </c>
      <c r="AI40" s="619">
        <f>SUM(AF40:AH40)</f>
        <v>3600</v>
      </c>
      <c r="AJ40" s="619">
        <f>SUM(AJ41:AJ44)</f>
        <v>0</v>
      </c>
      <c r="AK40" s="619">
        <f t="shared" ref="AK40:AL40" si="116">SUM(AK41:AK44)</f>
        <v>1165</v>
      </c>
      <c r="AL40" s="619">
        <f t="shared" si="116"/>
        <v>0</v>
      </c>
      <c r="AM40" s="619">
        <f>SUM(AJ40:AL40)</f>
        <v>1165</v>
      </c>
    </row>
    <row r="41" spans="1:39" ht="30" x14ac:dyDescent="0.25">
      <c r="A41" s="430"/>
      <c r="B41" s="238" t="s">
        <v>522</v>
      </c>
      <c r="C41" s="445">
        <f>'2.1. Önk bev'!C79</f>
        <v>0</v>
      </c>
      <c r="D41" s="445">
        <f>'2.1. Önk bev'!D79</f>
        <v>0</v>
      </c>
      <c r="E41" s="445">
        <f>'2.1. Önk bev'!E79</f>
        <v>0</v>
      </c>
      <c r="F41" s="445">
        <f>'2.1. Önk bev'!F79</f>
        <v>0</v>
      </c>
      <c r="G41" s="445">
        <f t="shared" si="11"/>
        <v>0</v>
      </c>
      <c r="H41" s="445">
        <f>'2.1. Önk bev'!H79</f>
        <v>0</v>
      </c>
      <c r="I41" s="421">
        <f>'2.1. Önk bev'!I79</f>
        <v>0</v>
      </c>
      <c r="J41" s="421">
        <f>'2.1. Önk bev'!J79</f>
        <v>0</v>
      </c>
      <c r="K41" s="421">
        <f t="shared" si="13"/>
        <v>0</v>
      </c>
      <c r="L41" s="445">
        <f>'2.1. Önk bev'!L79</f>
        <v>0</v>
      </c>
      <c r="M41" s="421">
        <f>'2.1. Önk bev'!M79</f>
        <v>0</v>
      </c>
      <c r="N41" s="421">
        <f>'2.1. Önk bev'!N79</f>
        <v>0</v>
      </c>
      <c r="O41" s="421">
        <f t="shared" si="15"/>
        <v>0</v>
      </c>
      <c r="P41" s="445">
        <f>'2.1. Önk bev'!T79</f>
        <v>0</v>
      </c>
      <c r="Q41" s="421">
        <v>0</v>
      </c>
      <c r="R41" s="421">
        <f>'2.1. Önk bev'!V79</f>
        <v>0</v>
      </c>
      <c r="S41" s="421">
        <f t="shared" si="17"/>
        <v>0</v>
      </c>
      <c r="T41" s="445">
        <f>'2.1. Önk bev'!X79</f>
        <v>0</v>
      </c>
      <c r="U41" s="421">
        <f>'2.1. Önk bev'!Y79</f>
        <v>0</v>
      </c>
      <c r="V41" s="421">
        <f>'2.1. Önk bev'!Z79</f>
        <v>0</v>
      </c>
      <c r="W41" s="421">
        <f t="shared" si="19"/>
        <v>0</v>
      </c>
      <c r="X41" s="445">
        <f>'2.1. Önk bev'!X79</f>
        <v>0</v>
      </c>
      <c r="Y41" s="421">
        <f>'2.1. Önk bev'!Y79</f>
        <v>0</v>
      </c>
      <c r="Z41" s="421">
        <f>'2.1. Önk bev'!Z79</f>
        <v>0</v>
      </c>
      <c r="AA41" s="421">
        <f t="shared" si="114"/>
        <v>0</v>
      </c>
      <c r="AB41" s="445">
        <v>0</v>
      </c>
      <c r="AC41" s="445">
        <v>0</v>
      </c>
      <c r="AD41" s="445">
        <v>0</v>
      </c>
      <c r="AE41" s="445">
        <v>0</v>
      </c>
      <c r="AF41" s="445">
        <v>0</v>
      </c>
      <c r="AG41" s="421">
        <f>'2.1. Önk bev'!AG79</f>
        <v>0</v>
      </c>
      <c r="AH41" s="445">
        <v>0</v>
      </c>
      <c r="AI41" s="445">
        <f t="shared" ref="AI41:AI42" si="117">SUM(AF41:AH41)</f>
        <v>0</v>
      </c>
      <c r="AJ41" s="445">
        <v>0</v>
      </c>
      <c r="AK41" s="445">
        <f>'2.1. Önk bev'!AK79</f>
        <v>0</v>
      </c>
      <c r="AL41" s="445">
        <v>0</v>
      </c>
      <c r="AM41" s="445">
        <f t="shared" ref="AM41:AM42" si="118">SUM(AJ41:AL41)</f>
        <v>0</v>
      </c>
    </row>
    <row r="42" spans="1:39" s="95" customFormat="1" ht="45" x14ac:dyDescent="0.25">
      <c r="A42" s="430"/>
      <c r="B42" s="324" t="s">
        <v>544</v>
      </c>
      <c r="C42" s="325">
        <f>'2.1. Önk bev'!C80</f>
        <v>0</v>
      </c>
      <c r="D42" s="325">
        <f>'2.1. Önk bev'!D80</f>
        <v>0</v>
      </c>
      <c r="E42" s="325">
        <f>'2.1. Önk bev'!E80</f>
        <v>0</v>
      </c>
      <c r="F42" s="325">
        <f>'2.1. Önk bev'!F80</f>
        <v>0</v>
      </c>
      <c r="G42" s="325">
        <f t="shared" si="11"/>
        <v>0</v>
      </c>
      <c r="H42" s="325">
        <f>'2.1. Önk bev'!H80</f>
        <v>0</v>
      </c>
      <c r="I42" s="423">
        <f>'2.1. Önk bev'!I80</f>
        <v>0</v>
      </c>
      <c r="J42" s="423">
        <f>'2.1. Önk bev'!J80</f>
        <v>0</v>
      </c>
      <c r="K42" s="423">
        <f t="shared" si="13"/>
        <v>0</v>
      </c>
      <c r="L42" s="325">
        <f>'2.1. Önk bev'!L80</f>
        <v>0</v>
      </c>
      <c r="M42" s="423">
        <f>'2.1. Önk bev'!M80</f>
        <v>0</v>
      </c>
      <c r="N42" s="423">
        <f>'2.1. Önk bev'!N80</f>
        <v>0</v>
      </c>
      <c r="O42" s="423">
        <f t="shared" si="15"/>
        <v>0</v>
      </c>
      <c r="P42" s="325">
        <f>'2.1. Önk bev'!T80</f>
        <v>0</v>
      </c>
      <c r="Q42" s="423">
        <f>'2.1. Önk bev'!U80</f>
        <v>0</v>
      </c>
      <c r="R42" s="423">
        <f>'2.1. Önk bev'!V80</f>
        <v>0</v>
      </c>
      <c r="S42" s="423">
        <f t="shared" si="17"/>
        <v>0</v>
      </c>
      <c r="T42" s="325">
        <f>'2.1. Önk bev'!X80</f>
        <v>0</v>
      </c>
      <c r="U42" s="423">
        <f>'2.1. Önk bev'!Y80</f>
        <v>0</v>
      </c>
      <c r="V42" s="423">
        <f>'2.1. Önk bev'!Z80</f>
        <v>0</v>
      </c>
      <c r="W42" s="423">
        <f t="shared" si="19"/>
        <v>0</v>
      </c>
      <c r="X42" s="325">
        <f>'2.1. Önk bev'!X80</f>
        <v>0</v>
      </c>
      <c r="Y42" s="423">
        <f>'2.1. Önk bev'!Y80</f>
        <v>0</v>
      </c>
      <c r="Z42" s="423">
        <f>'2.1. Önk bev'!Z80</f>
        <v>0</v>
      </c>
      <c r="AA42" s="423">
        <f t="shared" si="114"/>
        <v>0</v>
      </c>
      <c r="AB42" s="325">
        <v>0</v>
      </c>
      <c r="AC42" s="325">
        <v>0</v>
      </c>
      <c r="AD42" s="325">
        <v>0</v>
      </c>
      <c r="AE42" s="325">
        <v>0</v>
      </c>
      <c r="AF42" s="325">
        <v>0</v>
      </c>
      <c r="AG42" s="423">
        <f>'2.1. Önk bev'!AG80</f>
        <v>0</v>
      </c>
      <c r="AH42" s="325">
        <v>0</v>
      </c>
      <c r="AI42" s="445">
        <f t="shared" si="117"/>
        <v>0</v>
      </c>
      <c r="AJ42" s="325">
        <v>0</v>
      </c>
      <c r="AK42" s="325">
        <f>'2.1. Önk bev'!AK80</f>
        <v>0</v>
      </c>
      <c r="AL42" s="325">
        <v>0</v>
      </c>
      <c r="AM42" s="445">
        <f t="shared" si="118"/>
        <v>0</v>
      </c>
    </row>
    <row r="43" spans="1:39" ht="30" x14ac:dyDescent="0.25">
      <c r="A43" s="430"/>
      <c r="B43" s="238" t="s">
        <v>524</v>
      </c>
      <c r="C43" s="445"/>
      <c r="D43" s="445"/>
      <c r="E43" s="421">
        <f>'2.1. Önk bev'!E81</f>
        <v>3600</v>
      </c>
      <c r="F43" s="445"/>
      <c r="G43" s="445">
        <f>SUM(D43:F43)</f>
        <v>3600</v>
      </c>
      <c r="H43" s="445"/>
      <c r="I43" s="421">
        <f>'2.1. Önk bev'!I81</f>
        <v>3600</v>
      </c>
      <c r="J43" s="421"/>
      <c r="K43" s="421">
        <f>SUM(H43:J43)</f>
        <v>3600</v>
      </c>
      <c r="L43" s="445"/>
      <c r="M43" s="421">
        <v>22305</v>
      </c>
      <c r="N43" s="421"/>
      <c r="O43" s="423">
        <f t="shared" si="15"/>
        <v>22305</v>
      </c>
      <c r="P43" s="445"/>
      <c r="Q43" s="421"/>
      <c r="R43" s="421"/>
      <c r="S43" s="421"/>
      <c r="T43" s="445">
        <f>'2.1. Önk bev'!X81</f>
        <v>0</v>
      </c>
      <c r="U43" s="421">
        <f>'2.1. Önk bev'!Y81</f>
        <v>0</v>
      </c>
      <c r="V43" s="421">
        <f>'2.1. Önk bev'!Z81</f>
        <v>0</v>
      </c>
      <c r="W43" s="421">
        <f t="shared" si="19"/>
        <v>0</v>
      </c>
      <c r="X43" s="445"/>
      <c r="Y43" s="421">
        <f>+'2.1. Önk bev'!Q78</f>
        <v>3600</v>
      </c>
      <c r="Z43" s="421"/>
      <c r="AA43" s="423">
        <f t="shared" si="114"/>
        <v>3600</v>
      </c>
      <c r="AB43" s="445"/>
      <c r="AC43" s="445">
        <v>3600</v>
      </c>
      <c r="AD43" s="445"/>
      <c r="AE43" s="445">
        <v>3600</v>
      </c>
      <c r="AF43" s="445"/>
      <c r="AG43" s="421">
        <f>+'2.1. Önk bev'!AG81</f>
        <v>3600</v>
      </c>
      <c r="AH43" s="445"/>
      <c r="AI43" s="445">
        <f>SUM(AF43:AH43)</f>
        <v>3600</v>
      </c>
      <c r="AJ43" s="445"/>
      <c r="AK43" s="445">
        <f>+'2.1. Önk bev'!AK81</f>
        <v>1165</v>
      </c>
      <c r="AL43" s="445"/>
      <c r="AM43" s="445">
        <f>SUM(AJ43:AL43)</f>
        <v>1165</v>
      </c>
    </row>
    <row r="44" spans="1:39" x14ac:dyDescent="0.25">
      <c r="A44" s="430"/>
      <c r="B44" s="238" t="s">
        <v>526</v>
      </c>
      <c r="C44" s="445"/>
      <c r="D44" s="445"/>
      <c r="E44" s="445"/>
      <c r="F44" s="445"/>
      <c r="G44" s="445"/>
      <c r="H44" s="445"/>
      <c r="I44" s="421"/>
      <c r="J44" s="421"/>
      <c r="K44" s="421"/>
      <c r="L44" s="445"/>
      <c r="M44" s="421"/>
      <c r="N44" s="421"/>
      <c r="O44" s="421"/>
      <c r="P44" s="445"/>
      <c r="Q44" s="421"/>
      <c r="R44" s="421"/>
      <c r="S44" s="421"/>
      <c r="T44" s="445">
        <f>'2.1. Önk bev'!X85</f>
        <v>0</v>
      </c>
      <c r="U44" s="421">
        <f>'2.1. Önk bev'!Y85</f>
        <v>0</v>
      </c>
      <c r="V44" s="421">
        <f>'2.1. Önk bev'!Z85</f>
        <v>0</v>
      </c>
      <c r="W44" s="421">
        <f t="shared" si="19"/>
        <v>0</v>
      </c>
      <c r="X44" s="445"/>
      <c r="Y44" s="421"/>
      <c r="Z44" s="421"/>
      <c r="AA44" s="421"/>
      <c r="AB44" s="445"/>
      <c r="AC44" s="445"/>
      <c r="AD44" s="445"/>
      <c r="AE44" s="445"/>
      <c r="AF44" s="445"/>
      <c r="AG44" s="421"/>
      <c r="AH44" s="445"/>
      <c r="AI44" s="445"/>
      <c r="AJ44" s="445"/>
      <c r="AK44" s="445"/>
      <c r="AL44" s="445"/>
      <c r="AM44" s="445"/>
    </row>
    <row r="45" spans="1:39" x14ac:dyDescent="0.25">
      <c r="A45" s="589"/>
      <c r="B45" s="621" t="s">
        <v>327</v>
      </c>
      <c r="C45" s="622">
        <f t="shared" ref="C45" si="119">C4+C30</f>
        <v>0</v>
      </c>
      <c r="D45" s="622">
        <f t="shared" ref="D45:F45" si="120">D4+D30</f>
        <v>2428476</v>
      </c>
      <c r="E45" s="622">
        <f t="shared" si="120"/>
        <v>62499</v>
      </c>
      <c r="F45" s="622">
        <f t="shared" si="120"/>
        <v>0</v>
      </c>
      <c r="G45" s="622">
        <f t="shared" si="11"/>
        <v>2490975</v>
      </c>
      <c r="H45" s="622">
        <f t="shared" ref="H45:J45" si="121">H4+H30</f>
        <v>3564061</v>
      </c>
      <c r="I45" s="623">
        <f t="shared" si="121"/>
        <v>62499</v>
      </c>
      <c r="J45" s="623">
        <f t="shared" si="121"/>
        <v>0</v>
      </c>
      <c r="K45" s="623">
        <f t="shared" si="13"/>
        <v>3626560</v>
      </c>
      <c r="L45" s="622">
        <f t="shared" ref="L45:N45" si="122">L4+L30</f>
        <v>3797503</v>
      </c>
      <c r="M45" s="623">
        <f t="shared" si="122"/>
        <v>88609</v>
      </c>
      <c r="N45" s="623">
        <f t="shared" si="122"/>
        <v>0</v>
      </c>
      <c r="O45" s="623">
        <f t="shared" si="15"/>
        <v>3886112</v>
      </c>
      <c r="P45" s="622">
        <f t="shared" ref="P45:R45" si="123">P4+P30</f>
        <v>0</v>
      </c>
      <c r="Q45" s="623">
        <f t="shared" si="123"/>
        <v>0</v>
      </c>
      <c r="R45" s="623">
        <f t="shared" si="123"/>
        <v>0</v>
      </c>
      <c r="S45" s="623">
        <f t="shared" si="17"/>
        <v>0</v>
      </c>
      <c r="T45" s="622" t="e">
        <f t="shared" ref="T45:V45" si="124">T4+T30</f>
        <v>#REF!</v>
      </c>
      <c r="U45" s="623" t="e">
        <f t="shared" si="124"/>
        <v>#REF!</v>
      </c>
      <c r="V45" s="623" t="e">
        <f t="shared" si="124"/>
        <v>#REF!</v>
      </c>
      <c r="W45" s="623" t="e">
        <f t="shared" si="19"/>
        <v>#REF!</v>
      </c>
      <c r="X45" s="622">
        <f t="shared" ref="X45:AD45" si="125">X4+X30</f>
        <v>5082569</v>
      </c>
      <c r="Y45" s="623">
        <f t="shared" si="125"/>
        <v>77504</v>
      </c>
      <c r="Z45" s="623">
        <f t="shared" si="125"/>
        <v>0</v>
      </c>
      <c r="AA45" s="623">
        <f t="shared" ref="AA45" si="126">SUM(X45:Z45)</f>
        <v>5160073</v>
      </c>
      <c r="AB45" s="869">
        <f t="shared" si="125"/>
        <v>5687627</v>
      </c>
      <c r="AC45" s="869">
        <f t="shared" si="125"/>
        <v>36010</v>
      </c>
      <c r="AD45" s="869">
        <f t="shared" si="125"/>
        <v>0</v>
      </c>
      <c r="AE45" s="869">
        <f>SUM(AB45:AD45)</f>
        <v>5723637</v>
      </c>
      <c r="AF45" s="869">
        <f t="shared" ref="AF45:AH45" si="127">AF4+AF30</f>
        <v>6144879</v>
      </c>
      <c r="AG45" s="869">
        <f t="shared" si="127"/>
        <v>109330</v>
      </c>
      <c r="AH45" s="869">
        <f t="shared" si="127"/>
        <v>0</v>
      </c>
      <c r="AI45" s="869">
        <f>SUM(AF45:AH45)+1</f>
        <v>6254210</v>
      </c>
      <c r="AJ45" s="869">
        <f t="shared" ref="AJ45:AL45" si="128">AJ4+AJ30</f>
        <v>2162062</v>
      </c>
      <c r="AK45" s="869">
        <f t="shared" si="128"/>
        <v>33812</v>
      </c>
      <c r="AL45" s="869">
        <f t="shared" si="128"/>
        <v>0</v>
      </c>
      <c r="AM45" s="869">
        <f>SUM(AJ45:AL45)+1</f>
        <v>2195875</v>
      </c>
    </row>
    <row r="46" spans="1:39" x14ac:dyDescent="0.25">
      <c r="A46" s="456" t="s">
        <v>328</v>
      </c>
      <c r="B46" s="457" t="s">
        <v>329</v>
      </c>
      <c r="C46" s="458">
        <f>C47+C57</f>
        <v>0</v>
      </c>
      <c r="D46" s="458">
        <f>D47+D57</f>
        <v>5841429</v>
      </c>
      <c r="E46" s="458">
        <f t="shared" ref="E46:F46" si="129">E47+E57</f>
        <v>17774</v>
      </c>
      <c r="F46" s="458">
        <f t="shared" si="129"/>
        <v>93015</v>
      </c>
      <c r="G46" s="458">
        <f t="shared" si="11"/>
        <v>5952218</v>
      </c>
      <c r="H46" s="458">
        <f>H47+H57</f>
        <v>5909946</v>
      </c>
      <c r="I46" s="462">
        <f t="shared" ref="I46:J46" si="130">I47+I57</f>
        <v>17774</v>
      </c>
      <c r="J46" s="462">
        <f t="shared" si="130"/>
        <v>99193</v>
      </c>
      <c r="K46" s="462">
        <f t="shared" si="13"/>
        <v>6026913</v>
      </c>
      <c r="L46" s="458">
        <f>L47+L57</f>
        <v>5980653</v>
      </c>
      <c r="M46" s="462">
        <f t="shared" ref="M46:N46" si="131">M47+M57</f>
        <v>17987</v>
      </c>
      <c r="N46" s="462">
        <f t="shared" si="131"/>
        <v>103243</v>
      </c>
      <c r="O46" s="462">
        <f>SUM(L46:N46)</f>
        <v>6101883</v>
      </c>
      <c r="P46" s="458">
        <f>P47+P57</f>
        <v>0</v>
      </c>
      <c r="Q46" s="462">
        <f t="shared" ref="Q46:R46" si="132">Q47+Q57</f>
        <v>0</v>
      </c>
      <c r="R46" s="462">
        <f t="shared" si="132"/>
        <v>0</v>
      </c>
      <c r="S46" s="462">
        <f t="shared" si="17"/>
        <v>0</v>
      </c>
      <c r="T46" s="458">
        <f>T47+T57</f>
        <v>426504</v>
      </c>
      <c r="U46" s="458">
        <f t="shared" ref="U46:V46" si="133">U47+U57</f>
        <v>5116</v>
      </c>
      <c r="V46" s="458">
        <f t="shared" si="133"/>
        <v>507699</v>
      </c>
      <c r="W46" s="462">
        <f t="shared" si="19"/>
        <v>939319</v>
      </c>
      <c r="X46" s="458">
        <f>X47+X57</f>
        <v>3886456</v>
      </c>
      <c r="Y46" s="462">
        <f t="shared" ref="Y46:Z46" si="134">Y47+Y57</f>
        <v>19176</v>
      </c>
      <c r="Z46" s="462">
        <f t="shared" si="134"/>
        <v>99368</v>
      </c>
      <c r="AA46" s="462">
        <f>SUM(X46:Z46)</f>
        <v>4005000</v>
      </c>
      <c r="AB46" s="458">
        <f>AB47+AB57</f>
        <v>5067829</v>
      </c>
      <c r="AC46" s="458">
        <f t="shared" ref="AC46:AD46" si="135">AC47+AC57</f>
        <v>59745</v>
      </c>
      <c r="AD46" s="458">
        <f t="shared" si="135"/>
        <v>99368</v>
      </c>
      <c r="AE46" s="458">
        <f>SUM(AB46:AD46)</f>
        <v>5226942</v>
      </c>
      <c r="AF46" s="458">
        <f>AF47+AF57</f>
        <v>5078951</v>
      </c>
      <c r="AG46" s="458">
        <f t="shared" ref="AG46:AH46" si="136">AG47+AG57</f>
        <v>19176</v>
      </c>
      <c r="AH46" s="458">
        <f t="shared" si="136"/>
        <v>102312</v>
      </c>
      <c r="AI46" s="458">
        <f>SUM(AF46:AH46)</f>
        <v>5200439</v>
      </c>
      <c r="AJ46" s="458">
        <f>AJ47+AJ57</f>
        <v>4398371</v>
      </c>
      <c r="AK46" s="458">
        <f t="shared" ref="AK46:AL46" si="137">AK47+AK57</f>
        <v>9255</v>
      </c>
      <c r="AL46" s="458">
        <f t="shared" si="137"/>
        <v>47643</v>
      </c>
      <c r="AM46" s="458">
        <f>SUM(AJ46:AL46)</f>
        <v>4455269</v>
      </c>
    </row>
    <row r="47" spans="1:39" x14ac:dyDescent="0.25">
      <c r="A47" s="617" t="s">
        <v>311</v>
      </c>
      <c r="B47" s="618" t="s">
        <v>330</v>
      </c>
      <c r="C47" s="619">
        <f>C48+C53+C54+C55+C56</f>
        <v>0</v>
      </c>
      <c r="D47" s="619">
        <f t="shared" ref="D47" si="138">D48+D53+D54+D55+D56</f>
        <v>5841429</v>
      </c>
      <c r="E47" s="619">
        <f t="shared" ref="E47:F47" si="139">E48+E53+E54+E55+E56</f>
        <v>17774</v>
      </c>
      <c r="F47" s="619">
        <f t="shared" si="139"/>
        <v>93015</v>
      </c>
      <c r="G47" s="619">
        <f t="shared" si="11"/>
        <v>5952218</v>
      </c>
      <c r="H47" s="619">
        <f t="shared" ref="H47:J47" si="140">H48+H53+H54+H55+H56</f>
        <v>5909946</v>
      </c>
      <c r="I47" s="620">
        <f t="shared" si="140"/>
        <v>17774</v>
      </c>
      <c r="J47" s="620">
        <f t="shared" si="140"/>
        <v>99193</v>
      </c>
      <c r="K47" s="620">
        <f t="shared" si="13"/>
        <v>6026913</v>
      </c>
      <c r="L47" s="619">
        <f t="shared" ref="L47:N47" si="141">L48+L53+L54+L55+L56</f>
        <v>5980653</v>
      </c>
      <c r="M47" s="620">
        <f t="shared" si="141"/>
        <v>17987</v>
      </c>
      <c r="N47" s="620">
        <f t="shared" si="141"/>
        <v>103243</v>
      </c>
      <c r="O47" s="620">
        <f>SUM(L47:N47)</f>
        <v>6101883</v>
      </c>
      <c r="P47" s="619">
        <f t="shared" ref="P47:R47" si="142">P48+P53+P54+P55+P56</f>
        <v>0</v>
      </c>
      <c r="Q47" s="620">
        <f t="shared" si="142"/>
        <v>0</v>
      </c>
      <c r="R47" s="620">
        <f t="shared" si="142"/>
        <v>0</v>
      </c>
      <c r="S47" s="620">
        <f t="shared" si="17"/>
        <v>0</v>
      </c>
      <c r="T47" s="619">
        <f>SUM(T49:T56)</f>
        <v>426504</v>
      </c>
      <c r="U47" s="619">
        <f t="shared" ref="U47:V47" si="143">SUM(U49:U56)</f>
        <v>5116</v>
      </c>
      <c r="V47" s="619">
        <f t="shared" si="143"/>
        <v>507699</v>
      </c>
      <c r="W47" s="620">
        <f t="shared" si="19"/>
        <v>939319</v>
      </c>
      <c r="X47" s="619">
        <f t="shared" ref="X47:AD47" si="144">X48+X53+X54+X55+X56</f>
        <v>3886456</v>
      </c>
      <c r="Y47" s="620">
        <f t="shared" si="144"/>
        <v>19176</v>
      </c>
      <c r="Z47" s="620">
        <f t="shared" si="144"/>
        <v>99368</v>
      </c>
      <c r="AA47" s="620">
        <f>SUM(X47:Z47)</f>
        <v>4005000</v>
      </c>
      <c r="AB47" s="619">
        <f>SUM(AB48:AB55)</f>
        <v>5067829</v>
      </c>
      <c r="AC47" s="619">
        <f t="shared" si="144"/>
        <v>59745</v>
      </c>
      <c r="AD47" s="619">
        <f t="shared" si="144"/>
        <v>99368</v>
      </c>
      <c r="AE47" s="619">
        <f>SUM(AB47:AD47)</f>
        <v>5226942</v>
      </c>
      <c r="AF47" s="619">
        <f>AF48+AF53+AF54+AF55+AF56+AF50</f>
        <v>5078951</v>
      </c>
      <c r="AG47" s="619">
        <f t="shared" ref="AG47:AH47" si="145">AG48+AG53+AG54+AG55+AG56</f>
        <v>19176</v>
      </c>
      <c r="AH47" s="619">
        <f t="shared" si="145"/>
        <v>102312</v>
      </c>
      <c r="AI47" s="619">
        <f>SUM(AF47:AH47)</f>
        <v>5200439</v>
      </c>
      <c r="AJ47" s="619">
        <f>AJ48+AJ53+AJ54+AJ55+AJ56+AJ50</f>
        <v>4398371</v>
      </c>
      <c r="AK47" s="619">
        <f t="shared" ref="AK47:AL47" si="146">AK48+AK53+AK54+AK55+AK56+AK50</f>
        <v>9255</v>
      </c>
      <c r="AL47" s="619">
        <f t="shared" si="146"/>
        <v>47643</v>
      </c>
      <c r="AM47" s="619">
        <f>SUM(AJ47:AL47)</f>
        <v>4455269</v>
      </c>
    </row>
    <row r="48" spans="1:39" ht="30" x14ac:dyDescent="0.25">
      <c r="A48" s="430"/>
      <c r="B48" s="238" t="s">
        <v>531</v>
      </c>
      <c r="C48" s="445"/>
      <c r="D48" s="445"/>
      <c r="E48" s="445"/>
      <c r="F48" s="445"/>
      <c r="G48" s="445"/>
      <c r="H48" s="445"/>
      <c r="I48" s="421"/>
      <c r="J48" s="421"/>
      <c r="K48" s="421"/>
      <c r="L48" s="445"/>
      <c r="M48" s="421"/>
      <c r="N48" s="421"/>
      <c r="O48" s="421"/>
      <c r="P48" s="445"/>
      <c r="Q48" s="421"/>
      <c r="R48" s="421"/>
      <c r="S48" s="421"/>
      <c r="T48" s="445">
        <f t="shared" ref="T48:V48" si="147">SUM(T49:T52)</f>
        <v>0</v>
      </c>
      <c r="U48" s="421">
        <f t="shared" si="147"/>
        <v>0</v>
      </c>
      <c r="V48" s="421">
        <f t="shared" si="147"/>
        <v>0</v>
      </c>
      <c r="W48" s="421">
        <f t="shared" si="19"/>
        <v>0</v>
      </c>
      <c r="X48" s="445"/>
      <c r="Y48" s="421"/>
      <c r="Z48" s="421"/>
      <c r="AA48" s="421"/>
      <c r="AB48" s="445"/>
      <c r="AC48" s="445"/>
      <c r="AD48" s="445"/>
      <c r="AE48" s="445"/>
      <c r="AF48" s="445"/>
      <c r="AG48" s="445"/>
      <c r="AH48" s="445"/>
      <c r="AI48" s="445"/>
      <c r="AJ48" s="445"/>
      <c r="AK48" s="445"/>
      <c r="AL48" s="445"/>
      <c r="AM48" s="445"/>
    </row>
    <row r="49" spans="1:39" x14ac:dyDescent="0.25">
      <c r="A49" s="430"/>
      <c r="B49" s="323" t="s">
        <v>532</v>
      </c>
      <c r="C49" s="445"/>
      <c r="D49" s="445"/>
      <c r="E49" s="445"/>
      <c r="F49" s="445"/>
      <c r="G49" s="445"/>
      <c r="H49" s="445"/>
      <c r="I49" s="421"/>
      <c r="J49" s="421"/>
      <c r="K49" s="421"/>
      <c r="L49" s="445"/>
      <c r="M49" s="421"/>
      <c r="N49" s="421"/>
      <c r="O49" s="421"/>
      <c r="P49" s="445"/>
      <c r="Q49" s="421"/>
      <c r="R49" s="421"/>
      <c r="S49" s="421"/>
      <c r="T49" s="445">
        <f>'2.1. Önk bev'!X96</f>
        <v>0</v>
      </c>
      <c r="U49" s="421">
        <f>'2.1. Önk bev'!Y96</f>
        <v>0</v>
      </c>
      <c r="V49" s="421">
        <f>'2.1. Önk bev'!Z96</f>
        <v>0</v>
      </c>
      <c r="W49" s="421">
        <f t="shared" si="19"/>
        <v>0</v>
      </c>
      <c r="X49" s="445"/>
      <c r="Y49" s="421"/>
      <c r="Z49" s="421"/>
      <c r="AA49" s="421"/>
      <c r="AB49" s="445"/>
      <c r="AC49" s="445"/>
      <c r="AD49" s="445"/>
      <c r="AE49" s="445"/>
      <c r="AF49" s="445"/>
      <c r="AG49" s="445"/>
      <c r="AH49" s="445"/>
      <c r="AI49" s="445"/>
      <c r="AJ49" s="445"/>
      <c r="AK49" s="445"/>
      <c r="AL49" s="445"/>
      <c r="AM49" s="445"/>
    </row>
    <row r="50" spans="1:39" ht="30" x14ac:dyDescent="0.25">
      <c r="A50" s="506"/>
      <c r="B50" s="509" t="s">
        <v>1254</v>
      </c>
      <c r="C50" s="445"/>
      <c r="D50" s="445"/>
      <c r="E50" s="445"/>
      <c r="F50" s="445"/>
      <c r="G50" s="445"/>
      <c r="H50" s="445"/>
      <c r="I50" s="421"/>
      <c r="J50" s="421"/>
      <c r="K50" s="421"/>
      <c r="L50" s="445"/>
      <c r="M50" s="421"/>
      <c r="N50" s="421"/>
      <c r="O50" s="421"/>
      <c r="P50" s="445"/>
      <c r="Q50" s="421"/>
      <c r="R50" s="421"/>
      <c r="S50" s="421"/>
      <c r="T50" s="445"/>
      <c r="U50" s="421"/>
      <c r="V50" s="421"/>
      <c r="W50" s="421">
        <f t="shared" si="19"/>
        <v>0</v>
      </c>
      <c r="X50" s="445"/>
      <c r="Y50" s="421"/>
      <c r="Z50" s="421"/>
      <c r="AA50" s="421"/>
      <c r="AB50" s="445">
        <v>250000</v>
      </c>
      <c r="AC50" s="445"/>
      <c r="AD50" s="445"/>
      <c r="AE50" s="445">
        <f>SUM(AB50:AD50)</f>
        <v>250000</v>
      </c>
      <c r="AF50" s="445">
        <v>250000</v>
      </c>
      <c r="AG50" s="445"/>
      <c r="AH50" s="445"/>
      <c r="AI50" s="445">
        <f>SUM(AF50:AH50)</f>
        <v>250000</v>
      </c>
      <c r="AJ50" s="445">
        <v>250000</v>
      </c>
      <c r="AK50" s="445"/>
      <c r="AL50" s="445"/>
      <c r="AM50" s="445">
        <f>SUM(AJ50:AL50)</f>
        <v>250000</v>
      </c>
    </row>
    <row r="51" spans="1:39" x14ac:dyDescent="0.25">
      <c r="A51" s="430"/>
      <c r="B51" s="323" t="s">
        <v>533</v>
      </c>
      <c r="C51" s="445">
        <v>0</v>
      </c>
      <c r="D51" s="445">
        <v>0</v>
      </c>
      <c r="E51" s="445">
        <v>0</v>
      </c>
      <c r="F51" s="445">
        <v>0</v>
      </c>
      <c r="G51" s="445">
        <f t="shared" si="11"/>
        <v>0</v>
      </c>
      <c r="H51" s="445">
        <v>0</v>
      </c>
      <c r="I51" s="421">
        <v>0</v>
      </c>
      <c r="J51" s="421">
        <v>0</v>
      </c>
      <c r="K51" s="421">
        <f t="shared" si="13"/>
        <v>0</v>
      </c>
      <c r="L51" s="445">
        <v>0</v>
      </c>
      <c r="M51" s="421">
        <v>0</v>
      </c>
      <c r="N51" s="421">
        <v>0</v>
      </c>
      <c r="O51" s="421">
        <f t="shared" si="15"/>
        <v>0</v>
      </c>
      <c r="P51" s="445">
        <v>0</v>
      </c>
      <c r="Q51" s="421">
        <v>0</v>
      </c>
      <c r="R51" s="421">
        <v>0</v>
      </c>
      <c r="S51" s="421">
        <f t="shared" si="17"/>
        <v>0</v>
      </c>
      <c r="T51" s="445">
        <v>0</v>
      </c>
      <c r="U51" s="421">
        <v>0</v>
      </c>
      <c r="V51" s="421">
        <v>0</v>
      </c>
      <c r="W51" s="421">
        <f t="shared" si="19"/>
        <v>0</v>
      </c>
      <c r="X51" s="445">
        <v>0</v>
      </c>
      <c r="Y51" s="421">
        <v>0</v>
      </c>
      <c r="Z51" s="421">
        <v>0</v>
      </c>
      <c r="AA51" s="421">
        <f t="shared" ref="AA51:AA55" si="148">SUM(X51:Z51)</f>
        <v>0</v>
      </c>
      <c r="AB51" s="445">
        <v>0</v>
      </c>
      <c r="AC51" s="445">
        <v>0</v>
      </c>
      <c r="AD51" s="445">
        <v>0</v>
      </c>
      <c r="AE51" s="445">
        <v>0</v>
      </c>
      <c r="AF51" s="445">
        <v>0</v>
      </c>
      <c r="AG51" s="445">
        <v>0</v>
      </c>
      <c r="AH51" s="445">
        <v>0</v>
      </c>
      <c r="AI51" s="445">
        <f t="shared" ref="AI51:AI55" si="149">SUM(AF51:AH51)</f>
        <v>0</v>
      </c>
      <c r="AJ51" s="445">
        <v>0</v>
      </c>
      <c r="AK51" s="445">
        <v>0</v>
      </c>
      <c r="AL51" s="445">
        <v>0</v>
      </c>
      <c r="AM51" s="445">
        <v>0</v>
      </c>
    </row>
    <row r="52" spans="1:39" x14ac:dyDescent="0.25">
      <c r="A52" s="430"/>
      <c r="B52" s="323" t="s">
        <v>534</v>
      </c>
      <c r="C52" s="445">
        <v>0</v>
      </c>
      <c r="D52" s="445">
        <v>0</v>
      </c>
      <c r="E52" s="445">
        <v>0</v>
      </c>
      <c r="F52" s="445">
        <v>0</v>
      </c>
      <c r="G52" s="445">
        <f t="shared" si="11"/>
        <v>0</v>
      </c>
      <c r="H52" s="445">
        <v>0</v>
      </c>
      <c r="I52" s="421">
        <v>0</v>
      </c>
      <c r="J52" s="421">
        <v>0</v>
      </c>
      <c r="K52" s="421">
        <f t="shared" si="13"/>
        <v>0</v>
      </c>
      <c r="L52" s="445">
        <v>0</v>
      </c>
      <c r="M52" s="421">
        <v>0</v>
      </c>
      <c r="N52" s="421">
        <v>0</v>
      </c>
      <c r="O52" s="421">
        <f t="shared" si="15"/>
        <v>0</v>
      </c>
      <c r="P52" s="445">
        <v>0</v>
      </c>
      <c r="Q52" s="421">
        <v>0</v>
      </c>
      <c r="R52" s="421">
        <v>0</v>
      </c>
      <c r="S52" s="421">
        <f t="shared" si="17"/>
        <v>0</v>
      </c>
      <c r="T52" s="445">
        <v>0</v>
      </c>
      <c r="U52" s="421">
        <v>0</v>
      </c>
      <c r="V52" s="421">
        <v>0</v>
      </c>
      <c r="W52" s="421">
        <f t="shared" si="19"/>
        <v>0</v>
      </c>
      <c r="X52" s="445">
        <v>0</v>
      </c>
      <c r="Y52" s="421">
        <v>0</v>
      </c>
      <c r="Z52" s="421">
        <v>0</v>
      </c>
      <c r="AA52" s="421">
        <f t="shared" si="148"/>
        <v>0</v>
      </c>
      <c r="AB52" s="445">
        <v>0</v>
      </c>
      <c r="AC52" s="445">
        <v>0</v>
      </c>
      <c r="AD52" s="445">
        <v>0</v>
      </c>
      <c r="AE52" s="445">
        <v>0</v>
      </c>
      <c r="AF52" s="445">
        <v>0</v>
      </c>
      <c r="AG52" s="445">
        <v>0</v>
      </c>
      <c r="AH52" s="445">
        <v>0</v>
      </c>
      <c r="AI52" s="445">
        <f t="shared" si="149"/>
        <v>0</v>
      </c>
      <c r="AJ52" s="445">
        <v>0</v>
      </c>
      <c r="AK52" s="445">
        <v>0</v>
      </c>
      <c r="AL52" s="445">
        <v>0</v>
      </c>
      <c r="AM52" s="445">
        <v>0</v>
      </c>
    </row>
    <row r="53" spans="1:39" x14ac:dyDescent="0.25">
      <c r="A53" s="430"/>
      <c r="B53" s="238" t="s">
        <v>535</v>
      </c>
      <c r="C53" s="445">
        <v>0</v>
      </c>
      <c r="D53" s="445">
        <v>0</v>
      </c>
      <c r="E53" s="445">
        <v>0</v>
      </c>
      <c r="F53" s="445">
        <v>0</v>
      </c>
      <c r="G53" s="445">
        <f t="shared" si="11"/>
        <v>0</v>
      </c>
      <c r="H53" s="445">
        <v>0</v>
      </c>
      <c r="I53" s="421">
        <v>0</v>
      </c>
      <c r="J53" s="421">
        <v>0</v>
      </c>
      <c r="K53" s="421">
        <f t="shared" si="13"/>
        <v>0</v>
      </c>
      <c r="L53" s="445">
        <v>0</v>
      </c>
      <c r="M53" s="421">
        <v>0</v>
      </c>
      <c r="N53" s="421">
        <v>0</v>
      </c>
      <c r="O53" s="421">
        <f t="shared" si="15"/>
        <v>0</v>
      </c>
      <c r="P53" s="445">
        <v>0</v>
      </c>
      <c r="Q53" s="421">
        <v>0</v>
      </c>
      <c r="R53" s="421">
        <v>0</v>
      </c>
      <c r="S53" s="421">
        <f t="shared" si="17"/>
        <v>0</v>
      </c>
      <c r="T53" s="445">
        <v>0</v>
      </c>
      <c r="U53" s="421">
        <v>0</v>
      </c>
      <c r="V53" s="421">
        <v>0</v>
      </c>
      <c r="W53" s="421">
        <f t="shared" si="19"/>
        <v>0</v>
      </c>
      <c r="X53" s="445">
        <v>0</v>
      </c>
      <c r="Y53" s="421">
        <v>0</v>
      </c>
      <c r="Z53" s="421">
        <v>0</v>
      </c>
      <c r="AA53" s="421">
        <f t="shared" si="148"/>
        <v>0</v>
      </c>
      <c r="AB53" s="445">
        <v>0</v>
      </c>
      <c r="AC53" s="445">
        <v>0</v>
      </c>
      <c r="AD53" s="445">
        <v>0</v>
      </c>
      <c r="AE53" s="445">
        <v>0</v>
      </c>
      <c r="AF53" s="445">
        <v>0</v>
      </c>
      <c r="AG53" s="445">
        <v>0</v>
      </c>
      <c r="AH53" s="445">
        <v>0</v>
      </c>
      <c r="AI53" s="445">
        <f t="shared" si="149"/>
        <v>0</v>
      </c>
      <c r="AJ53" s="445">
        <v>0</v>
      </c>
      <c r="AK53" s="445">
        <v>0</v>
      </c>
      <c r="AL53" s="445">
        <v>0</v>
      </c>
      <c r="AM53" s="445">
        <v>0</v>
      </c>
    </row>
    <row r="54" spans="1:39" x14ac:dyDescent="0.25">
      <c r="A54" s="430"/>
      <c r="B54" s="238" t="s">
        <v>536</v>
      </c>
      <c r="C54" s="445"/>
      <c r="D54" s="445">
        <f>'2.1. Önk bev'!D101+'3.1. PH'!D36+'4.1. Vesz'!D33+'5. Eszi'!D33+'6.1. Óvoda'!D33+'6.2. Kalandpark'!D33+'6.3. KLMK'!D33+'6.4. Könyvtár'!D33</f>
        <v>4582308</v>
      </c>
      <c r="E54" s="445"/>
      <c r="F54" s="445"/>
      <c r="G54" s="445">
        <f>SUM(D54:F54)</f>
        <v>4582308</v>
      </c>
      <c r="H54" s="445">
        <f>'2.1. Önk bev'!H101+'3.1. PH'!H36+'4.1. Vesz'!H33+'5. Eszi'!H33+'6.1. Óvoda'!H33+'6.2. Kalandpark'!H33+'6.3. KLMK'!H33+'6.4. Könyvtár'!H33</f>
        <v>4642964</v>
      </c>
      <c r="I54" s="421"/>
      <c r="J54" s="421"/>
      <c r="K54" s="421">
        <f>SUM(H54:J54)</f>
        <v>4642964</v>
      </c>
      <c r="L54" s="445">
        <f>'2.1. Önk bev'!L101+'3.1. PH'!L36+'4.1. Vesz'!L33+'5. Eszi'!L33+'6.1. Óvoda'!L33+'6.2. Kalandpark'!L33+'6.3. KLMK'!L33+'6.4. Könyvtár'!L33</f>
        <v>4711110</v>
      </c>
      <c r="M54" s="421"/>
      <c r="N54" s="421"/>
      <c r="O54" s="421">
        <f t="shared" si="15"/>
        <v>4711110</v>
      </c>
      <c r="P54" s="445"/>
      <c r="Q54" s="421"/>
      <c r="R54" s="421"/>
      <c r="S54" s="421"/>
      <c r="T54" s="445">
        <f>'2.1. Önk bev'!X101+'3.1. PH'!T36+'4.1. Vesz'!T33+'5. Eszi'!T33+'6.1. Óvoda'!T33+'6.2. Kalandpark'!T33+'6.3. KLMK'!T33+'6.4. Könyvtár'!T33+'5F Segítő Kéz'!T33+'5G Szérüskert'!T33</f>
        <v>0</v>
      </c>
      <c r="U54" s="445">
        <f>'2.1. Önk bev'!Y101+'3.1. PH'!U36+'4.1. Vesz'!U33+'5. Eszi'!U33+'6.1. Óvoda'!U33+'6.2. Kalandpark'!U33+'6.3. KLMK'!U33+'6.4. Könyvtár'!U33+'5F Segítő Kéz'!U33+'5G Szérüskert'!U33</f>
        <v>0</v>
      </c>
      <c r="V54" s="445">
        <f>'2.1. Önk bev'!Z101+'3.1. PH'!V36+'4.1. Vesz'!V33+'5. Eszi'!V33+'6.1. Óvoda'!V33+'6.2. Kalandpark'!V33+'6.3. KLMK'!V33+'6.4. Könyvtár'!V33+'5F Segítő Kéz'!V33+'5G Szérüskert'!V33</f>
        <v>0</v>
      </c>
      <c r="W54" s="421">
        <f t="shared" si="19"/>
        <v>0</v>
      </c>
      <c r="X54" s="445">
        <f>+'2.1. Önk bev'!P101+'3.1. PH'!Y36+'4.1. Vesz'!X33+'5. Eszi'!X33+'6.1. Óvoda'!X33+'6.2. Kalandpark'!X33+'6.3. KLMK'!Y33+'6.4. Könyvtár'!X33</f>
        <v>2513454</v>
      </c>
      <c r="Y54" s="421"/>
      <c r="Z54" s="421"/>
      <c r="AA54" s="421">
        <f t="shared" si="148"/>
        <v>2513454</v>
      </c>
      <c r="AB54" s="445">
        <v>3426285</v>
      </c>
      <c r="AC54" s="445"/>
      <c r="AD54" s="445"/>
      <c r="AE54" s="445">
        <f>SUM(AB54:AD54)</f>
        <v>3426285</v>
      </c>
      <c r="AF54" s="445">
        <v>3426285</v>
      </c>
      <c r="AG54" s="445"/>
      <c r="AH54" s="445"/>
      <c r="AI54" s="445">
        <f t="shared" si="149"/>
        <v>3426285</v>
      </c>
      <c r="AJ54" s="445">
        <v>3426285</v>
      </c>
      <c r="AK54" s="445"/>
      <c r="AL54" s="445"/>
      <c r="AM54" s="445">
        <f>SUM(AJ54:AL54)</f>
        <v>3426285</v>
      </c>
    </row>
    <row r="55" spans="1:39" x14ac:dyDescent="0.25">
      <c r="A55" s="430"/>
      <c r="B55" s="238" t="s">
        <v>539</v>
      </c>
      <c r="C55" s="445"/>
      <c r="D55" s="445">
        <f>'3.1. PH'!D37+'4.1. Vesz'!D34+'5. Eszi'!D34+'6.1. Óvoda'!D34+'6.2. Kalandpark'!D34+'6.3. KLMK'!D34+'6.4. Könyvtár'!D34</f>
        <v>1259121</v>
      </c>
      <c r="E55" s="445">
        <f>'2.1. Önk bev'!E102+'3.1. PH'!E37+'4.1. Vesz'!E34+'5. Eszi'!E34+'6.1. Óvoda'!E34+'6.2. Kalandpark'!E34+'6.3. KLMK'!E34+'6.4. Könyvtár'!E34+'5F Segítő Kéz'!E34+'5G Szérüskert'!E34</f>
        <v>17774</v>
      </c>
      <c r="F55" s="445">
        <f>'2.1. Önk bev'!F102+'3.1. PH'!F37+'4.1. Vesz'!F34+'5. Eszi'!F34+'6.1. Óvoda'!F34+'6.2. Kalandpark'!F34+'6.3. KLMK'!F34+'6.4. Könyvtár'!F34+'5F Segítő Kéz'!F34+'5G Szérüskert'!F34</f>
        <v>93015</v>
      </c>
      <c r="G55" s="445">
        <f>SUM(D55:F55)</f>
        <v>1369910</v>
      </c>
      <c r="H55" s="445">
        <f>'3.1. PH'!H37+'4.1. Vesz'!H34+'5. Eszi'!H34+'6.1. Óvoda'!H34+'6.2. Kalandpark'!H34+'6.3. KLMK'!H34+'6.4. Könyvtár'!H34</f>
        <v>1266982</v>
      </c>
      <c r="I55" s="445">
        <f>'2.1. Önk bev'!I102+'3.1. PH'!I37+'4.1. Vesz'!I34+'5. Eszi'!I34+'6.1. Óvoda'!I34+'6.2. Kalandpark'!I34+'6.3. KLMK'!I34+'6.4. Könyvtár'!I34+'5F Segítő Kéz'!I34+'5G Szérüskert'!I34</f>
        <v>17774</v>
      </c>
      <c r="J55" s="445">
        <f>'2.1. Önk bev'!J102+'3.1. PH'!J37+'4.1. Vesz'!J34+'5. Eszi'!J34+'6.1. Óvoda'!J34+'6.2. Kalandpark'!J34+'6.3. KLMK'!J34+'6.4. Könyvtár'!J34+'5F Segítő Kéz'!J34+'5G Szérüskert'!J34</f>
        <v>99193</v>
      </c>
      <c r="K55" s="421">
        <f>SUM(H55:J55)</f>
        <v>1383949</v>
      </c>
      <c r="L55" s="445">
        <f>'3.1. PH'!L37+'4.1. Vesz'!L34+'5. Eszi'!L34+'6.1. Óvoda'!L34+'6.2. Kalandpark'!L34+'6.3. KLMK'!L34+'6.4. Könyvtár'!L34</f>
        <v>1269543</v>
      </c>
      <c r="M55" s="421">
        <f>'2.1. Önk bev'!M102+'3.1. PH'!M37+'4.1. Vesz'!M34+'5. Eszi'!M34+'6.1. Óvoda'!M34+'6.2. Kalandpark'!M34+'6.3. KLMK'!M34+'6.4. Könyvtár'!M34</f>
        <v>17987</v>
      </c>
      <c r="N55" s="421">
        <f>'2.1. Önk bev'!N102+'3.1. PH'!N37+'4.1. Vesz'!N34+'5. Eszi'!N34+'6.1. Óvoda'!N34+'6.2. Kalandpark'!N34+'6.3. KLMK'!N34+'6.4. Könyvtár'!N34</f>
        <v>103243</v>
      </c>
      <c r="O55" s="421">
        <f t="shared" si="15"/>
        <v>1390773</v>
      </c>
      <c r="P55" s="445"/>
      <c r="Q55" s="421"/>
      <c r="R55" s="421"/>
      <c r="S55" s="421"/>
      <c r="T55" s="445">
        <f>'3.1. PH'!T37+'4.1. Vesz'!T34+'5. Eszi'!T34+'6.1. Óvoda'!T34+'6.2. Kalandpark'!T34+'6.3. KLMK'!T34+'6.4. Könyvtár'!T34+'5F Segítő Kéz'!T34+'5G Szérüskert'!T34</f>
        <v>426504</v>
      </c>
      <c r="U55" s="445">
        <f>'2.1. Önk bev'!Y102+'3.1. PH'!U37+'4.1. Vesz'!U34+'5. Eszi'!U34+'6.1. Óvoda'!U34+'6.2. Kalandpark'!U34+'6.3. KLMK'!U34+'6.4. Könyvtár'!U34+'5F Segítő Kéz'!U34+'5G Szérüskert'!U34</f>
        <v>5116</v>
      </c>
      <c r="V55" s="445">
        <f>'2.1. Önk bev'!Z102+'3.1. PH'!V37+'4.1. Vesz'!V34+'5. Eszi'!V34+'6.1. Óvoda'!V34+'6.2. Kalandpark'!V34+'6.3. KLMK'!V34+'6.4. Könyvtár'!V34+'5F Segítő Kéz'!V34+'5G Szérüskert'!V34</f>
        <v>507699</v>
      </c>
      <c r="W55" s="421">
        <f t="shared" si="19"/>
        <v>939319</v>
      </c>
      <c r="X55" s="445">
        <f>+'3.1. PH'!Y37+'4.1. Vesz'!X34+'5. Eszi'!X34+'6.1. Óvoda'!X34+'6.2. Kalandpark'!X34+'6.3. KLMK'!Y34+'6.4. Könyvtár'!X34</f>
        <v>1373002</v>
      </c>
      <c r="Y55" s="421">
        <f>+'3.1. PH'!Z37</f>
        <v>19176</v>
      </c>
      <c r="Z55" s="421">
        <f>+'3.1. PH'!AA37</f>
        <v>99368</v>
      </c>
      <c r="AA55" s="421">
        <f t="shared" si="148"/>
        <v>1491546</v>
      </c>
      <c r="AB55" s="445">
        <v>1391544</v>
      </c>
      <c r="AC55" s="445">
        <v>59745</v>
      </c>
      <c r="AD55" s="445">
        <v>99368</v>
      </c>
      <c r="AE55" s="445">
        <f>SUM(AB55:AD55)</f>
        <v>1550657</v>
      </c>
      <c r="AF55" s="892">
        <v>1402666</v>
      </c>
      <c r="AG55" s="445">
        <v>19176</v>
      </c>
      <c r="AH55" s="445">
        <v>102312</v>
      </c>
      <c r="AI55" s="445">
        <f t="shared" si="149"/>
        <v>1524154</v>
      </c>
      <c r="AJ55" s="445">
        <v>722086</v>
      </c>
      <c r="AK55" s="445">
        <v>9255</v>
      </c>
      <c r="AL55" s="445">
        <v>47643</v>
      </c>
      <c r="AM55" s="445">
        <f>SUM(AJ55:AL55)</f>
        <v>778984</v>
      </c>
    </row>
    <row r="56" spans="1:39" x14ac:dyDescent="0.25">
      <c r="A56" s="430"/>
      <c r="B56" s="238" t="s">
        <v>540</v>
      </c>
      <c r="C56" s="445"/>
      <c r="D56" s="445"/>
      <c r="E56" s="445"/>
      <c r="F56" s="445"/>
      <c r="G56" s="445"/>
      <c r="H56" s="445"/>
      <c r="I56" s="421"/>
      <c r="J56" s="421"/>
      <c r="K56" s="421"/>
      <c r="L56" s="445"/>
      <c r="M56" s="421"/>
      <c r="N56" s="421"/>
      <c r="O56" s="421"/>
      <c r="P56" s="445"/>
      <c r="Q56" s="421"/>
      <c r="R56" s="421"/>
      <c r="S56" s="421"/>
      <c r="T56" s="445">
        <f>'2.1. Önk bev'!X105</f>
        <v>0</v>
      </c>
      <c r="U56" s="421">
        <f>'2.1. Önk bev'!Y105</f>
        <v>0</v>
      </c>
      <c r="V56" s="421">
        <f>'2.1. Önk bev'!Z105</f>
        <v>0</v>
      </c>
      <c r="W56" s="421">
        <f t="shared" si="19"/>
        <v>0</v>
      </c>
      <c r="X56" s="445"/>
      <c r="Y56" s="421"/>
      <c r="Z56" s="421"/>
      <c r="AA56" s="421"/>
      <c r="AB56" s="445"/>
      <c r="AC56" s="445"/>
      <c r="AD56" s="445"/>
      <c r="AE56" s="445"/>
      <c r="AF56" s="445"/>
      <c r="AG56" s="445"/>
      <c r="AH56" s="445"/>
      <c r="AI56" s="445"/>
      <c r="AJ56" s="445"/>
      <c r="AK56" s="445"/>
      <c r="AL56" s="445"/>
      <c r="AM56" s="445"/>
    </row>
    <row r="57" spans="1:39" x14ac:dyDescent="0.25">
      <c r="A57" s="617" t="s">
        <v>322</v>
      </c>
      <c r="B57" s="618" t="s">
        <v>541</v>
      </c>
      <c r="C57" s="619">
        <f>SUM(C58:C59)</f>
        <v>0</v>
      </c>
      <c r="D57" s="619">
        <f>SUM(D58:D59)</f>
        <v>0</v>
      </c>
      <c r="E57" s="619">
        <f t="shared" ref="E57:F57" si="150">SUM(E58:E59)</f>
        <v>0</v>
      </c>
      <c r="F57" s="619">
        <f t="shared" si="150"/>
        <v>0</v>
      </c>
      <c r="G57" s="619">
        <f t="shared" si="11"/>
        <v>0</v>
      </c>
      <c r="H57" s="619">
        <f>SUM(H58:H59)</f>
        <v>0</v>
      </c>
      <c r="I57" s="620">
        <f t="shared" ref="I57:J57" si="151">SUM(I58:I59)</f>
        <v>0</v>
      </c>
      <c r="J57" s="620">
        <f t="shared" si="151"/>
        <v>0</v>
      </c>
      <c r="K57" s="620">
        <f t="shared" si="13"/>
        <v>0</v>
      </c>
      <c r="L57" s="619">
        <f>SUM(L58:L59)</f>
        <v>0</v>
      </c>
      <c r="M57" s="620">
        <f t="shared" ref="M57:N57" si="152">SUM(M58:M59)</f>
        <v>0</v>
      </c>
      <c r="N57" s="620">
        <f t="shared" si="152"/>
        <v>0</v>
      </c>
      <c r="O57" s="620">
        <f t="shared" si="15"/>
        <v>0</v>
      </c>
      <c r="P57" s="619">
        <f>SUM(P58:P59)</f>
        <v>0</v>
      </c>
      <c r="Q57" s="620">
        <f t="shared" ref="Q57:R57" si="153">SUM(Q58:Q59)</f>
        <v>0</v>
      </c>
      <c r="R57" s="620">
        <f t="shared" si="153"/>
        <v>0</v>
      </c>
      <c r="S57" s="620">
        <f t="shared" si="17"/>
        <v>0</v>
      </c>
      <c r="T57" s="619">
        <f>SUM(T58:T59)</f>
        <v>0</v>
      </c>
      <c r="U57" s="620">
        <f t="shared" ref="U57:V57" si="154">SUM(U58:U59)</f>
        <v>0</v>
      </c>
      <c r="V57" s="620">
        <f t="shared" si="154"/>
        <v>0</v>
      </c>
      <c r="W57" s="620">
        <f t="shared" si="19"/>
        <v>0</v>
      </c>
      <c r="X57" s="619">
        <f>SUM(X58:X59)</f>
        <v>0</v>
      </c>
      <c r="Y57" s="620">
        <f t="shared" ref="Y57:Z57" si="155">SUM(Y58:Y59)</f>
        <v>0</v>
      </c>
      <c r="Z57" s="620">
        <f t="shared" si="155"/>
        <v>0</v>
      </c>
      <c r="AA57" s="620">
        <f t="shared" ref="AA57:AA59" si="156">SUM(X57:Z57)</f>
        <v>0</v>
      </c>
      <c r="AB57" s="619">
        <v>0</v>
      </c>
      <c r="AC57" s="619">
        <v>0</v>
      </c>
      <c r="AD57" s="619">
        <v>0</v>
      </c>
      <c r="AE57" s="619">
        <v>0</v>
      </c>
      <c r="AF57" s="619">
        <v>0</v>
      </c>
      <c r="AG57" s="619">
        <v>0</v>
      </c>
      <c r="AH57" s="619">
        <v>0</v>
      </c>
      <c r="AI57" s="619">
        <v>0</v>
      </c>
      <c r="AJ57" s="619">
        <v>0</v>
      </c>
      <c r="AK57" s="619">
        <v>0</v>
      </c>
      <c r="AL57" s="619">
        <v>0</v>
      </c>
      <c r="AM57" s="619">
        <v>0</v>
      </c>
    </row>
    <row r="58" spans="1:39" x14ac:dyDescent="0.25">
      <c r="A58" s="430"/>
      <c r="B58" s="238" t="s">
        <v>542</v>
      </c>
      <c r="C58" s="445">
        <v>0</v>
      </c>
      <c r="D58" s="445">
        <v>0</v>
      </c>
      <c r="E58" s="445">
        <v>0</v>
      </c>
      <c r="F58" s="445">
        <v>0</v>
      </c>
      <c r="G58" s="445">
        <f t="shared" si="11"/>
        <v>0</v>
      </c>
      <c r="H58" s="445">
        <v>0</v>
      </c>
      <c r="I58" s="421">
        <v>0</v>
      </c>
      <c r="J58" s="421">
        <v>0</v>
      </c>
      <c r="K58" s="421">
        <f t="shared" si="13"/>
        <v>0</v>
      </c>
      <c r="L58" s="445">
        <v>0</v>
      </c>
      <c r="M58" s="421">
        <v>0</v>
      </c>
      <c r="N58" s="421">
        <v>0</v>
      </c>
      <c r="O58" s="421">
        <f t="shared" si="15"/>
        <v>0</v>
      </c>
      <c r="P58" s="445">
        <v>0</v>
      </c>
      <c r="Q58" s="421">
        <v>0</v>
      </c>
      <c r="R58" s="421">
        <v>0</v>
      </c>
      <c r="S58" s="421">
        <f t="shared" si="17"/>
        <v>0</v>
      </c>
      <c r="T58" s="445">
        <v>0</v>
      </c>
      <c r="U58" s="421">
        <v>0</v>
      </c>
      <c r="V58" s="421">
        <v>0</v>
      </c>
      <c r="W58" s="421">
        <f t="shared" si="19"/>
        <v>0</v>
      </c>
      <c r="X58" s="445">
        <v>0</v>
      </c>
      <c r="Y58" s="421">
        <v>0</v>
      </c>
      <c r="Z58" s="421">
        <v>0</v>
      </c>
      <c r="AA58" s="421">
        <f t="shared" si="156"/>
        <v>0</v>
      </c>
      <c r="AB58" s="445">
        <v>0</v>
      </c>
      <c r="AC58" s="445">
        <v>0</v>
      </c>
      <c r="AD58" s="445">
        <v>0</v>
      </c>
      <c r="AE58" s="445">
        <v>0</v>
      </c>
      <c r="AF58" s="445">
        <v>0</v>
      </c>
      <c r="AG58" s="445">
        <v>0</v>
      </c>
      <c r="AH58" s="445">
        <v>0</v>
      </c>
      <c r="AI58" s="445">
        <v>0</v>
      </c>
      <c r="AJ58" s="445">
        <v>0</v>
      </c>
      <c r="AK58" s="445">
        <v>0</v>
      </c>
      <c r="AL58" s="445">
        <v>0</v>
      </c>
      <c r="AM58" s="445">
        <v>0</v>
      </c>
    </row>
    <row r="59" spans="1:39" x14ac:dyDescent="0.25">
      <c r="A59" s="430"/>
      <c r="B59" s="238" t="s">
        <v>543</v>
      </c>
      <c r="C59" s="445">
        <v>0</v>
      </c>
      <c r="D59" s="445">
        <v>0</v>
      </c>
      <c r="E59" s="445">
        <v>0</v>
      </c>
      <c r="F59" s="445">
        <v>0</v>
      </c>
      <c r="G59" s="445">
        <f t="shared" si="11"/>
        <v>0</v>
      </c>
      <c r="H59" s="445">
        <v>0</v>
      </c>
      <c r="I59" s="421">
        <v>0</v>
      </c>
      <c r="J59" s="421">
        <v>0</v>
      </c>
      <c r="K59" s="421">
        <f t="shared" si="13"/>
        <v>0</v>
      </c>
      <c r="L59" s="445">
        <v>0</v>
      </c>
      <c r="M59" s="421">
        <v>0</v>
      </c>
      <c r="N59" s="421">
        <v>0</v>
      </c>
      <c r="O59" s="421">
        <f t="shared" si="15"/>
        <v>0</v>
      </c>
      <c r="P59" s="445">
        <v>0</v>
      </c>
      <c r="Q59" s="421">
        <v>0</v>
      </c>
      <c r="R59" s="421">
        <v>0</v>
      </c>
      <c r="S59" s="421">
        <f t="shared" si="17"/>
        <v>0</v>
      </c>
      <c r="T59" s="445">
        <v>0</v>
      </c>
      <c r="U59" s="421">
        <v>0</v>
      </c>
      <c r="V59" s="421">
        <v>0</v>
      </c>
      <c r="W59" s="421">
        <f t="shared" si="19"/>
        <v>0</v>
      </c>
      <c r="X59" s="445">
        <v>0</v>
      </c>
      <c r="Y59" s="421">
        <v>0</v>
      </c>
      <c r="Z59" s="421">
        <v>0</v>
      </c>
      <c r="AA59" s="421">
        <f t="shared" si="156"/>
        <v>0</v>
      </c>
      <c r="AB59" s="445">
        <v>0</v>
      </c>
      <c r="AC59" s="445">
        <v>0</v>
      </c>
      <c r="AD59" s="445">
        <v>0</v>
      </c>
      <c r="AE59" s="445">
        <v>0</v>
      </c>
      <c r="AF59" s="445">
        <v>0</v>
      </c>
      <c r="AG59" s="445">
        <v>0</v>
      </c>
      <c r="AH59" s="445">
        <v>0</v>
      </c>
      <c r="AI59" s="445">
        <v>0</v>
      </c>
      <c r="AJ59" s="445">
        <v>0</v>
      </c>
      <c r="AK59" s="445">
        <v>0</v>
      </c>
      <c r="AL59" s="445">
        <v>0</v>
      </c>
      <c r="AM59" s="445">
        <v>0</v>
      </c>
    </row>
    <row r="60" spans="1:39" x14ac:dyDescent="0.25">
      <c r="A60" s="617"/>
      <c r="B60" s="624" t="s">
        <v>333</v>
      </c>
      <c r="C60" s="625">
        <f>C46+C30+C4</f>
        <v>0</v>
      </c>
      <c r="D60" s="625">
        <f>D46+D30+D4</f>
        <v>8269905</v>
      </c>
      <c r="E60" s="625">
        <f t="shared" ref="E60:F60" si="157">E46+E30+E4</f>
        <v>80273</v>
      </c>
      <c r="F60" s="625">
        <f t="shared" si="157"/>
        <v>93015</v>
      </c>
      <c r="G60" s="625">
        <f t="shared" si="11"/>
        <v>8443193</v>
      </c>
      <c r="H60" s="625">
        <f>H46+H30+H4</f>
        <v>9474007</v>
      </c>
      <c r="I60" s="625">
        <f t="shared" ref="I60:J60" si="158">I46+I30+I4</f>
        <v>80273</v>
      </c>
      <c r="J60" s="625">
        <f t="shared" si="158"/>
        <v>99193</v>
      </c>
      <c r="K60" s="625">
        <f t="shared" si="13"/>
        <v>9653473</v>
      </c>
      <c r="L60" s="625">
        <f>L46+L30+L4-1</f>
        <v>9778155</v>
      </c>
      <c r="M60" s="625">
        <f t="shared" ref="M60:N60" si="159">M46+M30+M4</f>
        <v>106596</v>
      </c>
      <c r="N60" s="625">
        <f t="shared" si="159"/>
        <v>103243</v>
      </c>
      <c r="O60" s="625">
        <f>SUM(L60:N60)+1</f>
        <v>9987995</v>
      </c>
      <c r="P60" s="625">
        <f>P46+P30+P4</f>
        <v>0</v>
      </c>
      <c r="Q60" s="625">
        <f t="shared" ref="Q60:R60" si="160">Q46+Q30+Q4</f>
        <v>0</v>
      </c>
      <c r="R60" s="625">
        <f t="shared" si="160"/>
        <v>0</v>
      </c>
      <c r="S60" s="625">
        <f t="shared" si="17"/>
        <v>0</v>
      </c>
      <c r="T60" s="625" t="e">
        <f>T46+T30+T4</f>
        <v>#REF!</v>
      </c>
      <c r="U60" s="625" t="e">
        <f t="shared" ref="U60:V60" si="161">U46+U30+U4</f>
        <v>#REF!</v>
      </c>
      <c r="V60" s="625" t="e">
        <f t="shared" si="161"/>
        <v>#REF!</v>
      </c>
      <c r="W60" s="625" t="e">
        <f t="shared" si="19"/>
        <v>#REF!</v>
      </c>
      <c r="X60" s="625">
        <f>X46+X30+X4</f>
        <v>8969025</v>
      </c>
      <c r="Y60" s="625">
        <f t="shared" ref="Y60:Z60" si="162">Y46+Y30+Y4</f>
        <v>96680</v>
      </c>
      <c r="Z60" s="625">
        <f t="shared" si="162"/>
        <v>99368</v>
      </c>
      <c r="AA60" s="625">
        <f>SUM(X60:Z60)</f>
        <v>9165073</v>
      </c>
      <c r="AB60" s="619">
        <f>AB46+AB30+AB4</f>
        <v>10755456</v>
      </c>
      <c r="AC60" s="619">
        <f t="shared" ref="AC60:AD60" si="163">AC46+AC30+AC4</f>
        <v>95755</v>
      </c>
      <c r="AD60" s="619">
        <f t="shared" si="163"/>
        <v>99368</v>
      </c>
      <c r="AE60" s="619">
        <f>SUM(AB60:AD60)</f>
        <v>10950579</v>
      </c>
      <c r="AF60" s="619">
        <f>AF46+AF30+AF4+1</f>
        <v>11223831</v>
      </c>
      <c r="AG60" s="619">
        <f t="shared" ref="AG60:AH60" si="164">AG46+AG30+AG4</f>
        <v>128506</v>
      </c>
      <c r="AH60" s="619">
        <f t="shared" si="164"/>
        <v>102312</v>
      </c>
      <c r="AI60" s="619">
        <f>SUM(AF60:AH60)</f>
        <v>11454649</v>
      </c>
      <c r="AJ60" s="619">
        <f>AJ46+AJ30+AJ4</f>
        <v>6560433</v>
      </c>
      <c r="AK60" s="619">
        <f t="shared" ref="AK60:AL60" si="165">AK46+AK30+AK4</f>
        <v>43067</v>
      </c>
      <c r="AL60" s="619">
        <f t="shared" si="165"/>
        <v>47643</v>
      </c>
      <c r="AM60" s="619">
        <f>SUM(AJ60:AL60)+1</f>
        <v>6651144</v>
      </c>
    </row>
  </sheetData>
  <customSheetViews>
    <customSheetView guid="{7F1DC213-A29D-4C8C-BAC3-F1BD898020FD}" hiddenColumns="1">
      <pane xSplit="2" ySplit="3" topLeftCell="X46" activePane="bottomRight" state="frozen"/>
      <selection pane="bottomRight" activeCell="AC56" sqref="AC56"/>
      <pageMargins left="0.19685039370078741" right="0.19685039370078741" top="1.1417322834645669" bottom="0.19685039370078741" header="0.31496062992125984" footer="0.31496062992125984"/>
      <printOptions horizontalCentered="1"/>
      <pageSetup paperSize="9" scale="55" fitToWidth="0" fitToHeight="0" orientation="portrait" r:id="rId1"/>
      <headerFooter>
        <oddHeader>&amp;L1.1. melléklet a .../2019. (....) önkormányzati rendelethez&amp;C&amp;"-,Félkövér"&amp;16Az Önkormányzat 2019. évi összevont bevételei forrásonként és feladatonként&amp;RAdatok ezer forintban</oddHeader>
      </headerFooter>
    </customSheetView>
    <customSheetView guid="{4DCB1349-1166-4B69-AE14-D6B08F9FCE74}" hiddenColumns="1">
      <pane xSplit="2" ySplit="3" topLeftCell="X46" activePane="bottomRight" state="frozen"/>
      <selection pane="bottomRight" activeCell="AC56" sqref="AC56"/>
      <pageMargins left="0.19685039370078741" right="0.19685039370078741" top="1.1417322834645669" bottom="0.19685039370078741" header="0.31496062992125984" footer="0.31496062992125984"/>
      <printOptions horizontalCentered="1"/>
      <pageSetup paperSize="9" scale="55" fitToWidth="0" fitToHeight="0" orientation="portrait" r:id="rId2"/>
      <headerFooter>
        <oddHeader>&amp;L1.1. melléklet a .../2019. (....) önkormányzati rendelethez&amp;C&amp;"-,Félkövér"&amp;16Az Önkormányzat 2019. évi összevont bevételei forrásonként és feladatonként&amp;RAdatok ezer forintban</oddHeader>
      </headerFooter>
    </customSheetView>
  </customSheetViews>
  <mergeCells count="11">
    <mergeCell ref="AF2:AI2"/>
    <mergeCell ref="AJ2:AM2"/>
    <mergeCell ref="AB2:AE2"/>
    <mergeCell ref="A2:A3"/>
    <mergeCell ref="D2:G2"/>
    <mergeCell ref="H2:K2"/>
    <mergeCell ref="X2:AA2"/>
    <mergeCell ref="P2:S2"/>
    <mergeCell ref="T2:W2"/>
    <mergeCell ref="L2:O2"/>
    <mergeCell ref="B2:B3"/>
  </mergeCells>
  <printOptions horizontalCentered="1"/>
  <pageMargins left="0.19685039370078741" right="0.19685039370078741" top="1.1417322834645669" bottom="0.19685039370078741" header="0.31496062992125984" footer="0.31496062992125984"/>
  <pageSetup paperSize="9" scale="55" fitToWidth="0" fitToHeight="0" orientation="portrait" r:id="rId3"/>
  <headerFooter>
    <oddHeader>&amp;L1.1. melléklet a 3/2019. (II.20.) önkormányzati rendelethez&amp;C&amp;"-,Félkövér"&amp;16
Az Önkormányzat 2019. évi összevont bevételei forrásonként és feladatonként&amp;RAdatok ezer forintban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</sheetPr>
  <dimension ref="A1:D30"/>
  <sheetViews>
    <sheetView view="pageLayout" topLeftCell="E1" zoomScaleNormal="100" zoomScaleSheetLayoutView="100" workbookViewId="0">
      <selection activeCell="K18" sqref="K18"/>
    </sheetView>
  </sheetViews>
  <sheetFormatPr defaultRowHeight="15" x14ac:dyDescent="0.25"/>
  <cols>
    <col min="1" max="1" width="6.42578125" customWidth="1"/>
    <col min="2" max="2" width="57.7109375" customWidth="1"/>
    <col min="3" max="3" width="20.140625" style="247" customWidth="1"/>
    <col min="4" max="4" width="19.140625" style="247" customWidth="1"/>
  </cols>
  <sheetData>
    <row r="1" spans="1:4" x14ac:dyDescent="0.25">
      <c r="A1" s="741" t="s">
        <v>1375</v>
      </c>
      <c r="B1" s="741" t="s">
        <v>1388</v>
      </c>
      <c r="C1" s="762" t="s">
        <v>1366</v>
      </c>
      <c r="D1" s="762" t="s">
        <v>1376</v>
      </c>
    </row>
    <row r="2" spans="1:4" ht="21" customHeight="1" x14ac:dyDescent="0.25">
      <c r="A2" s="983" t="s">
        <v>305</v>
      </c>
      <c r="B2" s="897" t="s">
        <v>1137</v>
      </c>
      <c r="C2" s="982" t="s">
        <v>1389</v>
      </c>
      <c r="D2" s="982" t="s">
        <v>1390</v>
      </c>
    </row>
    <row r="3" spans="1:4" x14ac:dyDescent="0.25">
      <c r="A3" s="983"/>
      <c r="B3" s="897"/>
      <c r="C3" s="982"/>
      <c r="D3" s="982"/>
    </row>
    <row r="4" spans="1:4" ht="31.5" customHeight="1" x14ac:dyDescent="0.25">
      <c r="A4" s="705" t="s">
        <v>311</v>
      </c>
      <c r="B4" s="700" t="s">
        <v>1334</v>
      </c>
      <c r="C4" s="699"/>
      <c r="D4" s="699">
        <v>9634</v>
      </c>
    </row>
    <row r="5" spans="1:4" ht="32.25" customHeight="1" x14ac:dyDescent="0.25">
      <c r="A5" s="705" t="s">
        <v>322</v>
      </c>
      <c r="B5" s="700" t="s">
        <v>1335</v>
      </c>
      <c r="C5" s="699"/>
      <c r="D5" s="699">
        <v>246306</v>
      </c>
    </row>
    <row r="6" spans="1:4" ht="26.25" customHeight="1" x14ac:dyDescent="0.25">
      <c r="A6" s="705" t="s">
        <v>315</v>
      </c>
      <c r="B6" s="700" t="s">
        <v>1336</v>
      </c>
      <c r="C6" s="699"/>
      <c r="D6" s="699">
        <v>360000</v>
      </c>
    </row>
    <row r="7" spans="1:4" s="47" customFormat="1" ht="30" x14ac:dyDescent="0.25">
      <c r="A7" s="705" t="s">
        <v>336</v>
      </c>
      <c r="B7" s="700" t="s">
        <v>1337</v>
      </c>
      <c r="C7" s="703"/>
      <c r="D7" s="703">
        <v>182976</v>
      </c>
    </row>
    <row r="8" spans="1:4" ht="45" x14ac:dyDescent="0.25">
      <c r="A8" s="705" t="s">
        <v>338</v>
      </c>
      <c r="B8" s="700" t="s">
        <v>1338</v>
      </c>
      <c r="C8" s="704"/>
      <c r="D8" s="704">
        <v>168357</v>
      </c>
    </row>
    <row r="9" spans="1:4" ht="30" x14ac:dyDescent="0.25">
      <c r="A9" s="705" t="s">
        <v>552</v>
      </c>
      <c r="B9" s="700" t="s">
        <v>1339</v>
      </c>
      <c r="C9" s="704"/>
      <c r="D9" s="704">
        <v>8508</v>
      </c>
    </row>
    <row r="10" spans="1:4" ht="45" x14ac:dyDescent="0.25">
      <c r="A10" s="705" t="s">
        <v>554</v>
      </c>
      <c r="B10" s="700" t="s">
        <v>1340</v>
      </c>
      <c r="C10" s="704"/>
      <c r="D10" s="704">
        <v>276736</v>
      </c>
    </row>
    <row r="11" spans="1:4" ht="30" x14ac:dyDescent="0.25">
      <c r="A11" s="705" t="s">
        <v>556</v>
      </c>
      <c r="B11" s="700" t="s">
        <v>1341</v>
      </c>
      <c r="C11" s="704"/>
      <c r="D11" s="704">
        <v>345366</v>
      </c>
    </row>
    <row r="12" spans="1:4" ht="30" x14ac:dyDescent="0.25">
      <c r="A12" s="705" t="s">
        <v>558</v>
      </c>
      <c r="B12" s="700" t="s">
        <v>1342</v>
      </c>
      <c r="C12" s="704"/>
      <c r="D12" s="704">
        <v>190000</v>
      </c>
    </row>
    <row r="13" spans="1:4" ht="30" x14ac:dyDescent="0.25">
      <c r="A13" s="705" t="s">
        <v>559</v>
      </c>
      <c r="B13" s="700" t="s">
        <v>1343</v>
      </c>
      <c r="C13" s="704"/>
      <c r="D13" s="704">
        <v>20250</v>
      </c>
    </row>
    <row r="14" spans="1:4" ht="30" x14ac:dyDescent="0.25">
      <c r="A14" s="705" t="s">
        <v>561</v>
      </c>
      <c r="B14" s="700" t="s">
        <v>1344</v>
      </c>
      <c r="C14" s="704"/>
      <c r="D14" s="704">
        <v>11106</v>
      </c>
    </row>
    <row r="15" spans="1:4" ht="30" x14ac:dyDescent="0.25">
      <c r="A15" s="705" t="s">
        <v>562</v>
      </c>
      <c r="B15" s="701" t="s">
        <v>1345</v>
      </c>
      <c r="C15" s="704"/>
      <c r="D15" s="704">
        <v>600</v>
      </c>
    </row>
    <row r="16" spans="1:4" ht="30" x14ac:dyDescent="0.25">
      <c r="A16" s="705" t="s">
        <v>563</v>
      </c>
      <c r="B16" s="701" t="s">
        <v>1346</v>
      </c>
      <c r="C16" s="704"/>
      <c r="D16" s="704">
        <v>1193</v>
      </c>
    </row>
    <row r="17" spans="1:4" x14ac:dyDescent="0.25">
      <c r="A17" s="705" t="s">
        <v>564</v>
      </c>
      <c r="B17" s="701" t="s">
        <v>1347</v>
      </c>
      <c r="C17" s="704"/>
      <c r="D17" s="704">
        <v>63</v>
      </c>
    </row>
    <row r="18" spans="1:4" ht="30" x14ac:dyDescent="0.25">
      <c r="A18" s="705" t="s">
        <v>565</v>
      </c>
      <c r="B18" s="701" t="s">
        <v>1404</v>
      </c>
      <c r="C18" s="704"/>
      <c r="D18" s="704">
        <v>250000</v>
      </c>
    </row>
    <row r="19" spans="1:4" ht="30" x14ac:dyDescent="0.25">
      <c r="A19" s="705" t="s">
        <v>700</v>
      </c>
      <c r="B19" s="702" t="s">
        <v>1348</v>
      </c>
      <c r="C19" s="704">
        <v>56916</v>
      </c>
      <c r="D19" s="704">
        <v>134991</v>
      </c>
    </row>
    <row r="20" spans="1:4" ht="30" x14ac:dyDescent="0.25">
      <c r="A20" s="705" t="s">
        <v>701</v>
      </c>
      <c r="B20" s="702" t="s">
        <v>1349</v>
      </c>
      <c r="C20" s="704">
        <v>23231</v>
      </c>
      <c r="D20" s="704">
        <v>144678</v>
      </c>
    </row>
    <row r="21" spans="1:4" x14ac:dyDescent="0.25">
      <c r="A21" s="705" t="s">
        <v>703</v>
      </c>
      <c r="B21" s="702" t="s">
        <v>1350</v>
      </c>
      <c r="C21" s="704"/>
      <c r="D21" s="704">
        <v>29658</v>
      </c>
    </row>
    <row r="22" spans="1:4" ht="45" x14ac:dyDescent="0.25">
      <c r="A22" s="705" t="s">
        <v>705</v>
      </c>
      <c r="B22" s="826" t="s">
        <v>1425</v>
      </c>
      <c r="C22" s="704">
        <v>641506</v>
      </c>
      <c r="D22" s="704">
        <v>641506</v>
      </c>
    </row>
    <row r="23" spans="1:4" ht="45" x14ac:dyDescent="0.25">
      <c r="A23" s="705" t="s">
        <v>706</v>
      </c>
      <c r="B23" s="826" t="s">
        <v>1426</v>
      </c>
      <c r="C23" s="704">
        <v>1366573</v>
      </c>
      <c r="D23" s="704">
        <v>1366573</v>
      </c>
    </row>
    <row r="24" spans="1:4" ht="60" x14ac:dyDescent="0.25">
      <c r="A24" s="705" t="s">
        <v>708</v>
      </c>
      <c r="B24" s="238" t="s">
        <v>1427</v>
      </c>
      <c r="C24" s="704">
        <v>131868</v>
      </c>
      <c r="D24" s="704">
        <v>69018</v>
      </c>
    </row>
    <row r="25" spans="1:4" ht="45" x14ac:dyDescent="0.25">
      <c r="A25" s="705" t="s">
        <v>710</v>
      </c>
      <c r="B25" s="238" t="s">
        <v>1428</v>
      </c>
      <c r="C25" s="704">
        <v>17457</v>
      </c>
      <c r="D25" s="704">
        <v>17457</v>
      </c>
    </row>
    <row r="26" spans="1:4" ht="45" x14ac:dyDescent="0.25">
      <c r="A26" s="705" t="s">
        <v>712</v>
      </c>
      <c r="B26" s="238" t="s">
        <v>1429</v>
      </c>
      <c r="C26" s="704">
        <v>137815</v>
      </c>
      <c r="D26" s="704">
        <v>72226</v>
      </c>
    </row>
    <row r="27" spans="1:4" ht="30" x14ac:dyDescent="0.25">
      <c r="A27" s="705" t="s">
        <v>714</v>
      </c>
      <c r="B27" s="827" t="s">
        <v>1430</v>
      </c>
      <c r="C27" s="704">
        <v>87623</v>
      </c>
      <c r="D27" s="704">
        <v>50750</v>
      </c>
    </row>
    <row r="28" spans="1:4" ht="30" x14ac:dyDescent="0.25">
      <c r="A28" s="705" t="s">
        <v>716</v>
      </c>
      <c r="B28" s="827" t="s">
        <v>1433</v>
      </c>
      <c r="C28" s="828"/>
      <c r="D28" s="828">
        <v>277274</v>
      </c>
    </row>
    <row r="29" spans="1:4" x14ac:dyDescent="0.25">
      <c r="A29" s="705" t="s">
        <v>718</v>
      </c>
      <c r="B29" s="827" t="s">
        <v>1434</v>
      </c>
      <c r="C29" s="704">
        <v>2412237</v>
      </c>
      <c r="D29" s="704"/>
    </row>
    <row r="30" spans="1:4" x14ac:dyDescent="0.25">
      <c r="A30" s="793"/>
      <c r="B30" s="793" t="s">
        <v>546</v>
      </c>
      <c r="C30" s="829">
        <f>SUM(C19:C29)</f>
        <v>4875226</v>
      </c>
      <c r="D30" s="829">
        <f>SUM(D4:D28)</f>
        <v>4875226</v>
      </c>
    </row>
  </sheetData>
  <customSheetViews>
    <customSheetView guid="{7F1DC213-A29D-4C8C-BAC3-F1BD898020FD}" topLeftCell="A22">
      <selection activeCell="K18" sqref="K18"/>
      <pageMargins left="0.70866141732283472" right="0.70866141732283472" top="1.1417322834645669" bottom="0.74803149606299213" header="0.31496062992125984" footer="0.31496062992125984"/>
      <printOptions horizontalCentered="1"/>
      <pageSetup paperSize="9" scale="79" orientation="portrait" r:id="rId1"/>
      <headerFooter>
        <oddHeader>&amp;L11. melléklet a ...../2019. (.....) önkormányzati rendelethez&amp;C&amp;"-,Félkövér"&amp;16Sátoraljaújhely Város Önkormányzata 2019. évi európai uniós támogatási programjai&amp;RAdatok ezer forintban</oddHeader>
      </headerFooter>
    </customSheetView>
    <customSheetView guid="{4DCB1349-1166-4B69-AE14-D6B08F9FCE74}" topLeftCell="A22">
      <selection activeCell="K18" sqref="K18"/>
      <pageMargins left="0.70866141732283472" right="0.70866141732283472" top="1.1417322834645669" bottom="0.74803149606299213" header="0.31496062992125984" footer="0.31496062992125984"/>
      <printOptions horizontalCentered="1"/>
      <pageSetup paperSize="9" scale="79" orientation="portrait" r:id="rId2"/>
      <headerFooter>
        <oddHeader>&amp;L11. melléklet a ...../2019. (.....) önkormányzati rendelethez&amp;C&amp;"-,Félkövér"&amp;16Sátoraljaújhely Város Önkormányzata 2019. évi európai uniós támogatási programjai&amp;RAdatok ezer forintban</oddHeader>
      </headerFooter>
    </customSheetView>
  </customSheetViews>
  <mergeCells count="4">
    <mergeCell ref="D2:D3"/>
    <mergeCell ref="A2:A3"/>
    <mergeCell ref="B2:B3"/>
    <mergeCell ref="C2:C3"/>
  </mergeCells>
  <printOptions horizontalCentered="1"/>
  <pageMargins left="0.70866141732283472" right="0.70866141732283472" top="1.1417322834645669" bottom="0.74803149606299213" header="0.31496062992125984" footer="0.31496062992125984"/>
  <pageSetup paperSize="9" scale="79" orientation="portrait" r:id="rId3"/>
  <headerFooter>
    <oddHeader>&amp;L11. melléklet a 3/2019. (II.20.) önkormányzati rendelethez&amp;C&amp;"-,Félkövér"&amp;16
&amp;"Arial,Félkövér"&amp;12Sátoraljaújhely Város Önkormányzata 2019. évi európai uniós támogatási programjai&amp;RAdatok ezer forintban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</sheetPr>
  <dimension ref="A1:IU140"/>
  <sheetViews>
    <sheetView showZeros="0" view="pageLayout" zoomScaleNormal="100" zoomScaleSheetLayoutView="100" workbookViewId="0">
      <selection activeCell="D8" sqref="D8"/>
    </sheetView>
  </sheetViews>
  <sheetFormatPr defaultColWidth="12.42578125" defaultRowHeight="15" x14ac:dyDescent="0.2"/>
  <cols>
    <col min="1" max="1" width="12.42578125" style="252"/>
    <col min="2" max="2" width="12.42578125" style="253"/>
    <col min="3" max="3" width="67.7109375" style="252" customWidth="1"/>
    <col min="4" max="16384" width="12.42578125" style="252"/>
  </cols>
  <sheetData>
    <row r="1" spans="1:255" s="248" customFormat="1" ht="15.75" x14ac:dyDescent="0.25">
      <c r="A1" s="984" t="s">
        <v>1443</v>
      </c>
      <c r="B1" s="984"/>
      <c r="C1" s="984"/>
      <c r="IU1" s="249"/>
    </row>
    <row r="2" spans="1:255" s="251" customFormat="1" ht="14.25" customHeight="1" x14ac:dyDescent="0.25">
      <c r="A2" s="763" t="s">
        <v>1375</v>
      </c>
      <c r="B2" s="548" t="s">
        <v>1365</v>
      </c>
      <c r="C2" s="547" t="s">
        <v>1366</v>
      </c>
      <c r="IU2" s="252"/>
    </row>
    <row r="3" spans="1:255" s="248" customFormat="1" ht="35.25" customHeight="1" x14ac:dyDescent="0.25">
      <c r="A3" s="713" t="s">
        <v>1138</v>
      </c>
      <c r="B3" s="714" t="s">
        <v>1139</v>
      </c>
      <c r="C3" s="713" t="s">
        <v>306</v>
      </c>
      <c r="IU3" s="249"/>
    </row>
    <row r="4" spans="1:255" s="251" customFormat="1" ht="22.9" customHeight="1" x14ac:dyDescent="0.25">
      <c r="A4" s="707">
        <v>1</v>
      </c>
      <c r="B4" s="708"/>
      <c r="C4" s="709" t="s">
        <v>1140</v>
      </c>
      <c r="IU4" s="252"/>
    </row>
    <row r="5" spans="1:255" s="251" customFormat="1" ht="22.9" customHeight="1" x14ac:dyDescent="0.25">
      <c r="A5" s="707">
        <v>2</v>
      </c>
      <c r="B5" s="708"/>
      <c r="C5" s="709" t="s">
        <v>966</v>
      </c>
      <c r="IU5" s="252"/>
    </row>
    <row r="6" spans="1:255" s="251" customFormat="1" ht="22.9" customHeight="1" x14ac:dyDescent="0.25">
      <c r="A6" s="710">
        <v>3</v>
      </c>
      <c r="B6" s="711"/>
      <c r="C6" s="712" t="s">
        <v>1160</v>
      </c>
      <c r="IU6" s="252"/>
    </row>
    <row r="7" spans="1:255" s="251" customFormat="1" ht="22.9" customHeight="1" x14ac:dyDescent="0.2">
      <c r="A7" s="547"/>
      <c r="B7" s="548" t="s">
        <v>1142</v>
      </c>
      <c r="C7" s="549" t="s">
        <v>1294</v>
      </c>
      <c r="IU7" s="252"/>
    </row>
    <row r="8" spans="1:255" s="251" customFormat="1" ht="22.9" customHeight="1" x14ac:dyDescent="0.2">
      <c r="A8" s="547"/>
      <c r="B8" s="548" t="s">
        <v>1143</v>
      </c>
      <c r="C8" s="549" t="s">
        <v>1293</v>
      </c>
      <c r="IU8" s="252"/>
    </row>
    <row r="9" spans="1:255" s="251" customFormat="1" ht="22.9" customHeight="1" x14ac:dyDescent="0.25">
      <c r="A9" s="707">
        <v>4</v>
      </c>
      <c r="B9" s="708"/>
      <c r="C9" s="709" t="s">
        <v>1141</v>
      </c>
      <c r="IU9" s="252"/>
    </row>
    <row r="10" spans="1:255" s="251" customFormat="1" ht="33.75" customHeight="1" x14ac:dyDescent="0.2">
      <c r="A10" s="416"/>
      <c r="B10" s="414" t="s">
        <v>1142</v>
      </c>
      <c r="C10" s="706" t="s">
        <v>1330</v>
      </c>
      <c r="IU10" s="252"/>
    </row>
    <row r="11" spans="1:255" s="251" customFormat="1" ht="22.9" customHeight="1" x14ac:dyDescent="0.2">
      <c r="A11" s="416"/>
      <c r="B11" s="414" t="s">
        <v>1143</v>
      </c>
      <c r="C11" s="415" t="s">
        <v>1363</v>
      </c>
      <c r="IU11" s="252"/>
    </row>
    <row r="12" spans="1:255" s="251" customFormat="1" ht="22.9" customHeight="1" x14ac:dyDescent="0.2">
      <c r="A12" s="416"/>
      <c r="B12" s="414" t="s">
        <v>1144</v>
      </c>
      <c r="C12" s="415" t="s">
        <v>1332</v>
      </c>
      <c r="IU12" s="252"/>
    </row>
    <row r="13" spans="1:255" s="251" customFormat="1" ht="22.9" customHeight="1" x14ac:dyDescent="0.2">
      <c r="A13" s="416"/>
      <c r="B13" s="414" t="s">
        <v>1145</v>
      </c>
      <c r="C13" s="415" t="s">
        <v>1333</v>
      </c>
      <c r="IU13" s="252"/>
    </row>
    <row r="14" spans="1:255" s="251" customFormat="1" x14ac:dyDescent="0.2">
      <c r="A14" s="253"/>
      <c r="B14" s="250"/>
      <c r="IU14" s="252"/>
    </row>
    <row r="15" spans="1:255" s="251" customFormat="1" x14ac:dyDescent="0.2">
      <c r="A15" s="253"/>
      <c r="B15" s="250"/>
      <c r="IU15" s="252"/>
    </row>
    <row r="16" spans="1:255" s="251" customFormat="1" x14ac:dyDescent="0.2">
      <c r="A16" s="253"/>
      <c r="B16" s="250"/>
      <c r="IU16" s="252"/>
    </row>
    <row r="17" spans="1:255" s="251" customFormat="1" x14ac:dyDescent="0.2">
      <c r="A17" s="253"/>
      <c r="B17" s="250"/>
      <c r="IU17" s="252"/>
    </row>
    <row r="18" spans="1:255" s="251" customFormat="1" x14ac:dyDescent="0.2">
      <c r="A18" s="253"/>
      <c r="B18" s="250"/>
      <c r="IU18" s="252"/>
    </row>
    <row r="19" spans="1:255" s="251" customFormat="1" x14ac:dyDescent="0.2">
      <c r="A19" s="253"/>
      <c r="B19" s="250"/>
      <c r="IU19" s="252"/>
    </row>
    <row r="20" spans="1:255" s="251" customFormat="1" x14ac:dyDescent="0.2">
      <c r="A20" s="253"/>
      <c r="B20" s="250"/>
      <c r="IU20" s="252"/>
    </row>
    <row r="21" spans="1:255" s="251" customFormat="1" x14ac:dyDescent="0.2">
      <c r="A21" s="253"/>
      <c r="B21" s="250"/>
      <c r="IU21" s="252"/>
    </row>
    <row r="22" spans="1:255" s="251" customFormat="1" x14ac:dyDescent="0.2">
      <c r="A22" s="253"/>
      <c r="B22" s="250"/>
      <c r="IU22" s="252"/>
    </row>
    <row r="23" spans="1:255" s="251" customFormat="1" x14ac:dyDescent="0.2">
      <c r="A23" s="253"/>
      <c r="B23" s="250"/>
      <c r="IU23" s="252"/>
    </row>
    <row r="24" spans="1:255" s="251" customFormat="1" x14ac:dyDescent="0.2">
      <c r="A24" s="253"/>
      <c r="B24" s="250"/>
      <c r="IU24" s="252"/>
    </row>
    <row r="25" spans="1:255" s="251" customFormat="1" x14ac:dyDescent="0.2">
      <c r="A25" s="253"/>
      <c r="B25" s="250"/>
      <c r="IU25" s="252"/>
    </row>
    <row r="26" spans="1:255" s="251" customFormat="1" x14ac:dyDescent="0.2">
      <c r="A26" s="253"/>
      <c r="B26" s="250"/>
      <c r="IU26" s="252"/>
    </row>
    <row r="27" spans="1:255" s="251" customFormat="1" x14ac:dyDescent="0.2">
      <c r="A27" s="253"/>
      <c r="B27" s="250"/>
      <c r="IU27" s="252"/>
    </row>
    <row r="28" spans="1:255" s="251" customFormat="1" x14ac:dyDescent="0.2">
      <c r="A28" s="253"/>
      <c r="B28" s="250"/>
      <c r="IU28" s="252"/>
    </row>
    <row r="29" spans="1:255" s="251" customFormat="1" x14ac:dyDescent="0.2">
      <c r="A29" s="253"/>
      <c r="B29" s="250"/>
      <c r="IU29" s="252"/>
    </row>
    <row r="30" spans="1:255" s="251" customFormat="1" x14ac:dyDescent="0.2">
      <c r="A30" s="253"/>
      <c r="B30" s="250"/>
      <c r="IU30" s="252"/>
    </row>
    <row r="31" spans="1:255" s="251" customFormat="1" x14ac:dyDescent="0.2">
      <c r="A31" s="253"/>
      <c r="B31" s="250"/>
      <c r="IU31" s="252"/>
    </row>
    <row r="32" spans="1:255" s="251" customFormat="1" x14ac:dyDescent="0.2">
      <c r="A32" s="253"/>
      <c r="B32" s="250"/>
      <c r="IU32" s="252"/>
    </row>
    <row r="33" spans="1:255" s="251" customFormat="1" x14ac:dyDescent="0.2">
      <c r="A33" s="253"/>
      <c r="B33" s="250"/>
      <c r="IU33" s="252"/>
    </row>
    <row r="34" spans="1:255" s="251" customFormat="1" x14ac:dyDescent="0.2">
      <c r="A34" s="253"/>
      <c r="B34" s="250"/>
      <c r="IU34" s="252"/>
    </row>
    <row r="35" spans="1:255" s="251" customFormat="1" x14ac:dyDescent="0.2">
      <c r="A35" s="253"/>
      <c r="B35" s="250"/>
      <c r="IU35" s="252"/>
    </row>
    <row r="36" spans="1:255" s="251" customFormat="1" x14ac:dyDescent="0.2">
      <c r="A36" s="253"/>
      <c r="B36" s="250"/>
      <c r="IU36" s="252"/>
    </row>
    <row r="37" spans="1:255" s="251" customFormat="1" x14ac:dyDescent="0.2">
      <c r="A37" s="253"/>
      <c r="B37" s="250"/>
      <c r="IU37" s="252"/>
    </row>
    <row r="38" spans="1:255" s="251" customFormat="1" x14ac:dyDescent="0.2">
      <c r="A38" s="253"/>
      <c r="B38" s="250"/>
      <c r="IU38" s="252"/>
    </row>
    <row r="39" spans="1:255" s="251" customFormat="1" x14ac:dyDescent="0.2">
      <c r="A39" s="253"/>
      <c r="B39" s="250"/>
      <c r="IU39" s="252"/>
    </row>
    <row r="40" spans="1:255" s="251" customFormat="1" x14ac:dyDescent="0.2">
      <c r="A40" s="253"/>
      <c r="B40" s="250"/>
      <c r="IU40" s="252"/>
    </row>
    <row r="41" spans="1:255" s="251" customFormat="1" x14ac:dyDescent="0.2">
      <c r="A41" s="253"/>
      <c r="B41" s="250"/>
      <c r="IU41" s="252"/>
    </row>
    <row r="42" spans="1:255" s="251" customFormat="1" x14ac:dyDescent="0.2">
      <c r="A42" s="253"/>
      <c r="B42" s="250"/>
      <c r="IU42" s="252"/>
    </row>
    <row r="43" spans="1:255" s="251" customFormat="1" x14ac:dyDescent="0.2">
      <c r="A43" s="253"/>
      <c r="B43" s="250"/>
      <c r="IU43" s="252"/>
    </row>
    <row r="44" spans="1:255" s="251" customFormat="1" x14ac:dyDescent="0.2">
      <c r="A44" s="253"/>
      <c r="B44" s="250"/>
      <c r="IU44" s="252"/>
    </row>
    <row r="45" spans="1:255" s="251" customFormat="1" x14ac:dyDescent="0.2">
      <c r="A45" s="253"/>
      <c r="B45" s="250"/>
      <c r="IU45" s="252"/>
    </row>
    <row r="46" spans="1:255" s="251" customFormat="1" x14ac:dyDescent="0.2">
      <c r="A46" s="253"/>
      <c r="B46" s="250"/>
      <c r="IU46" s="252"/>
    </row>
    <row r="47" spans="1:255" s="251" customFormat="1" x14ac:dyDescent="0.2">
      <c r="A47" s="253"/>
      <c r="B47" s="250"/>
      <c r="IU47" s="252"/>
    </row>
    <row r="48" spans="1:255" s="251" customFormat="1" x14ac:dyDescent="0.2">
      <c r="A48" s="253"/>
      <c r="B48" s="250"/>
      <c r="IU48" s="252"/>
    </row>
    <row r="49" spans="1:255" s="251" customFormat="1" x14ac:dyDescent="0.2">
      <c r="A49" s="253"/>
      <c r="B49" s="250"/>
      <c r="IU49" s="252"/>
    </row>
    <row r="50" spans="1:255" s="251" customFormat="1" x14ac:dyDescent="0.2">
      <c r="A50" s="253"/>
      <c r="B50" s="250"/>
      <c r="IU50" s="252"/>
    </row>
    <row r="51" spans="1:255" s="251" customFormat="1" x14ac:dyDescent="0.2">
      <c r="A51" s="253"/>
      <c r="B51" s="250"/>
      <c r="IU51" s="252"/>
    </row>
    <row r="52" spans="1:255" s="251" customFormat="1" x14ac:dyDescent="0.2">
      <c r="A52" s="253"/>
      <c r="B52" s="250"/>
      <c r="IU52" s="252"/>
    </row>
    <row r="53" spans="1:255" s="251" customFormat="1" x14ac:dyDescent="0.2">
      <c r="A53" s="253"/>
      <c r="B53" s="250"/>
      <c r="IU53" s="252"/>
    </row>
    <row r="54" spans="1:255" s="251" customFormat="1" x14ac:dyDescent="0.2">
      <c r="A54" s="253"/>
      <c r="B54" s="250"/>
      <c r="IU54" s="252"/>
    </row>
    <row r="55" spans="1:255" s="251" customFormat="1" x14ac:dyDescent="0.2">
      <c r="A55" s="253"/>
      <c r="B55" s="250"/>
      <c r="IU55" s="252"/>
    </row>
    <row r="56" spans="1:255" s="251" customFormat="1" x14ac:dyDescent="0.2">
      <c r="A56" s="253"/>
      <c r="B56" s="250"/>
      <c r="IU56" s="252"/>
    </row>
    <row r="57" spans="1:255" s="251" customFormat="1" x14ac:dyDescent="0.2">
      <c r="A57" s="253"/>
      <c r="B57" s="250"/>
      <c r="IU57" s="252"/>
    </row>
    <row r="58" spans="1:255" s="251" customFormat="1" x14ac:dyDescent="0.2">
      <c r="A58" s="253"/>
      <c r="B58" s="250"/>
      <c r="IU58" s="252"/>
    </row>
    <row r="59" spans="1:255" s="251" customFormat="1" x14ac:dyDescent="0.2">
      <c r="A59" s="253"/>
      <c r="B59" s="250"/>
      <c r="IU59" s="252"/>
    </row>
    <row r="60" spans="1:255" s="251" customFormat="1" x14ac:dyDescent="0.2">
      <c r="A60" s="253"/>
      <c r="B60" s="250"/>
      <c r="IU60" s="252"/>
    </row>
    <row r="61" spans="1:255" s="251" customFormat="1" x14ac:dyDescent="0.2">
      <c r="A61" s="253"/>
      <c r="B61" s="250"/>
      <c r="IU61" s="252"/>
    </row>
    <row r="62" spans="1:255" s="251" customFormat="1" x14ac:dyDescent="0.2">
      <c r="A62" s="253"/>
      <c r="B62" s="250"/>
      <c r="IU62" s="252"/>
    </row>
    <row r="63" spans="1:255" s="251" customFormat="1" x14ac:dyDescent="0.2">
      <c r="A63" s="253"/>
      <c r="B63" s="250"/>
      <c r="IU63" s="252"/>
    </row>
    <row r="64" spans="1:255" s="251" customFormat="1" x14ac:dyDescent="0.2">
      <c r="A64" s="253"/>
      <c r="B64" s="250"/>
      <c r="IU64" s="252"/>
    </row>
    <row r="65" spans="1:255" s="251" customFormat="1" x14ac:dyDescent="0.2">
      <c r="A65" s="253"/>
      <c r="B65" s="250"/>
      <c r="IU65" s="252"/>
    </row>
    <row r="66" spans="1:255" s="251" customFormat="1" x14ac:dyDescent="0.2">
      <c r="A66" s="253"/>
      <c r="B66" s="250"/>
      <c r="IU66" s="252"/>
    </row>
    <row r="67" spans="1:255" s="251" customFormat="1" x14ac:dyDescent="0.2">
      <c r="A67" s="253"/>
      <c r="B67" s="250"/>
      <c r="IU67" s="252"/>
    </row>
    <row r="68" spans="1:255" s="251" customFormat="1" x14ac:dyDescent="0.2">
      <c r="A68" s="253"/>
      <c r="B68" s="250"/>
      <c r="IU68" s="252"/>
    </row>
    <row r="69" spans="1:255" s="251" customFormat="1" x14ac:dyDescent="0.2">
      <c r="A69" s="253"/>
      <c r="B69" s="250"/>
      <c r="IU69" s="252"/>
    </row>
    <row r="70" spans="1:255" s="251" customFormat="1" x14ac:dyDescent="0.2">
      <c r="A70" s="253"/>
      <c r="B70" s="250"/>
      <c r="IU70" s="252"/>
    </row>
    <row r="71" spans="1:255" s="251" customFormat="1" x14ac:dyDescent="0.2">
      <c r="A71" s="253"/>
      <c r="B71" s="250"/>
      <c r="IU71" s="252"/>
    </row>
    <row r="72" spans="1:255" s="251" customFormat="1" x14ac:dyDescent="0.2">
      <c r="A72" s="253"/>
      <c r="B72" s="250"/>
      <c r="IU72" s="252"/>
    </row>
    <row r="73" spans="1:255" s="251" customFormat="1" x14ac:dyDescent="0.2">
      <c r="A73" s="253"/>
      <c r="B73" s="250"/>
      <c r="IU73" s="252"/>
    </row>
    <row r="74" spans="1:255" s="251" customFormat="1" x14ac:dyDescent="0.2">
      <c r="A74" s="253"/>
      <c r="B74" s="250"/>
      <c r="IU74" s="252"/>
    </row>
    <row r="75" spans="1:255" s="251" customFormat="1" x14ac:dyDescent="0.2">
      <c r="A75" s="253"/>
      <c r="B75" s="250"/>
      <c r="IU75" s="252"/>
    </row>
    <row r="76" spans="1:255" s="251" customFormat="1" x14ac:dyDescent="0.2">
      <c r="A76" s="253"/>
      <c r="B76" s="250"/>
      <c r="IU76" s="252"/>
    </row>
    <row r="77" spans="1:255" s="251" customFormat="1" x14ac:dyDescent="0.2">
      <c r="A77" s="253"/>
      <c r="B77" s="250"/>
      <c r="IU77" s="252"/>
    </row>
    <row r="78" spans="1:255" s="251" customFormat="1" x14ac:dyDescent="0.2">
      <c r="A78" s="253"/>
      <c r="B78" s="250"/>
      <c r="IU78" s="252"/>
    </row>
    <row r="79" spans="1:255" s="251" customFormat="1" x14ac:dyDescent="0.2">
      <c r="A79" s="253"/>
      <c r="B79" s="250"/>
      <c r="IU79" s="252"/>
    </row>
    <row r="80" spans="1:255" s="251" customFormat="1" x14ac:dyDescent="0.2">
      <c r="A80" s="253"/>
      <c r="B80" s="250"/>
      <c r="IU80" s="252"/>
    </row>
    <row r="81" spans="1:255" s="251" customFormat="1" x14ac:dyDescent="0.2">
      <c r="A81" s="253"/>
      <c r="B81" s="250"/>
      <c r="IU81" s="252"/>
    </row>
    <row r="82" spans="1:255" s="251" customFormat="1" x14ac:dyDescent="0.2">
      <c r="A82" s="253"/>
      <c r="B82" s="250"/>
      <c r="IU82" s="252"/>
    </row>
    <row r="83" spans="1:255" s="251" customFormat="1" x14ac:dyDescent="0.2">
      <c r="A83" s="253"/>
      <c r="B83" s="250"/>
      <c r="IU83" s="252"/>
    </row>
    <row r="84" spans="1:255" s="251" customFormat="1" x14ac:dyDescent="0.2">
      <c r="A84" s="253"/>
      <c r="B84" s="250"/>
      <c r="IU84" s="252"/>
    </row>
    <row r="85" spans="1:255" s="251" customFormat="1" x14ac:dyDescent="0.2">
      <c r="A85" s="253"/>
      <c r="B85" s="250"/>
      <c r="IU85" s="252"/>
    </row>
    <row r="86" spans="1:255" s="251" customFormat="1" x14ac:dyDescent="0.2">
      <c r="A86" s="253"/>
      <c r="B86" s="250"/>
      <c r="IU86" s="252"/>
    </row>
    <row r="87" spans="1:255" s="251" customFormat="1" x14ac:dyDescent="0.2">
      <c r="A87" s="253"/>
      <c r="B87" s="250"/>
      <c r="IU87" s="252"/>
    </row>
    <row r="88" spans="1:255" s="251" customFormat="1" x14ac:dyDescent="0.2">
      <c r="A88" s="253"/>
      <c r="B88" s="250"/>
      <c r="IU88" s="252"/>
    </row>
    <row r="89" spans="1:255" s="251" customFormat="1" x14ac:dyDescent="0.2">
      <c r="A89" s="253"/>
      <c r="B89" s="250"/>
      <c r="IU89" s="252"/>
    </row>
    <row r="90" spans="1:255" s="251" customFormat="1" x14ac:dyDescent="0.2">
      <c r="A90" s="253"/>
      <c r="B90" s="250"/>
      <c r="IU90" s="252"/>
    </row>
    <row r="91" spans="1:255" s="251" customFormat="1" x14ac:dyDescent="0.2">
      <c r="A91" s="253"/>
      <c r="B91" s="250"/>
      <c r="IU91" s="252"/>
    </row>
    <row r="92" spans="1:255" s="251" customFormat="1" x14ac:dyDescent="0.2">
      <c r="A92" s="253"/>
      <c r="B92" s="250"/>
      <c r="IU92" s="252"/>
    </row>
    <row r="93" spans="1:255" s="251" customFormat="1" x14ac:dyDescent="0.2">
      <c r="A93" s="253"/>
      <c r="B93" s="250"/>
      <c r="IU93" s="252"/>
    </row>
    <row r="94" spans="1:255" s="251" customFormat="1" x14ac:dyDescent="0.2">
      <c r="A94" s="253"/>
      <c r="B94" s="250"/>
      <c r="IU94" s="252"/>
    </row>
    <row r="95" spans="1:255" s="251" customFormat="1" x14ac:dyDescent="0.2">
      <c r="A95" s="253"/>
      <c r="B95" s="250"/>
      <c r="IU95" s="252"/>
    </row>
    <row r="96" spans="1:255" s="251" customFormat="1" x14ac:dyDescent="0.2">
      <c r="A96" s="253"/>
      <c r="B96" s="250"/>
      <c r="IU96" s="252"/>
    </row>
    <row r="97" spans="1:255" s="251" customFormat="1" x14ac:dyDescent="0.2">
      <c r="A97" s="253"/>
      <c r="B97" s="250"/>
      <c r="IU97" s="252"/>
    </row>
    <row r="98" spans="1:255" s="251" customFormat="1" x14ac:dyDescent="0.2">
      <c r="A98" s="253"/>
      <c r="B98" s="250"/>
      <c r="IU98" s="252"/>
    </row>
    <row r="99" spans="1:255" s="251" customFormat="1" x14ac:dyDescent="0.2">
      <c r="A99" s="253"/>
      <c r="B99" s="250"/>
      <c r="IU99" s="252"/>
    </row>
    <row r="100" spans="1:255" s="251" customFormat="1" x14ac:dyDescent="0.2">
      <c r="A100" s="253"/>
      <c r="B100" s="250"/>
      <c r="IU100" s="252"/>
    </row>
    <row r="101" spans="1:255" s="251" customFormat="1" x14ac:dyDescent="0.2">
      <c r="A101" s="253"/>
      <c r="B101" s="250"/>
      <c r="IU101" s="252"/>
    </row>
    <row r="102" spans="1:255" s="251" customFormat="1" x14ac:dyDescent="0.2">
      <c r="A102" s="253"/>
      <c r="B102" s="250"/>
      <c r="IU102" s="252"/>
    </row>
    <row r="103" spans="1:255" s="251" customFormat="1" x14ac:dyDescent="0.2">
      <c r="A103" s="253"/>
      <c r="B103" s="250"/>
      <c r="IU103" s="252"/>
    </row>
    <row r="104" spans="1:255" s="251" customFormat="1" x14ac:dyDescent="0.2">
      <c r="A104" s="253"/>
      <c r="B104" s="250"/>
      <c r="IU104" s="252"/>
    </row>
    <row r="105" spans="1:255" s="251" customFormat="1" x14ac:dyDescent="0.2">
      <c r="A105" s="253"/>
      <c r="B105" s="250"/>
      <c r="IU105" s="252"/>
    </row>
    <row r="106" spans="1:255" s="251" customFormat="1" x14ac:dyDescent="0.2">
      <c r="A106" s="253"/>
      <c r="B106" s="250"/>
      <c r="IU106" s="252"/>
    </row>
    <row r="107" spans="1:255" s="251" customFormat="1" x14ac:dyDescent="0.2">
      <c r="A107" s="253"/>
      <c r="B107" s="250"/>
      <c r="IU107" s="252"/>
    </row>
    <row r="108" spans="1:255" s="251" customFormat="1" x14ac:dyDescent="0.2">
      <c r="A108" s="253"/>
      <c r="B108" s="250"/>
      <c r="IU108" s="252"/>
    </row>
    <row r="109" spans="1:255" s="251" customFormat="1" x14ac:dyDescent="0.2">
      <c r="A109" s="253"/>
      <c r="B109" s="250"/>
      <c r="IU109" s="252"/>
    </row>
    <row r="110" spans="1:255" s="251" customFormat="1" x14ac:dyDescent="0.2">
      <c r="A110" s="253"/>
      <c r="B110" s="250"/>
      <c r="IU110" s="252"/>
    </row>
    <row r="111" spans="1:255" s="251" customFormat="1" x14ac:dyDescent="0.2">
      <c r="A111" s="253"/>
      <c r="B111" s="250"/>
      <c r="IU111" s="252"/>
    </row>
    <row r="112" spans="1:255" s="251" customFormat="1" x14ac:dyDescent="0.2">
      <c r="A112" s="253"/>
      <c r="B112" s="250"/>
      <c r="IU112" s="252"/>
    </row>
    <row r="113" spans="1:255" s="251" customFormat="1" x14ac:dyDescent="0.2">
      <c r="A113" s="253"/>
      <c r="B113" s="250"/>
      <c r="IU113" s="252"/>
    </row>
    <row r="114" spans="1:255" s="251" customFormat="1" x14ac:dyDescent="0.2">
      <c r="A114" s="253"/>
      <c r="B114" s="250"/>
      <c r="IU114" s="252"/>
    </row>
    <row r="115" spans="1:255" s="251" customFormat="1" x14ac:dyDescent="0.2">
      <c r="A115" s="253"/>
      <c r="B115" s="250"/>
      <c r="IU115" s="252"/>
    </row>
    <row r="116" spans="1:255" s="251" customFormat="1" x14ac:dyDescent="0.2">
      <c r="A116" s="253"/>
      <c r="B116" s="250"/>
      <c r="IU116" s="252"/>
    </row>
    <row r="117" spans="1:255" s="251" customFormat="1" x14ac:dyDescent="0.2">
      <c r="A117" s="253"/>
      <c r="B117" s="250"/>
      <c r="IU117" s="252"/>
    </row>
    <row r="118" spans="1:255" s="251" customFormat="1" x14ac:dyDescent="0.2">
      <c r="A118" s="253"/>
      <c r="B118" s="250"/>
      <c r="IU118" s="252"/>
    </row>
    <row r="119" spans="1:255" s="251" customFormat="1" x14ac:dyDescent="0.2">
      <c r="A119" s="253"/>
      <c r="B119" s="250"/>
      <c r="IU119" s="252"/>
    </row>
    <row r="120" spans="1:255" s="251" customFormat="1" x14ac:dyDescent="0.2">
      <c r="A120" s="253"/>
      <c r="B120" s="250"/>
      <c r="IU120" s="252"/>
    </row>
    <row r="121" spans="1:255" s="251" customFormat="1" x14ac:dyDescent="0.2">
      <c r="A121" s="253"/>
      <c r="B121" s="250"/>
      <c r="IU121" s="252"/>
    </row>
    <row r="122" spans="1:255" s="251" customFormat="1" x14ac:dyDescent="0.2">
      <c r="A122" s="253"/>
      <c r="B122" s="250"/>
      <c r="IU122" s="252"/>
    </row>
    <row r="123" spans="1:255" s="251" customFormat="1" x14ac:dyDescent="0.2">
      <c r="A123" s="253"/>
      <c r="B123" s="250"/>
      <c r="IU123" s="252"/>
    </row>
    <row r="124" spans="1:255" s="251" customFormat="1" x14ac:dyDescent="0.2">
      <c r="A124" s="253"/>
      <c r="B124" s="250"/>
      <c r="IU124" s="252"/>
    </row>
    <row r="125" spans="1:255" s="251" customFormat="1" x14ac:dyDescent="0.2">
      <c r="A125" s="253"/>
      <c r="B125" s="250"/>
      <c r="IU125" s="252"/>
    </row>
    <row r="126" spans="1:255" s="251" customFormat="1" x14ac:dyDescent="0.2">
      <c r="A126" s="253"/>
      <c r="B126" s="250"/>
      <c r="IU126" s="252"/>
    </row>
    <row r="127" spans="1:255" s="251" customFormat="1" x14ac:dyDescent="0.2">
      <c r="A127" s="253"/>
      <c r="B127" s="250"/>
      <c r="IU127" s="252"/>
    </row>
    <row r="128" spans="1:255" s="251" customFormat="1" x14ac:dyDescent="0.2">
      <c r="A128" s="253"/>
      <c r="B128" s="250"/>
      <c r="IU128" s="252"/>
    </row>
    <row r="129" spans="1:255" s="251" customFormat="1" x14ac:dyDescent="0.2">
      <c r="A129" s="253"/>
      <c r="B129" s="250"/>
      <c r="IU129" s="252"/>
    </row>
    <row r="130" spans="1:255" s="251" customFormat="1" x14ac:dyDescent="0.2">
      <c r="A130" s="253"/>
      <c r="B130" s="250"/>
      <c r="IU130" s="252"/>
    </row>
    <row r="131" spans="1:255" s="251" customFormat="1" x14ac:dyDescent="0.2">
      <c r="A131" s="253"/>
      <c r="B131" s="250"/>
      <c r="IU131" s="252"/>
    </row>
    <row r="132" spans="1:255" s="251" customFormat="1" x14ac:dyDescent="0.2">
      <c r="A132" s="253"/>
      <c r="B132" s="250"/>
      <c r="IU132" s="252"/>
    </row>
    <row r="133" spans="1:255" s="251" customFormat="1" x14ac:dyDescent="0.2">
      <c r="A133" s="253"/>
      <c r="B133" s="250"/>
      <c r="IU133" s="252"/>
    </row>
    <row r="134" spans="1:255" s="251" customFormat="1" x14ac:dyDescent="0.2">
      <c r="A134" s="253"/>
      <c r="B134" s="250"/>
      <c r="IU134" s="252"/>
    </row>
    <row r="135" spans="1:255" s="251" customFormat="1" x14ac:dyDescent="0.2">
      <c r="A135" s="253"/>
      <c r="B135" s="250"/>
      <c r="IU135" s="252"/>
    </row>
    <row r="136" spans="1:255" s="251" customFormat="1" x14ac:dyDescent="0.2">
      <c r="A136" s="253"/>
      <c r="B136" s="250"/>
      <c r="IU136" s="252"/>
    </row>
    <row r="137" spans="1:255" s="251" customFormat="1" x14ac:dyDescent="0.2">
      <c r="A137" s="253"/>
      <c r="B137" s="250"/>
      <c r="IU137" s="252"/>
    </row>
    <row r="138" spans="1:255" s="251" customFormat="1" x14ac:dyDescent="0.2">
      <c r="A138" s="253"/>
      <c r="B138" s="250"/>
      <c r="IU138" s="252"/>
    </row>
    <row r="139" spans="1:255" s="251" customFormat="1" x14ac:dyDescent="0.2">
      <c r="A139" s="253"/>
      <c r="B139" s="250"/>
      <c r="IU139" s="252"/>
    </row>
    <row r="140" spans="1:255" s="251" customFormat="1" x14ac:dyDescent="0.2">
      <c r="A140" s="253"/>
      <c r="B140" s="250"/>
      <c r="IU140" s="252"/>
    </row>
  </sheetData>
  <customSheetViews>
    <customSheetView guid="{7F1DC213-A29D-4C8C-BAC3-F1BD898020FD}" zeroValues="0">
      <selection activeCell="K25" sqref="K25"/>
      <pageMargins left="0.78740157480314965" right="0.78740157480314965" top="1.1417322834645669" bottom="1.0236220472440944" header="0.78740157480314965" footer="0.78740157480314965"/>
      <printOptions horizontalCentered="1"/>
      <pageSetup paperSize="9" scale="85" firstPageNumber="0" orientation="portrait" r:id="rId1"/>
      <headerFooter alignWithMargins="0">
        <oddHeader>&amp;L 12. melléklet  a ...../2019. (.......) önkormányzati rendelethez</oddHeader>
      </headerFooter>
    </customSheetView>
    <customSheetView guid="{4DCB1349-1166-4B69-AE14-D6B08F9FCE74}" zeroValues="0">
      <selection activeCell="K25" sqref="K25"/>
      <pageMargins left="0.78740157480314965" right="0.78740157480314965" top="1.1417322834645669" bottom="1.0236220472440944" header="0.78740157480314965" footer="0.78740157480314965"/>
      <printOptions horizontalCentered="1"/>
      <pageSetup paperSize="9" scale="85" firstPageNumber="0" orientation="portrait" r:id="rId2"/>
      <headerFooter alignWithMargins="0">
        <oddHeader>&amp;L 12. melléklet  a ...../2019. (.......) önkormányzati rendelethez</oddHeader>
      </headerFooter>
    </customSheetView>
  </customSheetViews>
  <mergeCells count="1">
    <mergeCell ref="A1:C1"/>
  </mergeCells>
  <printOptions horizontalCentered="1"/>
  <pageMargins left="0.78740157480314965" right="0.78740157480314965" top="1.1417322834645669" bottom="1.0236220472440944" header="0.78740157480314965" footer="0.78740157480314965"/>
  <pageSetup paperSize="9" scale="85" firstPageNumber="0" orientation="portrait" r:id="rId3"/>
  <headerFooter alignWithMargins="0">
    <oddHeader>&amp;L12. melléklet a 3/2019. (II.20.)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V107"/>
  <sheetViews>
    <sheetView workbookViewId="0">
      <pane xSplit="2" ySplit="1" topLeftCell="CX68" activePane="bottomRight" state="frozen"/>
      <selection pane="topRight" activeCell="C1" sqref="C1"/>
      <selection pane="bottomLeft" activeCell="A2" sqref="A2"/>
      <selection pane="bottomRight" activeCell="AF75" sqref="AF75"/>
    </sheetView>
  </sheetViews>
  <sheetFormatPr defaultColWidth="11.5703125" defaultRowHeight="12.75" x14ac:dyDescent="0.2"/>
  <cols>
    <col min="1" max="1" width="11.5703125" style="159"/>
    <col min="2" max="2" width="54.85546875" style="159" customWidth="1"/>
    <col min="3" max="3" width="11.5703125" style="173"/>
    <col min="4" max="4" width="11.5703125" style="174"/>
    <col min="5" max="5" width="11.5703125" style="173" customWidth="1"/>
    <col min="6" max="6" width="11.5703125" style="174" customWidth="1"/>
    <col min="7" max="7" width="11.5703125" style="173" customWidth="1"/>
    <col min="8" max="8" width="11.5703125" style="174" customWidth="1"/>
    <col min="9" max="9" width="11.5703125" style="173"/>
    <col min="10" max="10" width="11.5703125" style="174"/>
    <col min="11" max="11" width="21.42578125" style="173" customWidth="1"/>
    <col min="12" max="12" width="21.42578125" style="174" customWidth="1"/>
    <col min="13" max="13" width="21.42578125" style="173" customWidth="1"/>
    <col min="14" max="14" width="21.42578125" style="174" customWidth="1"/>
    <col min="15" max="15" width="15" style="175" customWidth="1"/>
    <col min="16" max="16" width="15" style="159" customWidth="1"/>
    <col min="17" max="17" width="11.5703125" style="175"/>
    <col min="18" max="18" width="11.5703125" style="159"/>
    <col min="19" max="19" width="11.5703125" style="175"/>
    <col min="20" max="20" width="11.5703125" style="159"/>
    <col min="21" max="21" width="11.5703125" style="175"/>
    <col min="22" max="22" width="11.5703125" style="159"/>
    <col min="23" max="23" width="11.5703125" style="175"/>
    <col min="24" max="24" width="11.5703125" style="159"/>
    <col min="25" max="25" width="11.5703125" style="175"/>
    <col min="26" max="26" width="11.5703125" style="159"/>
    <col min="27" max="27" width="11.5703125" style="175"/>
    <col min="28" max="28" width="11.5703125" style="159"/>
    <col min="29" max="29" width="11.5703125" style="175"/>
    <col min="30" max="30" width="11.5703125" style="159"/>
    <col min="31" max="31" width="11.5703125" style="175"/>
    <col min="32" max="32" width="11.5703125" style="159"/>
    <col min="33" max="33" width="11.5703125" style="175"/>
    <col min="34" max="34" width="11.5703125" style="159"/>
    <col min="35" max="35" width="11.5703125" style="175"/>
    <col min="36" max="36" width="11.5703125" style="159"/>
    <col min="37" max="37" width="11.5703125" style="175"/>
    <col min="38" max="38" width="11.5703125" style="159"/>
    <col min="39" max="39" width="11.5703125" style="175"/>
    <col min="40" max="40" width="11.5703125" style="159"/>
    <col min="41" max="41" width="11.5703125" style="175"/>
    <col min="42" max="42" width="11.5703125" style="159"/>
    <col min="43" max="43" width="11.5703125" style="175"/>
    <col min="44" max="44" width="11.5703125" style="159"/>
    <col min="45" max="45" width="11.5703125" style="175"/>
    <col min="46" max="46" width="11.5703125" style="159"/>
    <col min="47" max="47" width="11.5703125" style="175"/>
    <col min="48" max="48" width="11.5703125" style="159"/>
    <col min="49" max="49" width="11.5703125" style="175"/>
    <col min="50" max="50" width="11.5703125" style="159"/>
    <col min="51" max="51" width="11.5703125" style="175"/>
    <col min="52" max="52" width="11.5703125" style="159"/>
    <col min="53" max="53" width="11.5703125" style="175"/>
    <col min="54" max="54" width="11.5703125" style="159"/>
    <col min="55" max="55" width="11.5703125" style="175"/>
    <col min="56" max="56" width="11.5703125" style="159"/>
    <col min="57" max="57" width="11.5703125" style="175"/>
    <col min="58" max="58" width="11.5703125" style="159"/>
    <col min="59" max="59" width="11.5703125" style="175"/>
    <col min="60" max="60" width="11.5703125" style="159"/>
    <col min="61" max="61" width="11.5703125" style="175"/>
    <col min="62" max="62" width="11.5703125" style="159"/>
    <col min="63" max="63" width="11.5703125" style="175"/>
    <col min="64" max="64" width="11.5703125" style="159"/>
    <col min="65" max="65" width="11.5703125" style="175"/>
    <col min="66" max="66" width="11.5703125" style="159"/>
    <col min="67" max="67" width="11.5703125" style="175"/>
    <col min="68" max="68" width="11.5703125" style="159"/>
    <col min="69" max="69" width="11.5703125" style="175"/>
    <col min="70" max="70" width="11.5703125" style="159"/>
    <col min="71" max="71" width="11.5703125" style="175"/>
    <col min="72" max="72" width="11.5703125" style="159"/>
    <col min="73" max="73" width="11.5703125" style="175"/>
    <col min="74" max="74" width="11.5703125" style="159"/>
    <col min="75" max="75" width="11.5703125" style="175"/>
    <col min="76" max="76" width="11.5703125" style="159"/>
    <col min="77" max="77" width="11.5703125" style="175"/>
    <col min="78" max="78" width="11.5703125" style="159"/>
    <col min="79" max="79" width="11.5703125" style="175"/>
    <col min="80" max="80" width="11.5703125" style="159"/>
    <col min="81" max="81" width="11.5703125" style="175"/>
    <col min="82" max="82" width="11.5703125" style="159"/>
    <col min="83" max="83" width="11.5703125" style="175"/>
    <col min="84" max="84" width="11.5703125" style="159"/>
    <col min="85" max="85" width="11.5703125" style="175"/>
    <col min="86" max="86" width="11.5703125" style="159"/>
    <col min="87" max="87" width="11.5703125" style="175"/>
    <col min="88" max="88" width="11.5703125" style="159"/>
    <col min="89" max="89" width="11.5703125" style="175"/>
    <col min="90" max="90" width="11.5703125" style="159"/>
    <col min="91" max="91" width="11.5703125" style="175"/>
    <col min="92" max="92" width="11.5703125" style="159"/>
    <col min="93" max="93" width="11.5703125" style="175"/>
    <col min="94" max="94" width="11.5703125" style="159"/>
    <col min="95" max="95" width="11.5703125" style="175"/>
    <col min="96" max="96" width="11.5703125" style="159"/>
    <col min="97" max="97" width="11.5703125" style="175"/>
    <col min="98" max="98" width="11.5703125" style="159"/>
    <col min="99" max="99" width="11.5703125" style="175"/>
    <col min="100" max="100" width="11.5703125" style="159"/>
    <col min="101" max="101" width="11.5703125" style="175"/>
    <col min="102" max="102" width="11.5703125" style="159"/>
    <col min="103" max="103" width="11.5703125" style="175"/>
    <col min="104" max="104" width="11.5703125" style="159"/>
    <col min="105" max="105" width="11.5703125" style="175"/>
    <col min="106" max="106" width="11.5703125" style="159"/>
    <col min="107" max="107" width="11.5703125" style="175"/>
    <col min="108" max="108" width="11.5703125" style="159"/>
    <col min="109" max="109" width="11.5703125" style="175"/>
    <col min="110" max="110" width="11.5703125" style="159"/>
    <col min="111" max="111" width="11.5703125" style="175"/>
    <col min="112" max="112" width="11.5703125" style="159"/>
    <col min="113" max="113" width="11.5703125" style="175"/>
    <col min="114" max="114" width="11.5703125" style="159"/>
    <col min="115" max="115" width="11.5703125" style="175"/>
    <col min="116" max="116" width="11.5703125" style="159"/>
    <col min="117" max="117" width="11.5703125" style="175"/>
    <col min="118" max="118" width="11.5703125" style="159"/>
    <col min="119" max="119" width="11.5703125" style="175"/>
    <col min="120" max="120" width="11.5703125" style="159"/>
    <col min="121" max="121" width="11.5703125" style="175"/>
    <col min="122" max="122" width="11.5703125" style="159"/>
    <col min="123" max="123" width="11.5703125" style="175"/>
    <col min="124" max="124" width="11.5703125" style="159"/>
    <col min="125" max="125" width="11.5703125" style="175"/>
    <col min="126" max="16384" width="11.5703125" style="159"/>
  </cols>
  <sheetData>
    <row r="1" spans="1:126" ht="76.5" x14ac:dyDescent="0.2">
      <c r="A1" s="148" t="s">
        <v>744</v>
      </c>
      <c r="B1" s="148" t="s">
        <v>306</v>
      </c>
      <c r="C1" s="149" t="s">
        <v>260</v>
      </c>
      <c r="D1" s="150" t="s">
        <v>259</v>
      </c>
      <c r="E1" s="149" t="s">
        <v>745</v>
      </c>
      <c r="F1" s="150" t="s">
        <v>746</v>
      </c>
      <c r="G1" s="149" t="s">
        <v>747</v>
      </c>
      <c r="H1" s="150" t="s">
        <v>748</v>
      </c>
      <c r="I1" s="149" t="s">
        <v>749</v>
      </c>
      <c r="J1" s="150" t="s">
        <v>750</v>
      </c>
      <c r="K1" s="149" t="s">
        <v>751</v>
      </c>
      <c r="L1" s="150" t="s">
        <v>752</v>
      </c>
      <c r="M1" s="151" t="s">
        <v>753</v>
      </c>
      <c r="N1" s="152" t="s">
        <v>754</v>
      </c>
      <c r="O1" s="153" t="s">
        <v>755</v>
      </c>
      <c r="P1" s="154" t="s">
        <v>756</v>
      </c>
      <c r="Q1" s="153" t="s">
        <v>757</v>
      </c>
      <c r="R1" s="154" t="s">
        <v>758</v>
      </c>
      <c r="S1" s="153" t="s">
        <v>759</v>
      </c>
      <c r="T1" s="154" t="s">
        <v>1175</v>
      </c>
      <c r="U1" s="153" t="s">
        <v>760</v>
      </c>
      <c r="V1" s="154" t="s">
        <v>761</v>
      </c>
      <c r="W1" s="153" t="s">
        <v>762</v>
      </c>
      <c r="X1" s="154" t="s">
        <v>763</v>
      </c>
      <c r="Y1" s="153" t="s">
        <v>764</v>
      </c>
      <c r="Z1" s="154" t="s">
        <v>765</v>
      </c>
      <c r="AA1" s="153" t="s">
        <v>766</v>
      </c>
      <c r="AB1" s="154" t="s">
        <v>767</v>
      </c>
      <c r="AC1" s="153" t="s">
        <v>768</v>
      </c>
      <c r="AD1" s="154" t="s">
        <v>769</v>
      </c>
      <c r="AE1" s="153" t="s">
        <v>770</v>
      </c>
      <c r="AF1" s="154" t="s">
        <v>771</v>
      </c>
      <c r="AG1" s="153" t="s">
        <v>987</v>
      </c>
      <c r="AH1" s="154" t="s">
        <v>988</v>
      </c>
      <c r="AI1" s="153" t="s">
        <v>772</v>
      </c>
      <c r="AJ1" s="154" t="s">
        <v>773</v>
      </c>
      <c r="AK1" s="155" t="s">
        <v>774</v>
      </c>
      <c r="AL1" s="156" t="s">
        <v>775</v>
      </c>
      <c r="AM1" s="155" t="s">
        <v>776</v>
      </c>
      <c r="AN1" s="156" t="s">
        <v>777</v>
      </c>
      <c r="AO1" s="155" t="s">
        <v>778</v>
      </c>
      <c r="AP1" s="156" t="s">
        <v>779</v>
      </c>
      <c r="AQ1" s="155" t="s">
        <v>780</v>
      </c>
      <c r="AR1" s="156" t="s">
        <v>781</v>
      </c>
      <c r="AS1" s="157" t="s">
        <v>782</v>
      </c>
      <c r="AT1" s="158" t="s">
        <v>1075</v>
      </c>
      <c r="AU1" s="157" t="s">
        <v>783</v>
      </c>
      <c r="AV1" s="158" t="s">
        <v>784</v>
      </c>
      <c r="AW1" s="157" t="s">
        <v>785</v>
      </c>
      <c r="AX1" s="158" t="s">
        <v>786</v>
      </c>
      <c r="AY1" s="157" t="s">
        <v>787</v>
      </c>
      <c r="AZ1" s="158" t="s">
        <v>788</v>
      </c>
      <c r="BA1" s="157" t="s">
        <v>789</v>
      </c>
      <c r="BB1" s="158" t="s">
        <v>790</v>
      </c>
      <c r="BC1" s="157" t="s">
        <v>791</v>
      </c>
      <c r="BD1" s="158" t="s">
        <v>792</v>
      </c>
      <c r="BE1" s="157" t="s">
        <v>793</v>
      </c>
      <c r="BF1" s="158" t="s">
        <v>794</v>
      </c>
      <c r="BG1" s="157" t="s">
        <v>795</v>
      </c>
      <c r="BH1" s="158" t="s">
        <v>796</v>
      </c>
      <c r="BI1" s="157" t="s">
        <v>797</v>
      </c>
      <c r="BJ1" s="158" t="s">
        <v>798</v>
      </c>
      <c r="BK1" s="157" t="s">
        <v>799</v>
      </c>
      <c r="BL1" s="158" t="s">
        <v>800</v>
      </c>
      <c r="BM1" s="157" t="s">
        <v>801</v>
      </c>
      <c r="BN1" s="158" t="s">
        <v>802</v>
      </c>
      <c r="BO1" s="157" t="s">
        <v>803</v>
      </c>
      <c r="BP1" s="158" t="s">
        <v>804</v>
      </c>
      <c r="BQ1" s="157" t="s">
        <v>805</v>
      </c>
      <c r="BR1" s="158" t="s">
        <v>806</v>
      </c>
      <c r="BS1" s="157" t="s">
        <v>807</v>
      </c>
      <c r="BT1" s="158" t="s">
        <v>808</v>
      </c>
      <c r="BU1" s="157" t="s">
        <v>809</v>
      </c>
      <c r="BV1" s="158" t="s">
        <v>810</v>
      </c>
      <c r="BW1" s="157" t="s">
        <v>811</v>
      </c>
      <c r="BX1" s="158" t="s">
        <v>812</v>
      </c>
      <c r="BY1" s="157" t="s">
        <v>813</v>
      </c>
      <c r="BZ1" s="158" t="s">
        <v>814</v>
      </c>
      <c r="CA1" s="157" t="s">
        <v>815</v>
      </c>
      <c r="CB1" s="158" t="s">
        <v>816</v>
      </c>
      <c r="CC1" s="157" t="s">
        <v>817</v>
      </c>
      <c r="CD1" s="158" t="s">
        <v>818</v>
      </c>
      <c r="CE1" s="157" t="s">
        <v>819</v>
      </c>
      <c r="CF1" s="158" t="s">
        <v>820</v>
      </c>
      <c r="CG1" s="157" t="s">
        <v>821</v>
      </c>
      <c r="CH1" s="158" t="s">
        <v>822</v>
      </c>
      <c r="CI1" s="157" t="s">
        <v>823</v>
      </c>
      <c r="CJ1" s="158" t="s">
        <v>824</v>
      </c>
      <c r="CK1" s="157" t="s">
        <v>825</v>
      </c>
      <c r="CL1" s="158" t="s">
        <v>826</v>
      </c>
      <c r="CM1" s="157" t="s">
        <v>827</v>
      </c>
      <c r="CN1" s="158" t="s">
        <v>828</v>
      </c>
      <c r="CO1" s="157" t="s">
        <v>829</v>
      </c>
      <c r="CP1" s="158" t="s">
        <v>830</v>
      </c>
      <c r="CQ1" s="157" t="s">
        <v>831</v>
      </c>
      <c r="CR1" s="158" t="s">
        <v>832</v>
      </c>
      <c r="CS1" s="157" t="s">
        <v>1062</v>
      </c>
      <c r="CT1" s="158" t="s">
        <v>1063</v>
      </c>
      <c r="CU1" s="157" t="s">
        <v>833</v>
      </c>
      <c r="CV1" s="158" t="s">
        <v>834</v>
      </c>
      <c r="CW1" s="157" t="s">
        <v>835</v>
      </c>
      <c r="CX1" s="158" t="s">
        <v>836</v>
      </c>
      <c r="CY1" s="157" t="s">
        <v>837</v>
      </c>
      <c r="CZ1" s="158" t="s">
        <v>838</v>
      </c>
      <c r="DA1" s="157" t="s">
        <v>839</v>
      </c>
      <c r="DB1" s="158" t="s">
        <v>840</v>
      </c>
      <c r="DC1" s="157" t="s">
        <v>841</v>
      </c>
      <c r="DD1" s="158" t="s">
        <v>842</v>
      </c>
      <c r="DE1" s="157" t="s">
        <v>843</v>
      </c>
      <c r="DF1" s="158" t="s">
        <v>844</v>
      </c>
      <c r="DG1" s="157" t="s">
        <v>845</v>
      </c>
      <c r="DH1" s="158" t="s">
        <v>846</v>
      </c>
      <c r="DI1" s="157" t="s">
        <v>847</v>
      </c>
      <c r="DJ1" s="158" t="s">
        <v>848</v>
      </c>
      <c r="DK1" s="157" t="s">
        <v>849</v>
      </c>
      <c r="DL1" s="158" t="s">
        <v>850</v>
      </c>
      <c r="DM1" s="157" t="s">
        <v>851</v>
      </c>
      <c r="DN1" s="158" t="s">
        <v>1067</v>
      </c>
      <c r="DO1" s="157" t="s">
        <v>852</v>
      </c>
      <c r="DP1" s="158" t="s">
        <v>853</v>
      </c>
      <c r="DQ1" s="157" t="s">
        <v>854</v>
      </c>
      <c r="DR1" s="158" t="s">
        <v>855</v>
      </c>
      <c r="DS1" s="157" t="s">
        <v>856</v>
      </c>
      <c r="DT1" s="158" t="s">
        <v>857</v>
      </c>
      <c r="DU1" s="157" t="s">
        <v>858</v>
      </c>
      <c r="DV1" s="158" t="s">
        <v>859</v>
      </c>
    </row>
    <row r="2" spans="1:126" x14ac:dyDescent="0.2">
      <c r="A2" s="160" t="s">
        <v>4</v>
      </c>
      <c r="B2" s="160" t="s">
        <v>860</v>
      </c>
      <c r="C2" s="161">
        <f t="shared" ref="C2:D17" si="0">E2+G2+I2</f>
        <v>20034</v>
      </c>
      <c r="D2" s="162">
        <f>F2+H2+J2</f>
        <v>40002</v>
      </c>
      <c r="E2" s="161">
        <f t="shared" ref="E2:E17" si="1">K2+M2+O1:O2+Q2+S2+U2+W2+Y2+AA2+AC2+AE2+AI2</f>
        <v>20034</v>
      </c>
      <c r="F2" s="162">
        <f>L2+N2+P1:P2+R2+T2+V2+X2+Z2+AB2+AD2+AF2+AJ2+AH2</f>
        <v>40002</v>
      </c>
      <c r="G2" s="161">
        <f>AK2+AM2+AO2+AQ2+AS2+AU2+AW2+AY2+BA2+BC2+BE2+BG2+BI2+BK2+BM2+BO2+BQ2+BS2+BU2+BW2+BY2+CA2+CC2+CE2+CG2+CI2+CK2+CM2+CO2+CQ2+CS2+CU2+CW2+DA2+CY2+DC2+DE2+DG2+DI2+DK2+DM2+DO2+DQ2+DS2+DU2</f>
        <v>0</v>
      </c>
      <c r="H2" s="162">
        <f>AL2+AN2+AP2+AR2+AT2+AV2+AX2+AZ2+BB2+BD2+BF2+BH2+BJ2+BL2+BN2+BP2+BR2+BT2+BV2+BX2+BZ2+CB2+CD2+CF2+CH2+CJ2+CL2+CN2+CP2+CR2+CT2+CV2+CX2+DB2+CZ2+DD2+DF2+DH2+DJ2+DL2+DN2+DP2+DR2+DT2+DV2</f>
        <v>0</v>
      </c>
      <c r="I2" s="161"/>
      <c r="J2" s="162"/>
      <c r="K2" s="161"/>
      <c r="L2" s="162"/>
      <c r="M2" s="161"/>
      <c r="N2" s="162"/>
      <c r="O2" s="161"/>
      <c r="P2" s="162"/>
      <c r="Q2" s="161">
        <v>20034</v>
      </c>
      <c r="R2" s="162">
        <f>19273+1000</f>
        <v>20273</v>
      </c>
      <c r="S2" s="161"/>
      <c r="T2" s="162"/>
      <c r="U2" s="161"/>
      <c r="V2" s="162"/>
      <c r="W2" s="161"/>
      <c r="X2" s="162"/>
      <c r="Y2" s="161"/>
      <c r="Z2" s="162"/>
      <c r="AA2" s="161"/>
      <c r="AB2" s="162"/>
      <c r="AC2" s="161"/>
      <c r="AD2" s="162"/>
      <c r="AE2" s="161"/>
      <c r="AF2" s="162">
        <v>11413</v>
      </c>
      <c r="AG2" s="161"/>
      <c r="AH2" s="162">
        <v>8316</v>
      </c>
      <c r="AI2" s="161"/>
      <c r="AJ2" s="162"/>
      <c r="AK2" s="161"/>
      <c r="AL2" s="162"/>
      <c r="AM2" s="161"/>
      <c r="AN2" s="162"/>
      <c r="AO2" s="161"/>
      <c r="AP2" s="162"/>
      <c r="AQ2" s="161"/>
      <c r="AR2" s="162"/>
      <c r="AS2" s="161"/>
      <c r="AT2" s="162"/>
      <c r="AU2" s="161"/>
      <c r="AV2" s="162"/>
      <c r="AW2" s="161"/>
      <c r="AX2" s="162"/>
      <c r="AY2" s="161"/>
      <c r="AZ2" s="162"/>
      <c r="BA2" s="161"/>
      <c r="BB2" s="162"/>
      <c r="BC2" s="161"/>
      <c r="BD2" s="162"/>
      <c r="BE2" s="161"/>
      <c r="BF2" s="162"/>
      <c r="BG2" s="161"/>
      <c r="BH2" s="162"/>
      <c r="BI2" s="161"/>
      <c r="BJ2" s="162"/>
      <c r="BK2" s="161"/>
      <c r="BL2" s="162"/>
      <c r="BM2" s="161"/>
      <c r="BN2" s="162"/>
      <c r="BO2" s="161"/>
      <c r="BP2" s="162"/>
      <c r="BQ2" s="161"/>
      <c r="BR2" s="162"/>
      <c r="BS2" s="161"/>
      <c r="BT2" s="162"/>
      <c r="BU2" s="161"/>
      <c r="BV2" s="162"/>
      <c r="BW2" s="161"/>
      <c r="BX2" s="162"/>
      <c r="BY2" s="161"/>
      <c r="BZ2" s="162"/>
      <c r="CA2" s="161"/>
      <c r="CB2" s="162"/>
      <c r="CC2" s="161"/>
      <c r="CD2" s="162"/>
      <c r="CE2" s="161"/>
      <c r="CF2" s="162"/>
      <c r="CG2" s="161"/>
      <c r="CH2" s="162"/>
      <c r="CI2" s="161"/>
      <c r="CJ2" s="162"/>
      <c r="CK2" s="161"/>
      <c r="CL2" s="162"/>
      <c r="CM2" s="161"/>
      <c r="CN2" s="162"/>
      <c r="CO2" s="161"/>
      <c r="CP2" s="162"/>
      <c r="CQ2" s="161"/>
      <c r="CR2" s="162"/>
      <c r="CS2" s="161"/>
      <c r="CT2" s="162"/>
      <c r="CU2" s="161"/>
      <c r="CV2" s="162"/>
      <c r="CW2" s="161"/>
      <c r="CX2" s="162"/>
      <c r="CY2" s="161"/>
      <c r="CZ2" s="162"/>
      <c r="DA2" s="161"/>
      <c r="DB2" s="162"/>
      <c r="DC2" s="161"/>
      <c r="DD2" s="162"/>
      <c r="DE2" s="161"/>
      <c r="DF2" s="162"/>
      <c r="DG2" s="161"/>
      <c r="DH2" s="162"/>
      <c r="DI2" s="161"/>
      <c r="DJ2" s="162"/>
      <c r="DK2" s="161"/>
      <c r="DL2" s="162"/>
      <c r="DM2" s="161"/>
      <c r="DN2" s="162"/>
      <c r="DO2" s="161"/>
      <c r="DP2" s="162"/>
      <c r="DQ2" s="161"/>
      <c r="DR2" s="162"/>
      <c r="DS2" s="161"/>
      <c r="DT2" s="162"/>
      <c r="DU2" s="161"/>
      <c r="DV2" s="162"/>
    </row>
    <row r="3" spans="1:126" x14ac:dyDescent="0.2">
      <c r="A3" s="160" t="s">
        <v>7</v>
      </c>
      <c r="B3" s="160" t="s">
        <v>9</v>
      </c>
      <c r="C3" s="161">
        <f t="shared" si="0"/>
        <v>0</v>
      </c>
      <c r="D3" s="162">
        <f t="shared" si="0"/>
        <v>0</v>
      </c>
      <c r="E3" s="161">
        <f t="shared" si="1"/>
        <v>0</v>
      </c>
      <c r="F3" s="162">
        <f t="shared" ref="F3:F17" si="2">L3+N3+P2:P3+R3+T3+V3+X3+Z3+AB3+AD3+AF3+AJ3+AH3</f>
        <v>0</v>
      </c>
      <c r="G3" s="161">
        <f t="shared" ref="G3:H42" si="3">AK3+AM3+AO3+AQ3+AS3+AU3+AW3+AY3+BA3+BC3+BE3+BG3+BI3+BK3+BM3+BO3+BQ3+BS3+BU3+BW3+BY3+CA3+CC3+CE3+CG3+CI3+CK3+CM3+CO3+CQ3+CS3+CU3+CW3+DA3+CY3+DC3+DE3+DG3+DI3+DK3+DM3+DO3+DQ3+DS3+DU3</f>
        <v>0</v>
      </c>
      <c r="H3" s="162">
        <f t="shared" si="3"/>
        <v>0</v>
      </c>
      <c r="I3" s="161"/>
      <c r="J3" s="162"/>
      <c r="K3" s="161"/>
      <c r="L3" s="162"/>
      <c r="M3" s="161"/>
      <c r="N3" s="162"/>
      <c r="O3" s="161"/>
      <c r="P3" s="162"/>
      <c r="Q3" s="161"/>
      <c r="R3" s="162"/>
      <c r="S3" s="161"/>
      <c r="T3" s="162"/>
      <c r="U3" s="161"/>
      <c r="V3" s="162"/>
      <c r="W3" s="161"/>
      <c r="X3" s="162"/>
      <c r="Y3" s="161"/>
      <c r="Z3" s="162"/>
      <c r="AA3" s="161"/>
      <c r="AB3" s="162"/>
      <c r="AC3" s="161"/>
      <c r="AD3" s="162"/>
      <c r="AE3" s="161"/>
      <c r="AF3" s="162"/>
      <c r="AG3" s="161"/>
      <c r="AH3" s="162"/>
      <c r="AI3" s="161"/>
      <c r="AJ3" s="162"/>
      <c r="AK3" s="161"/>
      <c r="AL3" s="162"/>
      <c r="AM3" s="161"/>
      <c r="AN3" s="162"/>
      <c r="AO3" s="161"/>
      <c r="AP3" s="162"/>
      <c r="AQ3" s="161"/>
      <c r="AR3" s="162"/>
      <c r="AS3" s="161"/>
      <c r="AT3" s="162"/>
      <c r="AU3" s="161"/>
      <c r="AV3" s="162"/>
      <c r="AW3" s="161"/>
      <c r="AX3" s="162"/>
      <c r="AY3" s="161"/>
      <c r="AZ3" s="162"/>
      <c r="BA3" s="161"/>
      <c r="BB3" s="162"/>
      <c r="BC3" s="161"/>
      <c r="BD3" s="162"/>
      <c r="BE3" s="161"/>
      <c r="BF3" s="162"/>
      <c r="BG3" s="161"/>
      <c r="BH3" s="162"/>
      <c r="BI3" s="161"/>
      <c r="BJ3" s="162"/>
      <c r="BK3" s="161"/>
      <c r="BL3" s="162"/>
      <c r="BM3" s="161"/>
      <c r="BN3" s="162"/>
      <c r="BO3" s="161"/>
      <c r="BP3" s="162"/>
      <c r="BQ3" s="161"/>
      <c r="BR3" s="162"/>
      <c r="BS3" s="161"/>
      <c r="BT3" s="162"/>
      <c r="BU3" s="161"/>
      <c r="BV3" s="162"/>
      <c r="BW3" s="161"/>
      <c r="BX3" s="162"/>
      <c r="BY3" s="161"/>
      <c r="BZ3" s="162"/>
      <c r="CA3" s="161"/>
      <c r="CB3" s="162"/>
      <c r="CC3" s="161"/>
      <c r="CD3" s="162"/>
      <c r="CE3" s="161"/>
      <c r="CF3" s="162"/>
      <c r="CG3" s="161"/>
      <c r="CH3" s="162"/>
      <c r="CI3" s="161"/>
      <c r="CJ3" s="162"/>
      <c r="CK3" s="161"/>
      <c r="CL3" s="162"/>
      <c r="CM3" s="161"/>
      <c r="CN3" s="162"/>
      <c r="CO3" s="161"/>
      <c r="CP3" s="162"/>
      <c r="CQ3" s="161"/>
      <c r="CR3" s="162"/>
      <c r="CS3" s="161"/>
      <c r="CT3" s="162"/>
      <c r="CU3" s="161"/>
      <c r="CV3" s="162"/>
      <c r="CW3" s="161"/>
      <c r="CX3" s="162"/>
      <c r="CY3" s="161"/>
      <c r="CZ3" s="162"/>
      <c r="DA3" s="161"/>
      <c r="DB3" s="162"/>
      <c r="DC3" s="161"/>
      <c r="DD3" s="162"/>
      <c r="DE3" s="161"/>
      <c r="DF3" s="162"/>
      <c r="DG3" s="161"/>
      <c r="DH3" s="162"/>
      <c r="DI3" s="161"/>
      <c r="DJ3" s="162"/>
      <c r="DK3" s="161"/>
      <c r="DL3" s="162"/>
      <c r="DM3" s="161"/>
      <c r="DN3" s="162"/>
      <c r="DO3" s="161"/>
      <c r="DP3" s="162"/>
      <c r="DQ3" s="161"/>
      <c r="DR3" s="162"/>
      <c r="DS3" s="161"/>
      <c r="DT3" s="162"/>
      <c r="DU3" s="161"/>
      <c r="DV3" s="162"/>
    </row>
    <row r="4" spans="1:126" x14ac:dyDescent="0.2">
      <c r="A4" s="160" t="s">
        <v>10</v>
      </c>
      <c r="B4" s="160" t="s">
        <v>12</v>
      </c>
      <c r="C4" s="161">
        <f t="shared" si="0"/>
        <v>0</v>
      </c>
      <c r="D4" s="162">
        <f t="shared" si="0"/>
        <v>0</v>
      </c>
      <c r="E4" s="161">
        <f t="shared" si="1"/>
        <v>0</v>
      </c>
      <c r="F4" s="162">
        <f t="shared" si="2"/>
        <v>0</v>
      </c>
      <c r="G4" s="161">
        <f t="shared" si="3"/>
        <v>0</v>
      </c>
      <c r="H4" s="162">
        <f t="shared" si="3"/>
        <v>0</v>
      </c>
      <c r="I4" s="161"/>
      <c r="J4" s="162"/>
      <c r="K4" s="161"/>
      <c r="L4" s="162"/>
      <c r="M4" s="161"/>
      <c r="N4" s="162"/>
      <c r="O4" s="161"/>
      <c r="P4" s="162"/>
      <c r="Q4" s="161"/>
      <c r="R4" s="162"/>
      <c r="S4" s="161"/>
      <c r="T4" s="162"/>
      <c r="U4" s="161"/>
      <c r="V4" s="162"/>
      <c r="W4" s="161"/>
      <c r="X4" s="162"/>
      <c r="Y4" s="161"/>
      <c r="Z4" s="162"/>
      <c r="AA4" s="161"/>
      <c r="AB4" s="162"/>
      <c r="AC4" s="161"/>
      <c r="AD4" s="162"/>
      <c r="AE4" s="161"/>
      <c r="AF4" s="162"/>
      <c r="AG4" s="161"/>
      <c r="AH4" s="162"/>
      <c r="AI4" s="161"/>
      <c r="AJ4" s="162"/>
      <c r="AK4" s="161"/>
      <c r="AL4" s="162"/>
      <c r="AM4" s="161"/>
      <c r="AN4" s="162"/>
      <c r="AO4" s="161"/>
      <c r="AP4" s="162"/>
      <c r="AQ4" s="161"/>
      <c r="AR4" s="162"/>
      <c r="AS4" s="161"/>
      <c r="AT4" s="162"/>
      <c r="AU4" s="161"/>
      <c r="AV4" s="162"/>
      <c r="AW4" s="161"/>
      <c r="AX4" s="162"/>
      <c r="AY4" s="161"/>
      <c r="AZ4" s="162"/>
      <c r="BA4" s="161"/>
      <c r="BB4" s="162"/>
      <c r="BC4" s="161"/>
      <c r="BD4" s="162"/>
      <c r="BE4" s="161"/>
      <c r="BF4" s="162"/>
      <c r="BG4" s="161"/>
      <c r="BH4" s="162"/>
      <c r="BI4" s="161"/>
      <c r="BJ4" s="162"/>
      <c r="BK4" s="161"/>
      <c r="BL4" s="162"/>
      <c r="BM4" s="161"/>
      <c r="BN4" s="162"/>
      <c r="BO4" s="161"/>
      <c r="BP4" s="162"/>
      <c r="BQ4" s="161"/>
      <c r="BR4" s="162"/>
      <c r="BS4" s="161"/>
      <c r="BT4" s="162"/>
      <c r="BU4" s="161"/>
      <c r="BV4" s="162"/>
      <c r="BW4" s="161"/>
      <c r="BX4" s="162"/>
      <c r="BY4" s="161"/>
      <c r="BZ4" s="162"/>
      <c r="CA4" s="161"/>
      <c r="CB4" s="162"/>
      <c r="CC4" s="161"/>
      <c r="CD4" s="162"/>
      <c r="CE4" s="161"/>
      <c r="CF4" s="162"/>
      <c r="CG4" s="161"/>
      <c r="CH4" s="162"/>
      <c r="CI4" s="161"/>
      <c r="CJ4" s="162"/>
      <c r="CK4" s="161"/>
      <c r="CL4" s="162"/>
      <c r="CM4" s="161"/>
      <c r="CN4" s="162"/>
      <c r="CO4" s="161"/>
      <c r="CP4" s="162"/>
      <c r="CQ4" s="161"/>
      <c r="CR4" s="162"/>
      <c r="CS4" s="161"/>
      <c r="CT4" s="162"/>
      <c r="CU4" s="161"/>
      <c r="CV4" s="162"/>
      <c r="CW4" s="161"/>
      <c r="CX4" s="162"/>
      <c r="CY4" s="161"/>
      <c r="CZ4" s="162"/>
      <c r="DA4" s="161"/>
      <c r="DB4" s="162"/>
      <c r="DC4" s="161"/>
      <c r="DD4" s="162"/>
      <c r="DE4" s="161"/>
      <c r="DF4" s="162"/>
      <c r="DG4" s="161"/>
      <c r="DH4" s="162"/>
      <c r="DI4" s="161"/>
      <c r="DJ4" s="162"/>
      <c r="DK4" s="161"/>
      <c r="DL4" s="162"/>
      <c r="DM4" s="161"/>
      <c r="DN4" s="162"/>
      <c r="DO4" s="161"/>
      <c r="DP4" s="162"/>
      <c r="DQ4" s="161"/>
      <c r="DR4" s="162"/>
      <c r="DS4" s="161"/>
      <c r="DT4" s="162"/>
      <c r="DU4" s="161"/>
      <c r="DV4" s="162"/>
    </row>
    <row r="5" spans="1:126" x14ac:dyDescent="0.2">
      <c r="A5" s="160" t="s">
        <v>13</v>
      </c>
      <c r="B5" s="160" t="s">
        <v>15</v>
      </c>
      <c r="C5" s="161">
        <f t="shared" si="0"/>
        <v>477</v>
      </c>
      <c r="D5" s="162">
        <f t="shared" si="0"/>
        <v>1500</v>
      </c>
      <c r="E5" s="161">
        <f t="shared" si="1"/>
        <v>477</v>
      </c>
      <c r="F5" s="162">
        <f t="shared" si="2"/>
        <v>1500</v>
      </c>
      <c r="G5" s="161">
        <f t="shared" si="3"/>
        <v>0</v>
      </c>
      <c r="H5" s="162">
        <f t="shared" si="3"/>
        <v>0</v>
      </c>
      <c r="I5" s="161"/>
      <c r="J5" s="162"/>
      <c r="K5" s="161"/>
      <c r="L5" s="162"/>
      <c r="M5" s="161"/>
      <c r="N5" s="162"/>
      <c r="O5" s="161"/>
      <c r="P5" s="162"/>
      <c r="Q5" s="161">
        <v>477</v>
      </c>
      <c r="R5" s="162">
        <v>1500</v>
      </c>
      <c r="S5" s="161"/>
      <c r="T5" s="162"/>
      <c r="U5" s="161"/>
      <c r="V5" s="162"/>
      <c r="W5" s="161"/>
      <c r="X5" s="162"/>
      <c r="Y5" s="161"/>
      <c r="Z5" s="162"/>
      <c r="AA5" s="161"/>
      <c r="AB5" s="162"/>
      <c r="AC5" s="161"/>
      <c r="AD5" s="162"/>
      <c r="AE5" s="161"/>
      <c r="AF5" s="162"/>
      <c r="AG5" s="161"/>
      <c r="AH5" s="162"/>
      <c r="AI5" s="161"/>
      <c r="AJ5" s="162"/>
      <c r="AK5" s="161"/>
      <c r="AL5" s="162"/>
      <c r="AM5" s="161"/>
      <c r="AN5" s="162"/>
      <c r="AO5" s="161"/>
      <c r="AP5" s="162"/>
      <c r="AQ5" s="161"/>
      <c r="AR5" s="162"/>
      <c r="AS5" s="161"/>
      <c r="AT5" s="162"/>
      <c r="AU5" s="161"/>
      <c r="AV5" s="162"/>
      <c r="AW5" s="161"/>
      <c r="AX5" s="162"/>
      <c r="AY5" s="161"/>
      <c r="AZ5" s="162"/>
      <c r="BA5" s="161"/>
      <c r="BB5" s="162"/>
      <c r="BC5" s="161"/>
      <c r="BD5" s="162"/>
      <c r="BE5" s="161"/>
      <c r="BF5" s="162"/>
      <c r="BG5" s="161"/>
      <c r="BH5" s="162"/>
      <c r="BI5" s="161"/>
      <c r="BJ5" s="162"/>
      <c r="BK5" s="161"/>
      <c r="BL5" s="162"/>
      <c r="BM5" s="161"/>
      <c r="BN5" s="162"/>
      <c r="BO5" s="161"/>
      <c r="BP5" s="162"/>
      <c r="BQ5" s="161"/>
      <c r="BR5" s="162"/>
      <c r="BS5" s="161"/>
      <c r="BT5" s="162"/>
      <c r="BU5" s="161"/>
      <c r="BV5" s="162"/>
      <c r="BW5" s="161"/>
      <c r="BX5" s="162"/>
      <c r="BY5" s="161"/>
      <c r="BZ5" s="162"/>
      <c r="CA5" s="161"/>
      <c r="CB5" s="162"/>
      <c r="CC5" s="161"/>
      <c r="CD5" s="162"/>
      <c r="CE5" s="161"/>
      <c r="CF5" s="162"/>
      <c r="CG5" s="161"/>
      <c r="CH5" s="162"/>
      <c r="CI5" s="161"/>
      <c r="CJ5" s="162"/>
      <c r="CK5" s="161"/>
      <c r="CL5" s="162"/>
      <c r="CM5" s="161"/>
      <c r="CN5" s="162"/>
      <c r="CO5" s="161"/>
      <c r="CP5" s="162"/>
      <c r="CQ5" s="161"/>
      <c r="CR5" s="162"/>
      <c r="CS5" s="161"/>
      <c r="CT5" s="162"/>
      <c r="CU5" s="161"/>
      <c r="CV5" s="162"/>
      <c r="CW5" s="161"/>
      <c r="CX5" s="162"/>
      <c r="CY5" s="161"/>
      <c r="CZ5" s="162"/>
      <c r="DA5" s="161"/>
      <c r="DB5" s="162"/>
      <c r="DC5" s="161"/>
      <c r="DD5" s="162"/>
      <c r="DE5" s="161"/>
      <c r="DF5" s="162"/>
      <c r="DG5" s="161"/>
      <c r="DH5" s="162"/>
      <c r="DI5" s="161"/>
      <c r="DJ5" s="162"/>
      <c r="DK5" s="161"/>
      <c r="DL5" s="162"/>
      <c r="DM5" s="161"/>
      <c r="DN5" s="162"/>
      <c r="DO5" s="161"/>
      <c r="DP5" s="162"/>
      <c r="DQ5" s="161"/>
      <c r="DR5" s="162"/>
      <c r="DS5" s="161"/>
      <c r="DT5" s="162"/>
      <c r="DU5" s="161"/>
      <c r="DV5" s="162"/>
    </row>
    <row r="6" spans="1:126" x14ac:dyDescent="0.2">
      <c r="A6" s="160" t="s">
        <v>18</v>
      </c>
      <c r="B6" s="160" t="s">
        <v>20</v>
      </c>
      <c r="C6" s="161">
        <f t="shared" si="0"/>
        <v>0</v>
      </c>
      <c r="D6" s="162">
        <f t="shared" si="0"/>
        <v>0</v>
      </c>
      <c r="E6" s="161">
        <f t="shared" si="1"/>
        <v>0</v>
      </c>
      <c r="F6" s="162">
        <f t="shared" si="2"/>
        <v>0</v>
      </c>
      <c r="G6" s="161">
        <f t="shared" si="3"/>
        <v>0</v>
      </c>
      <c r="H6" s="162">
        <f t="shared" si="3"/>
        <v>0</v>
      </c>
      <c r="I6" s="161"/>
      <c r="J6" s="162"/>
      <c r="K6" s="161"/>
      <c r="L6" s="162"/>
      <c r="M6" s="161"/>
      <c r="N6" s="162"/>
      <c r="O6" s="161"/>
      <c r="P6" s="162"/>
      <c r="Q6" s="161"/>
      <c r="R6" s="162"/>
      <c r="S6" s="161"/>
      <c r="T6" s="162"/>
      <c r="U6" s="161"/>
      <c r="V6" s="162"/>
      <c r="W6" s="161"/>
      <c r="X6" s="162"/>
      <c r="Y6" s="161"/>
      <c r="Z6" s="162"/>
      <c r="AA6" s="161"/>
      <c r="AB6" s="162"/>
      <c r="AC6" s="161"/>
      <c r="AD6" s="162"/>
      <c r="AE6" s="161"/>
      <c r="AF6" s="162"/>
      <c r="AG6" s="161"/>
      <c r="AH6" s="162"/>
      <c r="AI6" s="161"/>
      <c r="AJ6" s="162"/>
      <c r="AK6" s="161"/>
      <c r="AL6" s="162"/>
      <c r="AM6" s="161"/>
      <c r="AN6" s="162"/>
      <c r="AO6" s="161"/>
      <c r="AP6" s="162"/>
      <c r="AQ6" s="161"/>
      <c r="AR6" s="162"/>
      <c r="AS6" s="161"/>
      <c r="AT6" s="162"/>
      <c r="AU6" s="161"/>
      <c r="AV6" s="162"/>
      <c r="AW6" s="161"/>
      <c r="AX6" s="162"/>
      <c r="AY6" s="161"/>
      <c r="AZ6" s="162"/>
      <c r="BA6" s="161"/>
      <c r="BB6" s="162"/>
      <c r="BC6" s="161"/>
      <c r="BD6" s="162"/>
      <c r="BE6" s="161"/>
      <c r="BF6" s="162"/>
      <c r="BG6" s="161"/>
      <c r="BH6" s="162"/>
      <c r="BI6" s="161"/>
      <c r="BJ6" s="162"/>
      <c r="BK6" s="161"/>
      <c r="BL6" s="162"/>
      <c r="BM6" s="161"/>
      <c r="BN6" s="162"/>
      <c r="BO6" s="161"/>
      <c r="BP6" s="162"/>
      <c r="BQ6" s="161"/>
      <c r="BR6" s="162"/>
      <c r="BS6" s="161"/>
      <c r="BT6" s="162"/>
      <c r="BU6" s="161"/>
      <c r="BV6" s="162"/>
      <c r="BW6" s="161"/>
      <c r="BX6" s="162"/>
      <c r="BY6" s="161"/>
      <c r="BZ6" s="162"/>
      <c r="CA6" s="161"/>
      <c r="CB6" s="162"/>
      <c r="CC6" s="161"/>
      <c r="CD6" s="162"/>
      <c r="CE6" s="161"/>
      <c r="CF6" s="162"/>
      <c r="CG6" s="161"/>
      <c r="CH6" s="162"/>
      <c r="CI6" s="161"/>
      <c r="CJ6" s="162"/>
      <c r="CK6" s="161"/>
      <c r="CL6" s="162"/>
      <c r="CM6" s="161"/>
      <c r="CN6" s="162"/>
      <c r="CO6" s="161"/>
      <c r="CP6" s="162"/>
      <c r="CQ6" s="161"/>
      <c r="CR6" s="162"/>
      <c r="CS6" s="161"/>
      <c r="CT6" s="162"/>
      <c r="CU6" s="161"/>
      <c r="CV6" s="162"/>
      <c r="CW6" s="161"/>
      <c r="CX6" s="162"/>
      <c r="CY6" s="161"/>
      <c r="CZ6" s="162"/>
      <c r="DA6" s="161"/>
      <c r="DB6" s="162"/>
      <c r="DC6" s="161"/>
      <c r="DD6" s="162"/>
      <c r="DE6" s="161"/>
      <c r="DF6" s="162"/>
      <c r="DG6" s="161"/>
      <c r="DH6" s="162"/>
      <c r="DI6" s="161"/>
      <c r="DJ6" s="162"/>
      <c r="DK6" s="161"/>
      <c r="DL6" s="162"/>
      <c r="DM6" s="161"/>
      <c r="DN6" s="162"/>
      <c r="DO6" s="161"/>
      <c r="DP6" s="162"/>
      <c r="DQ6" s="161"/>
      <c r="DR6" s="162"/>
      <c r="DS6" s="161"/>
      <c r="DT6" s="162"/>
      <c r="DU6" s="161"/>
      <c r="DV6" s="162"/>
    </row>
    <row r="7" spans="1:126" x14ac:dyDescent="0.2">
      <c r="A7" s="160" t="s">
        <v>21</v>
      </c>
      <c r="B7" s="160" t="s">
        <v>23</v>
      </c>
      <c r="C7" s="161">
        <f t="shared" si="0"/>
        <v>0</v>
      </c>
      <c r="D7" s="162">
        <f t="shared" si="0"/>
        <v>524</v>
      </c>
      <c r="E7" s="161">
        <f t="shared" si="1"/>
        <v>0</v>
      </c>
      <c r="F7" s="162">
        <f t="shared" si="2"/>
        <v>524</v>
      </c>
      <c r="G7" s="161">
        <f t="shared" si="3"/>
        <v>0</v>
      </c>
      <c r="H7" s="162">
        <f t="shared" si="3"/>
        <v>0</v>
      </c>
      <c r="I7" s="161"/>
      <c r="J7" s="162"/>
      <c r="K7" s="161"/>
      <c r="L7" s="162"/>
      <c r="M7" s="161"/>
      <c r="N7" s="162"/>
      <c r="O7" s="161"/>
      <c r="P7" s="162"/>
      <c r="Q7" s="161"/>
      <c r="R7" s="162">
        <v>524</v>
      </c>
      <c r="S7" s="161"/>
      <c r="T7" s="162"/>
      <c r="U7" s="161"/>
      <c r="V7" s="162"/>
      <c r="W7" s="161"/>
      <c r="X7" s="162"/>
      <c r="Y7" s="161"/>
      <c r="Z7" s="162"/>
      <c r="AA7" s="161"/>
      <c r="AB7" s="162"/>
      <c r="AC7" s="161"/>
      <c r="AD7" s="162"/>
      <c r="AE7" s="161"/>
      <c r="AF7" s="162"/>
      <c r="AG7" s="161"/>
      <c r="AH7" s="162"/>
      <c r="AI7" s="161"/>
      <c r="AJ7" s="162"/>
      <c r="AK7" s="161"/>
      <c r="AL7" s="162"/>
      <c r="AM7" s="161"/>
      <c r="AN7" s="162"/>
      <c r="AO7" s="161"/>
      <c r="AP7" s="162"/>
      <c r="AQ7" s="161"/>
      <c r="AR7" s="162"/>
      <c r="AS7" s="161"/>
      <c r="AT7" s="162"/>
      <c r="AU7" s="161"/>
      <c r="AV7" s="162"/>
      <c r="AW7" s="161"/>
      <c r="AX7" s="162"/>
      <c r="AY7" s="161"/>
      <c r="AZ7" s="162"/>
      <c r="BA7" s="161"/>
      <c r="BB7" s="162"/>
      <c r="BC7" s="161"/>
      <c r="BD7" s="162"/>
      <c r="BE7" s="161"/>
      <c r="BF7" s="162"/>
      <c r="BG7" s="161"/>
      <c r="BH7" s="162"/>
      <c r="BI7" s="161"/>
      <c r="BJ7" s="162"/>
      <c r="BK7" s="161"/>
      <c r="BL7" s="162"/>
      <c r="BM7" s="161"/>
      <c r="BN7" s="162"/>
      <c r="BO7" s="161"/>
      <c r="BP7" s="162"/>
      <c r="BQ7" s="161"/>
      <c r="BR7" s="162"/>
      <c r="BS7" s="161"/>
      <c r="BT7" s="162"/>
      <c r="BU7" s="161"/>
      <c r="BV7" s="162"/>
      <c r="BW7" s="161"/>
      <c r="BX7" s="162"/>
      <c r="BY7" s="161"/>
      <c r="BZ7" s="162"/>
      <c r="CA7" s="161"/>
      <c r="CB7" s="162"/>
      <c r="CC7" s="161"/>
      <c r="CD7" s="162"/>
      <c r="CE7" s="161"/>
      <c r="CF7" s="162"/>
      <c r="CG7" s="161"/>
      <c r="CH7" s="162"/>
      <c r="CI7" s="161"/>
      <c r="CJ7" s="162"/>
      <c r="CK7" s="161"/>
      <c r="CL7" s="162"/>
      <c r="CM7" s="161"/>
      <c r="CN7" s="162"/>
      <c r="CO7" s="161"/>
      <c r="CP7" s="162"/>
      <c r="CQ7" s="161"/>
      <c r="CR7" s="162"/>
      <c r="CS7" s="161"/>
      <c r="CT7" s="162"/>
      <c r="CU7" s="161"/>
      <c r="CV7" s="162"/>
      <c r="CW7" s="161"/>
      <c r="CX7" s="162"/>
      <c r="CY7" s="161"/>
      <c r="CZ7" s="162"/>
      <c r="DA7" s="161"/>
      <c r="DB7" s="162"/>
      <c r="DC7" s="161"/>
      <c r="DD7" s="162"/>
      <c r="DE7" s="161"/>
      <c r="DF7" s="162"/>
      <c r="DG7" s="161"/>
      <c r="DH7" s="162"/>
      <c r="DI7" s="161"/>
      <c r="DJ7" s="162"/>
      <c r="DK7" s="161"/>
      <c r="DL7" s="162"/>
      <c r="DM7" s="161"/>
      <c r="DN7" s="162"/>
      <c r="DO7" s="161"/>
      <c r="DP7" s="162"/>
      <c r="DQ7" s="161"/>
      <c r="DR7" s="162"/>
      <c r="DS7" s="161"/>
      <c r="DT7" s="162"/>
      <c r="DU7" s="161"/>
      <c r="DV7" s="162"/>
    </row>
    <row r="8" spans="1:126" x14ac:dyDescent="0.2">
      <c r="A8" s="160" t="s">
        <v>24</v>
      </c>
      <c r="B8" s="160" t="s">
        <v>26</v>
      </c>
      <c r="C8" s="161">
        <f t="shared" si="0"/>
        <v>672</v>
      </c>
      <c r="D8" s="162">
        <f t="shared" si="0"/>
        <v>672</v>
      </c>
      <c r="E8" s="161">
        <f t="shared" si="1"/>
        <v>672</v>
      </c>
      <c r="F8" s="162">
        <f t="shared" si="2"/>
        <v>672</v>
      </c>
      <c r="G8" s="161">
        <f t="shared" si="3"/>
        <v>0</v>
      </c>
      <c r="H8" s="162">
        <f t="shared" si="3"/>
        <v>0</v>
      </c>
      <c r="I8" s="161"/>
      <c r="J8" s="162"/>
      <c r="K8" s="161"/>
      <c r="L8" s="162"/>
      <c r="M8" s="161"/>
      <c r="N8" s="162"/>
      <c r="O8" s="161"/>
      <c r="P8" s="162"/>
      <c r="Q8" s="161">
        <v>672</v>
      </c>
      <c r="R8" s="162">
        <v>672</v>
      </c>
      <c r="S8" s="161"/>
      <c r="T8" s="162"/>
      <c r="U8" s="161"/>
      <c r="V8" s="162"/>
      <c r="W8" s="161"/>
      <c r="X8" s="162"/>
      <c r="Y8" s="161"/>
      <c r="Z8" s="162"/>
      <c r="AA8" s="161"/>
      <c r="AB8" s="162"/>
      <c r="AC8" s="161"/>
      <c r="AD8" s="162"/>
      <c r="AE8" s="161"/>
      <c r="AF8" s="162"/>
      <c r="AG8" s="161"/>
      <c r="AH8" s="162"/>
      <c r="AI8" s="161"/>
      <c r="AJ8" s="162"/>
      <c r="AK8" s="161"/>
      <c r="AL8" s="162"/>
      <c r="AM8" s="161"/>
      <c r="AN8" s="162"/>
      <c r="AO8" s="161"/>
      <c r="AP8" s="162"/>
      <c r="AQ8" s="161"/>
      <c r="AR8" s="162"/>
      <c r="AS8" s="161"/>
      <c r="AT8" s="162"/>
      <c r="AU8" s="161"/>
      <c r="AV8" s="162"/>
      <c r="AW8" s="161"/>
      <c r="AX8" s="162"/>
      <c r="AY8" s="161"/>
      <c r="AZ8" s="162"/>
      <c r="BA8" s="161"/>
      <c r="BB8" s="162"/>
      <c r="BC8" s="161"/>
      <c r="BD8" s="162"/>
      <c r="BE8" s="161"/>
      <c r="BF8" s="162"/>
      <c r="BG8" s="161"/>
      <c r="BH8" s="162"/>
      <c r="BI8" s="161"/>
      <c r="BJ8" s="162"/>
      <c r="BK8" s="161"/>
      <c r="BL8" s="162"/>
      <c r="BM8" s="161"/>
      <c r="BN8" s="162"/>
      <c r="BO8" s="161"/>
      <c r="BP8" s="162"/>
      <c r="BQ8" s="161"/>
      <c r="BR8" s="162"/>
      <c r="BS8" s="161"/>
      <c r="BT8" s="162"/>
      <c r="BU8" s="161"/>
      <c r="BV8" s="162"/>
      <c r="BW8" s="161"/>
      <c r="BX8" s="162"/>
      <c r="BY8" s="161"/>
      <c r="BZ8" s="162"/>
      <c r="CA8" s="161"/>
      <c r="CB8" s="162"/>
      <c r="CC8" s="161"/>
      <c r="CD8" s="162"/>
      <c r="CE8" s="161"/>
      <c r="CF8" s="162"/>
      <c r="CG8" s="161"/>
      <c r="CH8" s="162"/>
      <c r="CI8" s="161"/>
      <c r="CJ8" s="162"/>
      <c r="CK8" s="161"/>
      <c r="CL8" s="162"/>
      <c r="CM8" s="161"/>
      <c r="CN8" s="162"/>
      <c r="CO8" s="161"/>
      <c r="CP8" s="162"/>
      <c r="CQ8" s="161"/>
      <c r="CR8" s="162"/>
      <c r="CS8" s="161"/>
      <c r="CT8" s="162"/>
      <c r="CU8" s="161"/>
      <c r="CV8" s="162"/>
      <c r="CW8" s="161"/>
      <c r="CX8" s="162"/>
      <c r="CY8" s="161"/>
      <c r="CZ8" s="162"/>
      <c r="DA8" s="161"/>
      <c r="DB8" s="162"/>
      <c r="DC8" s="161"/>
      <c r="DD8" s="162"/>
      <c r="DE8" s="161"/>
      <c r="DF8" s="162"/>
      <c r="DG8" s="161"/>
      <c r="DH8" s="162"/>
      <c r="DI8" s="161"/>
      <c r="DJ8" s="162"/>
      <c r="DK8" s="161"/>
      <c r="DL8" s="162"/>
      <c r="DM8" s="161"/>
      <c r="DN8" s="162"/>
      <c r="DO8" s="161"/>
      <c r="DP8" s="162"/>
      <c r="DQ8" s="161"/>
      <c r="DR8" s="162"/>
      <c r="DS8" s="161"/>
      <c r="DT8" s="162"/>
      <c r="DU8" s="161"/>
      <c r="DV8" s="162"/>
    </row>
    <row r="9" spans="1:126" x14ac:dyDescent="0.2">
      <c r="A9" s="160" t="s">
        <v>27</v>
      </c>
      <c r="B9" s="160" t="s">
        <v>29</v>
      </c>
      <c r="C9" s="161">
        <f t="shared" si="0"/>
        <v>0</v>
      </c>
      <c r="D9" s="162">
        <f t="shared" si="0"/>
        <v>0</v>
      </c>
      <c r="E9" s="161">
        <f t="shared" si="1"/>
        <v>0</v>
      </c>
      <c r="F9" s="162">
        <f t="shared" si="2"/>
        <v>0</v>
      </c>
      <c r="G9" s="161">
        <f t="shared" si="3"/>
        <v>0</v>
      </c>
      <c r="H9" s="162">
        <f t="shared" si="3"/>
        <v>0</v>
      </c>
      <c r="I9" s="161"/>
      <c r="J9" s="162"/>
      <c r="K9" s="161"/>
      <c r="L9" s="162"/>
      <c r="M9" s="161"/>
      <c r="N9" s="162"/>
      <c r="O9" s="161"/>
      <c r="P9" s="162"/>
      <c r="Q9" s="161"/>
      <c r="R9" s="162"/>
      <c r="S9" s="161"/>
      <c r="T9" s="162"/>
      <c r="U9" s="161"/>
      <c r="V9" s="162"/>
      <c r="W9" s="161"/>
      <c r="X9" s="162"/>
      <c r="Y9" s="161"/>
      <c r="Z9" s="162"/>
      <c r="AA9" s="161"/>
      <c r="AB9" s="162"/>
      <c r="AC9" s="161"/>
      <c r="AD9" s="162"/>
      <c r="AE9" s="161"/>
      <c r="AF9" s="162"/>
      <c r="AG9" s="161"/>
      <c r="AH9" s="162"/>
      <c r="AI9" s="161"/>
      <c r="AJ9" s="162"/>
      <c r="AK9" s="161"/>
      <c r="AL9" s="162"/>
      <c r="AM9" s="161"/>
      <c r="AN9" s="162"/>
      <c r="AO9" s="161"/>
      <c r="AP9" s="162"/>
      <c r="AQ9" s="161"/>
      <c r="AR9" s="162"/>
      <c r="AS9" s="161"/>
      <c r="AT9" s="162"/>
      <c r="AU9" s="161"/>
      <c r="AV9" s="162"/>
      <c r="AW9" s="161"/>
      <c r="AX9" s="162"/>
      <c r="AY9" s="161"/>
      <c r="AZ9" s="162"/>
      <c r="BA9" s="161"/>
      <c r="BB9" s="162"/>
      <c r="BC9" s="161"/>
      <c r="BD9" s="162"/>
      <c r="BE9" s="161"/>
      <c r="BF9" s="162"/>
      <c r="BG9" s="161"/>
      <c r="BH9" s="162"/>
      <c r="BI9" s="161"/>
      <c r="BJ9" s="162"/>
      <c r="BK9" s="161"/>
      <c r="BL9" s="162"/>
      <c r="BM9" s="161"/>
      <c r="BN9" s="162"/>
      <c r="BO9" s="161"/>
      <c r="BP9" s="162"/>
      <c r="BQ9" s="161"/>
      <c r="BR9" s="162"/>
      <c r="BS9" s="161"/>
      <c r="BT9" s="162"/>
      <c r="BU9" s="161"/>
      <c r="BV9" s="162"/>
      <c r="BW9" s="161"/>
      <c r="BX9" s="162"/>
      <c r="BY9" s="161"/>
      <c r="BZ9" s="162"/>
      <c r="CA9" s="161"/>
      <c r="CB9" s="162"/>
      <c r="CC9" s="161"/>
      <c r="CD9" s="162"/>
      <c r="CE9" s="161"/>
      <c r="CF9" s="162"/>
      <c r="CG9" s="161"/>
      <c r="CH9" s="162"/>
      <c r="CI9" s="161"/>
      <c r="CJ9" s="162"/>
      <c r="CK9" s="161"/>
      <c r="CL9" s="162"/>
      <c r="CM9" s="161"/>
      <c r="CN9" s="162"/>
      <c r="CO9" s="161"/>
      <c r="CP9" s="162"/>
      <c r="CQ9" s="161"/>
      <c r="CR9" s="162"/>
      <c r="CS9" s="161"/>
      <c r="CT9" s="162"/>
      <c r="CU9" s="161"/>
      <c r="CV9" s="162"/>
      <c r="CW9" s="161"/>
      <c r="CX9" s="162"/>
      <c r="CY9" s="161"/>
      <c r="CZ9" s="162"/>
      <c r="DA9" s="161"/>
      <c r="DB9" s="162"/>
      <c r="DC9" s="161"/>
      <c r="DD9" s="162"/>
      <c r="DE9" s="161"/>
      <c r="DF9" s="162"/>
      <c r="DG9" s="161"/>
      <c r="DH9" s="162"/>
      <c r="DI9" s="161"/>
      <c r="DJ9" s="162"/>
      <c r="DK9" s="161"/>
      <c r="DL9" s="162"/>
      <c r="DM9" s="161"/>
      <c r="DN9" s="162"/>
      <c r="DO9" s="161"/>
      <c r="DP9" s="162"/>
      <c r="DQ9" s="161"/>
      <c r="DR9" s="162"/>
      <c r="DS9" s="161"/>
      <c r="DT9" s="162"/>
      <c r="DU9" s="161"/>
      <c r="DV9" s="162"/>
    </row>
    <row r="10" spans="1:126" x14ac:dyDescent="0.2">
      <c r="A10" s="160" t="s">
        <v>30</v>
      </c>
      <c r="B10" s="160" t="s">
        <v>32</v>
      </c>
      <c r="C10" s="161">
        <f t="shared" si="0"/>
        <v>350</v>
      </c>
      <c r="D10" s="162">
        <f t="shared" si="0"/>
        <v>350</v>
      </c>
      <c r="E10" s="161">
        <f t="shared" si="1"/>
        <v>350</v>
      </c>
      <c r="F10" s="162">
        <f t="shared" si="2"/>
        <v>350</v>
      </c>
      <c r="G10" s="161">
        <f t="shared" si="3"/>
        <v>0</v>
      </c>
      <c r="H10" s="162">
        <f t="shared" si="3"/>
        <v>0</v>
      </c>
      <c r="I10" s="161"/>
      <c r="J10" s="162"/>
      <c r="K10" s="161"/>
      <c r="L10" s="162"/>
      <c r="M10" s="161"/>
      <c r="N10" s="162"/>
      <c r="O10" s="161"/>
      <c r="P10" s="162"/>
      <c r="Q10" s="161">
        <v>350</v>
      </c>
      <c r="R10" s="162">
        <v>350</v>
      </c>
      <c r="S10" s="161"/>
      <c r="T10" s="162"/>
      <c r="U10" s="161"/>
      <c r="V10" s="162"/>
      <c r="W10" s="161"/>
      <c r="X10" s="162"/>
      <c r="Y10" s="161"/>
      <c r="Z10" s="162"/>
      <c r="AA10" s="161"/>
      <c r="AB10" s="162"/>
      <c r="AC10" s="161"/>
      <c r="AD10" s="162"/>
      <c r="AE10" s="161"/>
      <c r="AF10" s="162"/>
      <c r="AG10" s="161"/>
      <c r="AH10" s="162"/>
      <c r="AI10" s="161"/>
      <c r="AJ10" s="162"/>
      <c r="AK10" s="161"/>
      <c r="AL10" s="162"/>
      <c r="AM10" s="161"/>
      <c r="AN10" s="162"/>
      <c r="AO10" s="161"/>
      <c r="AP10" s="162"/>
      <c r="AQ10" s="161"/>
      <c r="AR10" s="162"/>
      <c r="AS10" s="161"/>
      <c r="AT10" s="162"/>
      <c r="AU10" s="161"/>
      <c r="AV10" s="162"/>
      <c r="AW10" s="161"/>
      <c r="AX10" s="162"/>
      <c r="AY10" s="161"/>
      <c r="AZ10" s="162"/>
      <c r="BA10" s="161"/>
      <c r="BB10" s="162"/>
      <c r="BC10" s="161"/>
      <c r="BD10" s="162"/>
      <c r="BE10" s="161"/>
      <c r="BF10" s="162"/>
      <c r="BG10" s="161"/>
      <c r="BH10" s="162"/>
      <c r="BI10" s="161"/>
      <c r="BJ10" s="162"/>
      <c r="BK10" s="161"/>
      <c r="BL10" s="162"/>
      <c r="BM10" s="161"/>
      <c r="BN10" s="162"/>
      <c r="BO10" s="161"/>
      <c r="BP10" s="162"/>
      <c r="BQ10" s="161"/>
      <c r="BR10" s="162"/>
      <c r="BS10" s="161"/>
      <c r="BT10" s="162"/>
      <c r="BU10" s="161"/>
      <c r="BV10" s="162"/>
      <c r="BW10" s="161"/>
      <c r="BX10" s="162"/>
      <c r="BY10" s="161"/>
      <c r="BZ10" s="162"/>
      <c r="CA10" s="161"/>
      <c r="CB10" s="162"/>
      <c r="CC10" s="161"/>
      <c r="CD10" s="162"/>
      <c r="CE10" s="161"/>
      <c r="CF10" s="162"/>
      <c r="CG10" s="161"/>
      <c r="CH10" s="162"/>
      <c r="CI10" s="161"/>
      <c r="CJ10" s="162"/>
      <c r="CK10" s="161"/>
      <c r="CL10" s="162"/>
      <c r="CM10" s="161"/>
      <c r="CN10" s="162"/>
      <c r="CO10" s="161"/>
      <c r="CP10" s="162"/>
      <c r="CQ10" s="161"/>
      <c r="CR10" s="162"/>
      <c r="CS10" s="161"/>
      <c r="CT10" s="162"/>
      <c r="CU10" s="161"/>
      <c r="CV10" s="162"/>
      <c r="CW10" s="161"/>
      <c r="CX10" s="162"/>
      <c r="CY10" s="161"/>
      <c r="CZ10" s="162"/>
      <c r="DA10" s="161"/>
      <c r="DB10" s="162"/>
      <c r="DC10" s="161"/>
      <c r="DD10" s="162"/>
      <c r="DE10" s="161"/>
      <c r="DF10" s="162"/>
      <c r="DG10" s="161"/>
      <c r="DH10" s="162"/>
      <c r="DI10" s="161"/>
      <c r="DJ10" s="162"/>
      <c r="DK10" s="161"/>
      <c r="DL10" s="162"/>
      <c r="DM10" s="161"/>
      <c r="DN10" s="162"/>
      <c r="DO10" s="161"/>
      <c r="DP10" s="162"/>
      <c r="DQ10" s="161"/>
      <c r="DR10" s="162"/>
      <c r="DS10" s="161"/>
      <c r="DT10" s="162"/>
      <c r="DU10" s="161"/>
      <c r="DV10" s="162"/>
    </row>
    <row r="11" spans="1:126" x14ac:dyDescent="0.2">
      <c r="A11" s="160" t="s">
        <v>33</v>
      </c>
      <c r="B11" s="160" t="s">
        <v>35</v>
      </c>
      <c r="C11" s="161">
        <f t="shared" si="0"/>
        <v>0</v>
      </c>
      <c r="D11" s="162">
        <f t="shared" si="0"/>
        <v>144</v>
      </c>
      <c r="E11" s="161">
        <f t="shared" si="1"/>
        <v>0</v>
      </c>
      <c r="F11" s="162">
        <f t="shared" si="2"/>
        <v>144</v>
      </c>
      <c r="G11" s="161">
        <f t="shared" si="3"/>
        <v>0</v>
      </c>
      <c r="H11" s="162">
        <f t="shared" si="3"/>
        <v>0</v>
      </c>
      <c r="I11" s="161"/>
      <c r="J11" s="162"/>
      <c r="K11" s="161"/>
      <c r="L11" s="162"/>
      <c r="M11" s="161"/>
      <c r="N11" s="162"/>
      <c r="O11" s="161"/>
      <c r="P11" s="162"/>
      <c r="Q11" s="161"/>
      <c r="R11" s="162">
        <v>84</v>
      </c>
      <c r="S11" s="161"/>
      <c r="T11" s="162"/>
      <c r="U11" s="161"/>
      <c r="V11" s="162"/>
      <c r="W11" s="161"/>
      <c r="X11" s="162"/>
      <c r="Y11" s="161"/>
      <c r="Z11" s="162"/>
      <c r="AA11" s="161"/>
      <c r="AB11" s="162"/>
      <c r="AC11" s="161"/>
      <c r="AD11" s="162"/>
      <c r="AE11" s="161"/>
      <c r="AF11" s="162">
        <v>60</v>
      </c>
      <c r="AG11" s="161"/>
      <c r="AH11" s="162"/>
      <c r="AI11" s="161"/>
      <c r="AJ11" s="162"/>
      <c r="AK11" s="161"/>
      <c r="AL11" s="162"/>
      <c r="AM11" s="161"/>
      <c r="AN11" s="162"/>
      <c r="AO11" s="161"/>
      <c r="AP11" s="162"/>
      <c r="AQ11" s="161"/>
      <c r="AR11" s="162"/>
      <c r="AS11" s="161"/>
      <c r="AT11" s="162"/>
      <c r="AU11" s="161"/>
      <c r="AV11" s="162"/>
      <c r="AW11" s="161"/>
      <c r="AX11" s="162"/>
      <c r="AY11" s="161"/>
      <c r="AZ11" s="162"/>
      <c r="BA11" s="161"/>
      <c r="BB11" s="162"/>
      <c r="BC11" s="161"/>
      <c r="BD11" s="162"/>
      <c r="BE11" s="161"/>
      <c r="BF11" s="162"/>
      <c r="BG11" s="161"/>
      <c r="BH11" s="162"/>
      <c r="BI11" s="161"/>
      <c r="BJ11" s="162"/>
      <c r="BK11" s="161"/>
      <c r="BL11" s="162"/>
      <c r="BM11" s="161"/>
      <c r="BN11" s="162"/>
      <c r="BO11" s="161"/>
      <c r="BP11" s="162"/>
      <c r="BQ11" s="161"/>
      <c r="BR11" s="162"/>
      <c r="BS11" s="161"/>
      <c r="BT11" s="162"/>
      <c r="BU11" s="161"/>
      <c r="BV11" s="162"/>
      <c r="BW11" s="161"/>
      <c r="BX11" s="162"/>
      <c r="BY11" s="161"/>
      <c r="BZ11" s="162"/>
      <c r="CA11" s="161"/>
      <c r="CB11" s="162"/>
      <c r="CC11" s="161"/>
      <c r="CD11" s="162"/>
      <c r="CE11" s="161"/>
      <c r="CF11" s="162"/>
      <c r="CG11" s="161"/>
      <c r="CH11" s="162"/>
      <c r="CI11" s="161"/>
      <c r="CJ11" s="162"/>
      <c r="CK11" s="161"/>
      <c r="CL11" s="162"/>
      <c r="CM11" s="161"/>
      <c r="CN11" s="162"/>
      <c r="CO11" s="161"/>
      <c r="CP11" s="162"/>
      <c r="CQ11" s="161"/>
      <c r="CR11" s="162"/>
      <c r="CS11" s="161"/>
      <c r="CT11" s="162"/>
      <c r="CU11" s="161"/>
      <c r="CV11" s="162"/>
      <c r="CW11" s="161"/>
      <c r="CX11" s="162"/>
      <c r="CY11" s="161"/>
      <c r="CZ11" s="162"/>
      <c r="DA11" s="161"/>
      <c r="DB11" s="162"/>
      <c r="DC11" s="161"/>
      <c r="DD11" s="162"/>
      <c r="DE11" s="161"/>
      <c r="DF11" s="162"/>
      <c r="DG11" s="161"/>
      <c r="DH11" s="162"/>
      <c r="DI11" s="161"/>
      <c r="DJ11" s="162"/>
      <c r="DK11" s="161"/>
      <c r="DL11" s="162"/>
      <c r="DM11" s="161"/>
      <c r="DN11" s="162"/>
      <c r="DO11" s="161"/>
      <c r="DP11" s="162"/>
      <c r="DQ11" s="161"/>
      <c r="DR11" s="162"/>
      <c r="DS11" s="161"/>
      <c r="DT11" s="162"/>
      <c r="DU11" s="161"/>
      <c r="DV11" s="162"/>
    </row>
    <row r="12" spans="1:126" x14ac:dyDescent="0.2">
      <c r="A12" s="160" t="s">
        <v>36</v>
      </c>
      <c r="B12" s="160" t="s">
        <v>38</v>
      </c>
      <c r="C12" s="161">
        <f t="shared" si="0"/>
        <v>0</v>
      </c>
      <c r="D12" s="162">
        <f t="shared" si="0"/>
        <v>0</v>
      </c>
      <c r="E12" s="161">
        <f t="shared" si="1"/>
        <v>0</v>
      </c>
      <c r="F12" s="162">
        <f t="shared" si="2"/>
        <v>0</v>
      </c>
      <c r="G12" s="161">
        <f t="shared" si="3"/>
        <v>0</v>
      </c>
      <c r="H12" s="162">
        <f t="shared" si="3"/>
        <v>0</v>
      </c>
      <c r="I12" s="161"/>
      <c r="J12" s="162"/>
      <c r="K12" s="161"/>
      <c r="L12" s="162"/>
      <c r="M12" s="161"/>
      <c r="N12" s="162"/>
      <c r="O12" s="161"/>
      <c r="P12" s="162"/>
      <c r="Q12" s="161"/>
      <c r="R12" s="162"/>
      <c r="S12" s="161"/>
      <c r="T12" s="162"/>
      <c r="U12" s="161"/>
      <c r="V12" s="162"/>
      <c r="W12" s="161"/>
      <c r="X12" s="162"/>
      <c r="Y12" s="161"/>
      <c r="Z12" s="162"/>
      <c r="AA12" s="161"/>
      <c r="AB12" s="162"/>
      <c r="AC12" s="161"/>
      <c r="AD12" s="162"/>
      <c r="AE12" s="161"/>
      <c r="AF12" s="162"/>
      <c r="AG12" s="161"/>
      <c r="AH12" s="162"/>
      <c r="AI12" s="161"/>
      <c r="AJ12" s="162"/>
      <c r="AK12" s="161"/>
      <c r="AL12" s="162"/>
      <c r="AM12" s="161"/>
      <c r="AN12" s="162"/>
      <c r="AO12" s="161"/>
      <c r="AP12" s="162"/>
      <c r="AQ12" s="161"/>
      <c r="AR12" s="162"/>
      <c r="AS12" s="161"/>
      <c r="AT12" s="162"/>
      <c r="AU12" s="161"/>
      <c r="AV12" s="162"/>
      <c r="AW12" s="161"/>
      <c r="AX12" s="162"/>
      <c r="AY12" s="161"/>
      <c r="AZ12" s="162"/>
      <c r="BA12" s="161"/>
      <c r="BB12" s="162"/>
      <c r="BC12" s="161"/>
      <c r="BD12" s="162"/>
      <c r="BE12" s="161"/>
      <c r="BF12" s="162"/>
      <c r="BG12" s="161"/>
      <c r="BH12" s="162"/>
      <c r="BI12" s="161"/>
      <c r="BJ12" s="162"/>
      <c r="BK12" s="161"/>
      <c r="BL12" s="162"/>
      <c r="BM12" s="161"/>
      <c r="BN12" s="162"/>
      <c r="BO12" s="161"/>
      <c r="BP12" s="162"/>
      <c r="BQ12" s="161"/>
      <c r="BR12" s="162"/>
      <c r="BS12" s="161"/>
      <c r="BT12" s="162"/>
      <c r="BU12" s="161"/>
      <c r="BV12" s="162"/>
      <c r="BW12" s="161"/>
      <c r="BX12" s="162"/>
      <c r="BY12" s="161"/>
      <c r="BZ12" s="162"/>
      <c r="CA12" s="161"/>
      <c r="CB12" s="162"/>
      <c r="CC12" s="161"/>
      <c r="CD12" s="162"/>
      <c r="CE12" s="161"/>
      <c r="CF12" s="162"/>
      <c r="CG12" s="161"/>
      <c r="CH12" s="162"/>
      <c r="CI12" s="161"/>
      <c r="CJ12" s="162"/>
      <c r="CK12" s="161"/>
      <c r="CL12" s="162"/>
      <c r="CM12" s="161"/>
      <c r="CN12" s="162"/>
      <c r="CO12" s="161"/>
      <c r="CP12" s="162"/>
      <c r="CQ12" s="161"/>
      <c r="CR12" s="162"/>
      <c r="CS12" s="161"/>
      <c r="CT12" s="162"/>
      <c r="CU12" s="161"/>
      <c r="CV12" s="162"/>
      <c r="CW12" s="161"/>
      <c r="CX12" s="162"/>
      <c r="CY12" s="161"/>
      <c r="CZ12" s="162"/>
      <c r="DA12" s="161"/>
      <c r="DB12" s="162"/>
      <c r="DC12" s="161"/>
      <c r="DD12" s="162"/>
      <c r="DE12" s="161"/>
      <c r="DF12" s="162"/>
      <c r="DG12" s="161"/>
      <c r="DH12" s="162"/>
      <c r="DI12" s="161"/>
      <c r="DJ12" s="162"/>
      <c r="DK12" s="161"/>
      <c r="DL12" s="162"/>
      <c r="DM12" s="161"/>
      <c r="DN12" s="162"/>
      <c r="DO12" s="161"/>
      <c r="DP12" s="162"/>
      <c r="DQ12" s="161"/>
      <c r="DR12" s="162"/>
      <c r="DS12" s="161"/>
      <c r="DT12" s="162"/>
      <c r="DU12" s="161"/>
      <c r="DV12" s="162"/>
    </row>
    <row r="13" spans="1:126" x14ac:dyDescent="0.2">
      <c r="A13" s="160" t="s">
        <v>39</v>
      </c>
      <c r="B13" s="160" t="s">
        <v>41</v>
      </c>
      <c r="C13" s="161">
        <f t="shared" si="0"/>
        <v>0</v>
      </c>
      <c r="D13" s="162">
        <f t="shared" si="0"/>
        <v>0</v>
      </c>
      <c r="E13" s="161">
        <f t="shared" si="1"/>
        <v>0</v>
      </c>
      <c r="F13" s="162">
        <f t="shared" si="2"/>
        <v>0</v>
      </c>
      <c r="G13" s="161">
        <f t="shared" si="3"/>
        <v>0</v>
      </c>
      <c r="H13" s="162">
        <f t="shared" si="3"/>
        <v>0</v>
      </c>
      <c r="I13" s="161"/>
      <c r="J13" s="162"/>
      <c r="K13" s="161"/>
      <c r="L13" s="162"/>
      <c r="M13" s="161"/>
      <c r="N13" s="162"/>
      <c r="O13" s="161"/>
      <c r="P13" s="162"/>
      <c r="Q13" s="161"/>
      <c r="R13" s="162"/>
      <c r="S13" s="161"/>
      <c r="T13" s="162"/>
      <c r="U13" s="161"/>
      <c r="V13" s="162"/>
      <c r="W13" s="161"/>
      <c r="X13" s="162"/>
      <c r="Y13" s="161"/>
      <c r="Z13" s="162"/>
      <c r="AA13" s="161"/>
      <c r="AB13" s="162"/>
      <c r="AC13" s="161"/>
      <c r="AD13" s="162"/>
      <c r="AE13" s="161"/>
      <c r="AF13" s="162"/>
      <c r="AG13" s="161"/>
      <c r="AH13" s="162"/>
      <c r="AI13" s="161"/>
      <c r="AJ13" s="162"/>
      <c r="AK13" s="161"/>
      <c r="AL13" s="162"/>
      <c r="AM13" s="161"/>
      <c r="AN13" s="162"/>
      <c r="AO13" s="161"/>
      <c r="AP13" s="162"/>
      <c r="AQ13" s="161"/>
      <c r="AR13" s="162"/>
      <c r="AS13" s="161"/>
      <c r="AT13" s="162"/>
      <c r="AU13" s="161"/>
      <c r="AV13" s="162"/>
      <c r="AW13" s="161"/>
      <c r="AX13" s="162"/>
      <c r="AY13" s="161"/>
      <c r="AZ13" s="162"/>
      <c r="BA13" s="161"/>
      <c r="BB13" s="162"/>
      <c r="BC13" s="161"/>
      <c r="BD13" s="162"/>
      <c r="BE13" s="161"/>
      <c r="BF13" s="162"/>
      <c r="BG13" s="161"/>
      <c r="BH13" s="162"/>
      <c r="BI13" s="161"/>
      <c r="BJ13" s="162"/>
      <c r="BK13" s="161"/>
      <c r="BL13" s="162"/>
      <c r="BM13" s="161"/>
      <c r="BN13" s="162"/>
      <c r="BO13" s="161"/>
      <c r="BP13" s="162"/>
      <c r="BQ13" s="161"/>
      <c r="BR13" s="162"/>
      <c r="BS13" s="161"/>
      <c r="BT13" s="162"/>
      <c r="BU13" s="161"/>
      <c r="BV13" s="162"/>
      <c r="BW13" s="161"/>
      <c r="BX13" s="162"/>
      <c r="BY13" s="161"/>
      <c r="BZ13" s="162"/>
      <c r="CA13" s="161"/>
      <c r="CB13" s="162"/>
      <c r="CC13" s="161"/>
      <c r="CD13" s="162"/>
      <c r="CE13" s="161"/>
      <c r="CF13" s="162"/>
      <c r="CG13" s="161"/>
      <c r="CH13" s="162"/>
      <c r="CI13" s="161"/>
      <c r="CJ13" s="162"/>
      <c r="CK13" s="161"/>
      <c r="CL13" s="162"/>
      <c r="CM13" s="161"/>
      <c r="CN13" s="162"/>
      <c r="CO13" s="161"/>
      <c r="CP13" s="162"/>
      <c r="CQ13" s="161"/>
      <c r="CR13" s="162"/>
      <c r="CS13" s="161"/>
      <c r="CT13" s="162"/>
      <c r="CU13" s="161"/>
      <c r="CV13" s="162"/>
      <c r="CW13" s="161"/>
      <c r="CX13" s="162"/>
      <c r="CY13" s="161"/>
      <c r="CZ13" s="162"/>
      <c r="DA13" s="161"/>
      <c r="DB13" s="162"/>
      <c r="DC13" s="161"/>
      <c r="DD13" s="162"/>
      <c r="DE13" s="161"/>
      <c r="DF13" s="162"/>
      <c r="DG13" s="161"/>
      <c r="DH13" s="162"/>
      <c r="DI13" s="161"/>
      <c r="DJ13" s="162"/>
      <c r="DK13" s="161"/>
      <c r="DL13" s="162"/>
      <c r="DM13" s="161"/>
      <c r="DN13" s="162"/>
      <c r="DO13" s="161"/>
      <c r="DP13" s="162"/>
      <c r="DQ13" s="161"/>
      <c r="DR13" s="162"/>
      <c r="DS13" s="161"/>
      <c r="DT13" s="162"/>
      <c r="DU13" s="161"/>
      <c r="DV13" s="162"/>
    </row>
    <row r="14" spans="1:126" x14ac:dyDescent="0.2">
      <c r="A14" s="160" t="s">
        <v>42</v>
      </c>
      <c r="B14" s="160" t="s">
        <v>861</v>
      </c>
      <c r="C14" s="161">
        <f>E14+G14+I14</f>
        <v>15643</v>
      </c>
      <c r="D14" s="162">
        <f t="shared" si="0"/>
        <v>23414</v>
      </c>
      <c r="E14" s="161">
        <f t="shared" si="1"/>
        <v>100</v>
      </c>
      <c r="F14" s="162">
        <f t="shared" si="2"/>
        <v>100</v>
      </c>
      <c r="G14" s="161">
        <f t="shared" si="3"/>
        <v>15543</v>
      </c>
      <c r="H14" s="162">
        <f t="shared" si="3"/>
        <v>23314</v>
      </c>
      <c r="I14" s="161"/>
      <c r="J14" s="162"/>
      <c r="K14" s="161"/>
      <c r="L14" s="162"/>
      <c r="M14" s="161"/>
      <c r="N14" s="162"/>
      <c r="O14" s="161"/>
      <c r="P14" s="162"/>
      <c r="Q14" s="161">
        <v>100</v>
      </c>
      <c r="R14" s="162">
        <v>100</v>
      </c>
      <c r="S14" s="161"/>
      <c r="T14" s="162"/>
      <c r="U14" s="161"/>
      <c r="V14" s="162"/>
      <c r="W14" s="161"/>
      <c r="X14" s="162"/>
      <c r="Y14" s="161"/>
      <c r="Z14" s="162"/>
      <c r="AA14" s="161"/>
      <c r="AB14" s="162"/>
      <c r="AC14" s="161"/>
      <c r="AD14" s="162"/>
      <c r="AE14" s="161"/>
      <c r="AF14" s="162"/>
      <c r="AG14" s="161"/>
      <c r="AH14" s="162"/>
      <c r="AI14" s="161"/>
      <c r="AJ14" s="162"/>
      <c r="AK14" s="161"/>
      <c r="AL14" s="162"/>
      <c r="AM14" s="161"/>
      <c r="AN14" s="162"/>
      <c r="AO14" s="161"/>
      <c r="AP14" s="162"/>
      <c r="AQ14" s="161"/>
      <c r="AR14" s="162"/>
      <c r="AS14" s="161"/>
      <c r="AT14" s="162"/>
      <c r="AU14" s="161"/>
      <c r="AV14" s="162"/>
      <c r="AW14" s="161"/>
      <c r="AX14" s="162"/>
      <c r="AY14" s="161"/>
      <c r="AZ14" s="162"/>
      <c r="BA14" s="161"/>
      <c r="BB14" s="162"/>
      <c r="BC14" s="161"/>
      <c r="BD14" s="162"/>
      <c r="BE14" s="161"/>
      <c r="BF14" s="162"/>
      <c r="BG14" s="161"/>
      <c r="BH14" s="162"/>
      <c r="BI14" s="161"/>
      <c r="BJ14" s="162"/>
      <c r="BK14" s="161"/>
      <c r="BL14" s="162"/>
      <c r="BM14" s="161"/>
      <c r="BN14" s="162"/>
      <c r="BO14" s="161"/>
      <c r="BP14" s="162"/>
      <c r="BQ14" s="161"/>
      <c r="BR14" s="162"/>
      <c r="BS14" s="161"/>
      <c r="BT14" s="162"/>
      <c r="BU14" s="161"/>
      <c r="BV14" s="162"/>
      <c r="BW14" s="161"/>
      <c r="BX14" s="162"/>
      <c r="BY14" s="161"/>
      <c r="BZ14" s="162"/>
      <c r="CA14" s="161"/>
      <c r="CB14" s="162"/>
      <c r="CC14" s="161"/>
      <c r="CD14" s="162"/>
      <c r="CE14" s="161"/>
      <c r="CF14" s="162"/>
      <c r="CG14" s="161"/>
      <c r="CH14" s="162"/>
      <c r="CI14" s="161"/>
      <c r="CJ14" s="162"/>
      <c r="CK14" s="161"/>
      <c r="CL14" s="162"/>
      <c r="CM14" s="161"/>
      <c r="CN14" s="162"/>
      <c r="CO14" s="161"/>
      <c r="CP14" s="162"/>
      <c r="CQ14" s="161"/>
      <c r="CR14" s="162"/>
      <c r="CS14" s="161"/>
      <c r="CT14" s="162"/>
      <c r="CU14" s="161"/>
      <c r="CV14" s="162"/>
      <c r="CW14" s="161"/>
      <c r="CX14" s="162"/>
      <c r="CY14" s="161"/>
      <c r="CZ14" s="162"/>
      <c r="DA14" s="161"/>
      <c r="DB14" s="162"/>
      <c r="DC14" s="161"/>
      <c r="DD14" s="162"/>
      <c r="DE14" s="161"/>
      <c r="DF14" s="162"/>
      <c r="DG14" s="161"/>
      <c r="DH14" s="162"/>
      <c r="DI14" s="161"/>
      <c r="DJ14" s="162"/>
      <c r="DK14" s="161"/>
      <c r="DL14" s="162"/>
      <c r="DM14" s="161"/>
      <c r="DN14" s="162"/>
      <c r="DO14" s="161"/>
      <c r="DP14" s="162"/>
      <c r="DQ14" s="161"/>
      <c r="DR14" s="162"/>
      <c r="DS14" s="161">
        <v>15543</v>
      </c>
      <c r="DT14" s="162">
        <v>23314</v>
      </c>
      <c r="DU14" s="161"/>
      <c r="DV14" s="162"/>
    </row>
    <row r="15" spans="1:126" x14ac:dyDescent="0.2">
      <c r="A15" s="160" t="s">
        <v>48</v>
      </c>
      <c r="B15" s="160" t="s">
        <v>50</v>
      </c>
      <c r="C15" s="161">
        <f>E15+G15+I15</f>
        <v>0</v>
      </c>
      <c r="D15" s="162">
        <f t="shared" si="0"/>
        <v>44181</v>
      </c>
      <c r="E15" s="161">
        <f t="shared" si="1"/>
        <v>0</v>
      </c>
      <c r="F15" s="162">
        <f t="shared" si="2"/>
        <v>44181</v>
      </c>
      <c r="G15" s="161">
        <f t="shared" si="3"/>
        <v>0</v>
      </c>
      <c r="H15" s="162">
        <f t="shared" si="3"/>
        <v>0</v>
      </c>
      <c r="I15" s="161"/>
      <c r="J15" s="162"/>
      <c r="K15" s="161"/>
      <c r="L15" s="162"/>
      <c r="M15" s="161"/>
      <c r="N15" s="162"/>
      <c r="O15" s="161"/>
      <c r="P15" s="162"/>
      <c r="Q15" s="161"/>
      <c r="R15" s="162"/>
      <c r="S15" s="161"/>
      <c r="T15" s="162"/>
      <c r="U15" s="161"/>
      <c r="V15" s="162"/>
      <c r="W15" s="161"/>
      <c r="X15" s="162"/>
      <c r="Y15" s="161"/>
      <c r="Z15" s="162"/>
      <c r="AA15" s="161"/>
      <c r="AB15" s="162"/>
      <c r="AC15" s="161"/>
      <c r="AD15" s="162"/>
      <c r="AE15" s="161"/>
      <c r="AF15" s="162">
        <f>23776+6660+1696+6282+5767</f>
        <v>44181</v>
      </c>
      <c r="AG15" s="161"/>
      <c r="AH15" s="162"/>
      <c r="AI15" s="161"/>
      <c r="AJ15" s="162"/>
      <c r="AK15" s="161"/>
      <c r="AL15" s="162"/>
      <c r="AM15" s="161"/>
      <c r="AN15" s="162"/>
      <c r="AO15" s="161"/>
      <c r="AP15" s="162"/>
      <c r="AQ15" s="161"/>
      <c r="AR15" s="162"/>
      <c r="AS15" s="161"/>
      <c r="AT15" s="162"/>
      <c r="AU15" s="161"/>
      <c r="AV15" s="162"/>
      <c r="AW15" s="161"/>
      <c r="AX15" s="162"/>
      <c r="AY15" s="161"/>
      <c r="AZ15" s="162"/>
      <c r="BA15" s="161"/>
      <c r="BB15" s="162"/>
      <c r="BC15" s="161"/>
      <c r="BD15" s="162"/>
      <c r="BE15" s="161"/>
      <c r="BF15" s="162"/>
      <c r="BG15" s="161"/>
      <c r="BH15" s="162"/>
      <c r="BI15" s="161"/>
      <c r="BJ15" s="162"/>
      <c r="BK15" s="161"/>
      <c r="BL15" s="162"/>
      <c r="BM15" s="161"/>
      <c r="BN15" s="162"/>
      <c r="BO15" s="161"/>
      <c r="BP15" s="162"/>
      <c r="BQ15" s="161"/>
      <c r="BR15" s="162"/>
      <c r="BS15" s="161"/>
      <c r="BT15" s="162"/>
      <c r="BU15" s="161"/>
      <c r="BV15" s="162"/>
      <c r="BW15" s="161"/>
      <c r="BX15" s="162"/>
      <c r="BY15" s="161"/>
      <c r="BZ15" s="162"/>
      <c r="CA15" s="161"/>
      <c r="CB15" s="162"/>
      <c r="CC15" s="161"/>
      <c r="CD15" s="162"/>
      <c r="CE15" s="161"/>
      <c r="CF15" s="162"/>
      <c r="CG15" s="161"/>
      <c r="CH15" s="162"/>
      <c r="CI15" s="161"/>
      <c r="CJ15" s="162"/>
      <c r="CK15" s="161"/>
      <c r="CL15" s="162"/>
      <c r="CM15" s="161"/>
      <c r="CN15" s="162"/>
      <c r="CO15" s="161"/>
      <c r="CP15" s="162"/>
      <c r="CQ15" s="161"/>
      <c r="CR15" s="162"/>
      <c r="CS15" s="161"/>
      <c r="CT15" s="162"/>
      <c r="CU15" s="161"/>
      <c r="CV15" s="162"/>
      <c r="CW15" s="161"/>
      <c r="CX15" s="162"/>
      <c r="CY15" s="161"/>
      <c r="CZ15" s="162"/>
      <c r="DA15" s="161"/>
      <c r="DB15" s="162"/>
      <c r="DC15" s="161"/>
      <c r="DD15" s="162"/>
      <c r="DE15" s="161"/>
      <c r="DF15" s="162"/>
      <c r="DG15" s="161"/>
      <c r="DH15" s="162"/>
      <c r="DI15" s="161"/>
      <c r="DJ15" s="162"/>
      <c r="DK15" s="161"/>
      <c r="DL15" s="162"/>
      <c r="DM15" s="161"/>
      <c r="DN15" s="162"/>
      <c r="DO15" s="161"/>
      <c r="DP15" s="162"/>
      <c r="DQ15" s="161"/>
      <c r="DR15" s="162"/>
      <c r="DS15" s="161"/>
      <c r="DT15" s="162"/>
      <c r="DU15" s="161"/>
      <c r="DV15" s="162"/>
    </row>
    <row r="16" spans="1:126" x14ac:dyDescent="0.2">
      <c r="A16" s="160" t="s">
        <v>51</v>
      </c>
      <c r="B16" s="160" t="s">
        <v>862</v>
      </c>
      <c r="C16" s="161">
        <f>E16+G16+I16</f>
        <v>150</v>
      </c>
      <c r="D16" s="162">
        <f t="shared" si="0"/>
        <v>20000</v>
      </c>
      <c r="E16" s="161">
        <f t="shared" si="1"/>
        <v>150</v>
      </c>
      <c r="F16" s="162">
        <f t="shared" si="2"/>
        <v>20000</v>
      </c>
      <c r="G16" s="161">
        <f t="shared" si="3"/>
        <v>0</v>
      </c>
      <c r="H16" s="162">
        <f t="shared" si="3"/>
        <v>0</v>
      </c>
      <c r="I16" s="161"/>
      <c r="J16" s="162"/>
      <c r="K16" s="161"/>
      <c r="L16" s="162"/>
      <c r="M16" s="161"/>
      <c r="N16" s="162"/>
      <c r="O16" s="161"/>
      <c r="P16" s="162"/>
      <c r="Q16" s="161">
        <v>150</v>
      </c>
      <c r="R16" s="162">
        <v>0</v>
      </c>
      <c r="S16" s="161"/>
      <c r="T16" s="162"/>
      <c r="U16" s="161"/>
      <c r="V16" s="162"/>
      <c r="W16" s="161"/>
      <c r="X16" s="162"/>
      <c r="Y16" s="161"/>
      <c r="Z16" s="162"/>
      <c r="AA16" s="161"/>
      <c r="AB16" s="162"/>
      <c r="AC16" s="161"/>
      <c r="AD16" s="162"/>
      <c r="AE16" s="161"/>
      <c r="AF16" s="162">
        <v>20000</v>
      </c>
      <c r="AG16" s="161"/>
      <c r="AH16" s="162"/>
      <c r="AI16" s="161"/>
      <c r="AJ16" s="162"/>
      <c r="AK16" s="161"/>
      <c r="AL16" s="162"/>
      <c r="AM16" s="161"/>
      <c r="AN16" s="162"/>
      <c r="AO16" s="161"/>
      <c r="AP16" s="162"/>
      <c r="AQ16" s="161"/>
      <c r="AR16" s="162"/>
      <c r="AS16" s="161"/>
      <c r="AT16" s="162"/>
      <c r="AU16" s="161"/>
      <c r="AV16" s="162"/>
      <c r="AW16" s="161"/>
      <c r="AX16" s="162"/>
      <c r="AY16" s="161"/>
      <c r="AZ16" s="162"/>
      <c r="BA16" s="161"/>
      <c r="BB16" s="162"/>
      <c r="BC16" s="161"/>
      <c r="BD16" s="162"/>
      <c r="BE16" s="161"/>
      <c r="BF16" s="162"/>
      <c r="BG16" s="161"/>
      <c r="BH16" s="162"/>
      <c r="BI16" s="161"/>
      <c r="BJ16" s="162"/>
      <c r="BK16" s="161"/>
      <c r="BL16" s="162"/>
      <c r="BM16" s="161"/>
      <c r="BN16" s="162"/>
      <c r="BO16" s="161"/>
      <c r="BP16" s="162"/>
      <c r="BQ16" s="161"/>
      <c r="BR16" s="162"/>
      <c r="BS16" s="161"/>
      <c r="BT16" s="162"/>
      <c r="BU16" s="161"/>
      <c r="BV16" s="162"/>
      <c r="BW16" s="161"/>
      <c r="BX16" s="162"/>
      <c r="BY16" s="161"/>
      <c r="BZ16" s="162"/>
      <c r="CA16" s="161"/>
      <c r="CB16" s="162"/>
      <c r="CC16" s="161"/>
      <c r="CD16" s="162"/>
      <c r="CE16" s="161"/>
      <c r="CF16" s="162"/>
      <c r="CG16" s="161"/>
      <c r="CH16" s="162"/>
      <c r="CI16" s="161"/>
      <c r="CJ16" s="162"/>
      <c r="CK16" s="161"/>
      <c r="CL16" s="162"/>
      <c r="CM16" s="161"/>
      <c r="CN16" s="162"/>
      <c r="CO16" s="161"/>
      <c r="CP16" s="162"/>
      <c r="CQ16" s="161"/>
      <c r="CR16" s="162"/>
      <c r="CS16" s="161"/>
      <c r="CT16" s="162"/>
      <c r="CU16" s="161"/>
      <c r="CV16" s="162"/>
      <c r="CW16" s="161"/>
      <c r="CX16" s="162"/>
      <c r="CY16" s="161"/>
      <c r="CZ16" s="162"/>
      <c r="DA16" s="161"/>
      <c r="DB16" s="162"/>
      <c r="DC16" s="161"/>
      <c r="DD16" s="162"/>
      <c r="DE16" s="161"/>
      <c r="DF16" s="162"/>
      <c r="DG16" s="161"/>
      <c r="DH16" s="162"/>
      <c r="DI16" s="161"/>
      <c r="DJ16" s="162"/>
      <c r="DK16" s="161"/>
      <c r="DL16" s="162"/>
      <c r="DM16" s="161"/>
      <c r="DN16" s="162"/>
      <c r="DO16" s="161"/>
      <c r="DP16" s="162"/>
      <c r="DQ16" s="161"/>
      <c r="DR16" s="162"/>
      <c r="DS16" s="161"/>
      <c r="DT16" s="162"/>
      <c r="DU16" s="161"/>
      <c r="DV16" s="162"/>
    </row>
    <row r="17" spans="1:126" x14ac:dyDescent="0.2">
      <c r="A17" s="160" t="s">
        <v>54</v>
      </c>
      <c r="B17" s="160" t="s">
        <v>285</v>
      </c>
      <c r="C17" s="161">
        <f>E17+G17+I17</f>
        <v>2650</v>
      </c>
      <c r="D17" s="162">
        <f t="shared" si="0"/>
        <v>31413</v>
      </c>
      <c r="E17" s="161">
        <f t="shared" si="1"/>
        <v>1050</v>
      </c>
      <c r="F17" s="162">
        <f t="shared" si="2"/>
        <v>572</v>
      </c>
      <c r="G17" s="161">
        <f t="shared" si="3"/>
        <v>1600</v>
      </c>
      <c r="H17" s="162">
        <f>AL17+AN17+AP17+AR17+AT17+AV17+AX17+AZ17+BB17+BD17+BF17+BH17+BJ17+BL17+BN17+BP17+BR17+BT17+BV17+BX17+BZ17+CB17+CD17+CF17+CH17+CJ17+CL17+CN17+CP17+CR17+CT17+CV17+CX17+DB17+CZ17+DD17+DF17+DH17+DJ17+DL17+DN17+DP17+DR17+DT17+DV17</f>
        <v>30841</v>
      </c>
      <c r="I17" s="161"/>
      <c r="J17" s="162"/>
      <c r="K17" s="161"/>
      <c r="L17" s="162"/>
      <c r="M17" s="161"/>
      <c r="N17" s="162"/>
      <c r="O17" s="161"/>
      <c r="P17" s="162"/>
      <c r="Q17" s="161">
        <v>50</v>
      </c>
      <c r="R17" s="162">
        <v>50</v>
      </c>
      <c r="S17" s="161"/>
      <c r="T17" s="162"/>
      <c r="U17" s="161"/>
      <c r="V17" s="162"/>
      <c r="W17" s="161"/>
      <c r="X17" s="162"/>
      <c r="Y17" s="161"/>
      <c r="Z17" s="162"/>
      <c r="AA17" s="161"/>
      <c r="AB17" s="162"/>
      <c r="AC17" s="161"/>
      <c r="AD17" s="162"/>
      <c r="AE17" s="161">
        <v>1000</v>
      </c>
      <c r="AF17" s="162">
        <v>522</v>
      </c>
      <c r="AG17" s="161"/>
      <c r="AH17" s="162"/>
      <c r="AI17" s="161"/>
      <c r="AJ17" s="162"/>
      <c r="AK17" s="161"/>
      <c r="AL17" s="162"/>
      <c r="AM17" s="161"/>
      <c r="AN17" s="162"/>
      <c r="AO17" s="161"/>
      <c r="AP17" s="162"/>
      <c r="AQ17" s="161"/>
      <c r="AR17" s="162">
        <v>1000</v>
      </c>
      <c r="AS17" s="161"/>
      <c r="AT17" s="162">
        <f>2000+1200</f>
        <v>3200</v>
      </c>
      <c r="AU17" s="161"/>
      <c r="AV17" s="162"/>
      <c r="AW17" s="161"/>
      <c r="AX17" s="162"/>
      <c r="AY17" s="161"/>
      <c r="AZ17" s="162"/>
      <c r="BA17" s="161"/>
      <c r="BB17" s="162"/>
      <c r="BC17" s="161"/>
      <c r="BD17" s="162"/>
      <c r="BE17" s="161"/>
      <c r="BF17" s="162"/>
      <c r="BG17" s="161"/>
      <c r="BH17" s="162"/>
      <c r="BI17" s="161"/>
      <c r="BJ17" s="162"/>
      <c r="BK17" s="161"/>
      <c r="BL17" s="162"/>
      <c r="BM17" s="161"/>
      <c r="BN17" s="162"/>
      <c r="BO17" s="161"/>
      <c r="BP17" s="162"/>
      <c r="BQ17" s="161"/>
      <c r="BR17" s="162"/>
      <c r="BS17" s="161"/>
      <c r="BT17" s="162"/>
      <c r="BU17" s="161"/>
      <c r="BV17" s="162"/>
      <c r="BW17" s="161"/>
      <c r="BX17" s="162"/>
      <c r="BY17" s="161"/>
      <c r="BZ17" s="162"/>
      <c r="CA17" s="161"/>
      <c r="CB17" s="162"/>
      <c r="CC17" s="161"/>
      <c r="CD17" s="162"/>
      <c r="CE17" s="161"/>
      <c r="CF17" s="162"/>
      <c r="CG17" s="161"/>
      <c r="CH17" s="162"/>
      <c r="CI17" s="161"/>
      <c r="CJ17" s="162"/>
      <c r="CK17" s="161"/>
      <c r="CL17" s="162"/>
      <c r="CM17" s="161"/>
      <c r="CN17" s="162"/>
      <c r="CO17" s="161"/>
      <c r="CP17" s="162"/>
      <c r="CQ17" s="161"/>
      <c r="CR17" s="162"/>
      <c r="CS17" s="161"/>
      <c r="CT17" s="162">
        <v>12000</v>
      </c>
      <c r="CU17" s="161"/>
      <c r="CV17" s="162"/>
      <c r="CW17" s="161"/>
      <c r="CX17" s="162"/>
      <c r="CY17" s="161"/>
      <c r="CZ17" s="162"/>
      <c r="DA17" s="161"/>
      <c r="DB17" s="162"/>
      <c r="DC17" s="161"/>
      <c r="DD17" s="162"/>
      <c r="DE17" s="161"/>
      <c r="DF17" s="162"/>
      <c r="DG17" s="161">
        <v>1600</v>
      </c>
      <c r="DH17" s="162">
        <v>14641</v>
      </c>
      <c r="DI17" s="161"/>
      <c r="DJ17" s="162"/>
      <c r="DK17" s="161"/>
      <c r="DL17" s="162"/>
      <c r="DM17" s="161"/>
      <c r="DN17" s="162"/>
      <c r="DO17" s="161"/>
      <c r="DP17" s="162"/>
      <c r="DQ17" s="161"/>
      <c r="DR17" s="162"/>
      <c r="DS17" s="161"/>
      <c r="DT17" s="162"/>
      <c r="DU17" s="161"/>
      <c r="DV17" s="162"/>
    </row>
    <row r="18" spans="1:126" s="166" customFormat="1" x14ac:dyDescent="0.2">
      <c r="A18" s="163" t="s">
        <v>863</v>
      </c>
      <c r="B18" s="163" t="s">
        <v>286</v>
      </c>
      <c r="C18" s="164">
        <f t="shared" ref="C18:BO18" si="4">SUM(C2:C17)</f>
        <v>39976</v>
      </c>
      <c r="D18" s="165">
        <f>SUM(D2:D17)</f>
        <v>162200</v>
      </c>
      <c r="E18" s="164">
        <f t="shared" si="4"/>
        <v>22833</v>
      </c>
      <c r="F18" s="165">
        <f t="shared" si="4"/>
        <v>108045</v>
      </c>
      <c r="G18" s="164">
        <f t="shared" si="4"/>
        <v>17143</v>
      </c>
      <c r="H18" s="165">
        <f t="shared" si="4"/>
        <v>54155</v>
      </c>
      <c r="I18" s="164">
        <f t="shared" si="4"/>
        <v>0</v>
      </c>
      <c r="J18" s="165">
        <f t="shared" si="4"/>
        <v>0</v>
      </c>
      <c r="K18" s="164">
        <f t="shared" si="4"/>
        <v>0</v>
      </c>
      <c r="L18" s="165">
        <f t="shared" si="4"/>
        <v>0</v>
      </c>
      <c r="M18" s="164">
        <f t="shared" si="4"/>
        <v>0</v>
      </c>
      <c r="N18" s="165">
        <f t="shared" si="4"/>
        <v>0</v>
      </c>
      <c r="O18" s="164">
        <f t="shared" si="4"/>
        <v>0</v>
      </c>
      <c r="P18" s="165">
        <f t="shared" si="4"/>
        <v>0</v>
      </c>
      <c r="Q18" s="164">
        <f t="shared" si="4"/>
        <v>21833</v>
      </c>
      <c r="R18" s="165">
        <f t="shared" si="4"/>
        <v>23553</v>
      </c>
      <c r="S18" s="164">
        <f t="shared" si="4"/>
        <v>0</v>
      </c>
      <c r="T18" s="165">
        <f t="shared" ref="T18" si="5">SUM(T2:T17)</f>
        <v>0</v>
      </c>
      <c r="U18" s="164">
        <f t="shared" si="4"/>
        <v>0</v>
      </c>
      <c r="V18" s="165">
        <f t="shared" ref="V18" si="6">SUM(V2:V17)</f>
        <v>0</v>
      </c>
      <c r="W18" s="164">
        <f t="shared" si="4"/>
        <v>0</v>
      </c>
      <c r="X18" s="165">
        <f t="shared" si="4"/>
        <v>0</v>
      </c>
      <c r="Y18" s="164">
        <f t="shared" si="4"/>
        <v>0</v>
      </c>
      <c r="Z18" s="165">
        <f t="shared" si="4"/>
        <v>0</v>
      </c>
      <c r="AA18" s="164">
        <f t="shared" si="4"/>
        <v>0</v>
      </c>
      <c r="AB18" s="165">
        <f t="shared" ref="AB18" si="7">SUM(AB2:AB17)</f>
        <v>0</v>
      </c>
      <c r="AC18" s="164">
        <f t="shared" si="4"/>
        <v>0</v>
      </c>
      <c r="AD18" s="165">
        <f t="shared" ref="AD18" si="8">SUM(AD2:AD17)</f>
        <v>0</v>
      </c>
      <c r="AE18" s="164">
        <f t="shared" si="4"/>
        <v>1000</v>
      </c>
      <c r="AF18" s="165">
        <f t="shared" ref="AF18" si="9">SUM(AF2:AF17)</f>
        <v>76176</v>
      </c>
      <c r="AG18" s="164"/>
      <c r="AH18" s="165">
        <f t="shared" si="4"/>
        <v>8316</v>
      </c>
      <c r="AI18" s="164">
        <f t="shared" si="4"/>
        <v>0</v>
      </c>
      <c r="AJ18" s="165">
        <f t="shared" ref="AJ18" si="10">SUM(AJ2:AJ17)</f>
        <v>0</v>
      </c>
      <c r="AK18" s="164">
        <f t="shared" si="4"/>
        <v>0</v>
      </c>
      <c r="AL18" s="165">
        <f t="shared" si="4"/>
        <v>0</v>
      </c>
      <c r="AM18" s="164">
        <f t="shared" si="4"/>
        <v>0</v>
      </c>
      <c r="AN18" s="165"/>
      <c r="AO18" s="164">
        <f t="shared" si="4"/>
        <v>0</v>
      </c>
      <c r="AP18" s="165">
        <f t="shared" ref="AP18" si="11">SUM(AP2:AP17)</f>
        <v>0</v>
      </c>
      <c r="AQ18" s="164">
        <f t="shared" si="4"/>
        <v>0</v>
      </c>
      <c r="AR18" s="165">
        <f t="shared" ref="AR18" si="12">SUM(AR2:AR17)</f>
        <v>1000</v>
      </c>
      <c r="AS18" s="164">
        <f t="shared" si="4"/>
        <v>0</v>
      </c>
      <c r="AT18" s="165">
        <f t="shared" ref="AT18" si="13">SUM(AT2:AT17)</f>
        <v>3200</v>
      </c>
      <c r="AU18" s="164">
        <f t="shared" si="4"/>
        <v>0</v>
      </c>
      <c r="AV18" s="165">
        <f t="shared" ref="AV18" si="14">SUM(AV2:AV17)</f>
        <v>0</v>
      </c>
      <c r="AW18" s="164">
        <f t="shared" si="4"/>
        <v>0</v>
      </c>
      <c r="AX18" s="165">
        <f t="shared" ref="AX18" si="15">SUM(AX2:AX17)</f>
        <v>0</v>
      </c>
      <c r="AY18" s="164">
        <f t="shared" si="4"/>
        <v>0</v>
      </c>
      <c r="AZ18" s="165">
        <f t="shared" ref="AZ18" si="16">SUM(AZ2:AZ17)</f>
        <v>0</v>
      </c>
      <c r="BA18" s="164">
        <f t="shared" si="4"/>
        <v>0</v>
      </c>
      <c r="BB18" s="165">
        <f t="shared" ref="BB18" si="17">SUM(BB2:BB17)</f>
        <v>0</v>
      </c>
      <c r="BC18" s="164">
        <f t="shared" si="4"/>
        <v>0</v>
      </c>
      <c r="BD18" s="165">
        <f t="shared" ref="BD18" si="18">SUM(BD2:BD17)</f>
        <v>0</v>
      </c>
      <c r="BE18" s="164">
        <f t="shared" si="4"/>
        <v>0</v>
      </c>
      <c r="BF18" s="165">
        <f t="shared" ref="BF18" si="19">SUM(BF2:BF17)</f>
        <v>0</v>
      </c>
      <c r="BG18" s="164">
        <f t="shared" si="4"/>
        <v>0</v>
      </c>
      <c r="BH18" s="165">
        <f t="shared" ref="BH18" si="20">SUM(BH2:BH17)</f>
        <v>0</v>
      </c>
      <c r="BI18" s="164">
        <f t="shared" si="4"/>
        <v>0</v>
      </c>
      <c r="BJ18" s="165">
        <f t="shared" ref="BJ18" si="21">SUM(BJ2:BJ17)</f>
        <v>0</v>
      </c>
      <c r="BK18" s="164">
        <f t="shared" si="4"/>
        <v>0</v>
      </c>
      <c r="BL18" s="165">
        <f t="shared" ref="BL18" si="22">SUM(BL2:BL17)</f>
        <v>0</v>
      </c>
      <c r="BM18" s="164">
        <f t="shared" si="4"/>
        <v>0</v>
      </c>
      <c r="BN18" s="165">
        <f t="shared" ref="BN18" si="23">SUM(BN2:BN17)</f>
        <v>0</v>
      </c>
      <c r="BO18" s="164">
        <f t="shared" si="4"/>
        <v>0</v>
      </c>
      <c r="BP18" s="165">
        <f t="shared" ref="BP18" si="24">SUM(BP2:BP17)</f>
        <v>0</v>
      </c>
      <c r="BQ18" s="164">
        <f t="shared" ref="BQ18:DU18" si="25">SUM(BQ2:BQ17)</f>
        <v>0</v>
      </c>
      <c r="BR18" s="165">
        <f t="shared" ref="BR18" si="26">SUM(BR2:BR17)</f>
        <v>0</v>
      </c>
      <c r="BS18" s="164">
        <f t="shared" si="25"/>
        <v>0</v>
      </c>
      <c r="BT18" s="165">
        <f t="shared" ref="BT18" si="27">SUM(BT2:BT17)</f>
        <v>0</v>
      </c>
      <c r="BU18" s="164">
        <f t="shared" si="25"/>
        <v>0</v>
      </c>
      <c r="BV18" s="165">
        <f t="shared" ref="BV18" si="28">SUM(BV2:BV17)</f>
        <v>0</v>
      </c>
      <c r="BW18" s="164">
        <f t="shared" si="25"/>
        <v>0</v>
      </c>
      <c r="BX18" s="165">
        <f t="shared" ref="BX18" si="29">SUM(BX2:BX17)</f>
        <v>0</v>
      </c>
      <c r="BY18" s="164">
        <f t="shared" si="25"/>
        <v>0</v>
      </c>
      <c r="BZ18" s="165">
        <f t="shared" ref="BZ18" si="30">SUM(BZ2:BZ17)</f>
        <v>0</v>
      </c>
      <c r="CA18" s="164">
        <f t="shared" si="25"/>
        <v>0</v>
      </c>
      <c r="CB18" s="165">
        <f t="shared" ref="CB18" si="31">SUM(CB2:CB17)</f>
        <v>0</v>
      </c>
      <c r="CC18" s="164">
        <f t="shared" si="25"/>
        <v>0</v>
      </c>
      <c r="CD18" s="165">
        <f t="shared" ref="CD18" si="32">SUM(CD2:CD17)</f>
        <v>0</v>
      </c>
      <c r="CE18" s="164">
        <f t="shared" si="25"/>
        <v>0</v>
      </c>
      <c r="CF18" s="165">
        <f t="shared" ref="CF18" si="33">SUM(CF2:CF17)</f>
        <v>0</v>
      </c>
      <c r="CG18" s="164">
        <f t="shared" si="25"/>
        <v>0</v>
      </c>
      <c r="CH18" s="165">
        <f t="shared" ref="CH18" si="34">SUM(CH2:CH17)</f>
        <v>0</v>
      </c>
      <c r="CI18" s="164">
        <f t="shared" si="25"/>
        <v>0</v>
      </c>
      <c r="CJ18" s="165">
        <f t="shared" ref="CJ18" si="35">SUM(CJ2:CJ17)</f>
        <v>0</v>
      </c>
      <c r="CK18" s="164">
        <f t="shared" si="25"/>
        <v>0</v>
      </c>
      <c r="CL18" s="165">
        <f t="shared" ref="CL18" si="36">SUM(CL2:CL17)</f>
        <v>0</v>
      </c>
      <c r="CM18" s="164">
        <f t="shared" si="25"/>
        <v>0</v>
      </c>
      <c r="CN18" s="165">
        <f t="shared" ref="CN18" si="37">SUM(CN2:CN17)</f>
        <v>0</v>
      </c>
      <c r="CO18" s="164">
        <f t="shared" si="25"/>
        <v>0</v>
      </c>
      <c r="CP18" s="165">
        <f t="shared" ref="CP18" si="38">SUM(CP2:CP17)</f>
        <v>0</v>
      </c>
      <c r="CQ18" s="164">
        <f t="shared" si="25"/>
        <v>0</v>
      </c>
      <c r="CR18" s="165">
        <f t="shared" ref="CR18" si="39">SUM(CR2:CR17)</f>
        <v>0</v>
      </c>
      <c r="CS18" s="164">
        <f t="shared" si="25"/>
        <v>0</v>
      </c>
      <c r="CT18" s="165">
        <f t="shared" si="25"/>
        <v>12000</v>
      </c>
      <c r="CU18" s="164">
        <f t="shared" si="25"/>
        <v>0</v>
      </c>
      <c r="CV18" s="165">
        <f t="shared" ref="CV18" si="40">SUM(CV2:CV17)</f>
        <v>0</v>
      </c>
      <c r="CW18" s="164">
        <f t="shared" si="25"/>
        <v>0</v>
      </c>
      <c r="CX18" s="165">
        <f t="shared" ref="CX18" si="41">SUM(CX2:CX17)</f>
        <v>0</v>
      </c>
      <c r="CY18" s="164">
        <f t="shared" si="25"/>
        <v>0</v>
      </c>
      <c r="CZ18" s="165"/>
      <c r="DA18" s="164">
        <f t="shared" si="25"/>
        <v>0</v>
      </c>
      <c r="DB18" s="165"/>
      <c r="DC18" s="164">
        <f t="shared" si="25"/>
        <v>0</v>
      </c>
      <c r="DD18" s="165">
        <f t="shared" ref="DD18" si="42">SUM(DD2:DD17)</f>
        <v>0</v>
      </c>
      <c r="DE18" s="164">
        <f t="shared" si="25"/>
        <v>0</v>
      </c>
      <c r="DF18" s="165">
        <f t="shared" ref="DF18" si="43">SUM(DF2:DF17)</f>
        <v>0</v>
      </c>
      <c r="DG18" s="164">
        <f t="shared" si="25"/>
        <v>1600</v>
      </c>
      <c r="DH18" s="165">
        <f t="shared" ref="DH18" si="44">SUM(DH2:DH17)</f>
        <v>14641</v>
      </c>
      <c r="DI18" s="164">
        <f t="shared" si="25"/>
        <v>0</v>
      </c>
      <c r="DJ18" s="165">
        <f t="shared" ref="DJ18" si="45">SUM(DJ2:DJ17)</f>
        <v>0</v>
      </c>
      <c r="DK18" s="164">
        <f t="shared" si="25"/>
        <v>0</v>
      </c>
      <c r="DL18" s="165">
        <f t="shared" ref="DL18" si="46">SUM(DL2:DL17)</f>
        <v>0</v>
      </c>
      <c r="DM18" s="164">
        <f t="shared" si="25"/>
        <v>0</v>
      </c>
      <c r="DN18" s="165">
        <f t="shared" ref="DN18" si="47">SUM(DN2:DN17)</f>
        <v>0</v>
      </c>
      <c r="DO18" s="164">
        <f t="shared" si="25"/>
        <v>0</v>
      </c>
      <c r="DP18" s="165">
        <f t="shared" ref="DP18" si="48">SUM(DP2:DP17)</f>
        <v>0</v>
      </c>
      <c r="DQ18" s="164">
        <f t="shared" si="25"/>
        <v>0</v>
      </c>
      <c r="DR18" s="165"/>
      <c r="DS18" s="164">
        <f t="shared" si="25"/>
        <v>15543</v>
      </c>
      <c r="DT18" s="165">
        <f t="shared" ref="DT18" si="49">SUM(DT2:DT17)</f>
        <v>23314</v>
      </c>
      <c r="DU18" s="164">
        <f t="shared" si="25"/>
        <v>0</v>
      </c>
      <c r="DV18" s="165">
        <f t="shared" ref="DV18" si="50">SUM(DV2:DV17)</f>
        <v>0</v>
      </c>
    </row>
    <row r="19" spans="1:126" s="166" customFormat="1" x14ac:dyDescent="0.2">
      <c r="A19" s="163" t="s">
        <v>864</v>
      </c>
      <c r="B19" s="163" t="s">
        <v>287</v>
      </c>
      <c r="C19" s="164">
        <f>E19+G19+I19</f>
        <v>7350</v>
      </c>
      <c r="D19" s="165">
        <f>F19+H19+J19</f>
        <v>41861</v>
      </c>
      <c r="E19" s="164">
        <f>K19+M19+O18:O19+Q19+S19+U19+W19+Y19+AA19+AC19+AE19+AI19</f>
        <v>6379</v>
      </c>
      <c r="F19" s="165">
        <f>L19+N19+P18:P19+R19+T19+V19+X19+Z19+AB19+AD19+AF19+AJ19+AH19</f>
        <v>29235</v>
      </c>
      <c r="G19" s="164">
        <f t="shared" si="3"/>
        <v>971</v>
      </c>
      <c r="H19" s="165">
        <f t="shared" si="3"/>
        <v>12626</v>
      </c>
      <c r="I19" s="164"/>
      <c r="J19" s="165">
        <v>0</v>
      </c>
      <c r="K19" s="164"/>
      <c r="L19" s="165"/>
      <c r="M19" s="164"/>
      <c r="N19" s="165">
        <v>0</v>
      </c>
      <c r="O19" s="164">
        <f>ROUND(O17*1.19*0.43,0)</f>
        <v>0</v>
      </c>
      <c r="P19" s="165">
        <v>0</v>
      </c>
      <c r="Q19" s="164">
        <f>ROUND((Q17*1.19*0.43)+((Q2+Q5+Q14+Q16*0.9)*0.27)+(Q8*1.19*0.3),0)</f>
        <v>5867</v>
      </c>
      <c r="R19" s="165">
        <f>ROUND((R2+R3+R4+R5+R6+R7+R14+R15+R16)*0.27+R8*1.19*0.3+R17*1.19*0.43,0)</f>
        <v>6313</v>
      </c>
      <c r="S19" s="164"/>
      <c r="T19" s="165"/>
      <c r="U19" s="164"/>
      <c r="V19" s="165"/>
      <c r="W19" s="164"/>
      <c r="X19" s="165">
        <v>0</v>
      </c>
      <c r="Y19" s="164"/>
      <c r="Z19" s="165">
        <v>0</v>
      </c>
      <c r="AA19" s="164"/>
      <c r="AB19" s="165"/>
      <c r="AC19" s="164"/>
      <c r="AD19" s="165"/>
      <c r="AE19" s="164">
        <f>ROUND(AE18*1.19*(0.27+0.16),0)</f>
        <v>512</v>
      </c>
      <c r="AF19" s="165">
        <f>ROUND((AF2+AF3+AF4+AF5+AF6+AF7+AF15+AF14+AF16)*0.27+AF17*1.19*0.43,0)</f>
        <v>20677</v>
      </c>
      <c r="AG19" s="164"/>
      <c r="AH19" s="165">
        <f>ROUND((AH2+AH3+AH4+AH5+AH6+AH7+AH14+AH15+AH16)*0.27+AH8*1.19*0.3+AH17*1.19*0.43,0)</f>
        <v>2245</v>
      </c>
      <c r="AI19" s="164"/>
      <c r="AJ19" s="165"/>
      <c r="AK19" s="164"/>
      <c r="AL19" s="165">
        <v>0</v>
      </c>
      <c r="AM19" s="164"/>
      <c r="AN19" s="165"/>
      <c r="AO19" s="164"/>
      <c r="AP19" s="165"/>
      <c r="AQ19" s="164"/>
      <c r="AR19" s="165">
        <v>500</v>
      </c>
      <c r="AS19" s="164"/>
      <c r="AT19" s="165">
        <v>0</v>
      </c>
      <c r="AU19" s="164"/>
      <c r="AV19" s="165"/>
      <c r="AW19" s="164"/>
      <c r="AX19" s="165"/>
      <c r="AY19" s="164"/>
      <c r="AZ19" s="165"/>
      <c r="BA19" s="164"/>
      <c r="BB19" s="165"/>
      <c r="BC19" s="164"/>
      <c r="BD19" s="165"/>
      <c r="BE19" s="164"/>
      <c r="BF19" s="165"/>
      <c r="BG19" s="164"/>
      <c r="BH19" s="165"/>
      <c r="BI19" s="164"/>
      <c r="BJ19" s="165"/>
      <c r="BK19" s="164"/>
      <c r="BL19" s="165"/>
      <c r="BM19" s="164"/>
      <c r="BN19" s="165"/>
      <c r="BO19" s="164"/>
      <c r="BP19" s="165"/>
      <c r="BQ19" s="164"/>
      <c r="BR19" s="165"/>
      <c r="BS19" s="164"/>
      <c r="BT19" s="165"/>
      <c r="BU19" s="164"/>
      <c r="BV19" s="165"/>
      <c r="BW19" s="164"/>
      <c r="BX19" s="165"/>
      <c r="BY19" s="164"/>
      <c r="BZ19" s="165"/>
      <c r="CA19" s="164"/>
      <c r="CB19" s="165"/>
      <c r="CC19" s="164"/>
      <c r="CD19" s="165"/>
      <c r="CE19" s="164"/>
      <c r="CF19" s="165"/>
      <c r="CG19" s="164"/>
      <c r="CH19" s="165"/>
      <c r="CI19" s="164"/>
      <c r="CJ19" s="165"/>
      <c r="CK19" s="164"/>
      <c r="CL19" s="165"/>
      <c r="CM19" s="164"/>
      <c r="CN19" s="165"/>
      <c r="CO19" s="164"/>
      <c r="CP19" s="165"/>
      <c r="CQ19" s="164"/>
      <c r="CR19" s="165"/>
      <c r="CS19" s="164"/>
      <c r="CT19" s="165">
        <f>ROUND(CT17*0.27,0)</f>
        <v>3240</v>
      </c>
      <c r="CU19" s="164"/>
      <c r="CV19" s="165"/>
      <c r="CW19" s="164"/>
      <c r="CX19" s="165"/>
      <c r="CY19" s="164"/>
      <c r="CZ19" s="165"/>
      <c r="DA19" s="164"/>
      <c r="DB19" s="165"/>
      <c r="DC19" s="164"/>
      <c r="DD19" s="165"/>
      <c r="DE19" s="164"/>
      <c r="DF19" s="165"/>
      <c r="DG19" s="164">
        <v>971</v>
      </c>
      <c r="DH19" s="165">
        <v>8886</v>
      </c>
      <c r="DI19" s="164"/>
      <c r="DJ19" s="165"/>
      <c r="DK19" s="164"/>
      <c r="DL19" s="165"/>
      <c r="DM19" s="164"/>
      <c r="DN19" s="165"/>
      <c r="DO19" s="164"/>
      <c r="DP19" s="165"/>
      <c r="DQ19" s="164"/>
      <c r="DR19" s="165"/>
      <c r="DS19" s="164"/>
      <c r="DT19" s="165"/>
      <c r="DU19" s="164"/>
      <c r="DV19" s="165"/>
    </row>
    <row r="20" spans="1:126" x14ac:dyDescent="0.2">
      <c r="A20" s="160" t="s">
        <v>67</v>
      </c>
      <c r="B20" s="160" t="s">
        <v>865</v>
      </c>
      <c r="C20" s="161">
        <f>E20+G20+I20</f>
        <v>50</v>
      </c>
      <c r="D20" s="162">
        <f t="shared" ref="D20:D42" si="51">F20+H20+J20</f>
        <v>211</v>
      </c>
      <c r="E20" s="161">
        <f>K20+M20+O19:O20+Q20+S20+U20+W20+Y20+AA20+AC20+AE20+AI20</f>
        <v>50</v>
      </c>
      <c r="F20" s="162">
        <f t="shared" ref="F20:F42" si="52">L20+N20+P19:P20+R20+T20+V20+X20+Z20+AB20+AD20+AF20+AJ20+AH20</f>
        <v>211</v>
      </c>
      <c r="G20" s="161">
        <f t="shared" si="3"/>
        <v>0</v>
      </c>
      <c r="H20" s="162">
        <f t="shared" si="3"/>
        <v>0</v>
      </c>
      <c r="I20" s="161"/>
      <c r="J20" s="162"/>
      <c r="K20" s="161"/>
      <c r="L20" s="162"/>
      <c r="M20" s="161"/>
      <c r="N20" s="162"/>
      <c r="O20" s="161"/>
      <c r="P20" s="162"/>
      <c r="Q20" s="161">
        <v>30</v>
      </c>
      <c r="R20" s="162">
        <f>30+53+41+52</f>
        <v>176</v>
      </c>
      <c r="S20" s="161"/>
      <c r="T20" s="162"/>
      <c r="U20" s="161"/>
      <c r="V20" s="162"/>
      <c r="W20" s="161"/>
      <c r="X20" s="162"/>
      <c r="Y20" s="161"/>
      <c r="Z20" s="162"/>
      <c r="AA20" s="161"/>
      <c r="AB20" s="162"/>
      <c r="AC20" s="161"/>
      <c r="AD20" s="162"/>
      <c r="AE20" s="161">
        <v>20</v>
      </c>
      <c r="AF20" s="162">
        <v>35</v>
      </c>
      <c r="AG20" s="161"/>
      <c r="AH20" s="162"/>
      <c r="AI20" s="161"/>
      <c r="AJ20" s="162"/>
      <c r="AK20" s="161"/>
      <c r="AL20" s="162"/>
      <c r="AM20" s="161"/>
      <c r="AN20" s="162"/>
      <c r="AO20" s="161"/>
      <c r="AP20" s="162"/>
      <c r="AQ20" s="161"/>
      <c r="AR20" s="162"/>
      <c r="AS20" s="161"/>
      <c r="AT20" s="162"/>
      <c r="AU20" s="161"/>
      <c r="AV20" s="162"/>
      <c r="AW20" s="161"/>
      <c r="AX20" s="162"/>
      <c r="AY20" s="161"/>
      <c r="AZ20" s="162"/>
      <c r="BA20" s="161"/>
      <c r="BB20" s="162"/>
      <c r="BC20" s="161"/>
      <c r="BD20" s="162"/>
      <c r="BE20" s="161"/>
      <c r="BF20" s="162"/>
      <c r="BG20" s="161"/>
      <c r="BH20" s="162"/>
      <c r="BI20" s="161"/>
      <c r="BJ20" s="162"/>
      <c r="BK20" s="161"/>
      <c r="BL20" s="162"/>
      <c r="BM20" s="161"/>
      <c r="BN20" s="162"/>
      <c r="BO20" s="161"/>
      <c r="BP20" s="162"/>
      <c r="BQ20" s="161"/>
      <c r="BR20" s="162"/>
      <c r="BS20" s="161"/>
      <c r="BT20" s="162"/>
      <c r="BU20" s="161"/>
      <c r="BV20" s="162"/>
      <c r="BW20" s="161"/>
      <c r="BX20" s="162"/>
      <c r="BY20" s="161"/>
      <c r="BZ20" s="162"/>
      <c r="CA20" s="161"/>
      <c r="CB20" s="162"/>
      <c r="CC20" s="161"/>
      <c r="CD20" s="162"/>
      <c r="CE20" s="161"/>
      <c r="CF20" s="162"/>
      <c r="CG20" s="161"/>
      <c r="CH20" s="162"/>
      <c r="CI20" s="161"/>
      <c r="CJ20" s="162"/>
      <c r="CK20" s="161"/>
      <c r="CL20" s="162"/>
      <c r="CM20" s="161"/>
      <c r="CN20" s="162"/>
      <c r="CO20" s="161"/>
      <c r="CP20" s="162"/>
      <c r="CQ20" s="161"/>
      <c r="CR20" s="162"/>
      <c r="CS20" s="161"/>
      <c r="CT20" s="162"/>
      <c r="CU20" s="161"/>
      <c r="CV20" s="162"/>
      <c r="CW20" s="161"/>
      <c r="CX20" s="162"/>
      <c r="CY20" s="161"/>
      <c r="CZ20" s="162"/>
      <c r="DA20" s="161"/>
      <c r="DB20" s="162"/>
      <c r="DC20" s="161"/>
      <c r="DD20" s="162"/>
      <c r="DE20" s="161"/>
      <c r="DF20" s="162"/>
      <c r="DG20" s="161"/>
      <c r="DH20" s="162"/>
      <c r="DI20" s="161"/>
      <c r="DJ20" s="162"/>
      <c r="DK20" s="161"/>
      <c r="DL20" s="162"/>
      <c r="DM20" s="161"/>
      <c r="DN20" s="162"/>
      <c r="DO20" s="161"/>
      <c r="DP20" s="162"/>
      <c r="DQ20" s="161"/>
      <c r="DR20" s="162"/>
      <c r="DS20" s="161"/>
      <c r="DT20" s="162"/>
      <c r="DU20" s="161"/>
      <c r="DV20" s="162"/>
    </row>
    <row r="21" spans="1:126" x14ac:dyDescent="0.2">
      <c r="A21" s="160" t="s">
        <v>76</v>
      </c>
      <c r="B21" s="160" t="s">
        <v>866</v>
      </c>
      <c r="C21" s="161">
        <f>E21+G21+I21</f>
        <v>2865</v>
      </c>
      <c r="D21" s="162">
        <f t="shared" si="51"/>
        <v>8002</v>
      </c>
      <c r="E21" s="161">
        <f>K21+M21+O20:O21+Q21+S21+U21+W21+Y21+AA21+AC21+AE21+AI21</f>
        <v>960</v>
      </c>
      <c r="F21" s="162">
        <f t="shared" si="52"/>
        <v>2152</v>
      </c>
      <c r="G21" s="161">
        <f t="shared" si="3"/>
        <v>1905</v>
      </c>
      <c r="H21" s="162">
        <f t="shared" si="3"/>
        <v>5850</v>
      </c>
      <c r="I21" s="161"/>
      <c r="J21" s="162"/>
      <c r="K21" s="161"/>
      <c r="L21" s="162"/>
      <c r="M21" s="161"/>
      <c r="N21" s="162"/>
      <c r="O21" s="161"/>
      <c r="P21" s="162"/>
      <c r="Q21" s="161">
        <v>180</v>
      </c>
      <c r="R21" s="162">
        <v>250</v>
      </c>
      <c r="S21" s="161"/>
      <c r="T21" s="162"/>
      <c r="U21" s="161"/>
      <c r="V21" s="162"/>
      <c r="W21" s="161"/>
      <c r="X21" s="162"/>
      <c r="Y21" s="161"/>
      <c r="Z21" s="162"/>
      <c r="AA21" s="161"/>
      <c r="AB21" s="162"/>
      <c r="AC21" s="161">
        <v>280</v>
      </c>
      <c r="AD21" s="162">
        <v>280</v>
      </c>
      <c r="AE21" s="161">
        <v>500</v>
      </c>
      <c r="AF21" s="162">
        <f>1500+122</f>
        <v>1622</v>
      </c>
      <c r="AG21" s="161"/>
      <c r="AH21" s="162"/>
      <c r="AI21" s="161"/>
      <c r="AJ21" s="162"/>
      <c r="AK21" s="161"/>
      <c r="AL21" s="162"/>
      <c r="AM21" s="161"/>
      <c r="AN21" s="162"/>
      <c r="AO21" s="161"/>
      <c r="AP21" s="162"/>
      <c r="AQ21" s="161"/>
      <c r="AR21" s="162"/>
      <c r="AS21" s="161"/>
      <c r="AT21" s="162"/>
      <c r="AU21" s="161"/>
      <c r="AV21" s="162"/>
      <c r="AW21" s="161"/>
      <c r="AX21" s="162"/>
      <c r="AY21" s="161"/>
      <c r="AZ21" s="162"/>
      <c r="BA21" s="161"/>
      <c r="BB21" s="162"/>
      <c r="BC21" s="161"/>
      <c r="BD21" s="162"/>
      <c r="BE21" s="161"/>
      <c r="BF21" s="162"/>
      <c r="BG21" s="161"/>
      <c r="BH21" s="162"/>
      <c r="BI21" s="161"/>
      <c r="BJ21" s="162"/>
      <c r="BK21" s="161"/>
      <c r="BL21" s="162"/>
      <c r="BM21" s="161"/>
      <c r="BN21" s="162"/>
      <c r="BO21" s="161"/>
      <c r="BP21" s="162"/>
      <c r="BQ21" s="161"/>
      <c r="BR21" s="162"/>
      <c r="BS21" s="161"/>
      <c r="BT21" s="162"/>
      <c r="BU21" s="161"/>
      <c r="BV21" s="162"/>
      <c r="BW21" s="161"/>
      <c r="BX21" s="162"/>
      <c r="BY21" s="161"/>
      <c r="BZ21" s="162"/>
      <c r="CA21" s="161"/>
      <c r="CB21" s="162"/>
      <c r="CC21" s="161"/>
      <c r="CD21" s="162"/>
      <c r="CE21" s="161"/>
      <c r="CF21" s="162"/>
      <c r="CG21" s="161"/>
      <c r="CH21" s="162"/>
      <c r="CI21" s="161"/>
      <c r="CJ21" s="162"/>
      <c r="CK21" s="161"/>
      <c r="CL21" s="162"/>
      <c r="CM21" s="161"/>
      <c r="CN21" s="162"/>
      <c r="CO21" s="161"/>
      <c r="CP21" s="162"/>
      <c r="CQ21" s="161"/>
      <c r="CR21" s="162"/>
      <c r="CS21" s="161"/>
      <c r="CT21" s="162"/>
      <c r="CU21" s="161"/>
      <c r="CV21" s="162"/>
      <c r="CW21" s="161"/>
      <c r="CX21" s="162"/>
      <c r="CY21" s="161"/>
      <c r="CZ21" s="162"/>
      <c r="DA21" s="161"/>
      <c r="DB21" s="162"/>
      <c r="DC21" s="161"/>
      <c r="DD21" s="162"/>
      <c r="DE21" s="161"/>
      <c r="DF21" s="162"/>
      <c r="DG21" s="161"/>
      <c r="DH21" s="162">
        <v>850</v>
      </c>
      <c r="DI21" s="161"/>
      <c r="DJ21" s="162"/>
      <c r="DK21" s="161"/>
      <c r="DL21" s="162"/>
      <c r="DM21" s="161">
        <v>1905</v>
      </c>
      <c r="DN21" s="162">
        <v>5000</v>
      </c>
      <c r="DO21" s="161"/>
      <c r="DP21" s="162"/>
      <c r="DQ21" s="161"/>
      <c r="DR21" s="162"/>
      <c r="DS21" s="161"/>
      <c r="DT21" s="162"/>
      <c r="DU21" s="161"/>
      <c r="DV21" s="162"/>
    </row>
    <row r="22" spans="1:126" x14ac:dyDescent="0.2">
      <c r="A22" s="160" t="s">
        <v>85</v>
      </c>
      <c r="B22" s="160" t="s">
        <v>88</v>
      </c>
      <c r="C22" s="161">
        <f>E22+G22+I22</f>
        <v>0</v>
      </c>
      <c r="D22" s="162">
        <f t="shared" si="51"/>
        <v>0</v>
      </c>
      <c r="E22" s="161">
        <f>K22+M22+O21:O22+Q22+S22+U22+W22+Y22+AA22+AC22+AE22+AI22</f>
        <v>0</v>
      </c>
      <c r="F22" s="162">
        <f t="shared" si="52"/>
        <v>0</v>
      </c>
      <c r="G22" s="161">
        <f t="shared" si="3"/>
        <v>0</v>
      </c>
      <c r="H22" s="162">
        <f t="shared" si="3"/>
        <v>0</v>
      </c>
      <c r="I22" s="161"/>
      <c r="J22" s="162"/>
      <c r="K22" s="161"/>
      <c r="L22" s="162"/>
      <c r="M22" s="161"/>
      <c r="N22" s="162"/>
      <c r="O22" s="161"/>
      <c r="P22" s="162"/>
      <c r="Q22" s="161">
        <v>0</v>
      </c>
      <c r="R22" s="162">
        <v>0</v>
      </c>
      <c r="S22" s="161"/>
      <c r="T22" s="162"/>
      <c r="U22" s="161"/>
      <c r="V22" s="162"/>
      <c r="W22" s="161"/>
      <c r="X22" s="162"/>
      <c r="Y22" s="161"/>
      <c r="Z22" s="162"/>
      <c r="AA22" s="161"/>
      <c r="AB22" s="162"/>
      <c r="AC22" s="161"/>
      <c r="AD22" s="162"/>
      <c r="AE22" s="161"/>
      <c r="AF22" s="162"/>
      <c r="AG22" s="161"/>
      <c r="AH22" s="162"/>
      <c r="AI22" s="161"/>
      <c r="AJ22" s="162"/>
      <c r="AK22" s="161"/>
      <c r="AL22" s="162"/>
      <c r="AM22" s="161"/>
      <c r="AN22" s="162"/>
      <c r="AO22" s="161"/>
      <c r="AP22" s="162"/>
      <c r="AQ22" s="161"/>
      <c r="AR22" s="162"/>
      <c r="AS22" s="161"/>
      <c r="AT22" s="162"/>
      <c r="AU22" s="161"/>
      <c r="AV22" s="162"/>
      <c r="AW22" s="161"/>
      <c r="AX22" s="162"/>
      <c r="AY22" s="161"/>
      <c r="AZ22" s="162"/>
      <c r="BA22" s="161"/>
      <c r="BB22" s="162"/>
      <c r="BC22" s="161"/>
      <c r="BD22" s="162"/>
      <c r="BE22" s="161"/>
      <c r="BF22" s="162"/>
      <c r="BG22" s="161"/>
      <c r="BH22" s="162"/>
      <c r="BI22" s="161"/>
      <c r="BJ22" s="162"/>
      <c r="BK22" s="161"/>
      <c r="BL22" s="162"/>
      <c r="BM22" s="161"/>
      <c r="BN22" s="162"/>
      <c r="BO22" s="161"/>
      <c r="BP22" s="162"/>
      <c r="BQ22" s="161"/>
      <c r="BR22" s="162"/>
      <c r="BS22" s="161"/>
      <c r="BT22" s="162"/>
      <c r="BU22" s="161"/>
      <c r="BV22" s="162"/>
      <c r="BW22" s="161"/>
      <c r="BX22" s="162"/>
      <c r="BY22" s="161"/>
      <c r="BZ22" s="162"/>
      <c r="CA22" s="161"/>
      <c r="CB22" s="162"/>
      <c r="CC22" s="161"/>
      <c r="CD22" s="162"/>
      <c r="CE22" s="161"/>
      <c r="CF22" s="162"/>
      <c r="CG22" s="161"/>
      <c r="CH22" s="162"/>
      <c r="CI22" s="161"/>
      <c r="CJ22" s="162"/>
      <c r="CK22" s="161"/>
      <c r="CL22" s="162"/>
      <c r="CM22" s="161"/>
      <c r="CN22" s="162"/>
      <c r="CO22" s="161"/>
      <c r="CP22" s="162"/>
      <c r="CQ22" s="161"/>
      <c r="CR22" s="162"/>
      <c r="CS22" s="161"/>
      <c r="CT22" s="162"/>
      <c r="CU22" s="161"/>
      <c r="CV22" s="162"/>
      <c r="CW22" s="161"/>
      <c r="CX22" s="162"/>
      <c r="CY22" s="161"/>
      <c r="CZ22" s="162"/>
      <c r="DA22" s="161"/>
      <c r="DB22" s="162"/>
      <c r="DC22" s="161"/>
      <c r="DD22" s="162"/>
      <c r="DE22" s="161"/>
      <c r="DF22" s="162"/>
      <c r="DG22" s="161"/>
      <c r="DH22" s="162"/>
      <c r="DI22" s="161"/>
      <c r="DJ22" s="162"/>
      <c r="DK22" s="161"/>
      <c r="DL22" s="162"/>
      <c r="DM22" s="161"/>
      <c r="DN22" s="162"/>
      <c r="DO22" s="161"/>
      <c r="DP22" s="162"/>
      <c r="DQ22" s="161"/>
      <c r="DR22" s="162"/>
      <c r="DS22" s="161"/>
      <c r="DT22" s="162"/>
      <c r="DU22" s="161"/>
      <c r="DV22" s="162"/>
    </row>
    <row r="23" spans="1:126" x14ac:dyDescent="0.2">
      <c r="A23" s="167" t="s">
        <v>90</v>
      </c>
      <c r="B23" s="167" t="s">
        <v>867</v>
      </c>
      <c r="C23" s="168">
        <f t="shared" ref="C23:H23" si="53">SUM(C20:C22)</f>
        <v>2915</v>
      </c>
      <c r="D23" s="169">
        <f t="shared" si="53"/>
        <v>8213</v>
      </c>
      <c r="E23" s="168">
        <f t="shared" si="53"/>
        <v>1010</v>
      </c>
      <c r="F23" s="169">
        <f t="shared" si="53"/>
        <v>2363</v>
      </c>
      <c r="G23" s="168">
        <f t="shared" si="53"/>
        <v>1905</v>
      </c>
      <c r="H23" s="169">
        <f t="shared" si="53"/>
        <v>5850</v>
      </c>
      <c r="I23" s="168"/>
      <c r="J23" s="169"/>
      <c r="K23" s="168">
        <f t="shared" ref="K23:AO23" si="54">SUM(K20:K22)</f>
        <v>0</v>
      </c>
      <c r="L23" s="169">
        <f t="shared" si="54"/>
        <v>0</v>
      </c>
      <c r="M23" s="168">
        <f t="shared" si="54"/>
        <v>0</v>
      </c>
      <c r="N23" s="169">
        <f t="shared" si="54"/>
        <v>0</v>
      </c>
      <c r="O23" s="168">
        <f t="shared" si="54"/>
        <v>0</v>
      </c>
      <c r="P23" s="169">
        <f t="shared" si="54"/>
        <v>0</v>
      </c>
      <c r="Q23" s="168">
        <f t="shared" si="54"/>
        <v>210</v>
      </c>
      <c r="R23" s="169">
        <f t="shared" si="54"/>
        <v>426</v>
      </c>
      <c r="S23" s="168">
        <f t="shared" si="54"/>
        <v>0</v>
      </c>
      <c r="T23" s="169">
        <f t="shared" ref="T23" si="55">SUM(T20:T22)</f>
        <v>0</v>
      </c>
      <c r="U23" s="168">
        <f t="shared" si="54"/>
        <v>0</v>
      </c>
      <c r="V23" s="169">
        <f t="shared" ref="V23" si="56">SUM(V20:V22)</f>
        <v>0</v>
      </c>
      <c r="W23" s="168">
        <f t="shared" si="54"/>
        <v>0</v>
      </c>
      <c r="X23" s="169">
        <f t="shared" si="54"/>
        <v>0</v>
      </c>
      <c r="Y23" s="168">
        <f t="shared" si="54"/>
        <v>0</v>
      </c>
      <c r="Z23" s="169">
        <f t="shared" ref="Z23" si="57">SUM(Z20:Z22)</f>
        <v>0</v>
      </c>
      <c r="AA23" s="168">
        <f t="shared" si="54"/>
        <v>0</v>
      </c>
      <c r="AB23" s="169">
        <f t="shared" ref="AB23" si="58">SUM(AB20:AB22)</f>
        <v>0</v>
      </c>
      <c r="AC23" s="168">
        <f t="shared" si="54"/>
        <v>280</v>
      </c>
      <c r="AD23" s="169">
        <f t="shared" ref="AD23" si="59">SUM(AD20:AD22)</f>
        <v>280</v>
      </c>
      <c r="AE23" s="168">
        <f t="shared" si="54"/>
        <v>520</v>
      </c>
      <c r="AF23" s="169">
        <f t="shared" ref="AF23" si="60">SUM(AF20:AF22)</f>
        <v>1657</v>
      </c>
      <c r="AG23" s="168"/>
      <c r="AH23" s="169"/>
      <c r="AI23" s="168">
        <f>SUM(AI20:AI22)</f>
        <v>0</v>
      </c>
      <c r="AJ23" s="169">
        <f>SUM(AJ20:AJ22)</f>
        <v>0</v>
      </c>
      <c r="AK23" s="168">
        <f t="shared" si="54"/>
        <v>0</v>
      </c>
      <c r="AL23" s="169">
        <f t="shared" ref="AL23" si="61">SUM(AL20:AL22)</f>
        <v>0</v>
      </c>
      <c r="AM23" s="168">
        <f t="shared" si="54"/>
        <v>0</v>
      </c>
      <c r="AN23" s="169"/>
      <c r="AO23" s="168">
        <f t="shared" si="54"/>
        <v>0</v>
      </c>
      <c r="AP23" s="169">
        <f t="shared" ref="AP23" si="62">SUM(AP20:AP22)</f>
        <v>0</v>
      </c>
      <c r="AQ23" s="168">
        <f t="shared" ref="AQ23:DO23" si="63">SUM(AQ20:AQ22)</f>
        <v>0</v>
      </c>
      <c r="AR23" s="169">
        <f t="shared" ref="AR23" si="64">SUM(AR20:AR22)</f>
        <v>0</v>
      </c>
      <c r="AS23" s="168">
        <f t="shared" si="63"/>
        <v>0</v>
      </c>
      <c r="AT23" s="169">
        <f t="shared" ref="AT23" si="65">SUM(AT20:AT22)</f>
        <v>0</v>
      </c>
      <c r="AU23" s="168">
        <f t="shared" si="63"/>
        <v>0</v>
      </c>
      <c r="AV23" s="169">
        <f t="shared" ref="AV23" si="66">SUM(AV20:AV22)</f>
        <v>0</v>
      </c>
      <c r="AW23" s="168">
        <f t="shared" si="63"/>
        <v>0</v>
      </c>
      <c r="AX23" s="169">
        <f t="shared" ref="AX23" si="67">SUM(AX20:AX22)</f>
        <v>0</v>
      </c>
      <c r="AY23" s="168">
        <f t="shared" si="63"/>
        <v>0</v>
      </c>
      <c r="AZ23" s="169">
        <f t="shared" ref="AZ23" si="68">SUM(AZ20:AZ22)</f>
        <v>0</v>
      </c>
      <c r="BA23" s="168">
        <f t="shared" si="63"/>
        <v>0</v>
      </c>
      <c r="BB23" s="169">
        <f t="shared" ref="BB23" si="69">SUM(BB20:BB22)</f>
        <v>0</v>
      </c>
      <c r="BC23" s="168">
        <f t="shared" si="63"/>
        <v>0</v>
      </c>
      <c r="BD23" s="169">
        <f t="shared" ref="BD23" si="70">SUM(BD20:BD22)</f>
        <v>0</v>
      </c>
      <c r="BE23" s="168">
        <f t="shared" si="63"/>
        <v>0</v>
      </c>
      <c r="BF23" s="169">
        <f t="shared" ref="BF23" si="71">SUM(BF20:BF22)</f>
        <v>0</v>
      </c>
      <c r="BG23" s="168">
        <f t="shared" si="63"/>
        <v>0</v>
      </c>
      <c r="BH23" s="169">
        <f t="shared" ref="BH23" si="72">SUM(BH20:BH22)</f>
        <v>0</v>
      </c>
      <c r="BI23" s="168">
        <f t="shared" si="63"/>
        <v>0</v>
      </c>
      <c r="BJ23" s="169">
        <f t="shared" ref="BJ23" si="73">SUM(BJ20:BJ22)</f>
        <v>0</v>
      </c>
      <c r="BK23" s="168">
        <f t="shared" si="63"/>
        <v>0</v>
      </c>
      <c r="BL23" s="169">
        <f t="shared" ref="BL23" si="74">SUM(BL20:BL22)</f>
        <v>0</v>
      </c>
      <c r="BM23" s="168">
        <f t="shared" si="63"/>
        <v>0</v>
      </c>
      <c r="BN23" s="169">
        <f t="shared" ref="BN23" si="75">SUM(BN20:BN22)</f>
        <v>0</v>
      </c>
      <c r="BO23" s="168">
        <f t="shared" si="63"/>
        <v>0</v>
      </c>
      <c r="BP23" s="169">
        <f t="shared" ref="BP23" si="76">SUM(BP20:BP22)</f>
        <v>0</v>
      </c>
      <c r="BQ23" s="168">
        <f t="shared" si="63"/>
        <v>0</v>
      </c>
      <c r="BR23" s="169">
        <f t="shared" ref="BR23" si="77">SUM(BR20:BR22)</f>
        <v>0</v>
      </c>
      <c r="BS23" s="168">
        <f t="shared" si="63"/>
        <v>0</v>
      </c>
      <c r="BT23" s="169">
        <f t="shared" ref="BT23" si="78">SUM(BT20:BT22)</f>
        <v>0</v>
      </c>
      <c r="BU23" s="168">
        <f t="shared" si="63"/>
        <v>0</v>
      </c>
      <c r="BV23" s="169">
        <f t="shared" ref="BV23" si="79">SUM(BV20:BV22)</f>
        <v>0</v>
      </c>
      <c r="BW23" s="168">
        <f t="shared" si="63"/>
        <v>0</v>
      </c>
      <c r="BX23" s="169">
        <f t="shared" ref="BX23" si="80">SUM(BX20:BX22)</f>
        <v>0</v>
      </c>
      <c r="BY23" s="168">
        <f t="shared" si="63"/>
        <v>0</v>
      </c>
      <c r="BZ23" s="169">
        <f t="shared" ref="BZ23" si="81">SUM(BZ20:BZ22)</f>
        <v>0</v>
      </c>
      <c r="CA23" s="168">
        <f t="shared" si="63"/>
        <v>0</v>
      </c>
      <c r="CB23" s="169">
        <f t="shared" ref="CB23" si="82">SUM(CB20:CB22)</f>
        <v>0</v>
      </c>
      <c r="CC23" s="168">
        <f t="shared" si="63"/>
        <v>0</v>
      </c>
      <c r="CD23" s="169">
        <f t="shared" ref="CD23" si="83">SUM(CD20:CD22)</f>
        <v>0</v>
      </c>
      <c r="CE23" s="168">
        <f>SUM(CE20:CE22)</f>
        <v>0</v>
      </c>
      <c r="CF23" s="169">
        <f>SUM(CF20:CF22)</f>
        <v>0</v>
      </c>
      <c r="CG23" s="168">
        <f t="shared" si="63"/>
        <v>0</v>
      </c>
      <c r="CH23" s="169">
        <f t="shared" ref="CH23" si="84">SUM(CH20:CH22)</f>
        <v>0</v>
      </c>
      <c r="CI23" s="168">
        <f t="shared" si="63"/>
        <v>0</v>
      </c>
      <c r="CJ23" s="169">
        <f t="shared" ref="CJ23" si="85">SUM(CJ20:CJ22)</f>
        <v>0</v>
      </c>
      <c r="CK23" s="168">
        <f t="shared" si="63"/>
        <v>0</v>
      </c>
      <c r="CL23" s="169">
        <f t="shared" ref="CL23" si="86">SUM(CL20:CL22)</f>
        <v>0</v>
      </c>
      <c r="CM23" s="168">
        <f t="shared" si="63"/>
        <v>0</v>
      </c>
      <c r="CN23" s="169">
        <f t="shared" ref="CN23" si="87">SUM(CN20:CN22)</f>
        <v>0</v>
      </c>
      <c r="CO23" s="168">
        <f t="shared" si="63"/>
        <v>0</v>
      </c>
      <c r="CP23" s="169">
        <f t="shared" ref="CP23" si="88">SUM(CP20:CP22)</f>
        <v>0</v>
      </c>
      <c r="CQ23" s="168">
        <f t="shared" si="63"/>
        <v>0</v>
      </c>
      <c r="CR23" s="169">
        <f t="shared" ref="CR23" si="89">SUM(CR20:CR22)</f>
        <v>0</v>
      </c>
      <c r="CS23" s="168">
        <f t="shared" si="63"/>
        <v>0</v>
      </c>
      <c r="CT23" s="169">
        <f t="shared" ref="CT23" si="90">SUM(CT20:CT22)</f>
        <v>0</v>
      </c>
      <c r="CU23" s="168">
        <f t="shared" si="63"/>
        <v>0</v>
      </c>
      <c r="CV23" s="169">
        <f t="shared" ref="CV23" si="91">SUM(CV20:CV22)</f>
        <v>0</v>
      </c>
      <c r="CW23" s="168">
        <f t="shared" si="63"/>
        <v>0</v>
      </c>
      <c r="CX23" s="169">
        <f t="shared" ref="CX23" si="92">SUM(CX20:CX22)</f>
        <v>0</v>
      </c>
      <c r="CY23" s="168">
        <f t="shared" si="63"/>
        <v>0</v>
      </c>
      <c r="CZ23" s="169"/>
      <c r="DA23" s="168">
        <f t="shared" si="63"/>
        <v>0</v>
      </c>
      <c r="DB23" s="169"/>
      <c r="DC23" s="168">
        <f t="shared" si="63"/>
        <v>0</v>
      </c>
      <c r="DD23" s="169">
        <f t="shared" ref="DD23" si="93">SUM(DD20:DD22)</f>
        <v>0</v>
      </c>
      <c r="DE23" s="168">
        <f t="shared" si="63"/>
        <v>0</v>
      </c>
      <c r="DF23" s="169">
        <f t="shared" ref="DF23" si="94">SUM(DF20:DF22)</f>
        <v>0</v>
      </c>
      <c r="DG23" s="168">
        <f t="shared" si="63"/>
        <v>0</v>
      </c>
      <c r="DH23" s="169">
        <f t="shared" ref="DH23" si="95">SUM(DH20:DH22)</f>
        <v>850</v>
      </c>
      <c r="DI23" s="168">
        <f t="shared" si="63"/>
        <v>0</v>
      </c>
      <c r="DJ23" s="169">
        <f t="shared" ref="DJ23" si="96">SUM(DJ20:DJ22)</f>
        <v>0</v>
      </c>
      <c r="DK23" s="168">
        <f t="shared" si="63"/>
        <v>0</v>
      </c>
      <c r="DL23" s="169">
        <f t="shared" ref="DL23" si="97">SUM(DL20:DL22)</f>
        <v>0</v>
      </c>
      <c r="DM23" s="168">
        <f t="shared" si="63"/>
        <v>1905</v>
      </c>
      <c r="DN23" s="169">
        <f t="shared" ref="DN23" si="98">SUM(DN20:DN22)</f>
        <v>5000</v>
      </c>
      <c r="DO23" s="168">
        <f t="shared" si="63"/>
        <v>0</v>
      </c>
      <c r="DP23" s="169">
        <f t="shared" ref="DP23" si="99">SUM(DP20:DP22)</f>
        <v>0</v>
      </c>
      <c r="DQ23" s="168"/>
      <c r="DR23" s="169"/>
      <c r="DS23" s="168"/>
      <c r="DT23" s="169"/>
      <c r="DU23" s="168"/>
      <c r="DV23" s="169"/>
    </row>
    <row r="24" spans="1:126" x14ac:dyDescent="0.2">
      <c r="A24" s="160" t="s">
        <v>93</v>
      </c>
      <c r="B24" s="160" t="s">
        <v>95</v>
      </c>
      <c r="C24" s="161">
        <f>E24+G24+I24</f>
        <v>15489</v>
      </c>
      <c r="D24" s="162">
        <f t="shared" si="51"/>
        <v>16301</v>
      </c>
      <c r="E24" s="161">
        <f>K24+M24+O23:O24+Q24+S24+U24+W24+Y24+AA24+AC24+AE24+AI24</f>
        <v>15489</v>
      </c>
      <c r="F24" s="162">
        <f t="shared" si="52"/>
        <v>16301</v>
      </c>
      <c r="G24" s="161">
        <f t="shared" si="3"/>
        <v>0</v>
      </c>
      <c r="H24" s="162">
        <f t="shared" si="3"/>
        <v>0</v>
      </c>
      <c r="I24" s="161"/>
      <c r="J24" s="162"/>
      <c r="K24" s="161">
        <v>200</v>
      </c>
      <c r="L24" s="162">
        <v>120</v>
      </c>
      <c r="M24" s="161"/>
      <c r="N24" s="162"/>
      <c r="O24" s="161"/>
      <c r="P24" s="162"/>
      <c r="Q24" s="161">
        <v>164</v>
      </c>
      <c r="R24" s="162">
        <v>450</v>
      </c>
      <c r="S24" s="161"/>
      <c r="T24" s="162"/>
      <c r="U24" s="161"/>
      <c r="V24" s="162"/>
      <c r="W24" s="161"/>
      <c r="X24" s="162"/>
      <c r="Y24" s="161"/>
      <c r="Z24" s="162"/>
      <c r="AA24" s="161"/>
      <c r="AB24" s="162"/>
      <c r="AC24" s="161"/>
      <c r="AD24" s="162"/>
      <c r="AE24" s="161">
        <v>15125</v>
      </c>
      <c r="AF24" s="162">
        <v>15731</v>
      </c>
      <c r="AG24" s="161"/>
      <c r="AH24" s="162"/>
      <c r="AI24" s="161"/>
      <c r="AJ24" s="162"/>
      <c r="AK24" s="161"/>
      <c r="AL24" s="162"/>
      <c r="AM24" s="161"/>
      <c r="AN24" s="162"/>
      <c r="AO24" s="161"/>
      <c r="AP24" s="162"/>
      <c r="AQ24" s="161"/>
      <c r="AR24" s="162"/>
      <c r="AS24" s="161"/>
      <c r="AT24" s="162"/>
      <c r="AU24" s="161"/>
      <c r="AV24" s="162"/>
      <c r="AW24" s="161"/>
      <c r="AX24" s="162"/>
      <c r="AY24" s="161"/>
      <c r="AZ24" s="162"/>
      <c r="BA24" s="161"/>
      <c r="BB24" s="162"/>
      <c r="BC24" s="161"/>
      <c r="BD24" s="162"/>
      <c r="BE24" s="161"/>
      <c r="BF24" s="162"/>
      <c r="BG24" s="161"/>
      <c r="BH24" s="162"/>
      <c r="BI24" s="161"/>
      <c r="BJ24" s="162"/>
      <c r="BK24" s="161"/>
      <c r="BL24" s="162"/>
      <c r="BM24" s="161"/>
      <c r="BN24" s="162"/>
      <c r="BO24" s="161"/>
      <c r="BP24" s="162"/>
      <c r="BQ24" s="161"/>
      <c r="BR24" s="162"/>
      <c r="BS24" s="161"/>
      <c r="BT24" s="162"/>
      <c r="BU24" s="161"/>
      <c r="BV24" s="162"/>
      <c r="BW24" s="161"/>
      <c r="BX24" s="162"/>
      <c r="BY24" s="161"/>
      <c r="BZ24" s="162"/>
      <c r="CA24" s="161"/>
      <c r="CB24" s="162"/>
      <c r="CC24" s="161"/>
      <c r="CD24" s="162"/>
      <c r="CE24" s="161"/>
      <c r="CF24" s="162"/>
      <c r="CG24" s="161"/>
      <c r="CH24" s="162"/>
      <c r="CI24" s="161"/>
      <c r="CJ24" s="162"/>
      <c r="CK24" s="161"/>
      <c r="CL24" s="162"/>
      <c r="CM24" s="161"/>
      <c r="CN24" s="162"/>
      <c r="CO24" s="161"/>
      <c r="CP24" s="162"/>
      <c r="CQ24" s="161"/>
      <c r="CR24" s="162"/>
      <c r="CS24" s="161"/>
      <c r="CT24" s="162"/>
      <c r="CU24" s="161"/>
      <c r="CV24" s="162"/>
      <c r="CW24" s="161"/>
      <c r="CX24" s="162"/>
      <c r="CY24" s="161"/>
      <c r="CZ24" s="162"/>
      <c r="DA24" s="161"/>
      <c r="DB24" s="162"/>
      <c r="DC24" s="161"/>
      <c r="DD24" s="162"/>
      <c r="DE24" s="161"/>
      <c r="DF24" s="162"/>
      <c r="DG24" s="161"/>
      <c r="DH24" s="162"/>
      <c r="DI24" s="161"/>
      <c r="DJ24" s="162"/>
      <c r="DK24" s="161"/>
      <c r="DL24" s="162"/>
      <c r="DM24" s="161"/>
      <c r="DN24" s="162"/>
      <c r="DO24" s="161"/>
      <c r="DP24" s="162"/>
      <c r="DQ24" s="161"/>
      <c r="DR24" s="162"/>
      <c r="DS24" s="161"/>
      <c r="DT24" s="162"/>
      <c r="DU24" s="161"/>
      <c r="DV24" s="162"/>
    </row>
    <row r="25" spans="1:126" x14ac:dyDescent="0.2">
      <c r="A25" s="160" t="s">
        <v>102</v>
      </c>
      <c r="B25" s="160" t="s">
        <v>106</v>
      </c>
      <c r="C25" s="161">
        <f>E25+G25+I25</f>
        <v>150</v>
      </c>
      <c r="D25" s="162">
        <f t="shared" si="51"/>
        <v>160</v>
      </c>
      <c r="E25" s="161">
        <f>K25+M25+O24:O25+Q25+S25+U25+W25+Y25+AA25+AC25+AE25+AI25</f>
        <v>150</v>
      </c>
      <c r="F25" s="162">
        <f t="shared" si="52"/>
        <v>160</v>
      </c>
      <c r="G25" s="161">
        <f t="shared" si="3"/>
        <v>0</v>
      </c>
      <c r="H25" s="162">
        <f t="shared" si="3"/>
        <v>0</v>
      </c>
      <c r="I25" s="161"/>
      <c r="J25" s="162"/>
      <c r="K25" s="161"/>
      <c r="L25" s="162"/>
      <c r="M25" s="161"/>
      <c r="N25" s="162"/>
      <c r="O25" s="161"/>
      <c r="P25" s="162"/>
      <c r="Q25" s="161">
        <v>120</v>
      </c>
      <c r="R25" s="162">
        <v>160</v>
      </c>
      <c r="S25" s="161"/>
      <c r="T25" s="162"/>
      <c r="U25" s="161"/>
      <c r="V25" s="162"/>
      <c r="W25" s="161"/>
      <c r="X25" s="162"/>
      <c r="Y25" s="161"/>
      <c r="Z25" s="162"/>
      <c r="AA25" s="161"/>
      <c r="AB25" s="162"/>
      <c r="AC25" s="161"/>
      <c r="AD25" s="162"/>
      <c r="AE25" s="161">
        <v>30</v>
      </c>
      <c r="AF25" s="162">
        <v>0</v>
      </c>
      <c r="AG25" s="161"/>
      <c r="AH25" s="162"/>
      <c r="AI25" s="161"/>
      <c r="AJ25" s="162"/>
      <c r="AK25" s="161"/>
      <c r="AL25" s="162"/>
      <c r="AM25" s="161"/>
      <c r="AN25" s="162"/>
      <c r="AO25" s="161"/>
      <c r="AP25" s="162"/>
      <c r="AQ25" s="161"/>
      <c r="AR25" s="162"/>
      <c r="AS25" s="161"/>
      <c r="AT25" s="162"/>
      <c r="AU25" s="161"/>
      <c r="AV25" s="162"/>
      <c r="AW25" s="161"/>
      <c r="AX25" s="162"/>
      <c r="AY25" s="161"/>
      <c r="AZ25" s="162"/>
      <c r="BA25" s="161"/>
      <c r="BB25" s="162"/>
      <c r="BC25" s="161"/>
      <c r="BD25" s="162"/>
      <c r="BE25" s="161"/>
      <c r="BF25" s="162"/>
      <c r="BG25" s="161"/>
      <c r="BH25" s="162"/>
      <c r="BI25" s="161"/>
      <c r="BJ25" s="162"/>
      <c r="BK25" s="161"/>
      <c r="BL25" s="162"/>
      <c r="BM25" s="161"/>
      <c r="BN25" s="162"/>
      <c r="BO25" s="161"/>
      <c r="BP25" s="162"/>
      <c r="BQ25" s="161"/>
      <c r="BR25" s="162"/>
      <c r="BS25" s="161"/>
      <c r="BT25" s="162"/>
      <c r="BU25" s="161"/>
      <c r="BV25" s="162"/>
      <c r="BW25" s="161"/>
      <c r="BX25" s="162"/>
      <c r="BY25" s="161"/>
      <c r="BZ25" s="162"/>
      <c r="CA25" s="161"/>
      <c r="CB25" s="162"/>
      <c r="CC25" s="161"/>
      <c r="CD25" s="162"/>
      <c r="CE25" s="161"/>
      <c r="CF25" s="162"/>
      <c r="CG25" s="161"/>
      <c r="CH25" s="162"/>
      <c r="CI25" s="161"/>
      <c r="CJ25" s="162"/>
      <c r="CK25" s="161"/>
      <c r="CL25" s="162"/>
      <c r="CM25" s="161"/>
      <c r="CN25" s="162"/>
      <c r="CO25" s="161"/>
      <c r="CP25" s="162"/>
      <c r="CQ25" s="161"/>
      <c r="CR25" s="162"/>
      <c r="CS25" s="161"/>
      <c r="CT25" s="162"/>
      <c r="CU25" s="161"/>
      <c r="CV25" s="162"/>
      <c r="CW25" s="161"/>
      <c r="CX25" s="162"/>
      <c r="CY25" s="161"/>
      <c r="CZ25" s="162"/>
      <c r="DA25" s="161"/>
      <c r="DB25" s="162"/>
      <c r="DC25" s="161"/>
      <c r="DD25" s="162"/>
      <c r="DE25" s="161"/>
      <c r="DF25" s="162"/>
      <c r="DG25" s="161"/>
      <c r="DH25" s="162"/>
      <c r="DI25" s="161"/>
      <c r="DJ25" s="162"/>
      <c r="DK25" s="161"/>
      <c r="DL25" s="162"/>
      <c r="DM25" s="161"/>
      <c r="DN25" s="162"/>
      <c r="DO25" s="161"/>
      <c r="DP25" s="162"/>
      <c r="DQ25" s="161"/>
      <c r="DR25" s="162"/>
      <c r="DS25" s="161"/>
      <c r="DT25" s="162"/>
      <c r="DU25" s="161"/>
      <c r="DV25" s="162"/>
    </row>
    <row r="26" spans="1:126" x14ac:dyDescent="0.2">
      <c r="A26" s="167" t="s">
        <v>107</v>
      </c>
      <c r="B26" s="167" t="s">
        <v>868</v>
      </c>
      <c r="C26" s="168">
        <f t="shared" ref="C26:H26" si="100">SUM(C24:C25)</f>
        <v>15639</v>
      </c>
      <c r="D26" s="169">
        <f t="shared" si="100"/>
        <v>16461</v>
      </c>
      <c r="E26" s="168">
        <f t="shared" si="100"/>
        <v>15639</v>
      </c>
      <c r="F26" s="169">
        <f t="shared" si="100"/>
        <v>16461</v>
      </c>
      <c r="G26" s="168">
        <f t="shared" si="100"/>
        <v>0</v>
      </c>
      <c r="H26" s="169">
        <f t="shared" si="100"/>
        <v>0</v>
      </c>
      <c r="I26" s="168"/>
      <c r="J26" s="169"/>
      <c r="K26" s="168">
        <f t="shared" ref="K26:AO26" si="101">SUM(K24:K25)</f>
        <v>200</v>
      </c>
      <c r="L26" s="169">
        <f t="shared" si="101"/>
        <v>120</v>
      </c>
      <c r="M26" s="168">
        <f t="shared" si="101"/>
        <v>0</v>
      </c>
      <c r="N26" s="169">
        <f t="shared" si="101"/>
        <v>0</v>
      </c>
      <c r="O26" s="168">
        <f t="shared" si="101"/>
        <v>0</v>
      </c>
      <c r="P26" s="169">
        <f t="shared" si="101"/>
        <v>0</v>
      </c>
      <c r="Q26" s="168">
        <f t="shared" si="101"/>
        <v>284</v>
      </c>
      <c r="R26" s="169">
        <f t="shared" si="101"/>
        <v>610</v>
      </c>
      <c r="S26" s="168">
        <f t="shared" si="101"/>
        <v>0</v>
      </c>
      <c r="T26" s="169">
        <f t="shared" ref="T26" si="102">SUM(T24:T25)</f>
        <v>0</v>
      </c>
      <c r="U26" s="168">
        <f t="shared" si="101"/>
        <v>0</v>
      </c>
      <c r="V26" s="169">
        <f t="shared" ref="V26" si="103">SUM(V24:V25)</f>
        <v>0</v>
      </c>
      <c r="W26" s="168">
        <f t="shared" si="101"/>
        <v>0</v>
      </c>
      <c r="X26" s="169">
        <f t="shared" si="101"/>
        <v>0</v>
      </c>
      <c r="Y26" s="168">
        <f t="shared" si="101"/>
        <v>0</v>
      </c>
      <c r="Z26" s="169">
        <f t="shared" ref="Z26" si="104">SUM(Z24:Z25)</f>
        <v>0</v>
      </c>
      <c r="AA26" s="168">
        <f t="shared" si="101"/>
        <v>0</v>
      </c>
      <c r="AB26" s="169">
        <f t="shared" ref="AB26" si="105">SUM(AB24:AB25)</f>
        <v>0</v>
      </c>
      <c r="AC26" s="168">
        <f t="shared" si="101"/>
        <v>0</v>
      </c>
      <c r="AD26" s="169">
        <f t="shared" ref="AD26" si="106">SUM(AD24:AD25)</f>
        <v>0</v>
      </c>
      <c r="AE26" s="168">
        <f t="shared" si="101"/>
        <v>15155</v>
      </c>
      <c r="AF26" s="169">
        <f t="shared" ref="AF26" si="107">SUM(AF24:AF25)</f>
        <v>15731</v>
      </c>
      <c r="AG26" s="168"/>
      <c r="AH26" s="169"/>
      <c r="AI26" s="168">
        <f>SUM(AI24:AI25)</f>
        <v>0</v>
      </c>
      <c r="AJ26" s="169">
        <f>SUM(AJ24:AJ25)</f>
        <v>0</v>
      </c>
      <c r="AK26" s="168">
        <f t="shared" si="101"/>
        <v>0</v>
      </c>
      <c r="AL26" s="169">
        <f t="shared" ref="AL26" si="108">SUM(AL24:AL25)</f>
        <v>0</v>
      </c>
      <c r="AM26" s="168">
        <f t="shared" si="101"/>
        <v>0</v>
      </c>
      <c r="AN26" s="169"/>
      <c r="AO26" s="168">
        <f t="shared" si="101"/>
        <v>0</v>
      </c>
      <c r="AP26" s="169">
        <f t="shared" ref="AP26" si="109">SUM(AP24:AP25)</f>
        <v>0</v>
      </c>
      <c r="AQ26" s="168">
        <f t="shared" ref="AQ26:DO26" si="110">SUM(AQ24:AQ25)</f>
        <v>0</v>
      </c>
      <c r="AR26" s="169">
        <f t="shared" ref="AR26" si="111">SUM(AR24:AR25)</f>
        <v>0</v>
      </c>
      <c r="AS26" s="168">
        <f t="shared" si="110"/>
        <v>0</v>
      </c>
      <c r="AT26" s="169">
        <f t="shared" ref="AT26" si="112">SUM(AT24:AT25)</f>
        <v>0</v>
      </c>
      <c r="AU26" s="168">
        <f t="shared" si="110"/>
        <v>0</v>
      </c>
      <c r="AV26" s="169">
        <f t="shared" ref="AV26" si="113">SUM(AV24:AV25)</f>
        <v>0</v>
      </c>
      <c r="AW26" s="168">
        <f t="shared" si="110"/>
        <v>0</v>
      </c>
      <c r="AX26" s="169">
        <f t="shared" ref="AX26" si="114">SUM(AX24:AX25)</f>
        <v>0</v>
      </c>
      <c r="AY26" s="168">
        <f t="shared" si="110"/>
        <v>0</v>
      </c>
      <c r="AZ26" s="169">
        <f t="shared" ref="AZ26" si="115">SUM(AZ24:AZ25)</f>
        <v>0</v>
      </c>
      <c r="BA26" s="168">
        <f t="shared" si="110"/>
        <v>0</v>
      </c>
      <c r="BB26" s="169">
        <f t="shared" ref="BB26" si="116">SUM(BB24:BB25)</f>
        <v>0</v>
      </c>
      <c r="BC26" s="168">
        <f t="shared" si="110"/>
        <v>0</v>
      </c>
      <c r="BD26" s="169">
        <f t="shared" ref="BD26" si="117">SUM(BD24:BD25)</f>
        <v>0</v>
      </c>
      <c r="BE26" s="168">
        <f t="shared" si="110"/>
        <v>0</v>
      </c>
      <c r="BF26" s="169">
        <f t="shared" ref="BF26" si="118">SUM(BF24:BF25)</f>
        <v>0</v>
      </c>
      <c r="BG26" s="168">
        <f t="shared" si="110"/>
        <v>0</v>
      </c>
      <c r="BH26" s="169">
        <f t="shared" ref="BH26" si="119">SUM(BH24:BH25)</f>
        <v>0</v>
      </c>
      <c r="BI26" s="168">
        <f t="shared" si="110"/>
        <v>0</v>
      </c>
      <c r="BJ26" s="169">
        <f t="shared" ref="BJ26" si="120">SUM(BJ24:BJ25)</f>
        <v>0</v>
      </c>
      <c r="BK26" s="168">
        <f t="shared" si="110"/>
        <v>0</v>
      </c>
      <c r="BL26" s="169">
        <f t="shared" ref="BL26" si="121">SUM(BL24:BL25)</f>
        <v>0</v>
      </c>
      <c r="BM26" s="168">
        <f t="shared" si="110"/>
        <v>0</v>
      </c>
      <c r="BN26" s="169">
        <f t="shared" ref="BN26" si="122">SUM(BN24:BN25)</f>
        <v>0</v>
      </c>
      <c r="BO26" s="168">
        <f t="shared" si="110"/>
        <v>0</v>
      </c>
      <c r="BP26" s="169">
        <f t="shared" ref="BP26" si="123">SUM(BP24:BP25)</f>
        <v>0</v>
      </c>
      <c r="BQ26" s="168">
        <f t="shared" si="110"/>
        <v>0</v>
      </c>
      <c r="BR26" s="169">
        <f t="shared" ref="BR26" si="124">SUM(BR24:BR25)</f>
        <v>0</v>
      </c>
      <c r="BS26" s="168">
        <f t="shared" si="110"/>
        <v>0</v>
      </c>
      <c r="BT26" s="169">
        <f t="shared" ref="BT26" si="125">SUM(BT24:BT25)</f>
        <v>0</v>
      </c>
      <c r="BU26" s="168">
        <f t="shared" si="110"/>
        <v>0</v>
      </c>
      <c r="BV26" s="169">
        <f t="shared" ref="BV26" si="126">SUM(BV24:BV25)</f>
        <v>0</v>
      </c>
      <c r="BW26" s="168">
        <f t="shared" si="110"/>
        <v>0</v>
      </c>
      <c r="BX26" s="169">
        <f t="shared" ref="BX26" si="127">SUM(BX24:BX25)</f>
        <v>0</v>
      </c>
      <c r="BY26" s="168">
        <f t="shared" si="110"/>
        <v>0</v>
      </c>
      <c r="BZ26" s="169">
        <f t="shared" ref="BZ26" si="128">SUM(BZ24:BZ25)</f>
        <v>0</v>
      </c>
      <c r="CA26" s="168">
        <f t="shared" si="110"/>
        <v>0</v>
      </c>
      <c r="CB26" s="169">
        <f t="shared" ref="CB26" si="129">SUM(CB24:CB25)</f>
        <v>0</v>
      </c>
      <c r="CC26" s="168">
        <f t="shared" si="110"/>
        <v>0</v>
      </c>
      <c r="CD26" s="169">
        <f t="shared" ref="CD26" si="130">SUM(CD24:CD25)</f>
        <v>0</v>
      </c>
      <c r="CE26" s="168">
        <f>SUM(CE24:CE25)</f>
        <v>0</v>
      </c>
      <c r="CF26" s="169">
        <f>SUM(CF24:CF25)</f>
        <v>0</v>
      </c>
      <c r="CG26" s="168">
        <f t="shared" si="110"/>
        <v>0</v>
      </c>
      <c r="CH26" s="169">
        <f t="shared" ref="CH26" si="131">SUM(CH24:CH25)</f>
        <v>0</v>
      </c>
      <c r="CI26" s="168">
        <f t="shared" si="110"/>
        <v>0</v>
      </c>
      <c r="CJ26" s="169">
        <f t="shared" ref="CJ26" si="132">SUM(CJ24:CJ25)</f>
        <v>0</v>
      </c>
      <c r="CK26" s="168">
        <f t="shared" si="110"/>
        <v>0</v>
      </c>
      <c r="CL26" s="169">
        <f t="shared" ref="CL26" si="133">SUM(CL24:CL25)</f>
        <v>0</v>
      </c>
      <c r="CM26" s="168">
        <f t="shared" si="110"/>
        <v>0</v>
      </c>
      <c r="CN26" s="169">
        <f t="shared" ref="CN26" si="134">SUM(CN24:CN25)</f>
        <v>0</v>
      </c>
      <c r="CO26" s="168">
        <f t="shared" si="110"/>
        <v>0</v>
      </c>
      <c r="CP26" s="169">
        <f t="shared" ref="CP26" si="135">SUM(CP24:CP25)</f>
        <v>0</v>
      </c>
      <c r="CQ26" s="168">
        <f t="shared" si="110"/>
        <v>0</v>
      </c>
      <c r="CR26" s="169">
        <f t="shared" ref="CR26" si="136">SUM(CR24:CR25)</f>
        <v>0</v>
      </c>
      <c r="CS26" s="168">
        <f t="shared" si="110"/>
        <v>0</v>
      </c>
      <c r="CT26" s="169">
        <f t="shared" ref="CT26" si="137">SUM(CT24:CT25)</f>
        <v>0</v>
      </c>
      <c r="CU26" s="168">
        <f t="shared" si="110"/>
        <v>0</v>
      </c>
      <c r="CV26" s="169">
        <f t="shared" ref="CV26" si="138">SUM(CV24:CV25)</f>
        <v>0</v>
      </c>
      <c r="CW26" s="168">
        <f t="shared" si="110"/>
        <v>0</v>
      </c>
      <c r="CX26" s="169">
        <f t="shared" ref="CX26" si="139">SUM(CX24:CX25)</f>
        <v>0</v>
      </c>
      <c r="CY26" s="168">
        <f t="shared" si="110"/>
        <v>0</v>
      </c>
      <c r="CZ26" s="169"/>
      <c r="DA26" s="168">
        <f t="shared" si="110"/>
        <v>0</v>
      </c>
      <c r="DB26" s="169"/>
      <c r="DC26" s="168">
        <f t="shared" si="110"/>
        <v>0</v>
      </c>
      <c r="DD26" s="169">
        <f t="shared" ref="DD26" si="140">SUM(DD24:DD25)</f>
        <v>0</v>
      </c>
      <c r="DE26" s="168">
        <f t="shared" si="110"/>
        <v>0</v>
      </c>
      <c r="DF26" s="169">
        <f t="shared" ref="DF26" si="141">SUM(DF24:DF25)</f>
        <v>0</v>
      </c>
      <c r="DG26" s="168">
        <f t="shared" si="110"/>
        <v>0</v>
      </c>
      <c r="DH26" s="169">
        <f t="shared" ref="DH26" si="142">SUM(DH24:DH25)</f>
        <v>0</v>
      </c>
      <c r="DI26" s="168">
        <f t="shared" si="110"/>
        <v>0</v>
      </c>
      <c r="DJ26" s="169">
        <f t="shared" ref="DJ26" si="143">SUM(DJ24:DJ25)</f>
        <v>0</v>
      </c>
      <c r="DK26" s="168">
        <f t="shared" si="110"/>
        <v>0</v>
      </c>
      <c r="DL26" s="169">
        <f t="shared" ref="DL26" si="144">SUM(DL24:DL25)</f>
        <v>0</v>
      </c>
      <c r="DM26" s="168">
        <f t="shared" si="110"/>
        <v>0</v>
      </c>
      <c r="DN26" s="169">
        <f t="shared" ref="DN26" si="145">SUM(DN24:DN25)</f>
        <v>0</v>
      </c>
      <c r="DO26" s="168">
        <f t="shared" si="110"/>
        <v>0</v>
      </c>
      <c r="DP26" s="169">
        <f t="shared" ref="DP26" si="146">SUM(DP24:DP25)</f>
        <v>0</v>
      </c>
      <c r="DQ26" s="168"/>
      <c r="DR26" s="169"/>
      <c r="DS26" s="168"/>
      <c r="DT26" s="169"/>
      <c r="DU26" s="168"/>
      <c r="DV26" s="169"/>
    </row>
    <row r="27" spans="1:126" x14ac:dyDescent="0.2">
      <c r="A27" s="160" t="s">
        <v>110</v>
      </c>
      <c r="B27" s="160" t="s">
        <v>869</v>
      </c>
      <c r="C27" s="161">
        <f t="shared" ref="C27:C33" si="147">E27+G27+I27</f>
        <v>10500</v>
      </c>
      <c r="D27" s="162">
        <f t="shared" si="51"/>
        <v>11300</v>
      </c>
      <c r="E27" s="161">
        <f t="shared" ref="E27:E33" si="148">K27+M27+O26:O27+Q27+S27+U27+W27+Y27+AA27+AC27+AE27+AI27</f>
        <v>10500</v>
      </c>
      <c r="F27" s="162">
        <f t="shared" si="52"/>
        <v>11300</v>
      </c>
      <c r="G27" s="161">
        <f t="shared" si="3"/>
        <v>0</v>
      </c>
      <c r="H27" s="162">
        <f t="shared" si="3"/>
        <v>0</v>
      </c>
      <c r="I27" s="161"/>
      <c r="J27" s="162"/>
      <c r="K27" s="161"/>
      <c r="L27" s="162"/>
      <c r="M27" s="161"/>
      <c r="N27" s="162"/>
      <c r="O27" s="161">
        <v>200</v>
      </c>
      <c r="P27" s="162">
        <v>200</v>
      </c>
      <c r="Q27" s="161"/>
      <c r="R27" s="162"/>
      <c r="S27" s="161"/>
      <c r="T27" s="162"/>
      <c r="U27" s="161"/>
      <c r="V27" s="162"/>
      <c r="W27" s="161">
        <v>1900</v>
      </c>
      <c r="X27" s="162">
        <v>1900</v>
      </c>
      <c r="Y27" s="161"/>
      <c r="Z27" s="162"/>
      <c r="AA27" s="161"/>
      <c r="AB27" s="162"/>
      <c r="AC27" s="161"/>
      <c r="AD27" s="162"/>
      <c r="AE27" s="161">
        <v>8400</v>
      </c>
      <c r="AF27" s="162">
        <v>9200</v>
      </c>
      <c r="AG27" s="161"/>
      <c r="AH27" s="162"/>
      <c r="AI27" s="161"/>
      <c r="AJ27" s="162"/>
      <c r="AK27" s="161"/>
      <c r="AL27" s="162"/>
      <c r="AM27" s="161"/>
      <c r="AN27" s="162"/>
      <c r="AO27" s="161"/>
      <c r="AP27" s="162"/>
      <c r="AQ27" s="161"/>
      <c r="AR27" s="162"/>
      <c r="AS27" s="161"/>
      <c r="AT27" s="162"/>
      <c r="AU27" s="161"/>
      <c r="AV27" s="162"/>
      <c r="AW27" s="161"/>
      <c r="AX27" s="162"/>
      <c r="AY27" s="161"/>
      <c r="AZ27" s="162"/>
      <c r="BA27" s="161"/>
      <c r="BB27" s="162"/>
      <c r="BC27" s="161"/>
      <c r="BD27" s="162"/>
      <c r="BE27" s="161"/>
      <c r="BF27" s="162"/>
      <c r="BG27" s="161"/>
      <c r="BH27" s="162"/>
      <c r="BI27" s="161"/>
      <c r="BJ27" s="162"/>
      <c r="BK27" s="161"/>
      <c r="BL27" s="162"/>
      <c r="BM27" s="161"/>
      <c r="BN27" s="162"/>
      <c r="BO27" s="161"/>
      <c r="BP27" s="162"/>
      <c r="BQ27" s="161"/>
      <c r="BR27" s="162"/>
      <c r="BS27" s="161"/>
      <c r="BT27" s="162"/>
      <c r="BU27" s="161"/>
      <c r="BV27" s="162"/>
      <c r="BW27" s="161"/>
      <c r="BX27" s="162"/>
      <c r="BY27" s="161"/>
      <c r="BZ27" s="162"/>
      <c r="CA27" s="161"/>
      <c r="CB27" s="162"/>
      <c r="CC27" s="161"/>
      <c r="CD27" s="162"/>
      <c r="CE27" s="161"/>
      <c r="CF27" s="162"/>
      <c r="CG27" s="161"/>
      <c r="CH27" s="162"/>
      <c r="CI27" s="161"/>
      <c r="CJ27" s="162"/>
      <c r="CK27" s="161"/>
      <c r="CL27" s="162"/>
      <c r="CM27" s="161"/>
      <c r="CN27" s="162"/>
      <c r="CO27" s="161"/>
      <c r="CP27" s="162"/>
      <c r="CQ27" s="161"/>
      <c r="CR27" s="162"/>
      <c r="CS27" s="161"/>
      <c r="CT27" s="162"/>
      <c r="CU27" s="161"/>
      <c r="CV27" s="162"/>
      <c r="CW27" s="161"/>
      <c r="CX27" s="162"/>
      <c r="CY27" s="161"/>
      <c r="CZ27" s="162"/>
      <c r="DA27" s="161"/>
      <c r="DB27" s="162"/>
      <c r="DC27" s="161"/>
      <c r="DD27" s="162"/>
      <c r="DE27" s="161"/>
      <c r="DF27" s="162"/>
      <c r="DG27" s="161"/>
      <c r="DH27" s="162"/>
      <c r="DI27" s="161"/>
      <c r="DJ27" s="162"/>
      <c r="DK27" s="161"/>
      <c r="DL27" s="162"/>
      <c r="DM27" s="161"/>
      <c r="DN27" s="162"/>
      <c r="DO27" s="161"/>
      <c r="DP27" s="162"/>
      <c r="DQ27" s="161"/>
      <c r="DR27" s="162"/>
      <c r="DS27" s="161"/>
      <c r="DT27" s="162"/>
      <c r="DU27" s="161"/>
      <c r="DV27" s="162"/>
    </row>
    <row r="28" spans="1:126" x14ac:dyDescent="0.2">
      <c r="A28" s="160" t="s">
        <v>116</v>
      </c>
      <c r="B28" s="160" t="s">
        <v>118</v>
      </c>
      <c r="C28" s="161">
        <f t="shared" si="147"/>
        <v>0</v>
      </c>
      <c r="D28" s="162">
        <f t="shared" si="51"/>
        <v>0</v>
      </c>
      <c r="E28" s="161">
        <f t="shared" si="148"/>
        <v>0</v>
      </c>
      <c r="F28" s="162">
        <f t="shared" si="52"/>
        <v>0</v>
      </c>
      <c r="G28" s="161">
        <f t="shared" si="3"/>
        <v>0</v>
      </c>
      <c r="H28" s="162">
        <f t="shared" si="3"/>
        <v>0</v>
      </c>
      <c r="I28" s="161"/>
      <c r="J28" s="162"/>
      <c r="K28" s="161"/>
      <c r="L28" s="162"/>
      <c r="M28" s="161"/>
      <c r="N28" s="162"/>
      <c r="O28" s="161"/>
      <c r="P28" s="162"/>
      <c r="Q28" s="161"/>
      <c r="R28" s="162"/>
      <c r="S28" s="161"/>
      <c r="T28" s="162"/>
      <c r="U28" s="161"/>
      <c r="V28" s="162"/>
      <c r="W28" s="161"/>
      <c r="X28" s="162"/>
      <c r="Y28" s="161"/>
      <c r="Z28" s="162"/>
      <c r="AA28" s="161"/>
      <c r="AB28" s="162"/>
      <c r="AC28" s="161"/>
      <c r="AD28" s="162"/>
      <c r="AE28" s="161"/>
      <c r="AF28" s="162"/>
      <c r="AG28" s="161"/>
      <c r="AH28" s="162"/>
      <c r="AI28" s="161"/>
      <c r="AJ28" s="162"/>
      <c r="AK28" s="161"/>
      <c r="AL28" s="162"/>
      <c r="AM28" s="161"/>
      <c r="AN28" s="162"/>
      <c r="AO28" s="161"/>
      <c r="AP28" s="162"/>
      <c r="AQ28" s="161"/>
      <c r="AR28" s="162"/>
      <c r="AS28" s="161"/>
      <c r="AT28" s="162"/>
      <c r="AU28" s="161"/>
      <c r="AV28" s="162"/>
      <c r="AW28" s="161"/>
      <c r="AX28" s="162"/>
      <c r="AY28" s="161"/>
      <c r="AZ28" s="162"/>
      <c r="BA28" s="161"/>
      <c r="BB28" s="162"/>
      <c r="BC28" s="161"/>
      <c r="BD28" s="162"/>
      <c r="BE28" s="161"/>
      <c r="BF28" s="162"/>
      <c r="BG28" s="161"/>
      <c r="BH28" s="162"/>
      <c r="BI28" s="161"/>
      <c r="BJ28" s="162"/>
      <c r="BK28" s="161"/>
      <c r="BL28" s="162"/>
      <c r="BM28" s="161"/>
      <c r="BN28" s="162"/>
      <c r="BO28" s="161"/>
      <c r="BP28" s="162"/>
      <c r="BQ28" s="161"/>
      <c r="BR28" s="162"/>
      <c r="BS28" s="161"/>
      <c r="BT28" s="162"/>
      <c r="BU28" s="161"/>
      <c r="BV28" s="162"/>
      <c r="BW28" s="161"/>
      <c r="BX28" s="162"/>
      <c r="BY28" s="161"/>
      <c r="BZ28" s="162"/>
      <c r="CA28" s="161"/>
      <c r="CB28" s="162"/>
      <c r="CC28" s="161"/>
      <c r="CD28" s="162"/>
      <c r="CE28" s="161"/>
      <c r="CF28" s="162"/>
      <c r="CG28" s="161"/>
      <c r="CH28" s="162"/>
      <c r="CI28" s="161"/>
      <c r="CJ28" s="162"/>
      <c r="CK28" s="161"/>
      <c r="CL28" s="162"/>
      <c r="CM28" s="161"/>
      <c r="CN28" s="162"/>
      <c r="CO28" s="161"/>
      <c r="CP28" s="162"/>
      <c r="CQ28" s="161"/>
      <c r="CR28" s="162"/>
      <c r="CS28" s="161"/>
      <c r="CT28" s="162"/>
      <c r="CU28" s="161"/>
      <c r="CV28" s="162"/>
      <c r="CW28" s="161"/>
      <c r="CX28" s="162"/>
      <c r="CY28" s="161"/>
      <c r="CZ28" s="162"/>
      <c r="DA28" s="161"/>
      <c r="DB28" s="162"/>
      <c r="DC28" s="161"/>
      <c r="DD28" s="162"/>
      <c r="DE28" s="161"/>
      <c r="DF28" s="162"/>
      <c r="DG28" s="161"/>
      <c r="DH28" s="162"/>
      <c r="DI28" s="161"/>
      <c r="DJ28" s="162"/>
      <c r="DK28" s="161"/>
      <c r="DL28" s="162"/>
      <c r="DM28" s="161"/>
      <c r="DN28" s="162"/>
      <c r="DO28" s="161"/>
      <c r="DP28" s="162"/>
      <c r="DQ28" s="161"/>
      <c r="DR28" s="162"/>
      <c r="DS28" s="161"/>
      <c r="DT28" s="162"/>
      <c r="DU28" s="161"/>
      <c r="DV28" s="162"/>
    </row>
    <row r="29" spans="1:126" x14ac:dyDescent="0.2">
      <c r="A29" s="160" t="s">
        <v>119</v>
      </c>
      <c r="B29" s="160" t="s">
        <v>870</v>
      </c>
      <c r="C29" s="161">
        <f t="shared" si="147"/>
        <v>33387</v>
      </c>
      <c r="D29" s="162">
        <f t="shared" si="51"/>
        <v>18388</v>
      </c>
      <c r="E29" s="161">
        <f t="shared" si="148"/>
        <v>33387</v>
      </c>
      <c r="F29" s="162">
        <f t="shared" si="52"/>
        <v>18288</v>
      </c>
      <c r="G29" s="161">
        <f t="shared" si="3"/>
        <v>0</v>
      </c>
      <c r="H29" s="162">
        <f t="shared" si="3"/>
        <v>100</v>
      </c>
      <c r="I29" s="161"/>
      <c r="J29" s="162"/>
      <c r="K29" s="161"/>
      <c r="L29" s="162"/>
      <c r="M29" s="161"/>
      <c r="N29" s="162"/>
      <c r="O29" s="161">
        <v>2400</v>
      </c>
      <c r="P29" s="162">
        <f>1080+876</f>
        <v>1956</v>
      </c>
      <c r="Q29" s="161"/>
      <c r="R29" s="162"/>
      <c r="S29" s="161"/>
      <c r="T29" s="162"/>
      <c r="U29" s="161"/>
      <c r="V29" s="162"/>
      <c r="W29" s="161"/>
      <c r="X29" s="162"/>
      <c r="Y29" s="161"/>
      <c r="Z29" s="162"/>
      <c r="AA29" s="161"/>
      <c r="AB29" s="162"/>
      <c r="AC29" s="161"/>
      <c r="AD29" s="162"/>
      <c r="AE29" s="161">
        <v>30987</v>
      </c>
      <c r="AF29" s="162">
        <v>16332</v>
      </c>
      <c r="AG29" s="161"/>
      <c r="AH29" s="162"/>
      <c r="AI29" s="161"/>
      <c r="AJ29" s="162"/>
      <c r="AK29" s="161"/>
      <c r="AL29" s="162"/>
      <c r="AM29" s="161"/>
      <c r="AN29" s="162"/>
      <c r="AO29" s="161"/>
      <c r="AP29" s="162"/>
      <c r="AQ29" s="161"/>
      <c r="AR29" s="162"/>
      <c r="AS29" s="161"/>
      <c r="AT29" s="162"/>
      <c r="AU29" s="161"/>
      <c r="AV29" s="162"/>
      <c r="AW29" s="161"/>
      <c r="AX29" s="162"/>
      <c r="AY29" s="161"/>
      <c r="AZ29" s="162"/>
      <c r="BA29" s="161"/>
      <c r="BB29" s="162"/>
      <c r="BC29" s="161"/>
      <c r="BD29" s="162"/>
      <c r="BE29" s="161"/>
      <c r="BF29" s="162"/>
      <c r="BG29" s="161"/>
      <c r="BH29" s="162"/>
      <c r="BI29" s="161"/>
      <c r="BJ29" s="162"/>
      <c r="BK29" s="161"/>
      <c r="BL29" s="162"/>
      <c r="BM29" s="161"/>
      <c r="BN29" s="162"/>
      <c r="BO29" s="161"/>
      <c r="BP29" s="162"/>
      <c r="BQ29" s="161"/>
      <c r="BR29" s="162"/>
      <c r="BS29" s="161"/>
      <c r="BT29" s="162"/>
      <c r="BU29" s="161"/>
      <c r="BV29" s="162"/>
      <c r="BW29" s="161"/>
      <c r="BX29" s="162"/>
      <c r="BY29" s="161"/>
      <c r="BZ29" s="162"/>
      <c r="CA29" s="161"/>
      <c r="CB29" s="162"/>
      <c r="CC29" s="161"/>
      <c r="CD29" s="162"/>
      <c r="CE29" s="161"/>
      <c r="CF29" s="162"/>
      <c r="CG29" s="161"/>
      <c r="CH29" s="162"/>
      <c r="CI29" s="161"/>
      <c r="CJ29" s="162"/>
      <c r="CK29" s="161"/>
      <c r="CL29" s="162"/>
      <c r="CM29" s="161"/>
      <c r="CN29" s="162"/>
      <c r="CO29" s="161"/>
      <c r="CP29" s="162"/>
      <c r="CQ29" s="161"/>
      <c r="CR29" s="162"/>
      <c r="CS29" s="161"/>
      <c r="CT29" s="162"/>
      <c r="CU29" s="161"/>
      <c r="CV29" s="162"/>
      <c r="CW29" s="161"/>
      <c r="CX29" s="162"/>
      <c r="CY29" s="161"/>
      <c r="CZ29" s="162"/>
      <c r="DA29" s="161"/>
      <c r="DB29" s="162"/>
      <c r="DC29" s="161"/>
      <c r="DD29" s="162"/>
      <c r="DE29" s="161"/>
      <c r="DF29" s="162"/>
      <c r="DG29" s="161"/>
      <c r="DH29" s="162">
        <v>100</v>
      </c>
      <c r="DI29" s="161"/>
      <c r="DJ29" s="162"/>
      <c r="DK29" s="161"/>
      <c r="DL29" s="162"/>
      <c r="DM29" s="161"/>
      <c r="DN29" s="162"/>
      <c r="DO29" s="161"/>
      <c r="DP29" s="162"/>
      <c r="DQ29" s="161"/>
      <c r="DR29" s="162"/>
      <c r="DS29" s="161"/>
      <c r="DT29" s="162"/>
      <c r="DU29" s="161"/>
      <c r="DV29" s="162"/>
    </row>
    <row r="30" spans="1:126" x14ac:dyDescent="0.2">
      <c r="A30" s="160" t="s">
        <v>124</v>
      </c>
      <c r="B30" s="160" t="s">
        <v>126</v>
      </c>
      <c r="C30" s="161">
        <f t="shared" si="147"/>
        <v>2236</v>
      </c>
      <c r="D30" s="162">
        <f t="shared" si="51"/>
        <v>1286</v>
      </c>
      <c r="E30" s="161">
        <f t="shared" si="148"/>
        <v>600</v>
      </c>
      <c r="F30" s="162">
        <f t="shared" si="52"/>
        <v>1286</v>
      </c>
      <c r="G30" s="161">
        <f t="shared" si="3"/>
        <v>1636</v>
      </c>
      <c r="H30" s="162">
        <f t="shared" si="3"/>
        <v>0</v>
      </c>
      <c r="I30" s="161"/>
      <c r="J30" s="162"/>
      <c r="K30" s="161"/>
      <c r="L30" s="162"/>
      <c r="M30" s="161"/>
      <c r="N30" s="162"/>
      <c r="O30" s="161"/>
      <c r="P30" s="162"/>
      <c r="Q30" s="161"/>
      <c r="R30" s="162">
        <v>30</v>
      </c>
      <c r="S30" s="161"/>
      <c r="T30" s="162"/>
      <c r="U30" s="161"/>
      <c r="V30" s="162"/>
      <c r="W30" s="161"/>
      <c r="X30" s="162"/>
      <c r="Y30" s="161"/>
      <c r="Z30" s="162"/>
      <c r="AA30" s="161"/>
      <c r="AB30" s="162"/>
      <c r="AC30" s="161"/>
      <c r="AD30" s="162"/>
      <c r="AE30" s="161">
        <v>600</v>
      </c>
      <c r="AF30" s="162">
        <v>1256</v>
      </c>
      <c r="AG30" s="161"/>
      <c r="AH30" s="162"/>
      <c r="AI30" s="161"/>
      <c r="AJ30" s="162"/>
      <c r="AK30" s="161"/>
      <c r="AL30" s="162"/>
      <c r="AM30" s="161"/>
      <c r="AN30" s="162"/>
      <c r="AO30" s="161"/>
      <c r="AP30" s="162"/>
      <c r="AQ30" s="161"/>
      <c r="AR30" s="162"/>
      <c r="AS30" s="161"/>
      <c r="AT30" s="162"/>
      <c r="AU30" s="161"/>
      <c r="AV30" s="162"/>
      <c r="AW30" s="161"/>
      <c r="AX30" s="162"/>
      <c r="AY30" s="161"/>
      <c r="AZ30" s="162"/>
      <c r="BA30" s="161"/>
      <c r="BB30" s="162"/>
      <c r="BC30" s="161"/>
      <c r="BD30" s="162"/>
      <c r="BE30" s="161"/>
      <c r="BF30" s="162"/>
      <c r="BG30" s="161"/>
      <c r="BH30" s="162"/>
      <c r="BI30" s="161"/>
      <c r="BJ30" s="162"/>
      <c r="BK30" s="161">
        <f>4*298+37*12</f>
        <v>1636</v>
      </c>
      <c r="BL30" s="162">
        <v>0</v>
      </c>
      <c r="BM30" s="161"/>
      <c r="BN30" s="162"/>
      <c r="BO30" s="161"/>
      <c r="BP30" s="162"/>
      <c r="BQ30" s="161"/>
      <c r="BR30" s="162"/>
      <c r="BS30" s="161"/>
      <c r="BT30" s="162"/>
      <c r="BU30" s="161"/>
      <c r="BV30" s="162"/>
      <c r="BW30" s="161"/>
      <c r="BX30" s="162"/>
      <c r="BY30" s="161"/>
      <c r="BZ30" s="162"/>
      <c r="CA30" s="161"/>
      <c r="CB30" s="162"/>
      <c r="CC30" s="161"/>
      <c r="CD30" s="162"/>
      <c r="CE30" s="161"/>
      <c r="CF30" s="162"/>
      <c r="CG30" s="161"/>
      <c r="CH30" s="162"/>
      <c r="CI30" s="161"/>
      <c r="CJ30" s="162"/>
      <c r="CK30" s="161"/>
      <c r="CL30" s="162"/>
      <c r="CM30" s="161"/>
      <c r="CN30" s="162"/>
      <c r="CO30" s="161"/>
      <c r="CP30" s="162"/>
      <c r="CQ30" s="161"/>
      <c r="CR30" s="162"/>
      <c r="CS30" s="161"/>
      <c r="CT30" s="162"/>
      <c r="CU30" s="161"/>
      <c r="CV30" s="162"/>
      <c r="CW30" s="161"/>
      <c r="CX30" s="162"/>
      <c r="CY30" s="161"/>
      <c r="CZ30" s="162"/>
      <c r="DA30" s="161"/>
      <c r="DB30" s="162"/>
      <c r="DC30" s="161"/>
      <c r="DD30" s="162"/>
      <c r="DE30" s="161"/>
      <c r="DF30" s="162"/>
      <c r="DG30" s="161"/>
      <c r="DH30" s="162"/>
      <c r="DI30" s="161"/>
      <c r="DJ30" s="162"/>
      <c r="DK30" s="161"/>
      <c r="DL30" s="162"/>
      <c r="DM30" s="161"/>
      <c r="DN30" s="162"/>
      <c r="DO30" s="161"/>
      <c r="DP30" s="162"/>
      <c r="DQ30" s="161"/>
      <c r="DR30" s="162"/>
      <c r="DS30" s="161"/>
      <c r="DT30" s="162"/>
      <c r="DU30" s="161"/>
      <c r="DV30" s="162"/>
    </row>
    <row r="31" spans="1:126" x14ac:dyDescent="0.2">
      <c r="A31" s="160" t="s">
        <v>127</v>
      </c>
      <c r="B31" s="160" t="s">
        <v>871</v>
      </c>
      <c r="C31" s="161">
        <f t="shared" si="147"/>
        <v>1500</v>
      </c>
      <c r="D31" s="162">
        <f t="shared" si="51"/>
        <v>1825</v>
      </c>
      <c r="E31" s="161">
        <f t="shared" si="148"/>
        <v>1500</v>
      </c>
      <c r="F31" s="162">
        <f t="shared" si="52"/>
        <v>1825</v>
      </c>
      <c r="G31" s="161">
        <f t="shared" si="3"/>
        <v>0</v>
      </c>
      <c r="H31" s="162">
        <f t="shared" si="3"/>
        <v>0</v>
      </c>
      <c r="I31" s="161"/>
      <c r="J31" s="162"/>
      <c r="K31" s="161"/>
      <c r="L31" s="162"/>
      <c r="M31" s="161"/>
      <c r="N31" s="162"/>
      <c r="O31" s="161"/>
      <c r="P31" s="162"/>
      <c r="Q31" s="161"/>
      <c r="R31" s="162">
        <v>25</v>
      </c>
      <c r="S31" s="161"/>
      <c r="T31" s="162"/>
      <c r="U31" s="161"/>
      <c r="V31" s="162"/>
      <c r="W31" s="161"/>
      <c r="X31" s="162"/>
      <c r="Y31" s="161"/>
      <c r="Z31" s="162"/>
      <c r="AA31" s="161"/>
      <c r="AB31" s="162"/>
      <c r="AC31" s="161"/>
      <c r="AD31" s="162"/>
      <c r="AE31" s="161">
        <v>1500</v>
      </c>
      <c r="AF31" s="162">
        <v>1800</v>
      </c>
      <c r="AG31" s="161"/>
      <c r="AH31" s="162"/>
      <c r="AI31" s="161"/>
      <c r="AJ31" s="162"/>
      <c r="AK31" s="161"/>
      <c r="AL31" s="162"/>
      <c r="AM31" s="161"/>
      <c r="AN31" s="162"/>
      <c r="AO31" s="161"/>
      <c r="AP31" s="162"/>
      <c r="AQ31" s="161"/>
      <c r="AR31" s="162"/>
      <c r="AS31" s="161"/>
      <c r="AT31" s="162"/>
      <c r="AU31" s="161"/>
      <c r="AV31" s="162"/>
      <c r="AW31" s="161"/>
      <c r="AX31" s="162"/>
      <c r="AY31" s="161"/>
      <c r="AZ31" s="162"/>
      <c r="BA31" s="161"/>
      <c r="BB31" s="162"/>
      <c r="BC31" s="161"/>
      <c r="BD31" s="162"/>
      <c r="BE31" s="161"/>
      <c r="BF31" s="162"/>
      <c r="BG31" s="161"/>
      <c r="BH31" s="162"/>
      <c r="BI31" s="161"/>
      <c r="BJ31" s="162"/>
      <c r="BK31" s="161"/>
      <c r="BL31" s="162"/>
      <c r="BM31" s="161"/>
      <c r="BN31" s="162"/>
      <c r="BO31" s="161"/>
      <c r="BP31" s="162"/>
      <c r="BQ31" s="161"/>
      <c r="BR31" s="162"/>
      <c r="BS31" s="161"/>
      <c r="BT31" s="162"/>
      <c r="BU31" s="161"/>
      <c r="BV31" s="162"/>
      <c r="BW31" s="161"/>
      <c r="BX31" s="162"/>
      <c r="BY31" s="161"/>
      <c r="BZ31" s="162"/>
      <c r="CA31" s="161"/>
      <c r="CB31" s="162"/>
      <c r="CC31" s="161"/>
      <c r="CD31" s="162"/>
      <c r="CE31" s="161"/>
      <c r="CF31" s="162"/>
      <c r="CG31" s="161"/>
      <c r="CH31" s="162"/>
      <c r="CI31" s="161"/>
      <c r="CJ31" s="162"/>
      <c r="CK31" s="161"/>
      <c r="CL31" s="162"/>
      <c r="CM31" s="161"/>
      <c r="CN31" s="162"/>
      <c r="CO31" s="161"/>
      <c r="CP31" s="162"/>
      <c r="CQ31" s="161"/>
      <c r="CR31" s="162"/>
      <c r="CS31" s="161"/>
      <c r="CT31" s="162"/>
      <c r="CU31" s="161"/>
      <c r="CV31" s="162"/>
      <c r="CW31" s="161"/>
      <c r="CX31" s="162"/>
      <c r="CY31" s="161"/>
      <c r="CZ31" s="162"/>
      <c r="DA31" s="161"/>
      <c r="DB31" s="162"/>
      <c r="DC31" s="161"/>
      <c r="DD31" s="162"/>
      <c r="DE31" s="161"/>
      <c r="DF31" s="162"/>
      <c r="DG31" s="161"/>
      <c r="DH31" s="162"/>
      <c r="DI31" s="161"/>
      <c r="DJ31" s="162"/>
      <c r="DK31" s="161"/>
      <c r="DL31" s="162"/>
      <c r="DM31" s="161"/>
      <c r="DN31" s="162"/>
      <c r="DO31" s="161"/>
      <c r="DP31" s="162"/>
      <c r="DQ31" s="161"/>
      <c r="DR31" s="162"/>
      <c r="DS31" s="161"/>
      <c r="DT31" s="162"/>
      <c r="DU31" s="161"/>
      <c r="DV31" s="162"/>
    </row>
    <row r="32" spans="1:126" x14ac:dyDescent="0.2">
      <c r="A32" s="160" t="s">
        <v>132</v>
      </c>
      <c r="B32" s="160" t="s">
        <v>134</v>
      </c>
      <c r="C32" s="161">
        <f t="shared" si="147"/>
        <v>60967</v>
      </c>
      <c r="D32" s="162">
        <f t="shared" si="51"/>
        <v>75194</v>
      </c>
      <c r="E32" s="161">
        <f t="shared" si="148"/>
        <v>48012</v>
      </c>
      <c r="F32" s="162">
        <f t="shared" si="52"/>
        <v>56922</v>
      </c>
      <c r="G32" s="161">
        <f t="shared" si="3"/>
        <v>12955</v>
      </c>
      <c r="H32" s="162">
        <f t="shared" si="3"/>
        <v>18272</v>
      </c>
      <c r="I32" s="161"/>
      <c r="J32" s="162"/>
      <c r="K32" s="161">
        <f>6600+1350+200</f>
        <v>8150</v>
      </c>
      <c r="L32" s="162">
        <f>6600+500</f>
        <v>7100</v>
      </c>
      <c r="M32" s="161"/>
      <c r="N32" s="162"/>
      <c r="O32" s="161">
        <v>16640</v>
      </c>
      <c r="P32" s="162">
        <f>14300+1480</f>
        <v>15780</v>
      </c>
      <c r="Q32" s="161">
        <v>50</v>
      </c>
      <c r="R32" s="162">
        <v>50</v>
      </c>
      <c r="S32" s="161"/>
      <c r="T32" s="162"/>
      <c r="U32" s="161"/>
      <c r="V32" s="162"/>
      <c r="W32" s="161"/>
      <c r="X32" s="162"/>
      <c r="Y32" s="161"/>
      <c r="Z32" s="162"/>
      <c r="AA32" s="161"/>
      <c r="AB32" s="162"/>
      <c r="AC32" s="161"/>
      <c r="AD32" s="162"/>
      <c r="AE32" s="161">
        <v>23172</v>
      </c>
      <c r="AF32" s="162">
        <v>33992</v>
      </c>
      <c r="AG32" s="161"/>
      <c r="AH32" s="162"/>
      <c r="AI32" s="161"/>
      <c r="AJ32" s="162"/>
      <c r="AK32" s="161">
        <v>3744</v>
      </c>
      <c r="AL32" s="162">
        <v>3744</v>
      </c>
      <c r="AM32" s="161"/>
      <c r="AN32" s="162"/>
      <c r="AO32" s="161"/>
      <c r="AP32" s="162"/>
      <c r="AQ32" s="161"/>
      <c r="AR32" s="162"/>
      <c r="AS32" s="161"/>
      <c r="AT32" s="162"/>
      <c r="AU32" s="161"/>
      <c r="AV32" s="162"/>
      <c r="AW32" s="161">
        <v>2811</v>
      </c>
      <c r="AX32" s="162">
        <v>2811</v>
      </c>
      <c r="AY32" s="161">
        <v>1595</v>
      </c>
      <c r="AZ32" s="162">
        <v>1595</v>
      </c>
      <c r="BA32" s="161"/>
      <c r="BB32" s="162"/>
      <c r="BC32" s="161">
        <v>875</v>
      </c>
      <c r="BD32" s="162">
        <v>1750</v>
      </c>
      <c r="BE32" s="161">
        <v>720</v>
      </c>
      <c r="BF32" s="162">
        <v>1440</v>
      </c>
      <c r="BG32" s="161"/>
      <c r="BH32" s="162"/>
      <c r="BI32" s="161"/>
      <c r="BJ32" s="162"/>
      <c r="BK32" s="161"/>
      <c r="BL32" s="162"/>
      <c r="BM32" s="161">
        <v>1200</v>
      </c>
      <c r="BN32" s="162">
        <v>1500</v>
      </c>
      <c r="BO32" s="161"/>
      <c r="BP32" s="162"/>
      <c r="BQ32" s="161"/>
      <c r="BR32" s="162"/>
      <c r="BS32" s="161"/>
      <c r="BT32" s="162"/>
      <c r="BU32" s="161"/>
      <c r="BV32" s="162"/>
      <c r="BW32" s="161"/>
      <c r="BX32" s="162"/>
      <c r="BY32" s="161"/>
      <c r="BZ32" s="162"/>
      <c r="CA32" s="161"/>
      <c r="CB32" s="162"/>
      <c r="CC32" s="161"/>
      <c r="CD32" s="162"/>
      <c r="CE32" s="161"/>
      <c r="CF32" s="162"/>
      <c r="CG32" s="161"/>
      <c r="CH32" s="162"/>
      <c r="CI32" s="161"/>
      <c r="CJ32" s="162"/>
      <c r="CK32" s="161"/>
      <c r="CL32" s="162"/>
      <c r="CM32" s="161"/>
      <c r="CN32" s="162"/>
      <c r="CO32" s="161"/>
      <c r="CP32" s="162"/>
      <c r="CQ32" s="161"/>
      <c r="CR32" s="162"/>
      <c r="CS32" s="161"/>
      <c r="CT32" s="162">
        <v>512</v>
      </c>
      <c r="CU32" s="161"/>
      <c r="CV32" s="162"/>
      <c r="CW32" s="161"/>
      <c r="CX32" s="162"/>
      <c r="CY32" s="161"/>
      <c r="CZ32" s="162"/>
      <c r="DA32" s="161"/>
      <c r="DB32" s="162"/>
      <c r="DC32" s="161">
        <v>1710</v>
      </c>
      <c r="DD32" s="162">
        <v>2470</v>
      </c>
      <c r="DE32" s="161"/>
      <c r="DF32" s="162"/>
      <c r="DG32" s="161"/>
      <c r="DH32" s="162">
        <f>800+1500</f>
        <v>2300</v>
      </c>
      <c r="DI32" s="161"/>
      <c r="DJ32" s="162"/>
      <c r="DK32" s="161"/>
      <c r="DL32" s="162"/>
      <c r="DM32" s="161"/>
      <c r="DN32" s="162"/>
      <c r="DO32" s="161">
        <v>300</v>
      </c>
      <c r="DP32" s="162">
        <v>150</v>
      </c>
      <c r="DQ32" s="161"/>
      <c r="DR32" s="162"/>
      <c r="DS32" s="161"/>
      <c r="DT32" s="162"/>
      <c r="DU32" s="161"/>
      <c r="DV32" s="162"/>
    </row>
    <row r="33" spans="1:126" x14ac:dyDescent="0.2">
      <c r="A33" s="160" t="s">
        <v>138</v>
      </c>
      <c r="B33" s="160" t="s">
        <v>872</v>
      </c>
      <c r="C33" s="161">
        <f t="shared" si="147"/>
        <v>126806</v>
      </c>
      <c r="D33" s="162">
        <f t="shared" si="51"/>
        <v>80600</v>
      </c>
      <c r="E33" s="161">
        <f t="shared" si="148"/>
        <v>22807</v>
      </c>
      <c r="F33" s="162">
        <f t="shared" si="52"/>
        <v>43807</v>
      </c>
      <c r="G33" s="161">
        <f t="shared" si="3"/>
        <v>103999</v>
      </c>
      <c r="H33" s="162">
        <f t="shared" si="3"/>
        <v>36793</v>
      </c>
      <c r="I33" s="161"/>
      <c r="J33" s="162"/>
      <c r="K33" s="161"/>
      <c r="L33" s="162"/>
      <c r="M33" s="161">
        <v>2000</v>
      </c>
      <c r="N33" s="162">
        <v>2000</v>
      </c>
      <c r="O33" s="161"/>
      <c r="P33" s="162"/>
      <c r="Q33" s="161">
        <v>140</v>
      </c>
      <c r="R33" s="162">
        <v>140</v>
      </c>
      <c r="S33" s="161"/>
      <c r="T33" s="162"/>
      <c r="U33" s="161"/>
      <c r="V33" s="162"/>
      <c r="W33" s="161"/>
      <c r="X33" s="162"/>
      <c r="Y33" s="161">
        <f>788</f>
        <v>788</v>
      </c>
      <c r="Z33" s="162">
        <f>788</f>
        <v>788</v>
      </c>
      <c r="AA33" s="161">
        <f>1500+2362</f>
        <v>3862</v>
      </c>
      <c r="AB33" s="162">
        <f>2362</f>
        <v>2362</v>
      </c>
      <c r="AC33" s="161">
        <v>12</v>
      </c>
      <c r="AD33" s="162">
        <v>12</v>
      </c>
      <c r="AE33" s="161">
        <v>16005</v>
      </c>
      <c r="AF33" s="162">
        <v>38505</v>
      </c>
      <c r="AG33" s="161"/>
      <c r="AH33" s="162"/>
      <c r="AI33" s="161"/>
      <c r="AJ33" s="162"/>
      <c r="AK33" s="161">
        <v>0</v>
      </c>
      <c r="AL33" s="162">
        <v>0</v>
      </c>
      <c r="AM33" s="161"/>
      <c r="AN33" s="162"/>
      <c r="AO33" s="161">
        <v>3150</v>
      </c>
      <c r="AP33" s="162">
        <v>6347</v>
      </c>
      <c r="AQ33" s="161">
        <v>1000</v>
      </c>
      <c r="AR33" s="162">
        <v>1000</v>
      </c>
      <c r="AS33" s="161"/>
      <c r="AT33" s="162"/>
      <c r="AU33" s="161"/>
      <c r="AV33" s="162"/>
      <c r="AW33" s="161"/>
      <c r="AX33" s="162"/>
      <c r="AY33" s="161"/>
      <c r="AZ33" s="162"/>
      <c r="BA33" s="161">
        <v>4724</v>
      </c>
      <c r="BB33" s="162">
        <v>6000</v>
      </c>
      <c r="BC33" s="161"/>
      <c r="BD33" s="162"/>
      <c r="BE33" s="161"/>
      <c r="BF33" s="162"/>
      <c r="BG33" s="161">
        <v>2400</v>
      </c>
      <c r="BH33" s="162">
        <v>2400</v>
      </c>
      <c r="BI33" s="161">
        <v>1906</v>
      </c>
      <c r="BJ33" s="162">
        <v>1906</v>
      </c>
      <c r="BK33" s="161"/>
      <c r="BL33" s="162"/>
      <c r="BM33" s="161"/>
      <c r="BN33" s="162"/>
      <c r="BO33" s="161">
        <f>5388+600+7560-1737</f>
        <v>11811</v>
      </c>
      <c r="BP33" s="162">
        <f>14840</f>
        <v>14840</v>
      </c>
      <c r="BQ33" s="161"/>
      <c r="BR33" s="162"/>
      <c r="BS33" s="161"/>
      <c r="BT33" s="162"/>
      <c r="BU33" s="161"/>
      <c r="BV33" s="162"/>
      <c r="BW33" s="161"/>
      <c r="BX33" s="162"/>
      <c r="BY33" s="161"/>
      <c r="BZ33" s="162"/>
      <c r="CA33" s="161"/>
      <c r="CB33" s="162"/>
      <c r="CC33" s="161"/>
      <c r="CD33" s="162"/>
      <c r="CE33" s="161"/>
      <c r="CF33" s="162"/>
      <c r="CG33" s="161"/>
      <c r="CH33" s="162"/>
      <c r="CI33" s="161">
        <v>78608</v>
      </c>
      <c r="CJ33" s="162">
        <v>0</v>
      </c>
      <c r="CK33" s="161"/>
      <c r="CL33" s="162"/>
      <c r="CM33" s="161"/>
      <c r="CN33" s="162"/>
      <c r="CO33" s="161"/>
      <c r="CP33" s="162"/>
      <c r="CQ33" s="161"/>
      <c r="CR33" s="162"/>
      <c r="CS33" s="161"/>
      <c r="CT33" s="162"/>
      <c r="CU33" s="161"/>
      <c r="CV33" s="162"/>
      <c r="CW33" s="161"/>
      <c r="CX33" s="162"/>
      <c r="CY33" s="161"/>
      <c r="CZ33" s="162"/>
      <c r="DA33" s="161"/>
      <c r="DB33" s="162"/>
      <c r="DC33" s="161"/>
      <c r="DD33" s="162"/>
      <c r="DE33" s="161"/>
      <c r="DF33" s="162"/>
      <c r="DG33" s="161"/>
      <c r="DH33" s="162">
        <v>4100</v>
      </c>
      <c r="DI33" s="161"/>
      <c r="DJ33" s="162"/>
      <c r="DK33" s="161"/>
      <c r="DL33" s="162"/>
      <c r="DM33" s="161">
        <v>0</v>
      </c>
      <c r="DN33" s="162">
        <v>0</v>
      </c>
      <c r="DO33" s="161">
        <v>400</v>
      </c>
      <c r="DP33" s="162">
        <v>200</v>
      </c>
      <c r="DQ33" s="161"/>
      <c r="DR33" s="162"/>
      <c r="DS33" s="161"/>
      <c r="DT33" s="162"/>
      <c r="DU33" s="161"/>
      <c r="DV33" s="162"/>
    </row>
    <row r="34" spans="1:126" x14ac:dyDescent="0.2">
      <c r="A34" s="167" t="s">
        <v>145</v>
      </c>
      <c r="B34" s="167" t="s">
        <v>873</v>
      </c>
      <c r="C34" s="168">
        <f>SUM(C27:C33)</f>
        <v>235396</v>
      </c>
      <c r="D34" s="169">
        <f>SUM(D27:D33)</f>
        <v>188593</v>
      </c>
      <c r="E34" s="168">
        <f t="shared" ref="E34:AE34" si="149">SUM(E27:E33)</f>
        <v>116806</v>
      </c>
      <c r="F34" s="169">
        <f t="shared" si="149"/>
        <v>133428</v>
      </c>
      <c r="G34" s="168">
        <f t="shared" si="149"/>
        <v>118590</v>
      </c>
      <c r="H34" s="169">
        <f>SUM(H27:H33)</f>
        <v>55165</v>
      </c>
      <c r="I34" s="168"/>
      <c r="J34" s="169"/>
      <c r="K34" s="168">
        <f t="shared" si="149"/>
        <v>8150</v>
      </c>
      <c r="L34" s="169">
        <f t="shared" si="149"/>
        <v>7100</v>
      </c>
      <c r="M34" s="168">
        <f t="shared" si="149"/>
        <v>2000</v>
      </c>
      <c r="N34" s="169">
        <f t="shared" si="149"/>
        <v>2000</v>
      </c>
      <c r="O34" s="168">
        <f t="shared" si="149"/>
        <v>19240</v>
      </c>
      <c r="P34" s="169">
        <f t="shared" si="149"/>
        <v>17936</v>
      </c>
      <c r="Q34" s="168">
        <f t="shared" si="149"/>
        <v>190</v>
      </c>
      <c r="R34" s="169">
        <f t="shared" si="149"/>
        <v>245</v>
      </c>
      <c r="S34" s="168">
        <f t="shared" si="149"/>
        <v>0</v>
      </c>
      <c r="T34" s="169">
        <f t="shared" ref="T34" si="150">SUM(T27:T33)</f>
        <v>0</v>
      </c>
      <c r="U34" s="168">
        <f t="shared" si="149"/>
        <v>0</v>
      </c>
      <c r="V34" s="169">
        <f t="shared" ref="V34" si="151">SUM(V27:V33)</f>
        <v>0</v>
      </c>
      <c r="W34" s="168">
        <f t="shared" si="149"/>
        <v>1900</v>
      </c>
      <c r="X34" s="169">
        <f t="shared" si="149"/>
        <v>1900</v>
      </c>
      <c r="Y34" s="168">
        <f t="shared" si="149"/>
        <v>788</v>
      </c>
      <c r="Z34" s="169">
        <f t="shared" si="149"/>
        <v>788</v>
      </c>
      <c r="AA34" s="168">
        <f t="shared" si="149"/>
        <v>3862</v>
      </c>
      <c r="AB34" s="169">
        <f t="shared" ref="AB34" si="152">SUM(AB27:AB33)</f>
        <v>2362</v>
      </c>
      <c r="AC34" s="168">
        <f t="shared" si="149"/>
        <v>12</v>
      </c>
      <c r="AD34" s="169">
        <f t="shared" ref="AD34" si="153">SUM(AD27:AD33)</f>
        <v>12</v>
      </c>
      <c r="AE34" s="168">
        <f t="shared" si="149"/>
        <v>80664</v>
      </c>
      <c r="AF34" s="169">
        <f t="shared" ref="AF34" si="154">SUM(AF27:AF33)</f>
        <v>101085</v>
      </c>
      <c r="AG34" s="168"/>
      <c r="AH34" s="169"/>
      <c r="AI34" s="168">
        <f t="shared" ref="AI34:DS34" si="155">SUM(AI27:AI33)</f>
        <v>0</v>
      </c>
      <c r="AJ34" s="169">
        <f t="shared" ref="AJ34" si="156">SUM(AJ27:AJ33)</f>
        <v>0</v>
      </c>
      <c r="AK34" s="168">
        <f t="shared" si="155"/>
        <v>3744</v>
      </c>
      <c r="AL34" s="169">
        <f t="shared" ref="AL34" si="157">SUM(AL27:AL33)</f>
        <v>3744</v>
      </c>
      <c r="AM34" s="168">
        <f t="shared" si="155"/>
        <v>0</v>
      </c>
      <c r="AN34" s="169"/>
      <c r="AO34" s="168">
        <f t="shared" si="155"/>
        <v>3150</v>
      </c>
      <c r="AP34" s="169">
        <f t="shared" ref="AP34" si="158">SUM(AP27:AP33)</f>
        <v>6347</v>
      </c>
      <c r="AQ34" s="168">
        <f t="shared" si="155"/>
        <v>1000</v>
      </c>
      <c r="AR34" s="169">
        <f t="shared" ref="AR34" si="159">SUM(AR27:AR33)</f>
        <v>1000</v>
      </c>
      <c r="AS34" s="168">
        <f t="shared" si="155"/>
        <v>0</v>
      </c>
      <c r="AT34" s="169">
        <f t="shared" ref="AT34" si="160">SUM(AT27:AT33)</f>
        <v>0</v>
      </c>
      <c r="AU34" s="168">
        <f t="shared" si="155"/>
        <v>0</v>
      </c>
      <c r="AV34" s="169">
        <f t="shared" ref="AV34" si="161">SUM(AV27:AV33)</f>
        <v>0</v>
      </c>
      <c r="AW34" s="168">
        <f t="shared" si="155"/>
        <v>2811</v>
      </c>
      <c r="AX34" s="169">
        <f t="shared" ref="AX34" si="162">SUM(AX27:AX33)</f>
        <v>2811</v>
      </c>
      <c r="AY34" s="168">
        <f t="shared" si="155"/>
        <v>1595</v>
      </c>
      <c r="AZ34" s="169">
        <f t="shared" ref="AZ34" si="163">SUM(AZ27:AZ33)</f>
        <v>1595</v>
      </c>
      <c r="BA34" s="168">
        <f t="shared" si="155"/>
        <v>4724</v>
      </c>
      <c r="BB34" s="169">
        <f t="shared" ref="BB34" si="164">SUM(BB27:BB33)</f>
        <v>6000</v>
      </c>
      <c r="BC34" s="168">
        <f t="shared" si="155"/>
        <v>875</v>
      </c>
      <c r="BD34" s="169">
        <f t="shared" ref="BD34" si="165">SUM(BD27:BD33)</f>
        <v>1750</v>
      </c>
      <c r="BE34" s="168">
        <f t="shared" si="155"/>
        <v>720</v>
      </c>
      <c r="BF34" s="169">
        <f t="shared" ref="BF34" si="166">SUM(BF27:BF33)</f>
        <v>1440</v>
      </c>
      <c r="BG34" s="168">
        <f t="shared" si="155"/>
        <v>2400</v>
      </c>
      <c r="BH34" s="169">
        <f t="shared" ref="BH34" si="167">SUM(BH27:BH33)</f>
        <v>2400</v>
      </c>
      <c r="BI34" s="168">
        <f t="shared" si="155"/>
        <v>1906</v>
      </c>
      <c r="BJ34" s="169">
        <f t="shared" ref="BJ34" si="168">SUM(BJ27:BJ33)</f>
        <v>1906</v>
      </c>
      <c r="BK34" s="168">
        <f t="shared" si="155"/>
        <v>1636</v>
      </c>
      <c r="BL34" s="169">
        <f t="shared" ref="BL34" si="169">SUM(BL27:BL33)</f>
        <v>0</v>
      </c>
      <c r="BM34" s="168">
        <f t="shared" si="155"/>
        <v>1200</v>
      </c>
      <c r="BN34" s="169">
        <f t="shared" ref="BN34" si="170">SUM(BN27:BN33)</f>
        <v>1500</v>
      </c>
      <c r="BO34" s="168">
        <f t="shared" si="155"/>
        <v>11811</v>
      </c>
      <c r="BP34" s="169">
        <f t="shared" ref="BP34" si="171">SUM(BP27:BP33)</f>
        <v>14840</v>
      </c>
      <c r="BQ34" s="168">
        <f t="shared" si="155"/>
        <v>0</v>
      </c>
      <c r="BR34" s="169">
        <f t="shared" ref="BR34" si="172">SUM(BR27:BR33)</f>
        <v>0</v>
      </c>
      <c r="BS34" s="168">
        <f t="shared" si="155"/>
        <v>0</v>
      </c>
      <c r="BT34" s="169">
        <f t="shared" ref="BT34" si="173">SUM(BT27:BT33)</f>
        <v>0</v>
      </c>
      <c r="BU34" s="168">
        <f t="shared" si="155"/>
        <v>0</v>
      </c>
      <c r="BV34" s="169">
        <f t="shared" ref="BV34" si="174">SUM(BV27:BV33)</f>
        <v>0</v>
      </c>
      <c r="BW34" s="168">
        <f t="shared" si="155"/>
        <v>0</v>
      </c>
      <c r="BX34" s="169">
        <f t="shared" ref="BX34" si="175">SUM(BX27:BX33)</f>
        <v>0</v>
      </c>
      <c r="BY34" s="168">
        <f t="shared" si="155"/>
        <v>0</v>
      </c>
      <c r="BZ34" s="169">
        <f t="shared" ref="BZ34" si="176">SUM(BZ27:BZ33)</f>
        <v>0</v>
      </c>
      <c r="CA34" s="168">
        <f t="shared" si="155"/>
        <v>0</v>
      </c>
      <c r="CB34" s="169">
        <f t="shared" ref="CB34" si="177">SUM(CB27:CB33)</f>
        <v>0</v>
      </c>
      <c r="CC34" s="168">
        <f t="shared" si="155"/>
        <v>0</v>
      </c>
      <c r="CD34" s="169">
        <f t="shared" ref="CD34" si="178">SUM(CD27:CD33)</f>
        <v>0</v>
      </c>
      <c r="CE34" s="168">
        <f>SUM(CE27:CE33)</f>
        <v>0</v>
      </c>
      <c r="CF34" s="169">
        <f>SUM(CF27:CF33)</f>
        <v>0</v>
      </c>
      <c r="CG34" s="168">
        <f t="shared" si="155"/>
        <v>0</v>
      </c>
      <c r="CH34" s="169">
        <f t="shared" ref="CH34" si="179">SUM(CH27:CH33)</f>
        <v>0</v>
      </c>
      <c r="CI34" s="168">
        <f t="shared" si="155"/>
        <v>78608</v>
      </c>
      <c r="CJ34" s="169">
        <f t="shared" ref="CJ34" si="180">SUM(CJ27:CJ33)</f>
        <v>0</v>
      </c>
      <c r="CK34" s="168">
        <f t="shared" si="155"/>
        <v>0</v>
      </c>
      <c r="CL34" s="169">
        <f t="shared" ref="CL34" si="181">SUM(CL27:CL33)</f>
        <v>0</v>
      </c>
      <c r="CM34" s="168">
        <f t="shared" si="155"/>
        <v>0</v>
      </c>
      <c r="CN34" s="169">
        <f t="shared" ref="CN34" si="182">SUM(CN27:CN33)</f>
        <v>0</v>
      </c>
      <c r="CO34" s="168">
        <f t="shared" si="155"/>
        <v>0</v>
      </c>
      <c r="CP34" s="169">
        <f t="shared" ref="CP34" si="183">SUM(CP27:CP33)</f>
        <v>0</v>
      </c>
      <c r="CQ34" s="168">
        <f t="shared" si="155"/>
        <v>0</v>
      </c>
      <c r="CR34" s="169">
        <f t="shared" ref="CR34" si="184">SUM(CR27:CR33)</f>
        <v>0</v>
      </c>
      <c r="CS34" s="168">
        <f t="shared" si="155"/>
        <v>0</v>
      </c>
      <c r="CT34" s="169">
        <f t="shared" ref="CT34" si="185">SUM(CT27:CT33)</f>
        <v>512</v>
      </c>
      <c r="CU34" s="168">
        <f t="shared" si="155"/>
        <v>0</v>
      </c>
      <c r="CV34" s="169">
        <f t="shared" ref="CV34" si="186">SUM(CV27:CV33)</f>
        <v>0</v>
      </c>
      <c r="CW34" s="168">
        <f t="shared" si="155"/>
        <v>0</v>
      </c>
      <c r="CX34" s="169">
        <f t="shared" ref="CX34" si="187">SUM(CX27:CX33)</f>
        <v>0</v>
      </c>
      <c r="CY34" s="168">
        <f t="shared" si="155"/>
        <v>0</v>
      </c>
      <c r="CZ34" s="169"/>
      <c r="DA34" s="168">
        <f t="shared" si="155"/>
        <v>0</v>
      </c>
      <c r="DB34" s="169"/>
      <c r="DC34" s="168">
        <f t="shared" si="155"/>
        <v>1710</v>
      </c>
      <c r="DD34" s="169">
        <f t="shared" ref="DD34" si="188">SUM(DD27:DD33)</f>
        <v>2470</v>
      </c>
      <c r="DE34" s="168">
        <f t="shared" si="155"/>
        <v>0</v>
      </c>
      <c r="DF34" s="169">
        <f t="shared" ref="DF34" si="189">SUM(DF27:DF33)</f>
        <v>0</v>
      </c>
      <c r="DG34" s="168">
        <f t="shared" si="155"/>
        <v>0</v>
      </c>
      <c r="DH34" s="169">
        <f t="shared" ref="DH34" si="190">SUM(DH27:DH33)</f>
        <v>6500</v>
      </c>
      <c r="DI34" s="168">
        <f t="shared" si="155"/>
        <v>0</v>
      </c>
      <c r="DJ34" s="169">
        <f t="shared" ref="DJ34" si="191">SUM(DJ27:DJ33)</f>
        <v>0</v>
      </c>
      <c r="DK34" s="168">
        <f t="shared" si="155"/>
        <v>0</v>
      </c>
      <c r="DL34" s="169">
        <f t="shared" ref="DL34" si="192">SUM(DL27:DL33)</f>
        <v>0</v>
      </c>
      <c r="DM34" s="168">
        <f t="shared" si="155"/>
        <v>0</v>
      </c>
      <c r="DN34" s="169">
        <f t="shared" ref="DN34" si="193">SUM(DN27:DN33)</f>
        <v>0</v>
      </c>
      <c r="DO34" s="168">
        <f t="shared" si="155"/>
        <v>700</v>
      </c>
      <c r="DP34" s="169">
        <f t="shared" ref="DP34" si="194">SUM(DP27:DP33)</f>
        <v>350</v>
      </c>
      <c r="DQ34" s="168">
        <f t="shared" si="155"/>
        <v>0</v>
      </c>
      <c r="DR34" s="169"/>
      <c r="DS34" s="168">
        <f t="shared" si="155"/>
        <v>0</v>
      </c>
      <c r="DT34" s="169">
        <f t="shared" ref="DT34" si="195">SUM(DT27:DT33)</f>
        <v>0</v>
      </c>
      <c r="DU34" s="168"/>
      <c r="DV34" s="169"/>
    </row>
    <row r="35" spans="1:126" x14ac:dyDescent="0.2">
      <c r="A35" s="160" t="s">
        <v>148</v>
      </c>
      <c r="B35" s="160" t="s">
        <v>874</v>
      </c>
      <c r="C35" s="161">
        <f>E35+G35+I35</f>
        <v>1540</v>
      </c>
      <c r="D35" s="162">
        <f t="shared" si="51"/>
        <v>3530</v>
      </c>
      <c r="E35" s="161">
        <f>K35+M35+O34:O35+Q35+S35+U35+W35+Y35+AA35+AC35+AE35+AI35</f>
        <v>1310</v>
      </c>
      <c r="F35" s="162">
        <f t="shared" si="52"/>
        <v>1800</v>
      </c>
      <c r="G35" s="161">
        <f t="shared" si="3"/>
        <v>230</v>
      </c>
      <c r="H35" s="162">
        <f t="shared" si="3"/>
        <v>1730</v>
      </c>
      <c r="I35" s="161"/>
      <c r="J35" s="162"/>
      <c r="K35" s="161"/>
      <c r="L35" s="162"/>
      <c r="M35" s="161"/>
      <c r="N35" s="162"/>
      <c r="O35" s="161"/>
      <c r="P35" s="162"/>
      <c r="Q35" s="161">
        <v>500</v>
      </c>
      <c r="R35" s="162">
        <v>450</v>
      </c>
      <c r="S35" s="161"/>
      <c r="T35" s="162"/>
      <c r="U35" s="161"/>
      <c r="V35" s="162"/>
      <c r="W35" s="161"/>
      <c r="X35" s="162"/>
      <c r="Y35" s="161"/>
      <c r="Z35" s="162"/>
      <c r="AA35" s="161"/>
      <c r="AB35" s="162"/>
      <c r="AC35" s="161"/>
      <c r="AD35" s="162"/>
      <c r="AE35" s="161">
        <v>810</v>
      </c>
      <c r="AF35" s="162">
        <v>1350</v>
      </c>
      <c r="AG35" s="161"/>
      <c r="AH35" s="162"/>
      <c r="AI35" s="161"/>
      <c r="AJ35" s="162"/>
      <c r="AK35" s="161"/>
      <c r="AL35" s="162"/>
      <c r="AM35" s="161"/>
      <c r="AN35" s="162"/>
      <c r="AO35" s="161"/>
      <c r="AP35" s="162"/>
      <c r="AQ35" s="161">
        <v>230</v>
      </c>
      <c r="AR35" s="162">
        <v>230</v>
      </c>
      <c r="AS35" s="161"/>
      <c r="AT35" s="162"/>
      <c r="AU35" s="161"/>
      <c r="AV35" s="162"/>
      <c r="AW35" s="161"/>
      <c r="AX35" s="162"/>
      <c r="AY35" s="161"/>
      <c r="AZ35" s="162"/>
      <c r="BA35" s="161"/>
      <c r="BB35" s="162"/>
      <c r="BC35" s="161"/>
      <c r="BD35" s="162"/>
      <c r="BE35" s="161"/>
      <c r="BF35" s="162"/>
      <c r="BG35" s="161"/>
      <c r="BH35" s="162"/>
      <c r="BI35" s="161"/>
      <c r="BJ35" s="162"/>
      <c r="BK35" s="161"/>
      <c r="BL35" s="162"/>
      <c r="BM35" s="161"/>
      <c r="BN35" s="162"/>
      <c r="BO35" s="161"/>
      <c r="BP35" s="162"/>
      <c r="BQ35" s="161"/>
      <c r="BR35" s="162"/>
      <c r="BS35" s="161"/>
      <c r="BT35" s="162"/>
      <c r="BU35" s="161"/>
      <c r="BV35" s="162"/>
      <c r="BW35" s="161"/>
      <c r="BX35" s="162"/>
      <c r="BY35" s="161"/>
      <c r="BZ35" s="162"/>
      <c r="CA35" s="161"/>
      <c r="CB35" s="162"/>
      <c r="CC35" s="161"/>
      <c r="CD35" s="162"/>
      <c r="CE35" s="161"/>
      <c r="CF35" s="162"/>
      <c r="CG35" s="161"/>
      <c r="CH35" s="162"/>
      <c r="CI35" s="161"/>
      <c r="CJ35" s="162"/>
      <c r="CK35" s="161"/>
      <c r="CL35" s="162"/>
      <c r="CM35" s="161"/>
      <c r="CN35" s="162"/>
      <c r="CO35" s="161"/>
      <c r="CP35" s="162"/>
      <c r="CQ35" s="161"/>
      <c r="CR35" s="162"/>
      <c r="CS35" s="161"/>
      <c r="CT35" s="162"/>
      <c r="CU35" s="161"/>
      <c r="CV35" s="162"/>
      <c r="CW35" s="161"/>
      <c r="CX35" s="162"/>
      <c r="CY35" s="161"/>
      <c r="CZ35" s="162"/>
      <c r="DA35" s="161"/>
      <c r="DB35" s="162"/>
      <c r="DC35" s="161"/>
      <c r="DD35" s="162"/>
      <c r="DE35" s="161"/>
      <c r="DF35" s="162"/>
      <c r="DG35" s="161"/>
      <c r="DH35" s="162">
        <v>1500</v>
      </c>
      <c r="DI35" s="161"/>
      <c r="DJ35" s="162"/>
      <c r="DK35" s="161"/>
      <c r="DL35" s="162"/>
      <c r="DM35" s="161"/>
      <c r="DN35" s="162"/>
      <c r="DO35" s="161"/>
      <c r="DP35" s="162"/>
      <c r="DQ35" s="161"/>
      <c r="DR35" s="162"/>
      <c r="DS35" s="161"/>
      <c r="DT35" s="162"/>
      <c r="DU35" s="161"/>
      <c r="DV35" s="162"/>
    </row>
    <row r="36" spans="1:126" x14ac:dyDescent="0.2">
      <c r="A36" s="160" t="s">
        <v>153</v>
      </c>
      <c r="B36" s="160" t="s">
        <v>875</v>
      </c>
      <c r="C36" s="161">
        <f>E36+G36+I36</f>
        <v>160</v>
      </c>
      <c r="D36" s="162">
        <f t="shared" si="51"/>
        <v>660</v>
      </c>
      <c r="E36" s="161">
        <f>K36+M36+O35:O36+Q36+S36+U36+W36+Y36+AA36+AC36+AE36+AI36</f>
        <v>160</v>
      </c>
      <c r="F36" s="162">
        <f t="shared" si="52"/>
        <v>160</v>
      </c>
      <c r="G36" s="161">
        <f t="shared" si="3"/>
        <v>0</v>
      </c>
      <c r="H36" s="162">
        <f t="shared" si="3"/>
        <v>500</v>
      </c>
      <c r="I36" s="161"/>
      <c r="J36" s="162"/>
      <c r="K36" s="161"/>
      <c r="L36" s="162"/>
      <c r="M36" s="161"/>
      <c r="N36" s="162"/>
      <c r="O36" s="161"/>
      <c r="P36" s="162"/>
      <c r="Q36" s="161"/>
      <c r="R36" s="162"/>
      <c r="S36" s="161"/>
      <c r="T36" s="162"/>
      <c r="U36" s="161"/>
      <c r="V36" s="162"/>
      <c r="W36" s="161"/>
      <c r="X36" s="162"/>
      <c r="Y36" s="161"/>
      <c r="Z36" s="162"/>
      <c r="AA36" s="161"/>
      <c r="AB36" s="162"/>
      <c r="AC36" s="161"/>
      <c r="AD36" s="162"/>
      <c r="AE36" s="161">
        <v>160</v>
      </c>
      <c r="AF36" s="162">
        <v>160</v>
      </c>
      <c r="AG36" s="161"/>
      <c r="AH36" s="162"/>
      <c r="AI36" s="161"/>
      <c r="AJ36" s="162"/>
      <c r="AK36" s="161"/>
      <c r="AL36" s="162"/>
      <c r="AM36" s="161"/>
      <c r="AN36" s="162"/>
      <c r="AO36" s="161"/>
      <c r="AP36" s="162"/>
      <c r="AQ36" s="161"/>
      <c r="AR36" s="162"/>
      <c r="AS36" s="161"/>
      <c r="AT36" s="162"/>
      <c r="AU36" s="161"/>
      <c r="AV36" s="162"/>
      <c r="AW36" s="161"/>
      <c r="AX36" s="162"/>
      <c r="AY36" s="161"/>
      <c r="AZ36" s="162"/>
      <c r="BA36" s="161"/>
      <c r="BB36" s="162"/>
      <c r="BC36" s="161"/>
      <c r="BD36" s="162"/>
      <c r="BE36" s="161"/>
      <c r="BF36" s="162"/>
      <c r="BG36" s="161"/>
      <c r="BH36" s="162"/>
      <c r="BI36" s="161"/>
      <c r="BJ36" s="162"/>
      <c r="BK36" s="161"/>
      <c r="BL36" s="162"/>
      <c r="BM36" s="161"/>
      <c r="BN36" s="162"/>
      <c r="BO36" s="161"/>
      <c r="BP36" s="162"/>
      <c r="BQ36" s="161"/>
      <c r="BR36" s="162"/>
      <c r="BS36" s="161"/>
      <c r="BT36" s="162"/>
      <c r="BU36" s="161"/>
      <c r="BV36" s="162"/>
      <c r="BW36" s="161"/>
      <c r="BX36" s="162"/>
      <c r="BY36" s="161"/>
      <c r="BZ36" s="162"/>
      <c r="CA36" s="161"/>
      <c r="CB36" s="162"/>
      <c r="CC36" s="161"/>
      <c r="CD36" s="162"/>
      <c r="CE36" s="161"/>
      <c r="CF36" s="162"/>
      <c r="CG36" s="161"/>
      <c r="CH36" s="162"/>
      <c r="CI36" s="161"/>
      <c r="CJ36" s="162"/>
      <c r="CK36" s="161"/>
      <c r="CL36" s="162"/>
      <c r="CM36" s="161"/>
      <c r="CN36" s="162"/>
      <c r="CO36" s="161"/>
      <c r="CP36" s="162"/>
      <c r="CQ36" s="161"/>
      <c r="CR36" s="162"/>
      <c r="CS36" s="161"/>
      <c r="CT36" s="162"/>
      <c r="CU36" s="161"/>
      <c r="CV36" s="162"/>
      <c r="CW36" s="161"/>
      <c r="CX36" s="162"/>
      <c r="CY36" s="161"/>
      <c r="CZ36" s="162"/>
      <c r="DA36" s="161"/>
      <c r="DB36" s="162"/>
      <c r="DC36" s="161"/>
      <c r="DD36" s="162"/>
      <c r="DE36" s="161"/>
      <c r="DF36" s="162"/>
      <c r="DG36" s="161"/>
      <c r="DH36" s="162">
        <v>500</v>
      </c>
      <c r="DI36" s="161"/>
      <c r="DJ36" s="162"/>
      <c r="DK36" s="161"/>
      <c r="DL36" s="162"/>
      <c r="DM36" s="161"/>
      <c r="DN36" s="162"/>
      <c r="DO36" s="161"/>
      <c r="DP36" s="162"/>
      <c r="DQ36" s="161"/>
      <c r="DR36" s="162"/>
      <c r="DS36" s="161"/>
      <c r="DT36" s="162"/>
      <c r="DU36" s="161"/>
      <c r="DV36" s="162"/>
    </row>
    <row r="37" spans="1:126" x14ac:dyDescent="0.2">
      <c r="A37" s="167" t="s">
        <v>156</v>
      </c>
      <c r="B37" s="167" t="s">
        <v>876</v>
      </c>
      <c r="C37" s="168">
        <f t="shared" ref="C37:H37" si="196">SUM(C35:C36)</f>
        <v>1700</v>
      </c>
      <c r="D37" s="169">
        <f t="shared" si="196"/>
        <v>4190</v>
      </c>
      <c r="E37" s="168">
        <f t="shared" si="196"/>
        <v>1470</v>
      </c>
      <c r="F37" s="169">
        <f t="shared" si="196"/>
        <v>1960</v>
      </c>
      <c r="G37" s="168">
        <f t="shared" si="196"/>
        <v>230</v>
      </c>
      <c r="H37" s="169">
        <f t="shared" si="196"/>
        <v>2230</v>
      </c>
      <c r="I37" s="168"/>
      <c r="J37" s="169"/>
      <c r="K37" s="168">
        <f t="shared" ref="K37:AO37" si="197">SUM(K35:K36)</f>
        <v>0</v>
      </c>
      <c r="L37" s="169">
        <f t="shared" si="197"/>
        <v>0</v>
      </c>
      <c r="M37" s="168">
        <f t="shared" si="197"/>
        <v>0</v>
      </c>
      <c r="N37" s="169">
        <f t="shared" si="197"/>
        <v>0</v>
      </c>
      <c r="O37" s="168">
        <f t="shared" si="197"/>
        <v>0</v>
      </c>
      <c r="P37" s="169">
        <f t="shared" si="197"/>
        <v>0</v>
      </c>
      <c r="Q37" s="168">
        <f t="shared" si="197"/>
        <v>500</v>
      </c>
      <c r="R37" s="169">
        <f t="shared" si="197"/>
        <v>450</v>
      </c>
      <c r="S37" s="168">
        <f t="shared" si="197"/>
        <v>0</v>
      </c>
      <c r="T37" s="169">
        <f t="shared" ref="T37" si="198">SUM(T35:T36)</f>
        <v>0</v>
      </c>
      <c r="U37" s="168">
        <f t="shared" si="197"/>
        <v>0</v>
      </c>
      <c r="V37" s="169">
        <f t="shared" ref="V37" si="199">SUM(V35:V36)</f>
        <v>0</v>
      </c>
      <c r="W37" s="168">
        <f t="shared" si="197"/>
        <v>0</v>
      </c>
      <c r="X37" s="169">
        <f t="shared" si="197"/>
        <v>0</v>
      </c>
      <c r="Y37" s="168">
        <f t="shared" si="197"/>
        <v>0</v>
      </c>
      <c r="Z37" s="169">
        <f t="shared" si="197"/>
        <v>0</v>
      </c>
      <c r="AA37" s="168">
        <f t="shared" si="197"/>
        <v>0</v>
      </c>
      <c r="AB37" s="169">
        <f t="shared" ref="AB37" si="200">SUM(AB35:AB36)</f>
        <v>0</v>
      </c>
      <c r="AC37" s="168">
        <f t="shared" si="197"/>
        <v>0</v>
      </c>
      <c r="AD37" s="169">
        <f t="shared" ref="AD37" si="201">SUM(AD35:AD36)</f>
        <v>0</v>
      </c>
      <c r="AE37" s="168">
        <f t="shared" si="197"/>
        <v>970</v>
      </c>
      <c r="AF37" s="169">
        <f t="shared" ref="AF37" si="202">SUM(AF35:AF36)</f>
        <v>1510</v>
      </c>
      <c r="AG37" s="168"/>
      <c r="AH37" s="169"/>
      <c r="AI37" s="168">
        <f>SUM(AI35:AI36)</f>
        <v>0</v>
      </c>
      <c r="AJ37" s="169">
        <f>SUM(AJ35:AJ36)</f>
        <v>0</v>
      </c>
      <c r="AK37" s="168">
        <f t="shared" si="197"/>
        <v>0</v>
      </c>
      <c r="AL37" s="169">
        <f t="shared" ref="AL37" si="203">SUM(AL35:AL36)</f>
        <v>0</v>
      </c>
      <c r="AM37" s="168">
        <f t="shared" si="197"/>
        <v>0</v>
      </c>
      <c r="AN37" s="169"/>
      <c r="AO37" s="168">
        <f t="shared" si="197"/>
        <v>0</v>
      </c>
      <c r="AP37" s="169">
        <f t="shared" ref="AP37" si="204">SUM(AP35:AP36)</f>
        <v>0</v>
      </c>
      <c r="AQ37" s="168">
        <f t="shared" ref="AQ37:DS37" si="205">SUM(AQ35:AQ36)</f>
        <v>230</v>
      </c>
      <c r="AR37" s="169">
        <f t="shared" ref="AR37" si="206">SUM(AR35:AR36)</f>
        <v>230</v>
      </c>
      <c r="AS37" s="168">
        <f t="shared" si="205"/>
        <v>0</v>
      </c>
      <c r="AT37" s="169">
        <f t="shared" ref="AT37" si="207">SUM(AT35:AT36)</f>
        <v>0</v>
      </c>
      <c r="AU37" s="168">
        <f t="shared" si="205"/>
        <v>0</v>
      </c>
      <c r="AV37" s="169">
        <f t="shared" ref="AV37" si="208">SUM(AV35:AV36)</f>
        <v>0</v>
      </c>
      <c r="AW37" s="168">
        <f t="shared" si="205"/>
        <v>0</v>
      </c>
      <c r="AX37" s="169">
        <f t="shared" ref="AX37" si="209">SUM(AX35:AX36)</f>
        <v>0</v>
      </c>
      <c r="AY37" s="168">
        <f t="shared" si="205"/>
        <v>0</v>
      </c>
      <c r="AZ37" s="169">
        <f t="shared" ref="AZ37" si="210">SUM(AZ35:AZ36)</f>
        <v>0</v>
      </c>
      <c r="BA37" s="168">
        <f t="shared" si="205"/>
        <v>0</v>
      </c>
      <c r="BB37" s="169">
        <f t="shared" ref="BB37" si="211">SUM(BB35:BB36)</f>
        <v>0</v>
      </c>
      <c r="BC37" s="168">
        <f t="shared" si="205"/>
        <v>0</v>
      </c>
      <c r="BD37" s="169">
        <f t="shared" ref="BD37" si="212">SUM(BD35:BD36)</f>
        <v>0</v>
      </c>
      <c r="BE37" s="168">
        <f t="shared" si="205"/>
        <v>0</v>
      </c>
      <c r="BF37" s="169">
        <f t="shared" ref="BF37" si="213">SUM(BF35:BF36)</f>
        <v>0</v>
      </c>
      <c r="BG37" s="168">
        <f t="shared" si="205"/>
        <v>0</v>
      </c>
      <c r="BH37" s="169">
        <f t="shared" ref="BH37" si="214">SUM(BH35:BH36)</f>
        <v>0</v>
      </c>
      <c r="BI37" s="168">
        <f t="shared" si="205"/>
        <v>0</v>
      </c>
      <c r="BJ37" s="169">
        <f t="shared" ref="BJ37" si="215">SUM(BJ35:BJ36)</f>
        <v>0</v>
      </c>
      <c r="BK37" s="168">
        <f t="shared" si="205"/>
        <v>0</v>
      </c>
      <c r="BL37" s="169">
        <f t="shared" ref="BL37" si="216">SUM(BL35:BL36)</f>
        <v>0</v>
      </c>
      <c r="BM37" s="168">
        <f t="shared" si="205"/>
        <v>0</v>
      </c>
      <c r="BN37" s="169">
        <f t="shared" ref="BN37" si="217">SUM(BN35:BN36)</f>
        <v>0</v>
      </c>
      <c r="BO37" s="168">
        <f t="shared" si="205"/>
        <v>0</v>
      </c>
      <c r="BP37" s="169">
        <f t="shared" ref="BP37" si="218">SUM(BP35:BP36)</f>
        <v>0</v>
      </c>
      <c r="BQ37" s="168">
        <f t="shared" si="205"/>
        <v>0</v>
      </c>
      <c r="BR37" s="169">
        <f t="shared" ref="BR37" si="219">SUM(BR35:BR36)</f>
        <v>0</v>
      </c>
      <c r="BS37" s="168">
        <f t="shared" si="205"/>
        <v>0</v>
      </c>
      <c r="BT37" s="169">
        <f t="shared" ref="BT37" si="220">SUM(BT35:BT36)</f>
        <v>0</v>
      </c>
      <c r="BU37" s="168">
        <f t="shared" si="205"/>
        <v>0</v>
      </c>
      <c r="BV37" s="169">
        <f t="shared" ref="BV37" si="221">SUM(BV35:BV36)</f>
        <v>0</v>
      </c>
      <c r="BW37" s="168">
        <f t="shared" si="205"/>
        <v>0</v>
      </c>
      <c r="BX37" s="169">
        <f t="shared" ref="BX37" si="222">SUM(BX35:BX36)</f>
        <v>0</v>
      </c>
      <c r="BY37" s="168">
        <f t="shared" si="205"/>
        <v>0</v>
      </c>
      <c r="BZ37" s="169">
        <f t="shared" ref="BZ37" si="223">SUM(BZ35:BZ36)</f>
        <v>0</v>
      </c>
      <c r="CA37" s="168">
        <f t="shared" si="205"/>
        <v>0</v>
      </c>
      <c r="CB37" s="169">
        <f t="shared" ref="CB37" si="224">SUM(CB35:CB36)</f>
        <v>0</v>
      </c>
      <c r="CC37" s="168">
        <f t="shared" si="205"/>
        <v>0</v>
      </c>
      <c r="CD37" s="169">
        <f t="shared" ref="CD37" si="225">SUM(CD35:CD36)</f>
        <v>0</v>
      </c>
      <c r="CE37" s="168">
        <f>SUM(CE35:CE36)</f>
        <v>0</v>
      </c>
      <c r="CF37" s="169">
        <f>SUM(CF35:CF36)</f>
        <v>0</v>
      </c>
      <c r="CG37" s="168">
        <f t="shared" si="205"/>
        <v>0</v>
      </c>
      <c r="CH37" s="169">
        <f t="shared" ref="CH37" si="226">SUM(CH35:CH36)</f>
        <v>0</v>
      </c>
      <c r="CI37" s="168">
        <f t="shared" si="205"/>
        <v>0</v>
      </c>
      <c r="CJ37" s="169">
        <f t="shared" ref="CJ37" si="227">SUM(CJ35:CJ36)</f>
        <v>0</v>
      </c>
      <c r="CK37" s="168">
        <f t="shared" si="205"/>
        <v>0</v>
      </c>
      <c r="CL37" s="169">
        <f t="shared" ref="CL37" si="228">SUM(CL35:CL36)</f>
        <v>0</v>
      </c>
      <c r="CM37" s="168">
        <f t="shared" si="205"/>
        <v>0</v>
      </c>
      <c r="CN37" s="169">
        <f t="shared" ref="CN37" si="229">SUM(CN35:CN36)</f>
        <v>0</v>
      </c>
      <c r="CO37" s="168">
        <f t="shared" si="205"/>
        <v>0</v>
      </c>
      <c r="CP37" s="169">
        <f t="shared" ref="CP37" si="230">SUM(CP35:CP36)</f>
        <v>0</v>
      </c>
      <c r="CQ37" s="168">
        <f t="shared" si="205"/>
        <v>0</v>
      </c>
      <c r="CR37" s="169">
        <f t="shared" ref="CR37" si="231">SUM(CR35:CR36)</f>
        <v>0</v>
      </c>
      <c r="CS37" s="168">
        <f t="shared" si="205"/>
        <v>0</v>
      </c>
      <c r="CT37" s="169">
        <f t="shared" ref="CT37" si="232">SUM(CT35:CT36)</f>
        <v>0</v>
      </c>
      <c r="CU37" s="168">
        <f t="shared" si="205"/>
        <v>0</v>
      </c>
      <c r="CV37" s="169">
        <f t="shared" ref="CV37" si="233">SUM(CV35:CV36)</f>
        <v>0</v>
      </c>
      <c r="CW37" s="168">
        <f t="shared" si="205"/>
        <v>0</v>
      </c>
      <c r="CX37" s="169">
        <f t="shared" ref="CX37" si="234">SUM(CX35:CX36)</f>
        <v>0</v>
      </c>
      <c r="CY37" s="168">
        <f t="shared" si="205"/>
        <v>0</v>
      </c>
      <c r="CZ37" s="169"/>
      <c r="DA37" s="168">
        <f t="shared" si="205"/>
        <v>0</v>
      </c>
      <c r="DB37" s="169"/>
      <c r="DC37" s="168">
        <f t="shared" si="205"/>
        <v>0</v>
      </c>
      <c r="DD37" s="169">
        <f t="shared" ref="DD37" si="235">SUM(DD35:DD36)</f>
        <v>0</v>
      </c>
      <c r="DE37" s="168">
        <f t="shared" si="205"/>
        <v>0</v>
      </c>
      <c r="DF37" s="169">
        <f t="shared" ref="DF37" si="236">SUM(DF35:DF36)</f>
        <v>0</v>
      </c>
      <c r="DG37" s="168">
        <f t="shared" si="205"/>
        <v>0</v>
      </c>
      <c r="DH37" s="169">
        <f t="shared" ref="DH37" si="237">SUM(DH35:DH36)</f>
        <v>2000</v>
      </c>
      <c r="DI37" s="168">
        <f t="shared" si="205"/>
        <v>0</v>
      </c>
      <c r="DJ37" s="169">
        <f t="shared" ref="DJ37" si="238">SUM(DJ35:DJ36)</f>
        <v>0</v>
      </c>
      <c r="DK37" s="168">
        <f t="shared" si="205"/>
        <v>0</v>
      </c>
      <c r="DL37" s="169">
        <f t="shared" ref="DL37" si="239">SUM(DL35:DL36)</f>
        <v>0</v>
      </c>
      <c r="DM37" s="168">
        <f t="shared" si="205"/>
        <v>0</v>
      </c>
      <c r="DN37" s="169">
        <f t="shared" ref="DN37" si="240">SUM(DN35:DN36)</f>
        <v>0</v>
      </c>
      <c r="DO37" s="168">
        <f t="shared" si="205"/>
        <v>0</v>
      </c>
      <c r="DP37" s="169">
        <f t="shared" ref="DP37" si="241">SUM(DP35:DP36)</f>
        <v>0</v>
      </c>
      <c r="DQ37" s="168">
        <f t="shared" si="205"/>
        <v>0</v>
      </c>
      <c r="DR37" s="169"/>
      <c r="DS37" s="168">
        <f t="shared" si="205"/>
        <v>0</v>
      </c>
      <c r="DT37" s="169">
        <f t="shared" ref="DT37" si="242">SUM(DT35:DT36)</f>
        <v>0</v>
      </c>
      <c r="DU37" s="168"/>
      <c r="DV37" s="169"/>
    </row>
    <row r="38" spans="1:126" x14ac:dyDescent="0.2">
      <c r="A38" s="160" t="s">
        <v>159</v>
      </c>
      <c r="B38" s="160" t="s">
        <v>877</v>
      </c>
      <c r="C38" s="161">
        <f>E38+G38+I38</f>
        <v>59828</v>
      </c>
      <c r="D38" s="162">
        <f t="shared" si="51"/>
        <v>47758</v>
      </c>
      <c r="E38" s="161">
        <f>K38+M38+O37:O38+Q38+S38+U38+W38+Y38+AA38+AC38+AE38+AI38</f>
        <v>31584</v>
      </c>
      <c r="F38" s="162">
        <f t="shared" si="52"/>
        <v>36890</v>
      </c>
      <c r="G38" s="161">
        <f t="shared" si="3"/>
        <v>28244</v>
      </c>
      <c r="H38" s="162">
        <f t="shared" si="3"/>
        <v>10868</v>
      </c>
      <c r="I38" s="161"/>
      <c r="J38" s="162"/>
      <c r="K38" s="161">
        <f>ROUND((K23+K26+K34+K36)*0.27,0)</f>
        <v>2255</v>
      </c>
      <c r="L38" s="162">
        <f>ROUND((L23+L26+L34+L36)*0.27,0)</f>
        <v>1949</v>
      </c>
      <c r="M38" s="161">
        <f>ROUND((M23+M26+M34+M36)*0.27,0)</f>
        <v>540</v>
      </c>
      <c r="N38" s="162">
        <f>ROUND((N23+N26+N34+N36)*0.27,0)</f>
        <v>540</v>
      </c>
      <c r="O38" s="161">
        <f>ROUND((O23+O26+O34+O36-O32)*0.27,0)</f>
        <v>702</v>
      </c>
      <c r="P38" s="162">
        <f>ROUND((P23+P26+P34+P36-P32)*0.27,0)</f>
        <v>582</v>
      </c>
      <c r="Q38" s="161">
        <f>ROUND((Q23+Q26+Q34+Q36)*0.27,0)</f>
        <v>185</v>
      </c>
      <c r="R38" s="162">
        <f>ROUND((R23+R26+R34+R36)*0.27,0)</f>
        <v>346</v>
      </c>
      <c r="S38" s="161"/>
      <c r="T38" s="162"/>
      <c r="U38" s="161"/>
      <c r="V38" s="162"/>
      <c r="W38" s="161">
        <f>ROUND((W23+W26+W34+W36)*0.27,0)</f>
        <v>513</v>
      </c>
      <c r="X38" s="162">
        <f>ROUND((X23+X26+X34+X36)*0.27,0)</f>
        <v>513</v>
      </c>
      <c r="Y38" s="161">
        <v>212</v>
      </c>
      <c r="Z38" s="162">
        <f>212</f>
        <v>212</v>
      </c>
      <c r="AA38" s="161">
        <f t="shared" ref="AA38:AF38" si="243">ROUND((AA23+AA26+AA34+AA36)*0.27,0)</f>
        <v>1043</v>
      </c>
      <c r="AB38" s="162">
        <f t="shared" si="243"/>
        <v>638</v>
      </c>
      <c r="AC38" s="161">
        <f t="shared" si="243"/>
        <v>79</v>
      </c>
      <c r="AD38" s="162">
        <f t="shared" si="243"/>
        <v>79</v>
      </c>
      <c r="AE38" s="161">
        <f t="shared" si="243"/>
        <v>26055</v>
      </c>
      <c r="AF38" s="162">
        <f t="shared" si="243"/>
        <v>32031</v>
      </c>
      <c r="AG38" s="161"/>
      <c r="AH38" s="162"/>
      <c r="AI38" s="161"/>
      <c r="AJ38" s="162"/>
      <c r="AK38" s="161"/>
      <c r="AL38" s="162"/>
      <c r="AM38" s="161"/>
      <c r="AN38" s="162"/>
      <c r="AO38" s="161">
        <v>850</v>
      </c>
      <c r="AP38" s="162">
        <v>1714</v>
      </c>
      <c r="AQ38" s="161">
        <f>ROUND((AQ23+AQ26+AQ34+AQ36)*0.27,0)</f>
        <v>270</v>
      </c>
      <c r="AR38" s="162">
        <f>ROUND((AR23+AR26+AR34+AR36)*0.27,0)</f>
        <v>270</v>
      </c>
      <c r="AS38" s="161"/>
      <c r="AT38" s="162"/>
      <c r="AU38" s="161"/>
      <c r="AV38" s="162"/>
      <c r="AW38" s="161"/>
      <c r="AX38" s="162"/>
      <c r="AY38" s="161"/>
      <c r="AZ38" s="162"/>
      <c r="BA38" s="161">
        <v>1276</v>
      </c>
      <c r="BB38" s="162">
        <f>ROUND((BB23+BB26+BB34+BB36)*0.27,0)</f>
        <v>1620</v>
      </c>
      <c r="BC38" s="161"/>
      <c r="BD38" s="162"/>
      <c r="BE38" s="161">
        <f>ROUND((BE23+BE26+BE34+BE36)*0.27,0)</f>
        <v>194</v>
      </c>
      <c r="BF38" s="162">
        <f>ROUND((BF23+BF26+BF34+BF36)*0.27,0)</f>
        <v>389</v>
      </c>
      <c r="BG38" s="161"/>
      <c r="BH38" s="162"/>
      <c r="BI38" s="161">
        <f>ROUND((BI23+BI26+BI34+BI36)*0.27,0)</f>
        <v>515</v>
      </c>
      <c r="BJ38" s="162">
        <f>ROUND((BJ23+BJ26+BJ34+BJ36)*0.27,0)</f>
        <v>515</v>
      </c>
      <c r="BK38" s="161">
        <v>442</v>
      </c>
      <c r="BL38" s="162">
        <f>ROUND((BL23+BL26+BL34+BL36)*0.27,0)</f>
        <v>0</v>
      </c>
      <c r="BM38" s="161"/>
      <c r="BN38" s="162"/>
      <c r="BO38" s="161">
        <f>ROUND((BO23+BO26+BO34+BO36)*0.27,0)</f>
        <v>3189</v>
      </c>
      <c r="BP38" s="162">
        <f>ROUND((BP23+BP26+BP34+BP36)*0.27,0)</f>
        <v>4007</v>
      </c>
      <c r="BQ38" s="161"/>
      <c r="BR38" s="162"/>
      <c r="BS38" s="161"/>
      <c r="BT38" s="162"/>
      <c r="BU38" s="161"/>
      <c r="BV38" s="162"/>
      <c r="BW38" s="161"/>
      <c r="BX38" s="162"/>
      <c r="BY38" s="161"/>
      <c r="BZ38" s="162"/>
      <c r="CA38" s="161"/>
      <c r="CB38" s="162"/>
      <c r="CC38" s="161"/>
      <c r="CD38" s="162"/>
      <c r="CE38" s="161"/>
      <c r="CF38" s="162"/>
      <c r="CG38" s="161"/>
      <c r="CH38" s="162"/>
      <c r="CI38" s="161">
        <f>ROUND((CI23+CI26+CI34+CI36)*0.27,0)</f>
        <v>21224</v>
      </c>
      <c r="CJ38" s="162">
        <f>ROUND((CJ23+CJ26+CJ34+CJ36)*0.27,0)</f>
        <v>0</v>
      </c>
      <c r="CK38" s="161"/>
      <c r="CL38" s="162"/>
      <c r="CM38" s="161"/>
      <c r="CN38" s="162"/>
      <c r="CO38" s="161"/>
      <c r="CP38" s="162"/>
      <c r="CQ38" s="161"/>
      <c r="CR38" s="162"/>
      <c r="CS38" s="161"/>
      <c r="CT38" s="162">
        <f>ROUND((CT23+CT26+CT34+CT36)*0.27,0)</f>
        <v>138</v>
      </c>
      <c r="CU38" s="161"/>
      <c r="CV38" s="162"/>
      <c r="CW38" s="161"/>
      <c r="CX38" s="162"/>
      <c r="CY38" s="161"/>
      <c r="CZ38" s="162"/>
      <c r="DA38" s="161"/>
      <c r="DB38" s="162"/>
      <c r="DC38" s="161"/>
      <c r="DD38" s="162"/>
      <c r="DE38" s="161"/>
      <c r="DF38" s="162"/>
      <c r="DG38" s="161"/>
      <c r="DH38" s="162">
        <f>ROUND((DH23+DH26+DH34+DH36)*0.27,0)</f>
        <v>2120</v>
      </c>
      <c r="DI38" s="161"/>
      <c r="DJ38" s="162"/>
      <c r="DK38" s="161"/>
      <c r="DL38" s="162"/>
      <c r="DM38" s="161">
        <v>95</v>
      </c>
      <c r="DN38" s="162">
        <v>0</v>
      </c>
      <c r="DO38" s="161">
        <f>ROUND((DO23+DO26+DO34+DO36)*0.27,0)</f>
        <v>189</v>
      </c>
      <c r="DP38" s="162">
        <f>ROUND((DP23+DP26+DP34+DP36)*0.27,0)</f>
        <v>95</v>
      </c>
      <c r="DQ38" s="161"/>
      <c r="DR38" s="162"/>
      <c r="DS38" s="161"/>
      <c r="DT38" s="162"/>
      <c r="DU38" s="161"/>
      <c r="DV38" s="162"/>
    </row>
    <row r="39" spans="1:126" x14ac:dyDescent="0.2">
      <c r="A39" s="160" t="s">
        <v>164</v>
      </c>
      <c r="B39" s="160" t="s">
        <v>878</v>
      </c>
      <c r="C39" s="161">
        <f>E39+G39+I39</f>
        <v>5000</v>
      </c>
      <c r="D39" s="162">
        <f t="shared" si="51"/>
        <v>5000</v>
      </c>
      <c r="E39" s="161">
        <f>K39+M39+O38:O39+Q39+S39+U39+W39+Y39+AA39+AC39+AE39+AI39</f>
        <v>5000</v>
      </c>
      <c r="F39" s="162">
        <f t="shared" si="52"/>
        <v>5000</v>
      </c>
      <c r="G39" s="161">
        <f t="shared" si="3"/>
        <v>0</v>
      </c>
      <c r="H39" s="162">
        <f t="shared" si="3"/>
        <v>0</v>
      </c>
      <c r="I39" s="161"/>
      <c r="J39" s="162"/>
      <c r="K39" s="161"/>
      <c r="L39" s="162"/>
      <c r="M39" s="161"/>
      <c r="N39" s="162"/>
      <c r="O39" s="161"/>
      <c r="P39" s="162"/>
      <c r="Q39" s="161"/>
      <c r="R39" s="162"/>
      <c r="S39" s="161"/>
      <c r="T39" s="162"/>
      <c r="U39" s="161"/>
      <c r="V39" s="162"/>
      <c r="W39" s="161"/>
      <c r="X39" s="162"/>
      <c r="Y39" s="161"/>
      <c r="Z39" s="162"/>
      <c r="AA39" s="161"/>
      <c r="AB39" s="162"/>
      <c r="AC39" s="161"/>
      <c r="AD39" s="162"/>
      <c r="AE39" s="161">
        <v>5000</v>
      </c>
      <c r="AF39" s="162">
        <v>5000</v>
      </c>
      <c r="AG39" s="161"/>
      <c r="AH39" s="162"/>
      <c r="AI39" s="161"/>
      <c r="AJ39" s="162"/>
      <c r="AK39" s="161"/>
      <c r="AL39" s="162"/>
      <c r="AM39" s="161"/>
      <c r="AN39" s="162"/>
      <c r="AO39" s="161"/>
      <c r="AP39" s="162"/>
      <c r="AQ39" s="161"/>
      <c r="AR39" s="162"/>
      <c r="AS39" s="161"/>
      <c r="AT39" s="162"/>
      <c r="AU39" s="161"/>
      <c r="AV39" s="162"/>
      <c r="AW39" s="161"/>
      <c r="AX39" s="162"/>
      <c r="AY39" s="161"/>
      <c r="AZ39" s="162"/>
      <c r="BA39" s="161"/>
      <c r="BB39" s="162"/>
      <c r="BC39" s="161"/>
      <c r="BD39" s="162"/>
      <c r="BE39" s="161"/>
      <c r="BF39" s="162"/>
      <c r="BG39" s="161"/>
      <c r="BH39" s="162"/>
      <c r="BI39" s="161"/>
      <c r="BJ39" s="162"/>
      <c r="BK39" s="161"/>
      <c r="BL39" s="162"/>
      <c r="BM39" s="161"/>
      <c r="BN39" s="162"/>
      <c r="BO39" s="161"/>
      <c r="BP39" s="162"/>
      <c r="BQ39" s="161"/>
      <c r="BR39" s="162"/>
      <c r="BS39" s="161"/>
      <c r="BT39" s="162"/>
      <c r="BU39" s="161"/>
      <c r="BV39" s="162"/>
      <c r="BW39" s="161"/>
      <c r="BX39" s="162"/>
      <c r="BY39" s="161"/>
      <c r="BZ39" s="162"/>
      <c r="CA39" s="161"/>
      <c r="CB39" s="162"/>
      <c r="CC39" s="161"/>
      <c r="CD39" s="162"/>
      <c r="CE39" s="161"/>
      <c r="CF39" s="162"/>
      <c r="CG39" s="161"/>
      <c r="CH39" s="162"/>
      <c r="CI39" s="161"/>
      <c r="CJ39" s="162"/>
      <c r="CK39" s="161"/>
      <c r="CL39" s="162"/>
      <c r="CM39" s="161"/>
      <c r="CN39" s="162"/>
      <c r="CO39" s="161"/>
      <c r="CP39" s="162"/>
      <c r="CQ39" s="161"/>
      <c r="CR39" s="162"/>
      <c r="CS39" s="161"/>
      <c r="CT39" s="162"/>
      <c r="CU39" s="161"/>
      <c r="CV39" s="162"/>
      <c r="CW39" s="161"/>
      <c r="CX39" s="162"/>
      <c r="CY39" s="161"/>
      <c r="CZ39" s="162"/>
      <c r="DA39" s="161"/>
      <c r="DB39" s="162"/>
      <c r="DC39" s="161"/>
      <c r="DD39" s="162"/>
      <c r="DE39" s="161"/>
      <c r="DF39" s="162"/>
      <c r="DG39" s="161"/>
      <c r="DH39" s="162"/>
      <c r="DI39" s="161"/>
      <c r="DJ39" s="162"/>
      <c r="DK39" s="161"/>
      <c r="DL39" s="162"/>
      <c r="DM39" s="161"/>
      <c r="DN39" s="162"/>
      <c r="DO39" s="161"/>
      <c r="DP39" s="162"/>
      <c r="DQ39" s="161"/>
      <c r="DR39" s="162"/>
      <c r="DS39" s="161"/>
      <c r="DT39" s="162"/>
      <c r="DU39" s="161"/>
      <c r="DV39" s="162"/>
    </row>
    <row r="40" spans="1:126" x14ac:dyDescent="0.2">
      <c r="A40" s="160" t="s">
        <v>170</v>
      </c>
      <c r="B40" s="160" t="s">
        <v>172</v>
      </c>
      <c r="C40" s="161">
        <f>E40+G40+I40</f>
        <v>3600</v>
      </c>
      <c r="D40" s="162">
        <f t="shared" si="51"/>
        <v>3500</v>
      </c>
      <c r="E40" s="161">
        <f>K40+M40+O39:O40+Q40+S40+U40+W40+Y40+AA40+AC40+AE40+AI40</f>
        <v>3600</v>
      </c>
      <c r="F40" s="162">
        <f t="shared" si="52"/>
        <v>3500</v>
      </c>
      <c r="G40" s="161">
        <f t="shared" si="3"/>
        <v>0</v>
      </c>
      <c r="H40" s="162">
        <f t="shared" si="3"/>
        <v>0</v>
      </c>
      <c r="I40" s="161"/>
      <c r="J40" s="162"/>
      <c r="K40" s="161"/>
      <c r="L40" s="162"/>
      <c r="M40" s="161"/>
      <c r="N40" s="162"/>
      <c r="O40" s="161"/>
      <c r="P40" s="162"/>
      <c r="Q40" s="161"/>
      <c r="R40" s="162"/>
      <c r="S40" s="161"/>
      <c r="T40" s="162"/>
      <c r="U40" s="161"/>
      <c r="V40" s="162"/>
      <c r="W40" s="161"/>
      <c r="X40" s="162"/>
      <c r="Y40" s="161"/>
      <c r="Z40" s="162"/>
      <c r="AA40" s="161"/>
      <c r="AB40" s="162"/>
      <c r="AC40" s="161"/>
      <c r="AD40" s="162"/>
      <c r="AE40" s="161">
        <v>3600</v>
      </c>
      <c r="AF40" s="162">
        <v>3500</v>
      </c>
      <c r="AG40" s="161"/>
      <c r="AH40" s="162"/>
      <c r="AI40" s="161"/>
      <c r="AJ40" s="162"/>
      <c r="AK40" s="161"/>
      <c r="AL40" s="162"/>
      <c r="AM40" s="161"/>
      <c r="AN40" s="162"/>
      <c r="AO40" s="161"/>
      <c r="AP40" s="162"/>
      <c r="AQ40" s="161"/>
      <c r="AR40" s="162"/>
      <c r="AS40" s="161"/>
      <c r="AT40" s="162"/>
      <c r="AU40" s="161"/>
      <c r="AV40" s="162"/>
      <c r="AW40" s="161"/>
      <c r="AX40" s="162"/>
      <c r="AY40" s="161"/>
      <c r="AZ40" s="162"/>
      <c r="BA40" s="161"/>
      <c r="BB40" s="162"/>
      <c r="BC40" s="161"/>
      <c r="BD40" s="162"/>
      <c r="BE40" s="161"/>
      <c r="BF40" s="162"/>
      <c r="BG40" s="161"/>
      <c r="BH40" s="162"/>
      <c r="BI40" s="161"/>
      <c r="BJ40" s="162"/>
      <c r="BK40" s="161"/>
      <c r="BL40" s="162"/>
      <c r="BM40" s="161"/>
      <c r="BN40" s="162"/>
      <c r="BO40" s="161"/>
      <c r="BP40" s="162"/>
      <c r="BQ40" s="161"/>
      <c r="BR40" s="162"/>
      <c r="BS40" s="161"/>
      <c r="BT40" s="162"/>
      <c r="BU40" s="161"/>
      <c r="BV40" s="162"/>
      <c r="BW40" s="161"/>
      <c r="BX40" s="162"/>
      <c r="BY40" s="161"/>
      <c r="BZ40" s="162"/>
      <c r="CA40" s="161"/>
      <c r="CB40" s="162"/>
      <c r="CC40" s="161"/>
      <c r="CD40" s="162"/>
      <c r="CE40" s="161"/>
      <c r="CF40" s="162"/>
      <c r="CG40" s="161"/>
      <c r="CH40" s="162"/>
      <c r="CI40" s="161"/>
      <c r="CJ40" s="162"/>
      <c r="CK40" s="161"/>
      <c r="CL40" s="162"/>
      <c r="CM40" s="161"/>
      <c r="CN40" s="162"/>
      <c r="CO40" s="161"/>
      <c r="CP40" s="162"/>
      <c r="CQ40" s="161"/>
      <c r="CR40" s="162"/>
      <c r="CS40" s="161"/>
      <c r="CT40" s="162"/>
      <c r="CU40" s="161"/>
      <c r="CV40" s="162"/>
      <c r="CW40" s="161"/>
      <c r="CX40" s="162"/>
      <c r="CY40" s="161"/>
      <c r="CZ40" s="162"/>
      <c r="DA40" s="161"/>
      <c r="DB40" s="162"/>
      <c r="DC40" s="161"/>
      <c r="DD40" s="162"/>
      <c r="DE40" s="161"/>
      <c r="DF40" s="162"/>
      <c r="DG40" s="161"/>
      <c r="DH40" s="162"/>
      <c r="DI40" s="161"/>
      <c r="DJ40" s="162"/>
      <c r="DK40" s="161"/>
      <c r="DL40" s="162"/>
      <c r="DM40" s="161"/>
      <c r="DN40" s="162"/>
      <c r="DO40" s="161"/>
      <c r="DP40" s="162"/>
      <c r="DQ40" s="161"/>
      <c r="DR40" s="162"/>
      <c r="DS40" s="161"/>
      <c r="DT40" s="162"/>
      <c r="DU40" s="161"/>
      <c r="DV40" s="162"/>
    </row>
    <row r="41" spans="1:126" x14ac:dyDescent="0.2">
      <c r="A41" s="160" t="s">
        <v>177</v>
      </c>
      <c r="B41" s="160" t="s">
        <v>179</v>
      </c>
      <c r="C41" s="161">
        <f>E41+G41+I41</f>
        <v>0</v>
      </c>
      <c r="D41" s="162">
        <f t="shared" si="51"/>
        <v>0</v>
      </c>
      <c r="E41" s="161">
        <f>K41+M41+O40:O41+Q41+S41+U41+W41+Y41+AA41+AC41+AE41+AI41</f>
        <v>0</v>
      </c>
      <c r="F41" s="162">
        <f t="shared" si="52"/>
        <v>0</v>
      </c>
      <c r="G41" s="161">
        <f t="shared" si="3"/>
        <v>0</v>
      </c>
      <c r="H41" s="162">
        <f t="shared" si="3"/>
        <v>0</v>
      </c>
      <c r="I41" s="161"/>
      <c r="J41" s="162"/>
      <c r="K41" s="161"/>
      <c r="L41" s="162"/>
      <c r="M41" s="161"/>
      <c r="N41" s="162"/>
      <c r="O41" s="161"/>
      <c r="P41" s="162"/>
      <c r="Q41" s="161"/>
      <c r="R41" s="162"/>
      <c r="S41" s="161"/>
      <c r="T41" s="162"/>
      <c r="U41" s="161"/>
      <c r="V41" s="162"/>
      <c r="W41" s="161"/>
      <c r="X41" s="162"/>
      <c r="Y41" s="161"/>
      <c r="Z41" s="162"/>
      <c r="AA41" s="161"/>
      <c r="AB41" s="162"/>
      <c r="AC41" s="161"/>
      <c r="AD41" s="162"/>
      <c r="AE41" s="161">
        <v>0</v>
      </c>
      <c r="AF41" s="162">
        <v>0</v>
      </c>
      <c r="AG41" s="161"/>
      <c r="AH41" s="162"/>
      <c r="AI41" s="161"/>
      <c r="AJ41" s="162"/>
      <c r="AK41" s="161"/>
      <c r="AL41" s="162"/>
      <c r="AM41" s="161"/>
      <c r="AN41" s="162"/>
      <c r="AO41" s="161"/>
      <c r="AP41" s="162"/>
      <c r="AQ41" s="161"/>
      <c r="AR41" s="162"/>
      <c r="AS41" s="161"/>
      <c r="AT41" s="162"/>
      <c r="AU41" s="161"/>
      <c r="AV41" s="162"/>
      <c r="AW41" s="161"/>
      <c r="AX41" s="162"/>
      <c r="AY41" s="161"/>
      <c r="AZ41" s="162"/>
      <c r="BA41" s="161"/>
      <c r="BB41" s="162"/>
      <c r="BC41" s="161"/>
      <c r="BD41" s="162"/>
      <c r="BE41" s="161"/>
      <c r="BF41" s="162"/>
      <c r="BG41" s="161"/>
      <c r="BH41" s="162"/>
      <c r="BI41" s="161"/>
      <c r="BJ41" s="162"/>
      <c r="BK41" s="161"/>
      <c r="BL41" s="162"/>
      <c r="BM41" s="161"/>
      <c r="BN41" s="162"/>
      <c r="BO41" s="161"/>
      <c r="BP41" s="162"/>
      <c r="BQ41" s="161"/>
      <c r="BR41" s="162"/>
      <c r="BS41" s="161"/>
      <c r="BT41" s="162"/>
      <c r="BU41" s="161"/>
      <c r="BV41" s="162"/>
      <c r="BW41" s="161"/>
      <c r="BX41" s="162"/>
      <c r="BY41" s="161"/>
      <c r="BZ41" s="162"/>
      <c r="CA41" s="161"/>
      <c r="CB41" s="162"/>
      <c r="CC41" s="161"/>
      <c r="CD41" s="162"/>
      <c r="CE41" s="161"/>
      <c r="CF41" s="162"/>
      <c r="CG41" s="161"/>
      <c r="CH41" s="162"/>
      <c r="CI41" s="161"/>
      <c r="CJ41" s="162"/>
      <c r="CK41" s="161"/>
      <c r="CL41" s="162"/>
      <c r="CM41" s="161"/>
      <c r="CN41" s="162"/>
      <c r="CO41" s="161"/>
      <c r="CP41" s="162"/>
      <c r="CQ41" s="161"/>
      <c r="CR41" s="162"/>
      <c r="CS41" s="161"/>
      <c r="CT41" s="162"/>
      <c r="CU41" s="161"/>
      <c r="CV41" s="162"/>
      <c r="CW41" s="161"/>
      <c r="CX41" s="162"/>
      <c r="CY41" s="161"/>
      <c r="CZ41" s="162"/>
      <c r="DA41" s="161"/>
      <c r="DB41" s="162"/>
      <c r="DC41" s="161"/>
      <c r="DD41" s="162"/>
      <c r="DE41" s="161"/>
      <c r="DF41" s="162"/>
      <c r="DG41" s="161"/>
      <c r="DH41" s="162"/>
      <c r="DI41" s="161"/>
      <c r="DJ41" s="162"/>
      <c r="DK41" s="161"/>
      <c r="DL41" s="162"/>
      <c r="DM41" s="161"/>
      <c r="DN41" s="162"/>
      <c r="DO41" s="161"/>
      <c r="DP41" s="162"/>
      <c r="DQ41" s="161"/>
      <c r="DR41" s="162"/>
      <c r="DS41" s="161"/>
      <c r="DT41" s="162"/>
      <c r="DU41" s="161"/>
      <c r="DV41" s="162"/>
    </row>
    <row r="42" spans="1:126" x14ac:dyDescent="0.2">
      <c r="A42" s="160" t="s">
        <v>182</v>
      </c>
      <c r="B42" s="160" t="s">
        <v>184</v>
      </c>
      <c r="C42" s="161">
        <f>E42+G42+I42</f>
        <v>27222</v>
      </c>
      <c r="D42" s="162">
        <f t="shared" si="51"/>
        <v>44410</v>
      </c>
      <c r="E42" s="161">
        <f>K42+M42+O41:O42+Q42+S42+U42+W42+Y42+AA42+AC42+AE42+AI42</f>
        <v>23824</v>
      </c>
      <c r="F42" s="162">
        <f t="shared" si="52"/>
        <v>37955</v>
      </c>
      <c r="G42" s="161">
        <f t="shared" si="3"/>
        <v>3398</v>
      </c>
      <c r="H42" s="162">
        <f t="shared" si="3"/>
        <v>6455</v>
      </c>
      <c r="I42" s="161"/>
      <c r="J42" s="162"/>
      <c r="K42" s="161">
        <v>1800</v>
      </c>
      <c r="L42" s="162">
        <v>831</v>
      </c>
      <c r="M42" s="161"/>
      <c r="N42" s="162"/>
      <c r="O42" s="161"/>
      <c r="P42" s="162"/>
      <c r="Q42" s="161"/>
      <c r="R42" s="162"/>
      <c r="S42" s="161"/>
      <c r="T42" s="162">
        <v>1000</v>
      </c>
      <c r="U42" s="161"/>
      <c r="V42" s="162">
        <v>100</v>
      </c>
      <c r="W42" s="161"/>
      <c r="X42" s="162">
        <v>300</v>
      </c>
      <c r="Y42" s="161"/>
      <c r="Z42" s="162"/>
      <c r="AA42" s="161">
        <v>210</v>
      </c>
      <c r="AB42" s="162">
        <v>210</v>
      </c>
      <c r="AC42" s="161">
        <v>29</v>
      </c>
      <c r="AD42" s="162">
        <v>29</v>
      </c>
      <c r="AE42" s="161">
        <v>21785</v>
      </c>
      <c r="AF42" s="162">
        <v>35485</v>
      </c>
      <c r="AG42" s="161"/>
      <c r="AH42" s="162"/>
      <c r="AI42" s="161"/>
      <c r="AJ42" s="162"/>
      <c r="AK42" s="161"/>
      <c r="AL42" s="162"/>
      <c r="AM42" s="161"/>
      <c r="AN42" s="162"/>
      <c r="AO42" s="161"/>
      <c r="AP42" s="162"/>
      <c r="AQ42" s="161">
        <v>0</v>
      </c>
      <c r="AR42" s="162">
        <v>500</v>
      </c>
      <c r="AS42" s="161"/>
      <c r="AT42" s="162"/>
      <c r="AU42" s="161"/>
      <c r="AV42" s="162"/>
      <c r="AW42" s="161"/>
      <c r="AX42" s="162"/>
      <c r="AY42" s="161"/>
      <c r="AZ42" s="162"/>
      <c r="BA42" s="161"/>
      <c r="BB42" s="162"/>
      <c r="BC42" s="161"/>
      <c r="BD42" s="162"/>
      <c r="BE42" s="161"/>
      <c r="BF42" s="162"/>
      <c r="BG42" s="161"/>
      <c r="BH42" s="162"/>
      <c r="BI42" s="161"/>
      <c r="BJ42" s="162"/>
      <c r="BK42" s="161">
        <v>58</v>
      </c>
      <c r="BL42" s="162">
        <v>0</v>
      </c>
      <c r="BM42" s="161"/>
      <c r="BN42" s="162"/>
      <c r="BO42" s="161"/>
      <c r="BP42" s="162">
        <v>0</v>
      </c>
      <c r="BQ42" s="161"/>
      <c r="BR42" s="162"/>
      <c r="BS42" s="161"/>
      <c r="BT42" s="162"/>
      <c r="BU42" s="161"/>
      <c r="BV42" s="162"/>
      <c r="BW42" s="161"/>
      <c r="BX42" s="162"/>
      <c r="BY42" s="161"/>
      <c r="BZ42" s="162"/>
      <c r="CA42" s="161"/>
      <c r="CB42" s="162"/>
      <c r="CC42" s="161"/>
      <c r="CD42" s="162"/>
      <c r="CE42" s="161"/>
      <c r="CF42" s="162"/>
      <c r="CG42" s="161"/>
      <c r="CH42" s="162"/>
      <c r="CI42" s="161"/>
      <c r="CJ42" s="162"/>
      <c r="CK42" s="161"/>
      <c r="CL42" s="162"/>
      <c r="CM42" s="161"/>
      <c r="CN42" s="162"/>
      <c r="CO42" s="161"/>
      <c r="CP42" s="162"/>
      <c r="CQ42" s="161"/>
      <c r="CR42" s="162"/>
      <c r="CS42" s="161"/>
      <c r="CT42" s="162"/>
      <c r="CU42" s="161"/>
      <c r="CV42" s="162"/>
      <c r="CW42" s="161"/>
      <c r="CX42" s="162"/>
      <c r="CY42" s="161"/>
      <c r="CZ42" s="162"/>
      <c r="DA42" s="161"/>
      <c r="DB42" s="162"/>
      <c r="DC42" s="161"/>
      <c r="DD42" s="162"/>
      <c r="DE42" s="161"/>
      <c r="DF42" s="162"/>
      <c r="DG42" s="161">
        <v>3229</v>
      </c>
      <c r="DH42" s="162">
        <f>5000+400</f>
        <v>5400</v>
      </c>
      <c r="DI42" s="161"/>
      <c r="DJ42" s="162"/>
      <c r="DK42" s="161"/>
      <c r="DL42" s="162"/>
      <c r="DM42" s="161"/>
      <c r="DN42" s="162"/>
      <c r="DO42" s="161">
        <v>111</v>
      </c>
      <c r="DP42" s="162">
        <v>555</v>
      </c>
      <c r="DQ42" s="161"/>
      <c r="DR42" s="162"/>
      <c r="DS42" s="161"/>
      <c r="DT42" s="162"/>
      <c r="DU42" s="161"/>
      <c r="DV42" s="162"/>
    </row>
    <row r="43" spans="1:126" x14ac:dyDescent="0.2">
      <c r="A43" s="167" t="s">
        <v>189</v>
      </c>
      <c r="B43" s="167" t="s">
        <v>191</v>
      </c>
      <c r="C43" s="168">
        <f t="shared" ref="C43:H43" si="244">SUM(C38:C42)</f>
        <v>95650</v>
      </c>
      <c r="D43" s="169">
        <f t="shared" si="244"/>
        <v>100668</v>
      </c>
      <c r="E43" s="168">
        <f t="shared" si="244"/>
        <v>64008</v>
      </c>
      <c r="F43" s="169">
        <f t="shared" si="244"/>
        <v>83345</v>
      </c>
      <c r="G43" s="168">
        <f t="shared" si="244"/>
        <v>31642</v>
      </c>
      <c r="H43" s="169">
        <f t="shared" si="244"/>
        <v>17323</v>
      </c>
      <c r="I43" s="168"/>
      <c r="J43" s="169"/>
      <c r="K43" s="168">
        <f t="shared" ref="K43:AO43" si="245">SUM(K38:K42)</f>
        <v>4055</v>
      </c>
      <c r="L43" s="169">
        <f t="shared" si="245"/>
        <v>2780</v>
      </c>
      <c r="M43" s="168">
        <f t="shared" si="245"/>
        <v>540</v>
      </c>
      <c r="N43" s="169">
        <f t="shared" si="245"/>
        <v>540</v>
      </c>
      <c r="O43" s="168">
        <f t="shared" si="245"/>
        <v>702</v>
      </c>
      <c r="P43" s="169">
        <f t="shared" si="245"/>
        <v>582</v>
      </c>
      <c r="Q43" s="168">
        <f t="shared" si="245"/>
        <v>185</v>
      </c>
      <c r="R43" s="169">
        <f t="shared" si="245"/>
        <v>346</v>
      </c>
      <c r="S43" s="168">
        <f t="shared" si="245"/>
        <v>0</v>
      </c>
      <c r="T43" s="169">
        <f t="shared" ref="T43" si="246">SUM(T38:T42)</f>
        <v>1000</v>
      </c>
      <c r="U43" s="168">
        <f t="shared" si="245"/>
        <v>0</v>
      </c>
      <c r="V43" s="169">
        <f t="shared" ref="V43" si="247">SUM(V38:V42)</f>
        <v>100</v>
      </c>
      <c r="W43" s="168">
        <f t="shared" si="245"/>
        <v>513</v>
      </c>
      <c r="X43" s="169">
        <f t="shared" si="245"/>
        <v>813</v>
      </c>
      <c r="Y43" s="168">
        <f t="shared" si="245"/>
        <v>212</v>
      </c>
      <c r="Z43" s="169">
        <f t="shared" si="245"/>
        <v>212</v>
      </c>
      <c r="AA43" s="168">
        <f t="shared" si="245"/>
        <v>1253</v>
      </c>
      <c r="AB43" s="169">
        <f t="shared" ref="AB43" si="248">SUM(AB38:AB42)</f>
        <v>848</v>
      </c>
      <c r="AC43" s="168">
        <f t="shared" si="245"/>
        <v>108</v>
      </c>
      <c r="AD43" s="169">
        <f t="shared" ref="AD43" si="249">SUM(AD38:AD42)</f>
        <v>108</v>
      </c>
      <c r="AE43" s="168">
        <f t="shared" si="245"/>
        <v>56440</v>
      </c>
      <c r="AF43" s="169">
        <f t="shared" ref="AF43" si="250">SUM(AF38:AF42)</f>
        <v>76016</v>
      </c>
      <c r="AG43" s="168"/>
      <c r="AH43" s="169"/>
      <c r="AI43" s="168">
        <f>SUM(AI38:AI42)</f>
        <v>0</v>
      </c>
      <c r="AJ43" s="169">
        <f>SUM(AJ38:AJ42)</f>
        <v>0</v>
      </c>
      <c r="AK43" s="168">
        <f t="shared" si="245"/>
        <v>0</v>
      </c>
      <c r="AL43" s="169">
        <f t="shared" ref="AL43" si="251">SUM(AL38:AL42)</f>
        <v>0</v>
      </c>
      <c r="AM43" s="168">
        <f t="shared" si="245"/>
        <v>0</v>
      </c>
      <c r="AN43" s="169"/>
      <c r="AO43" s="168">
        <f t="shared" si="245"/>
        <v>850</v>
      </c>
      <c r="AP43" s="169">
        <f t="shared" ref="AP43" si="252">SUM(AP38:AP42)</f>
        <v>1714</v>
      </c>
      <c r="AQ43" s="168">
        <f t="shared" ref="AQ43:DS43" si="253">SUM(AQ38:AQ42)</f>
        <v>270</v>
      </c>
      <c r="AR43" s="169">
        <f t="shared" ref="AR43" si="254">SUM(AR38:AR42)</f>
        <v>770</v>
      </c>
      <c r="AS43" s="168">
        <f t="shared" si="253"/>
        <v>0</v>
      </c>
      <c r="AT43" s="169">
        <f t="shared" ref="AT43" si="255">SUM(AT38:AT42)</f>
        <v>0</v>
      </c>
      <c r="AU43" s="168">
        <f t="shared" si="253"/>
        <v>0</v>
      </c>
      <c r="AV43" s="169">
        <f t="shared" ref="AV43" si="256">SUM(AV38:AV42)</f>
        <v>0</v>
      </c>
      <c r="AW43" s="168">
        <f t="shared" si="253"/>
        <v>0</v>
      </c>
      <c r="AX43" s="169">
        <f t="shared" ref="AX43" si="257">SUM(AX38:AX42)</f>
        <v>0</v>
      </c>
      <c r="AY43" s="168">
        <f t="shared" si="253"/>
        <v>0</v>
      </c>
      <c r="AZ43" s="169">
        <f t="shared" ref="AZ43" si="258">SUM(AZ38:AZ42)</f>
        <v>0</v>
      </c>
      <c r="BA43" s="168">
        <f t="shared" si="253"/>
        <v>1276</v>
      </c>
      <c r="BB43" s="169">
        <f t="shared" ref="BB43" si="259">SUM(BB38:BB42)</f>
        <v>1620</v>
      </c>
      <c r="BC43" s="168">
        <f t="shared" si="253"/>
        <v>0</v>
      </c>
      <c r="BD43" s="169">
        <f t="shared" ref="BD43" si="260">SUM(BD38:BD42)</f>
        <v>0</v>
      </c>
      <c r="BE43" s="168">
        <f t="shared" si="253"/>
        <v>194</v>
      </c>
      <c r="BF43" s="169">
        <f t="shared" ref="BF43" si="261">SUM(BF38:BF42)</f>
        <v>389</v>
      </c>
      <c r="BG43" s="168">
        <f t="shared" si="253"/>
        <v>0</v>
      </c>
      <c r="BH43" s="169">
        <f t="shared" ref="BH43" si="262">SUM(BH38:BH42)</f>
        <v>0</v>
      </c>
      <c r="BI43" s="168">
        <f t="shared" si="253"/>
        <v>515</v>
      </c>
      <c r="BJ43" s="169">
        <f t="shared" ref="BJ43" si="263">SUM(BJ38:BJ42)</f>
        <v>515</v>
      </c>
      <c r="BK43" s="168">
        <f t="shared" si="253"/>
        <v>500</v>
      </c>
      <c r="BL43" s="169">
        <f t="shared" ref="BL43" si="264">SUM(BL38:BL42)</f>
        <v>0</v>
      </c>
      <c r="BM43" s="168">
        <f t="shared" si="253"/>
        <v>0</v>
      </c>
      <c r="BN43" s="169">
        <f t="shared" ref="BN43" si="265">SUM(BN38:BN42)</f>
        <v>0</v>
      </c>
      <c r="BO43" s="168">
        <f t="shared" si="253"/>
        <v>3189</v>
      </c>
      <c r="BP43" s="169">
        <f t="shared" ref="BP43" si="266">SUM(BP38:BP42)</f>
        <v>4007</v>
      </c>
      <c r="BQ43" s="168">
        <f t="shared" si="253"/>
        <v>0</v>
      </c>
      <c r="BR43" s="169">
        <f t="shared" ref="BR43" si="267">SUM(BR38:BR42)</f>
        <v>0</v>
      </c>
      <c r="BS43" s="168">
        <f t="shared" si="253"/>
        <v>0</v>
      </c>
      <c r="BT43" s="169">
        <f t="shared" ref="BT43" si="268">SUM(BT38:BT42)</f>
        <v>0</v>
      </c>
      <c r="BU43" s="168">
        <f t="shared" si="253"/>
        <v>0</v>
      </c>
      <c r="BV43" s="169">
        <f t="shared" ref="BV43" si="269">SUM(BV38:BV42)</f>
        <v>0</v>
      </c>
      <c r="BW43" s="168">
        <f t="shared" si="253"/>
        <v>0</v>
      </c>
      <c r="BX43" s="169">
        <f t="shared" ref="BX43" si="270">SUM(BX38:BX42)</f>
        <v>0</v>
      </c>
      <c r="BY43" s="168">
        <f t="shared" si="253"/>
        <v>0</v>
      </c>
      <c r="BZ43" s="169">
        <f t="shared" ref="BZ43" si="271">SUM(BZ38:BZ42)</f>
        <v>0</v>
      </c>
      <c r="CA43" s="168">
        <f t="shared" si="253"/>
        <v>0</v>
      </c>
      <c r="CB43" s="169">
        <f t="shared" ref="CB43" si="272">SUM(CB38:CB42)</f>
        <v>0</v>
      </c>
      <c r="CC43" s="168">
        <f t="shared" si="253"/>
        <v>0</v>
      </c>
      <c r="CD43" s="169">
        <f t="shared" ref="CD43" si="273">SUM(CD38:CD42)</f>
        <v>0</v>
      </c>
      <c r="CE43" s="168">
        <f>SUM(CE38:CE42)</f>
        <v>0</v>
      </c>
      <c r="CF43" s="169">
        <f>SUM(CF38:CF42)</f>
        <v>0</v>
      </c>
      <c r="CG43" s="168">
        <f t="shared" si="253"/>
        <v>0</v>
      </c>
      <c r="CH43" s="169">
        <f t="shared" ref="CH43" si="274">SUM(CH38:CH42)</f>
        <v>0</v>
      </c>
      <c r="CI43" s="168">
        <f t="shared" si="253"/>
        <v>21224</v>
      </c>
      <c r="CJ43" s="169">
        <f t="shared" ref="CJ43" si="275">SUM(CJ38:CJ42)</f>
        <v>0</v>
      </c>
      <c r="CK43" s="168">
        <f t="shared" si="253"/>
        <v>0</v>
      </c>
      <c r="CL43" s="169">
        <f t="shared" ref="CL43" si="276">SUM(CL38:CL42)</f>
        <v>0</v>
      </c>
      <c r="CM43" s="168">
        <f t="shared" si="253"/>
        <v>0</v>
      </c>
      <c r="CN43" s="169">
        <f t="shared" ref="CN43" si="277">SUM(CN38:CN42)</f>
        <v>0</v>
      </c>
      <c r="CO43" s="168">
        <f t="shared" si="253"/>
        <v>0</v>
      </c>
      <c r="CP43" s="169">
        <f t="shared" ref="CP43" si="278">SUM(CP38:CP42)</f>
        <v>0</v>
      </c>
      <c r="CQ43" s="168">
        <f t="shared" si="253"/>
        <v>0</v>
      </c>
      <c r="CR43" s="169">
        <f t="shared" ref="CR43" si="279">SUM(CR38:CR42)</f>
        <v>0</v>
      </c>
      <c r="CS43" s="168">
        <f t="shared" si="253"/>
        <v>0</v>
      </c>
      <c r="CT43" s="169">
        <f t="shared" ref="CT43" si="280">SUM(CT38:CT42)</f>
        <v>138</v>
      </c>
      <c r="CU43" s="168">
        <f t="shared" si="253"/>
        <v>0</v>
      </c>
      <c r="CV43" s="169">
        <f t="shared" ref="CV43" si="281">SUM(CV38:CV42)</f>
        <v>0</v>
      </c>
      <c r="CW43" s="168">
        <f t="shared" si="253"/>
        <v>0</v>
      </c>
      <c r="CX43" s="169">
        <f t="shared" ref="CX43" si="282">SUM(CX38:CX42)</f>
        <v>0</v>
      </c>
      <c r="CY43" s="168">
        <f t="shared" si="253"/>
        <v>0</v>
      </c>
      <c r="CZ43" s="169"/>
      <c r="DA43" s="168">
        <f t="shared" si="253"/>
        <v>0</v>
      </c>
      <c r="DB43" s="169"/>
      <c r="DC43" s="168">
        <f t="shared" si="253"/>
        <v>0</v>
      </c>
      <c r="DD43" s="169">
        <f t="shared" ref="DD43" si="283">SUM(DD38:DD42)</f>
        <v>0</v>
      </c>
      <c r="DE43" s="168">
        <f t="shared" si="253"/>
        <v>0</v>
      </c>
      <c r="DF43" s="169">
        <f t="shared" ref="DF43" si="284">SUM(DF38:DF42)</f>
        <v>0</v>
      </c>
      <c r="DG43" s="168">
        <f t="shared" si="253"/>
        <v>3229</v>
      </c>
      <c r="DH43" s="169">
        <f t="shared" ref="DH43" si="285">SUM(DH38:DH42)</f>
        <v>7520</v>
      </c>
      <c r="DI43" s="168">
        <f t="shared" si="253"/>
        <v>0</v>
      </c>
      <c r="DJ43" s="169">
        <f t="shared" ref="DJ43" si="286">SUM(DJ38:DJ42)</f>
        <v>0</v>
      </c>
      <c r="DK43" s="168">
        <f t="shared" si="253"/>
        <v>0</v>
      </c>
      <c r="DL43" s="169">
        <f t="shared" ref="DL43" si="287">SUM(DL38:DL42)</f>
        <v>0</v>
      </c>
      <c r="DM43" s="168">
        <f t="shared" si="253"/>
        <v>95</v>
      </c>
      <c r="DN43" s="169">
        <f t="shared" ref="DN43" si="288">SUM(DN38:DN42)</f>
        <v>0</v>
      </c>
      <c r="DO43" s="168">
        <f t="shared" si="253"/>
        <v>300</v>
      </c>
      <c r="DP43" s="169">
        <f t="shared" ref="DP43" si="289">SUM(DP38:DP42)</f>
        <v>650</v>
      </c>
      <c r="DQ43" s="168">
        <f t="shared" si="253"/>
        <v>0</v>
      </c>
      <c r="DR43" s="169"/>
      <c r="DS43" s="168">
        <f t="shared" si="253"/>
        <v>0</v>
      </c>
      <c r="DT43" s="169">
        <f t="shared" ref="DT43" si="290">SUM(DT38:DT42)</f>
        <v>0</v>
      </c>
      <c r="DU43" s="168"/>
      <c r="DV43" s="169"/>
    </row>
    <row r="44" spans="1:126" x14ac:dyDescent="0.2">
      <c r="A44" s="163" t="s">
        <v>192</v>
      </c>
      <c r="B44" s="163" t="s">
        <v>879</v>
      </c>
      <c r="C44" s="164">
        <f t="shared" ref="C44:H44" si="291">C23+C26+C34+C37+C43</f>
        <v>351300</v>
      </c>
      <c r="D44" s="165">
        <f t="shared" si="291"/>
        <v>318125</v>
      </c>
      <c r="E44" s="164">
        <f t="shared" si="291"/>
        <v>198933</v>
      </c>
      <c r="F44" s="165">
        <f t="shared" si="291"/>
        <v>237557</v>
      </c>
      <c r="G44" s="164">
        <f t="shared" si="291"/>
        <v>152367</v>
      </c>
      <c r="H44" s="165">
        <f t="shared" si="291"/>
        <v>80568</v>
      </c>
      <c r="I44" s="164"/>
      <c r="J44" s="165">
        <f t="shared" ref="J44:AO44" si="292">J23+J26+J34+J37+J43</f>
        <v>0</v>
      </c>
      <c r="K44" s="164">
        <f t="shared" si="292"/>
        <v>12405</v>
      </c>
      <c r="L44" s="165">
        <f t="shared" si="292"/>
        <v>10000</v>
      </c>
      <c r="M44" s="164">
        <f t="shared" si="292"/>
        <v>2540</v>
      </c>
      <c r="N44" s="165">
        <f t="shared" si="292"/>
        <v>2540</v>
      </c>
      <c r="O44" s="164">
        <f t="shared" si="292"/>
        <v>19942</v>
      </c>
      <c r="P44" s="165">
        <f t="shared" si="292"/>
        <v>18518</v>
      </c>
      <c r="Q44" s="164">
        <f t="shared" si="292"/>
        <v>1369</v>
      </c>
      <c r="R44" s="165">
        <f t="shared" si="292"/>
        <v>2077</v>
      </c>
      <c r="S44" s="164">
        <f t="shared" si="292"/>
        <v>0</v>
      </c>
      <c r="T44" s="165">
        <f t="shared" ref="T44" si="293">T23+T26+T34+T37+T43</f>
        <v>1000</v>
      </c>
      <c r="U44" s="164">
        <f t="shared" si="292"/>
        <v>0</v>
      </c>
      <c r="V44" s="165">
        <f t="shared" ref="V44" si="294">V23+V26+V34+V37+V43</f>
        <v>100</v>
      </c>
      <c r="W44" s="164">
        <f t="shared" si="292"/>
        <v>2413</v>
      </c>
      <c r="X44" s="165">
        <f t="shared" si="292"/>
        <v>2713</v>
      </c>
      <c r="Y44" s="164">
        <f t="shared" si="292"/>
        <v>1000</v>
      </c>
      <c r="Z44" s="165">
        <f t="shared" si="292"/>
        <v>1000</v>
      </c>
      <c r="AA44" s="164">
        <f t="shared" si="292"/>
        <v>5115</v>
      </c>
      <c r="AB44" s="165">
        <f t="shared" ref="AB44" si="295">AB23+AB26+AB34+AB37+AB43</f>
        <v>3210</v>
      </c>
      <c r="AC44" s="164">
        <f t="shared" si="292"/>
        <v>400</v>
      </c>
      <c r="AD44" s="165">
        <f t="shared" ref="AD44" si="296">AD23+AD26+AD34+AD37+AD43</f>
        <v>400</v>
      </c>
      <c r="AE44" s="164">
        <f t="shared" si="292"/>
        <v>153749</v>
      </c>
      <c r="AF44" s="165">
        <f t="shared" ref="AF44:AH44" si="297">AF23+AF26+AF34+AF37+AF43</f>
        <v>195999</v>
      </c>
      <c r="AG44" s="164"/>
      <c r="AH44" s="165">
        <f t="shared" si="297"/>
        <v>0</v>
      </c>
      <c r="AI44" s="164">
        <f>AI23+AI26+AI34+AI37+AI43</f>
        <v>0</v>
      </c>
      <c r="AJ44" s="165">
        <f>AJ23+AJ26+AJ34+AJ37+AJ43</f>
        <v>0</v>
      </c>
      <c r="AK44" s="164">
        <f t="shared" si="292"/>
        <v>3744</v>
      </c>
      <c r="AL44" s="165">
        <f t="shared" ref="AL44" si="298">AL23+AL26+AL34+AL37+AL43</f>
        <v>3744</v>
      </c>
      <c r="AM44" s="164">
        <f t="shared" si="292"/>
        <v>0</v>
      </c>
      <c r="AN44" s="165"/>
      <c r="AO44" s="164">
        <f t="shared" si="292"/>
        <v>4000</v>
      </c>
      <c r="AP44" s="165">
        <f t="shared" ref="AP44" si="299">AP23+AP26+AP34+AP37+AP43</f>
        <v>8061</v>
      </c>
      <c r="AQ44" s="164">
        <f t="shared" ref="AQ44:DS44" si="300">AQ23+AQ26+AQ34+AQ37+AQ43</f>
        <v>1500</v>
      </c>
      <c r="AR44" s="165">
        <f t="shared" ref="AR44" si="301">AR23+AR26+AR34+AR37+AR43</f>
        <v>2000</v>
      </c>
      <c r="AS44" s="164">
        <f t="shared" si="300"/>
        <v>0</v>
      </c>
      <c r="AT44" s="165">
        <f t="shared" ref="AT44" si="302">AT23+AT26+AT34+AT37+AT43</f>
        <v>0</v>
      </c>
      <c r="AU44" s="164">
        <f t="shared" si="300"/>
        <v>0</v>
      </c>
      <c r="AV44" s="165">
        <f t="shared" ref="AV44" si="303">AV23+AV26+AV34+AV37+AV43</f>
        <v>0</v>
      </c>
      <c r="AW44" s="164">
        <f t="shared" si="300"/>
        <v>2811</v>
      </c>
      <c r="AX44" s="165">
        <f t="shared" ref="AX44" si="304">AX23+AX26+AX34+AX37+AX43</f>
        <v>2811</v>
      </c>
      <c r="AY44" s="164">
        <f t="shared" si="300"/>
        <v>1595</v>
      </c>
      <c r="AZ44" s="165">
        <f t="shared" ref="AZ44" si="305">AZ23+AZ26+AZ34+AZ37+AZ43</f>
        <v>1595</v>
      </c>
      <c r="BA44" s="164">
        <f t="shared" si="300"/>
        <v>6000</v>
      </c>
      <c r="BB44" s="165">
        <f t="shared" ref="BB44" si="306">BB23+BB26+BB34+BB37+BB43</f>
        <v>7620</v>
      </c>
      <c r="BC44" s="164">
        <f t="shared" si="300"/>
        <v>875</v>
      </c>
      <c r="BD44" s="165">
        <f t="shared" ref="BD44" si="307">BD23+BD26+BD34+BD37+BD43</f>
        <v>1750</v>
      </c>
      <c r="BE44" s="164">
        <f t="shared" si="300"/>
        <v>914</v>
      </c>
      <c r="BF44" s="165">
        <f t="shared" ref="BF44" si="308">BF23+BF26+BF34+BF37+BF43</f>
        <v>1829</v>
      </c>
      <c r="BG44" s="164">
        <f t="shared" si="300"/>
        <v>2400</v>
      </c>
      <c r="BH44" s="165">
        <f t="shared" ref="BH44" si="309">BH23+BH26+BH34+BH37+BH43</f>
        <v>2400</v>
      </c>
      <c r="BI44" s="164">
        <f t="shared" si="300"/>
        <v>2421</v>
      </c>
      <c r="BJ44" s="165">
        <f t="shared" ref="BJ44" si="310">BJ23+BJ26+BJ34+BJ37+BJ43</f>
        <v>2421</v>
      </c>
      <c r="BK44" s="164">
        <f t="shared" si="300"/>
        <v>2136</v>
      </c>
      <c r="BL44" s="165">
        <f t="shared" ref="BL44" si="311">BL23+BL26+BL34+BL37+BL43</f>
        <v>0</v>
      </c>
      <c r="BM44" s="164">
        <f t="shared" si="300"/>
        <v>1200</v>
      </c>
      <c r="BN44" s="165">
        <f t="shared" ref="BN44" si="312">BN23+BN26+BN34+BN37+BN43</f>
        <v>1500</v>
      </c>
      <c r="BO44" s="164">
        <f t="shared" si="300"/>
        <v>15000</v>
      </c>
      <c r="BP44" s="165">
        <f t="shared" ref="BP44" si="313">BP23+BP26+BP34+BP37+BP43</f>
        <v>18847</v>
      </c>
      <c r="BQ44" s="164">
        <f t="shared" si="300"/>
        <v>0</v>
      </c>
      <c r="BR44" s="165">
        <f t="shared" ref="BR44" si="314">BR23+BR26+BR34+BR37+BR43</f>
        <v>0</v>
      </c>
      <c r="BS44" s="164">
        <f t="shared" si="300"/>
        <v>0</v>
      </c>
      <c r="BT44" s="165">
        <f t="shared" ref="BT44" si="315">BT23+BT26+BT34+BT37+BT43</f>
        <v>0</v>
      </c>
      <c r="BU44" s="164">
        <f t="shared" si="300"/>
        <v>0</v>
      </c>
      <c r="BV44" s="165">
        <f t="shared" ref="BV44" si="316">BV23+BV26+BV34+BV37+BV43</f>
        <v>0</v>
      </c>
      <c r="BW44" s="164">
        <f t="shared" si="300"/>
        <v>0</v>
      </c>
      <c r="BX44" s="165">
        <f t="shared" ref="BX44" si="317">BX23+BX26+BX34+BX37+BX43</f>
        <v>0</v>
      </c>
      <c r="BY44" s="164">
        <f t="shared" si="300"/>
        <v>0</v>
      </c>
      <c r="BZ44" s="165">
        <f t="shared" ref="BZ44" si="318">BZ23+BZ26+BZ34+BZ37+BZ43</f>
        <v>0</v>
      </c>
      <c r="CA44" s="164">
        <f t="shared" si="300"/>
        <v>0</v>
      </c>
      <c r="CB44" s="165">
        <f t="shared" ref="CB44" si="319">CB23+CB26+CB34+CB37+CB43</f>
        <v>0</v>
      </c>
      <c r="CC44" s="164">
        <f t="shared" si="300"/>
        <v>0</v>
      </c>
      <c r="CD44" s="165">
        <f t="shared" ref="CD44" si="320">CD23+CD26+CD34+CD37+CD43</f>
        <v>0</v>
      </c>
      <c r="CE44" s="164">
        <f>CE23+CE26+CE34+CE37+CE43</f>
        <v>0</v>
      </c>
      <c r="CF44" s="165">
        <f>CF23+CF26+CF34+CF37+CF43</f>
        <v>0</v>
      </c>
      <c r="CG44" s="164">
        <f t="shared" si="300"/>
        <v>0</v>
      </c>
      <c r="CH44" s="165">
        <f t="shared" ref="CH44" si="321">CH23+CH26+CH34+CH37+CH43</f>
        <v>0</v>
      </c>
      <c r="CI44" s="164">
        <f t="shared" si="300"/>
        <v>99832</v>
      </c>
      <c r="CJ44" s="165">
        <f t="shared" ref="CJ44" si="322">CJ23+CJ26+CJ34+CJ37+CJ43</f>
        <v>0</v>
      </c>
      <c r="CK44" s="164">
        <f t="shared" si="300"/>
        <v>0</v>
      </c>
      <c r="CL44" s="165">
        <f t="shared" ref="CL44" si="323">CL23+CL26+CL34+CL37+CL43</f>
        <v>0</v>
      </c>
      <c r="CM44" s="164">
        <f t="shared" si="300"/>
        <v>0</v>
      </c>
      <c r="CN44" s="165">
        <f t="shared" ref="CN44" si="324">CN23+CN26+CN34+CN37+CN43</f>
        <v>0</v>
      </c>
      <c r="CO44" s="164">
        <f t="shared" si="300"/>
        <v>0</v>
      </c>
      <c r="CP44" s="165">
        <f t="shared" ref="CP44" si="325">CP23+CP26+CP34+CP37+CP43</f>
        <v>0</v>
      </c>
      <c r="CQ44" s="164">
        <f t="shared" si="300"/>
        <v>0</v>
      </c>
      <c r="CR44" s="165">
        <f t="shared" ref="CR44" si="326">CR23+CR26+CR34+CR37+CR43</f>
        <v>0</v>
      </c>
      <c r="CS44" s="164">
        <f t="shared" si="300"/>
        <v>0</v>
      </c>
      <c r="CT44" s="165">
        <f t="shared" ref="CT44" si="327">CT23+CT26+CT34+CT37+CT43</f>
        <v>650</v>
      </c>
      <c r="CU44" s="164">
        <f t="shared" si="300"/>
        <v>0</v>
      </c>
      <c r="CV44" s="165">
        <f t="shared" ref="CV44" si="328">CV23+CV26+CV34+CV37+CV43</f>
        <v>0</v>
      </c>
      <c r="CW44" s="164">
        <f t="shared" si="300"/>
        <v>0</v>
      </c>
      <c r="CX44" s="165">
        <f t="shared" ref="CX44" si="329">CX23+CX26+CX34+CX37+CX43</f>
        <v>0</v>
      </c>
      <c r="CY44" s="164">
        <f t="shared" si="300"/>
        <v>0</v>
      </c>
      <c r="CZ44" s="165"/>
      <c r="DA44" s="164">
        <f t="shared" si="300"/>
        <v>0</v>
      </c>
      <c r="DB44" s="165"/>
      <c r="DC44" s="164">
        <f t="shared" si="300"/>
        <v>1710</v>
      </c>
      <c r="DD44" s="165">
        <f t="shared" ref="DD44" si="330">DD23+DD26+DD34+DD37+DD43</f>
        <v>2470</v>
      </c>
      <c r="DE44" s="164">
        <f t="shared" si="300"/>
        <v>0</v>
      </c>
      <c r="DF44" s="165">
        <f t="shared" ref="DF44" si="331">DF23+DF26+DF34+DF37+DF43</f>
        <v>0</v>
      </c>
      <c r="DG44" s="164">
        <f t="shared" si="300"/>
        <v>3229</v>
      </c>
      <c r="DH44" s="165">
        <f t="shared" ref="DH44" si="332">DH23+DH26+DH34+DH37+DH43</f>
        <v>16870</v>
      </c>
      <c r="DI44" s="164">
        <f t="shared" si="300"/>
        <v>0</v>
      </c>
      <c r="DJ44" s="165">
        <f t="shared" ref="DJ44" si="333">DJ23+DJ26+DJ34+DJ37+DJ43</f>
        <v>0</v>
      </c>
      <c r="DK44" s="164">
        <f t="shared" si="300"/>
        <v>0</v>
      </c>
      <c r="DL44" s="165">
        <f t="shared" ref="DL44" si="334">DL23+DL26+DL34+DL37+DL43</f>
        <v>0</v>
      </c>
      <c r="DM44" s="164">
        <f t="shared" si="300"/>
        <v>2000</v>
      </c>
      <c r="DN44" s="165">
        <f t="shared" ref="DN44" si="335">DN23+DN26+DN34+DN37+DN43</f>
        <v>5000</v>
      </c>
      <c r="DO44" s="164">
        <f t="shared" si="300"/>
        <v>1000</v>
      </c>
      <c r="DP44" s="165">
        <f t="shared" ref="DP44" si="336">DP23+DP26+DP34+DP37+DP43</f>
        <v>1000</v>
      </c>
      <c r="DQ44" s="164">
        <f t="shared" si="300"/>
        <v>0</v>
      </c>
      <c r="DR44" s="165"/>
      <c r="DS44" s="164">
        <f t="shared" si="300"/>
        <v>0</v>
      </c>
      <c r="DT44" s="165">
        <f t="shared" ref="DT44" si="337">DT23+DT26+DT34+DT37+DT43</f>
        <v>0</v>
      </c>
      <c r="DU44" s="164"/>
      <c r="DV44" s="165"/>
    </row>
    <row r="45" spans="1:126" x14ac:dyDescent="0.2">
      <c r="A45" s="160" t="s">
        <v>620</v>
      </c>
      <c r="B45" s="160" t="s">
        <v>636</v>
      </c>
      <c r="C45" s="161">
        <f>SUM(I45:DS45)</f>
        <v>0</v>
      </c>
      <c r="D45" s="162">
        <f t="shared" ref="D45:D105" si="338">F45+H45+J45</f>
        <v>0</v>
      </c>
      <c r="E45" s="161">
        <f t="shared" ref="E45:E52" si="339">K45+M45+O44:O45+Q45+S45+U45+W45+Y45+AA45+AC45+AE45+AI45</f>
        <v>0</v>
      </c>
      <c r="F45" s="162">
        <f t="shared" ref="F45:F52" si="340">L45+N45+P44:P45+R45+T45+V45+X45+Z45+AB45+AD45+AF45+AJ45+AH45</f>
        <v>0</v>
      </c>
      <c r="G45" s="161">
        <f t="shared" ref="G45:H52" si="341">AK45+AM45+AO45+AQ45+AS45+AU45+AW45+AY45+BA45+BC45+BE45+BG45+BI45+BK45+BM45+BO45+BQ45+BS45+BU45+BW45+BY45+CA45+CC45+CE45+CG45+CI45+CK45+CM45+CO45+CQ45+CS45+CU45+CW45+DA45+CY45+DC45+DE45+DG45+DI45+DK45+DM45+DO45+DQ45+DS45+DU45</f>
        <v>0</v>
      </c>
      <c r="H45" s="162">
        <f t="shared" si="341"/>
        <v>0</v>
      </c>
      <c r="I45" s="161"/>
      <c r="J45" s="162"/>
      <c r="K45" s="161"/>
      <c r="L45" s="162"/>
      <c r="M45" s="161"/>
      <c r="N45" s="162"/>
      <c r="O45" s="161"/>
      <c r="P45" s="162"/>
      <c r="Q45" s="161"/>
      <c r="R45" s="162"/>
      <c r="S45" s="161"/>
      <c r="T45" s="162"/>
      <c r="U45" s="161"/>
      <c r="V45" s="162"/>
      <c r="W45" s="161"/>
      <c r="X45" s="162"/>
      <c r="Y45" s="161"/>
      <c r="Z45" s="162"/>
      <c r="AA45" s="161"/>
      <c r="AB45" s="162"/>
      <c r="AC45" s="161"/>
      <c r="AD45" s="162"/>
      <c r="AE45" s="161"/>
      <c r="AF45" s="162"/>
      <c r="AG45" s="161"/>
      <c r="AH45" s="162"/>
      <c r="AI45" s="161"/>
      <c r="AJ45" s="162"/>
      <c r="AK45" s="161"/>
      <c r="AL45" s="162"/>
      <c r="AM45" s="161"/>
      <c r="AN45" s="162"/>
      <c r="AO45" s="161"/>
      <c r="AP45" s="162"/>
      <c r="AQ45" s="161"/>
      <c r="AR45" s="162"/>
      <c r="AS45" s="161"/>
      <c r="AT45" s="162"/>
      <c r="AU45" s="161"/>
      <c r="AV45" s="162"/>
      <c r="AW45" s="161"/>
      <c r="AX45" s="162"/>
      <c r="AY45" s="161"/>
      <c r="AZ45" s="162"/>
      <c r="BA45" s="161"/>
      <c r="BB45" s="162"/>
      <c r="BC45" s="161"/>
      <c r="BD45" s="162"/>
      <c r="BE45" s="161"/>
      <c r="BF45" s="162"/>
      <c r="BG45" s="161"/>
      <c r="BH45" s="162"/>
      <c r="BI45" s="161"/>
      <c r="BJ45" s="162"/>
      <c r="BK45" s="161"/>
      <c r="BL45" s="162"/>
      <c r="BM45" s="161"/>
      <c r="BN45" s="162"/>
      <c r="BO45" s="161"/>
      <c r="BP45" s="162"/>
      <c r="BQ45" s="161"/>
      <c r="BR45" s="162"/>
      <c r="BS45" s="161"/>
      <c r="BT45" s="162"/>
      <c r="BU45" s="161"/>
      <c r="BV45" s="162"/>
      <c r="BW45" s="161"/>
      <c r="BX45" s="162"/>
      <c r="BY45" s="161"/>
      <c r="BZ45" s="162"/>
      <c r="CA45" s="161"/>
      <c r="CB45" s="162"/>
      <c r="CC45" s="161"/>
      <c r="CD45" s="162"/>
      <c r="CE45" s="161"/>
      <c r="CF45" s="162"/>
      <c r="CG45" s="161"/>
      <c r="CH45" s="162"/>
      <c r="CI45" s="161"/>
      <c r="CJ45" s="162"/>
      <c r="CK45" s="161"/>
      <c r="CL45" s="162"/>
      <c r="CM45" s="161"/>
      <c r="CN45" s="162"/>
      <c r="CO45" s="161"/>
      <c r="CP45" s="162"/>
      <c r="CQ45" s="161"/>
      <c r="CR45" s="162"/>
      <c r="CS45" s="161"/>
      <c r="CT45" s="162"/>
      <c r="CU45" s="161"/>
      <c r="CV45" s="162"/>
      <c r="CW45" s="161"/>
      <c r="CX45" s="162"/>
      <c r="CY45" s="161"/>
      <c r="CZ45" s="162"/>
      <c r="DA45" s="161"/>
      <c r="DB45" s="162"/>
      <c r="DC45" s="161"/>
      <c r="DD45" s="162"/>
      <c r="DE45" s="161"/>
      <c r="DF45" s="162"/>
      <c r="DG45" s="161"/>
      <c r="DH45" s="162"/>
      <c r="DI45" s="161"/>
      <c r="DJ45" s="162"/>
      <c r="DK45" s="161"/>
      <c r="DL45" s="162"/>
      <c r="DM45" s="161"/>
      <c r="DN45" s="162"/>
      <c r="DO45" s="161"/>
      <c r="DP45" s="162"/>
      <c r="DQ45" s="161"/>
      <c r="DR45" s="162"/>
      <c r="DS45" s="161"/>
      <c r="DT45" s="162"/>
      <c r="DU45" s="161"/>
      <c r="DV45" s="162"/>
    </row>
    <row r="46" spans="1:126" x14ac:dyDescent="0.2">
      <c r="A46" s="160" t="s">
        <v>621</v>
      </c>
      <c r="B46" s="160" t="s">
        <v>637</v>
      </c>
      <c r="C46" s="161">
        <f t="shared" ref="C46:C105" si="342">SUM(I46:DS46)</f>
        <v>2500</v>
      </c>
      <c r="D46" s="162">
        <f t="shared" si="338"/>
        <v>2500</v>
      </c>
      <c r="E46" s="161">
        <f t="shared" si="339"/>
        <v>0</v>
      </c>
      <c r="F46" s="162">
        <f t="shared" si="340"/>
        <v>0</v>
      </c>
      <c r="G46" s="161">
        <f t="shared" si="341"/>
        <v>0</v>
      </c>
      <c r="H46" s="162">
        <f t="shared" si="341"/>
        <v>2500</v>
      </c>
      <c r="I46" s="161"/>
      <c r="J46" s="162"/>
      <c r="K46" s="161"/>
      <c r="L46" s="162"/>
      <c r="M46" s="161"/>
      <c r="N46" s="162"/>
      <c r="O46" s="161"/>
      <c r="P46" s="162"/>
      <c r="Q46" s="161"/>
      <c r="R46" s="162"/>
      <c r="S46" s="161"/>
      <c r="T46" s="162"/>
      <c r="U46" s="161"/>
      <c r="V46" s="162"/>
      <c r="W46" s="161"/>
      <c r="X46" s="162"/>
      <c r="Y46" s="161"/>
      <c r="Z46" s="162"/>
      <c r="AA46" s="161"/>
      <c r="AB46" s="162"/>
      <c r="AC46" s="161"/>
      <c r="AD46" s="162"/>
      <c r="AE46" s="161"/>
      <c r="AF46" s="162"/>
      <c r="AG46" s="161"/>
      <c r="AH46" s="162"/>
      <c r="AI46" s="161"/>
      <c r="AJ46" s="162"/>
      <c r="AK46" s="161"/>
      <c r="AL46" s="162"/>
      <c r="AM46" s="161"/>
      <c r="AN46" s="162"/>
      <c r="AO46" s="161"/>
      <c r="AP46" s="162"/>
      <c r="AQ46" s="161"/>
      <c r="AR46" s="162"/>
      <c r="AS46" s="161"/>
      <c r="AT46" s="162"/>
      <c r="AU46" s="161"/>
      <c r="AV46" s="162"/>
      <c r="AW46" s="161"/>
      <c r="AX46" s="162"/>
      <c r="AY46" s="161"/>
      <c r="AZ46" s="162"/>
      <c r="BA46" s="161"/>
      <c r="BB46" s="162"/>
      <c r="BC46" s="161"/>
      <c r="BD46" s="162"/>
      <c r="BE46" s="161"/>
      <c r="BF46" s="162"/>
      <c r="BG46" s="161"/>
      <c r="BH46" s="162"/>
      <c r="BI46" s="161"/>
      <c r="BJ46" s="162"/>
      <c r="BK46" s="161"/>
      <c r="BL46" s="162"/>
      <c r="BM46" s="161"/>
      <c r="BN46" s="162"/>
      <c r="BO46" s="161"/>
      <c r="BP46" s="162"/>
      <c r="BQ46" s="161"/>
      <c r="BR46" s="162"/>
      <c r="BS46" s="161"/>
      <c r="BT46" s="162"/>
      <c r="BU46" s="161"/>
      <c r="BV46" s="162"/>
      <c r="BW46" s="161"/>
      <c r="BX46" s="162"/>
      <c r="BY46" s="161"/>
      <c r="BZ46" s="162"/>
      <c r="CA46" s="161"/>
      <c r="CB46" s="162"/>
      <c r="CC46" s="161"/>
      <c r="CD46" s="162"/>
      <c r="CE46" s="161"/>
      <c r="CF46" s="162"/>
      <c r="CG46" s="161"/>
      <c r="CH46" s="162"/>
      <c r="CI46" s="161"/>
      <c r="CJ46" s="162"/>
      <c r="CK46" s="161"/>
      <c r="CL46" s="162"/>
      <c r="CM46" s="161"/>
      <c r="CN46" s="162"/>
      <c r="CO46" s="161"/>
      <c r="CP46" s="162"/>
      <c r="CQ46" s="161"/>
      <c r="CR46" s="162"/>
      <c r="CS46" s="161"/>
      <c r="CT46" s="162"/>
      <c r="CU46" s="161"/>
      <c r="CV46" s="162"/>
      <c r="CW46" s="161"/>
      <c r="CX46" s="162"/>
      <c r="CY46" s="161"/>
      <c r="CZ46" s="162"/>
      <c r="DA46" s="161"/>
      <c r="DB46" s="162"/>
      <c r="DC46" s="161"/>
      <c r="DD46" s="162"/>
      <c r="DE46" s="161"/>
      <c r="DF46" s="162">
        <v>2500</v>
      </c>
      <c r="DG46" s="161"/>
      <c r="DH46" s="162"/>
      <c r="DI46" s="161"/>
      <c r="DJ46" s="162"/>
      <c r="DK46" s="161"/>
      <c r="DL46" s="162"/>
      <c r="DM46" s="161"/>
      <c r="DN46" s="162"/>
      <c r="DO46" s="161"/>
      <c r="DP46" s="162"/>
      <c r="DQ46" s="161"/>
      <c r="DR46" s="162"/>
      <c r="DS46" s="161"/>
      <c r="DT46" s="162"/>
      <c r="DU46" s="161"/>
      <c r="DV46" s="162"/>
    </row>
    <row r="47" spans="1:126" x14ac:dyDescent="0.2">
      <c r="A47" s="160" t="s">
        <v>622</v>
      </c>
      <c r="B47" s="160" t="s">
        <v>638</v>
      </c>
      <c r="C47" s="161">
        <f t="shared" si="342"/>
        <v>0</v>
      </c>
      <c r="D47" s="162">
        <f t="shared" si="338"/>
        <v>0</v>
      </c>
      <c r="E47" s="161">
        <f t="shared" si="339"/>
        <v>0</v>
      </c>
      <c r="F47" s="162">
        <f t="shared" si="340"/>
        <v>0</v>
      </c>
      <c r="G47" s="161">
        <f t="shared" si="341"/>
        <v>0</v>
      </c>
      <c r="H47" s="162">
        <f t="shared" si="341"/>
        <v>0</v>
      </c>
      <c r="I47" s="161"/>
      <c r="J47" s="162"/>
      <c r="K47" s="161"/>
      <c r="L47" s="162"/>
      <c r="M47" s="161"/>
      <c r="N47" s="162"/>
      <c r="O47" s="161"/>
      <c r="P47" s="162"/>
      <c r="Q47" s="161"/>
      <c r="R47" s="162"/>
      <c r="S47" s="161"/>
      <c r="T47" s="162"/>
      <c r="U47" s="161"/>
      <c r="V47" s="162"/>
      <c r="W47" s="161"/>
      <c r="X47" s="162"/>
      <c r="Y47" s="161"/>
      <c r="Z47" s="162"/>
      <c r="AA47" s="161"/>
      <c r="AB47" s="162"/>
      <c r="AC47" s="161"/>
      <c r="AD47" s="162"/>
      <c r="AE47" s="161"/>
      <c r="AF47" s="162"/>
      <c r="AG47" s="161"/>
      <c r="AH47" s="162"/>
      <c r="AI47" s="161"/>
      <c r="AJ47" s="162"/>
      <c r="AK47" s="161"/>
      <c r="AL47" s="162"/>
      <c r="AM47" s="161"/>
      <c r="AN47" s="162"/>
      <c r="AO47" s="161"/>
      <c r="AP47" s="162"/>
      <c r="AQ47" s="161"/>
      <c r="AR47" s="162"/>
      <c r="AS47" s="161"/>
      <c r="AT47" s="162"/>
      <c r="AU47" s="161"/>
      <c r="AV47" s="162"/>
      <c r="AW47" s="161"/>
      <c r="AX47" s="162"/>
      <c r="AY47" s="161"/>
      <c r="AZ47" s="162"/>
      <c r="BA47" s="161"/>
      <c r="BB47" s="162"/>
      <c r="BC47" s="161"/>
      <c r="BD47" s="162"/>
      <c r="BE47" s="161"/>
      <c r="BF47" s="162"/>
      <c r="BG47" s="161"/>
      <c r="BH47" s="162"/>
      <c r="BI47" s="161"/>
      <c r="BJ47" s="162"/>
      <c r="BK47" s="161"/>
      <c r="BL47" s="162"/>
      <c r="BM47" s="161"/>
      <c r="BN47" s="162"/>
      <c r="BO47" s="161"/>
      <c r="BP47" s="162"/>
      <c r="BQ47" s="161"/>
      <c r="BR47" s="162"/>
      <c r="BS47" s="161"/>
      <c r="BT47" s="162"/>
      <c r="BU47" s="161"/>
      <c r="BV47" s="162"/>
      <c r="BW47" s="161"/>
      <c r="BX47" s="162"/>
      <c r="BY47" s="161"/>
      <c r="BZ47" s="162"/>
      <c r="CA47" s="161"/>
      <c r="CB47" s="162"/>
      <c r="CC47" s="161"/>
      <c r="CD47" s="162"/>
      <c r="CE47" s="161"/>
      <c r="CF47" s="162"/>
      <c r="CG47" s="161"/>
      <c r="CH47" s="162"/>
      <c r="CI47" s="161"/>
      <c r="CJ47" s="162"/>
      <c r="CK47" s="161"/>
      <c r="CL47" s="162"/>
      <c r="CM47" s="161"/>
      <c r="CN47" s="162"/>
      <c r="CO47" s="161"/>
      <c r="CP47" s="162"/>
      <c r="CQ47" s="161"/>
      <c r="CR47" s="162"/>
      <c r="CS47" s="161"/>
      <c r="CT47" s="162"/>
      <c r="CU47" s="161"/>
      <c r="CV47" s="162"/>
      <c r="CW47" s="161"/>
      <c r="CX47" s="162"/>
      <c r="CY47" s="161"/>
      <c r="CZ47" s="162"/>
      <c r="DA47" s="161"/>
      <c r="DB47" s="162"/>
      <c r="DC47" s="161"/>
      <c r="DD47" s="162"/>
      <c r="DE47" s="161"/>
      <c r="DF47" s="162"/>
      <c r="DG47" s="161"/>
      <c r="DH47" s="162"/>
      <c r="DI47" s="161"/>
      <c r="DJ47" s="162"/>
      <c r="DK47" s="161"/>
      <c r="DL47" s="162"/>
      <c r="DM47" s="161"/>
      <c r="DN47" s="162"/>
      <c r="DO47" s="161"/>
      <c r="DP47" s="162"/>
      <c r="DQ47" s="161"/>
      <c r="DR47" s="162"/>
      <c r="DS47" s="161"/>
      <c r="DT47" s="162"/>
      <c r="DU47" s="161"/>
      <c r="DV47" s="162"/>
    </row>
    <row r="48" spans="1:126" x14ac:dyDescent="0.2">
      <c r="A48" s="160" t="s">
        <v>623</v>
      </c>
      <c r="B48" s="160" t="s">
        <v>880</v>
      </c>
      <c r="C48" s="161">
        <f t="shared" si="342"/>
        <v>12500</v>
      </c>
      <c r="D48" s="162">
        <f t="shared" si="338"/>
        <v>7500</v>
      </c>
      <c r="E48" s="161">
        <f t="shared" si="339"/>
        <v>0</v>
      </c>
      <c r="F48" s="162">
        <f t="shared" si="340"/>
        <v>0</v>
      </c>
      <c r="G48" s="161">
        <f t="shared" si="341"/>
        <v>5000</v>
      </c>
      <c r="H48" s="162">
        <f t="shared" si="341"/>
        <v>7500</v>
      </c>
      <c r="I48" s="161"/>
      <c r="J48" s="162"/>
      <c r="K48" s="161"/>
      <c r="L48" s="162"/>
      <c r="M48" s="161"/>
      <c r="N48" s="162"/>
      <c r="O48" s="161"/>
      <c r="P48" s="162"/>
      <c r="Q48" s="161"/>
      <c r="R48" s="162"/>
      <c r="S48" s="161"/>
      <c r="T48" s="162"/>
      <c r="U48" s="161"/>
      <c r="V48" s="162"/>
      <c r="W48" s="161"/>
      <c r="X48" s="162"/>
      <c r="Y48" s="161"/>
      <c r="Z48" s="162"/>
      <c r="AA48" s="161"/>
      <c r="AB48" s="162"/>
      <c r="AC48" s="161"/>
      <c r="AD48" s="162"/>
      <c r="AE48" s="161"/>
      <c r="AF48" s="162"/>
      <c r="AG48" s="161"/>
      <c r="AH48" s="162"/>
      <c r="AI48" s="161"/>
      <c r="AJ48" s="162"/>
      <c r="AK48" s="161"/>
      <c r="AL48" s="162"/>
      <c r="AM48" s="161"/>
      <c r="AN48" s="162"/>
      <c r="AO48" s="161"/>
      <c r="AP48" s="162"/>
      <c r="AQ48" s="161"/>
      <c r="AR48" s="162"/>
      <c r="AS48" s="161"/>
      <c r="AT48" s="162"/>
      <c r="AU48" s="161"/>
      <c r="AV48" s="162"/>
      <c r="AW48" s="161"/>
      <c r="AX48" s="162"/>
      <c r="AY48" s="161"/>
      <c r="AZ48" s="162"/>
      <c r="BA48" s="161"/>
      <c r="BB48" s="162"/>
      <c r="BC48" s="161"/>
      <c r="BD48" s="162"/>
      <c r="BE48" s="161"/>
      <c r="BF48" s="162"/>
      <c r="BG48" s="161"/>
      <c r="BH48" s="162"/>
      <c r="BI48" s="161"/>
      <c r="BJ48" s="162"/>
      <c r="BK48" s="161"/>
      <c r="BL48" s="162"/>
      <c r="BM48" s="161"/>
      <c r="BN48" s="162"/>
      <c r="BO48" s="161"/>
      <c r="BP48" s="162"/>
      <c r="BQ48" s="161"/>
      <c r="BR48" s="162"/>
      <c r="BS48" s="161"/>
      <c r="BT48" s="162"/>
      <c r="BU48" s="161"/>
      <c r="BV48" s="162"/>
      <c r="BW48" s="161"/>
      <c r="BX48" s="162"/>
      <c r="BY48" s="161"/>
      <c r="BZ48" s="162"/>
      <c r="CA48" s="161"/>
      <c r="CB48" s="162"/>
      <c r="CC48" s="161"/>
      <c r="CD48" s="162"/>
      <c r="CE48" s="161"/>
      <c r="CF48" s="162"/>
      <c r="CG48" s="161"/>
      <c r="CH48" s="162"/>
      <c r="CI48" s="161"/>
      <c r="CJ48" s="162"/>
      <c r="CK48" s="161"/>
      <c r="CL48" s="162"/>
      <c r="CM48" s="161"/>
      <c r="CN48" s="162"/>
      <c r="CO48" s="161"/>
      <c r="CP48" s="162"/>
      <c r="CQ48" s="161"/>
      <c r="CR48" s="162"/>
      <c r="CS48" s="161"/>
      <c r="CT48" s="162"/>
      <c r="CU48" s="161"/>
      <c r="CV48" s="162"/>
      <c r="CW48" s="161"/>
      <c r="CX48" s="162"/>
      <c r="CY48" s="161"/>
      <c r="CZ48" s="162"/>
      <c r="DA48" s="161"/>
      <c r="DB48" s="162"/>
      <c r="DC48" s="161"/>
      <c r="DD48" s="162"/>
      <c r="DE48" s="161">
        <v>5000</v>
      </c>
      <c r="DF48" s="162">
        <f>6000+1500</f>
        <v>7500</v>
      </c>
      <c r="DG48" s="161"/>
      <c r="DH48" s="162"/>
      <c r="DI48" s="161"/>
      <c r="DJ48" s="162"/>
      <c r="DK48" s="161"/>
      <c r="DL48" s="162"/>
      <c r="DM48" s="161"/>
      <c r="DN48" s="162"/>
      <c r="DO48" s="161"/>
      <c r="DP48" s="162"/>
      <c r="DQ48" s="161"/>
      <c r="DR48" s="162"/>
      <c r="DS48" s="161"/>
      <c r="DT48" s="162"/>
      <c r="DU48" s="161"/>
      <c r="DV48" s="162"/>
    </row>
    <row r="49" spans="1:126" x14ac:dyDescent="0.2">
      <c r="A49" s="160" t="s">
        <v>624</v>
      </c>
      <c r="B49" s="160" t="s">
        <v>881</v>
      </c>
      <c r="C49" s="161">
        <f t="shared" si="342"/>
        <v>0</v>
      </c>
      <c r="D49" s="162">
        <f t="shared" si="338"/>
        <v>0</v>
      </c>
      <c r="E49" s="161">
        <f t="shared" si="339"/>
        <v>0</v>
      </c>
      <c r="F49" s="162">
        <f t="shared" si="340"/>
        <v>0</v>
      </c>
      <c r="G49" s="161">
        <f t="shared" si="341"/>
        <v>0</v>
      </c>
      <c r="H49" s="162">
        <f t="shared" si="341"/>
        <v>0</v>
      </c>
      <c r="I49" s="161"/>
      <c r="J49" s="162"/>
      <c r="K49" s="161"/>
      <c r="L49" s="162"/>
      <c r="M49" s="161"/>
      <c r="N49" s="162"/>
      <c r="O49" s="161"/>
      <c r="P49" s="162"/>
      <c r="Q49" s="161"/>
      <c r="R49" s="162"/>
      <c r="S49" s="161"/>
      <c r="T49" s="162"/>
      <c r="U49" s="161"/>
      <c r="V49" s="162"/>
      <c r="W49" s="161"/>
      <c r="X49" s="162"/>
      <c r="Y49" s="161"/>
      <c r="Z49" s="162"/>
      <c r="AA49" s="161"/>
      <c r="AB49" s="162"/>
      <c r="AC49" s="161"/>
      <c r="AD49" s="162"/>
      <c r="AE49" s="161"/>
      <c r="AF49" s="162"/>
      <c r="AG49" s="161"/>
      <c r="AH49" s="162"/>
      <c r="AI49" s="161"/>
      <c r="AJ49" s="162"/>
      <c r="AK49" s="161"/>
      <c r="AL49" s="162"/>
      <c r="AM49" s="161"/>
      <c r="AN49" s="162"/>
      <c r="AO49" s="161"/>
      <c r="AP49" s="162"/>
      <c r="AQ49" s="161"/>
      <c r="AR49" s="162"/>
      <c r="AS49" s="161"/>
      <c r="AT49" s="162"/>
      <c r="AU49" s="161"/>
      <c r="AV49" s="162"/>
      <c r="AW49" s="161"/>
      <c r="AX49" s="162"/>
      <c r="AY49" s="161"/>
      <c r="AZ49" s="162"/>
      <c r="BA49" s="161"/>
      <c r="BB49" s="162"/>
      <c r="BC49" s="161"/>
      <c r="BD49" s="162"/>
      <c r="BE49" s="161"/>
      <c r="BF49" s="162"/>
      <c r="BG49" s="161"/>
      <c r="BH49" s="162"/>
      <c r="BI49" s="161"/>
      <c r="BJ49" s="162"/>
      <c r="BK49" s="161"/>
      <c r="BL49" s="162"/>
      <c r="BM49" s="161"/>
      <c r="BN49" s="162"/>
      <c r="BO49" s="161"/>
      <c r="BP49" s="162"/>
      <c r="BQ49" s="161"/>
      <c r="BR49" s="162"/>
      <c r="BS49" s="161"/>
      <c r="BT49" s="162"/>
      <c r="BU49" s="161"/>
      <c r="BV49" s="162"/>
      <c r="BW49" s="161"/>
      <c r="BX49" s="162"/>
      <c r="BY49" s="161"/>
      <c r="BZ49" s="162"/>
      <c r="CA49" s="161"/>
      <c r="CB49" s="162"/>
      <c r="CC49" s="161"/>
      <c r="CD49" s="162"/>
      <c r="CE49" s="161"/>
      <c r="CF49" s="162"/>
      <c r="CG49" s="161"/>
      <c r="CH49" s="162"/>
      <c r="CI49" s="161"/>
      <c r="CJ49" s="162"/>
      <c r="CK49" s="161"/>
      <c r="CL49" s="162"/>
      <c r="CM49" s="161"/>
      <c r="CN49" s="162"/>
      <c r="CO49" s="161"/>
      <c r="CP49" s="162"/>
      <c r="CQ49" s="161"/>
      <c r="CR49" s="162"/>
      <c r="CS49" s="161"/>
      <c r="CT49" s="162"/>
      <c r="CU49" s="161"/>
      <c r="CV49" s="162"/>
      <c r="CW49" s="161"/>
      <c r="CX49" s="162"/>
      <c r="CY49" s="161"/>
      <c r="CZ49" s="162"/>
      <c r="DA49" s="161"/>
      <c r="DB49" s="162"/>
      <c r="DC49" s="161"/>
      <c r="DD49" s="162"/>
      <c r="DE49" s="161"/>
      <c r="DF49" s="162"/>
      <c r="DG49" s="161"/>
      <c r="DH49" s="162"/>
      <c r="DI49" s="161"/>
      <c r="DJ49" s="162"/>
      <c r="DK49" s="161"/>
      <c r="DL49" s="162"/>
      <c r="DM49" s="161"/>
      <c r="DN49" s="162"/>
      <c r="DO49" s="161"/>
      <c r="DP49" s="162"/>
      <c r="DQ49" s="161"/>
      <c r="DR49" s="162"/>
      <c r="DS49" s="161"/>
      <c r="DT49" s="162"/>
      <c r="DU49" s="161"/>
      <c r="DV49" s="162"/>
    </row>
    <row r="50" spans="1:126" x14ac:dyDescent="0.2">
      <c r="A50" s="160" t="s">
        <v>625</v>
      </c>
      <c r="B50" s="160" t="s">
        <v>641</v>
      </c>
      <c r="C50" s="161">
        <f t="shared" si="342"/>
        <v>8840</v>
      </c>
      <c r="D50" s="162">
        <f t="shared" si="338"/>
        <v>8840</v>
      </c>
      <c r="E50" s="161">
        <f t="shared" si="339"/>
        <v>0</v>
      </c>
      <c r="F50" s="162">
        <f t="shared" si="340"/>
        <v>0</v>
      </c>
      <c r="G50" s="161">
        <f t="shared" si="341"/>
        <v>0</v>
      </c>
      <c r="H50" s="162">
        <f t="shared" si="341"/>
        <v>8840</v>
      </c>
      <c r="I50" s="161"/>
      <c r="J50" s="162"/>
      <c r="K50" s="161"/>
      <c r="L50" s="162"/>
      <c r="M50" s="161"/>
      <c r="N50" s="162"/>
      <c r="O50" s="161"/>
      <c r="P50" s="162"/>
      <c r="Q50" s="161"/>
      <c r="R50" s="162"/>
      <c r="S50" s="161"/>
      <c r="T50" s="162"/>
      <c r="U50" s="161"/>
      <c r="V50" s="162"/>
      <c r="W50" s="161"/>
      <c r="X50" s="162"/>
      <c r="Y50" s="161"/>
      <c r="Z50" s="162"/>
      <c r="AA50" s="161"/>
      <c r="AB50" s="162"/>
      <c r="AC50" s="161"/>
      <c r="AD50" s="162"/>
      <c r="AE50" s="161"/>
      <c r="AF50" s="162"/>
      <c r="AG50" s="161"/>
      <c r="AH50" s="162"/>
      <c r="AI50" s="161"/>
      <c r="AJ50" s="162"/>
      <c r="AK50" s="161"/>
      <c r="AL50" s="162"/>
      <c r="AM50" s="161"/>
      <c r="AN50" s="162"/>
      <c r="AO50" s="161"/>
      <c r="AP50" s="162"/>
      <c r="AQ50" s="161"/>
      <c r="AR50" s="162"/>
      <c r="AS50" s="161"/>
      <c r="AT50" s="162"/>
      <c r="AU50" s="161"/>
      <c r="AV50" s="162"/>
      <c r="AW50" s="161"/>
      <c r="AX50" s="162"/>
      <c r="AY50" s="161"/>
      <c r="AZ50" s="162"/>
      <c r="BA50" s="161"/>
      <c r="BB50" s="162"/>
      <c r="BC50" s="161"/>
      <c r="BD50" s="162"/>
      <c r="BE50" s="161"/>
      <c r="BF50" s="162"/>
      <c r="BG50" s="161"/>
      <c r="BH50" s="162"/>
      <c r="BI50" s="161"/>
      <c r="BJ50" s="162"/>
      <c r="BK50" s="161"/>
      <c r="BL50" s="162"/>
      <c r="BM50" s="161"/>
      <c r="BN50" s="162"/>
      <c r="BO50" s="161"/>
      <c r="BP50" s="162"/>
      <c r="BQ50" s="161"/>
      <c r="BR50" s="162"/>
      <c r="BS50" s="161"/>
      <c r="BT50" s="162"/>
      <c r="BU50" s="161"/>
      <c r="BV50" s="162"/>
      <c r="BW50" s="161"/>
      <c r="BX50" s="162"/>
      <c r="BY50" s="161"/>
      <c r="BZ50" s="162"/>
      <c r="CA50" s="161"/>
      <c r="CB50" s="162"/>
      <c r="CC50" s="161"/>
      <c r="CD50" s="162"/>
      <c r="CE50" s="161"/>
      <c r="CF50" s="162"/>
      <c r="CG50" s="161"/>
      <c r="CH50" s="162"/>
      <c r="CI50" s="161"/>
      <c r="CJ50" s="162"/>
      <c r="CK50" s="161"/>
      <c r="CL50" s="162"/>
      <c r="CM50" s="161"/>
      <c r="CN50" s="162"/>
      <c r="CO50" s="161"/>
      <c r="CP50" s="162"/>
      <c r="CQ50" s="161"/>
      <c r="CR50" s="162"/>
      <c r="CS50" s="161"/>
      <c r="CT50" s="162"/>
      <c r="CU50" s="161"/>
      <c r="CV50" s="162"/>
      <c r="CW50" s="161"/>
      <c r="CX50" s="162"/>
      <c r="CY50" s="161"/>
      <c r="CZ50" s="162"/>
      <c r="DA50" s="161"/>
      <c r="DB50" s="162"/>
      <c r="DC50" s="161"/>
      <c r="DD50" s="162"/>
      <c r="DE50" s="161"/>
      <c r="DF50" s="162">
        <f>6840+2000</f>
        <v>8840</v>
      </c>
      <c r="DG50" s="161"/>
      <c r="DH50" s="162"/>
      <c r="DI50" s="161"/>
      <c r="DJ50" s="162"/>
      <c r="DK50" s="161"/>
      <c r="DL50" s="162"/>
      <c r="DM50" s="161"/>
      <c r="DN50" s="162"/>
      <c r="DO50" s="161"/>
      <c r="DP50" s="162"/>
      <c r="DQ50" s="161"/>
      <c r="DR50" s="162"/>
      <c r="DS50" s="161"/>
      <c r="DT50" s="162"/>
      <c r="DU50" s="161"/>
      <c r="DV50" s="162"/>
    </row>
    <row r="51" spans="1:126" x14ac:dyDescent="0.2">
      <c r="A51" s="160" t="s">
        <v>626</v>
      </c>
      <c r="B51" s="160" t="s">
        <v>642</v>
      </c>
      <c r="C51" s="161">
        <f t="shared" si="342"/>
        <v>0</v>
      </c>
      <c r="D51" s="162">
        <f t="shared" si="338"/>
        <v>0</v>
      </c>
      <c r="E51" s="161">
        <f t="shared" si="339"/>
        <v>0</v>
      </c>
      <c r="F51" s="162">
        <f t="shared" si="340"/>
        <v>0</v>
      </c>
      <c r="G51" s="161">
        <f t="shared" si="341"/>
        <v>0</v>
      </c>
      <c r="H51" s="162">
        <f t="shared" si="341"/>
        <v>0</v>
      </c>
      <c r="I51" s="161"/>
      <c r="J51" s="162"/>
      <c r="K51" s="161"/>
      <c r="L51" s="162"/>
      <c r="M51" s="161"/>
      <c r="N51" s="162"/>
      <c r="O51" s="161"/>
      <c r="P51" s="162"/>
      <c r="Q51" s="161"/>
      <c r="R51" s="162"/>
      <c r="S51" s="161"/>
      <c r="T51" s="162"/>
      <c r="U51" s="161"/>
      <c r="V51" s="162"/>
      <c r="W51" s="161"/>
      <c r="X51" s="162"/>
      <c r="Y51" s="161"/>
      <c r="Z51" s="162"/>
      <c r="AA51" s="161"/>
      <c r="AB51" s="162"/>
      <c r="AC51" s="161"/>
      <c r="AD51" s="162"/>
      <c r="AE51" s="161"/>
      <c r="AF51" s="162"/>
      <c r="AG51" s="161"/>
      <c r="AH51" s="162"/>
      <c r="AI51" s="161"/>
      <c r="AJ51" s="162"/>
      <c r="AK51" s="161"/>
      <c r="AL51" s="162"/>
      <c r="AM51" s="161"/>
      <c r="AN51" s="162"/>
      <c r="AO51" s="161"/>
      <c r="AP51" s="162"/>
      <c r="AQ51" s="161"/>
      <c r="AR51" s="162"/>
      <c r="AS51" s="161"/>
      <c r="AT51" s="162"/>
      <c r="AU51" s="161"/>
      <c r="AV51" s="162"/>
      <c r="AW51" s="161"/>
      <c r="AX51" s="162"/>
      <c r="AY51" s="161"/>
      <c r="AZ51" s="162"/>
      <c r="BA51" s="161"/>
      <c r="BB51" s="162"/>
      <c r="BC51" s="161"/>
      <c r="BD51" s="162"/>
      <c r="BE51" s="161"/>
      <c r="BF51" s="162"/>
      <c r="BG51" s="161"/>
      <c r="BH51" s="162"/>
      <c r="BI51" s="161"/>
      <c r="BJ51" s="162"/>
      <c r="BK51" s="161"/>
      <c r="BL51" s="162"/>
      <c r="BM51" s="161"/>
      <c r="BN51" s="162"/>
      <c r="BO51" s="161"/>
      <c r="BP51" s="162"/>
      <c r="BQ51" s="161"/>
      <c r="BR51" s="162"/>
      <c r="BS51" s="161"/>
      <c r="BT51" s="162"/>
      <c r="BU51" s="161"/>
      <c r="BV51" s="162"/>
      <c r="BW51" s="161"/>
      <c r="BX51" s="162"/>
      <c r="BY51" s="161"/>
      <c r="BZ51" s="162"/>
      <c r="CA51" s="161"/>
      <c r="CB51" s="162"/>
      <c r="CC51" s="161"/>
      <c r="CD51" s="162"/>
      <c r="CE51" s="161"/>
      <c r="CF51" s="162"/>
      <c r="CG51" s="161"/>
      <c r="CH51" s="162"/>
      <c r="CI51" s="161"/>
      <c r="CJ51" s="162"/>
      <c r="CK51" s="161"/>
      <c r="CL51" s="162"/>
      <c r="CM51" s="161"/>
      <c r="CN51" s="162"/>
      <c r="CO51" s="161"/>
      <c r="CP51" s="162"/>
      <c r="CQ51" s="161"/>
      <c r="CR51" s="162"/>
      <c r="CS51" s="161"/>
      <c r="CT51" s="162"/>
      <c r="CU51" s="161"/>
      <c r="CV51" s="162"/>
      <c r="CW51" s="161"/>
      <c r="CX51" s="162"/>
      <c r="CY51" s="161"/>
      <c r="CZ51" s="162"/>
      <c r="DA51" s="161"/>
      <c r="DB51" s="162"/>
      <c r="DC51" s="161"/>
      <c r="DD51" s="162"/>
      <c r="DE51" s="161"/>
      <c r="DF51" s="162"/>
      <c r="DG51" s="161"/>
      <c r="DH51" s="162"/>
      <c r="DI51" s="161"/>
      <c r="DJ51" s="162"/>
      <c r="DK51" s="161"/>
      <c r="DL51" s="162"/>
      <c r="DM51" s="161"/>
      <c r="DN51" s="162"/>
      <c r="DO51" s="161"/>
      <c r="DP51" s="162"/>
      <c r="DQ51" s="161"/>
      <c r="DR51" s="162"/>
      <c r="DS51" s="161"/>
      <c r="DT51" s="162"/>
      <c r="DU51" s="161"/>
      <c r="DV51" s="162"/>
    </row>
    <row r="52" spans="1:126" x14ac:dyDescent="0.2">
      <c r="A52" s="160" t="s">
        <v>627</v>
      </c>
      <c r="B52" s="160" t="s">
        <v>643</v>
      </c>
      <c r="C52" s="161">
        <f t="shared" si="342"/>
        <v>72160</v>
      </c>
      <c r="D52" s="162">
        <f t="shared" si="338"/>
        <v>21160</v>
      </c>
      <c r="E52" s="161">
        <f t="shared" si="339"/>
        <v>24000</v>
      </c>
      <c r="F52" s="162">
        <f t="shared" si="340"/>
        <v>21160</v>
      </c>
      <c r="G52" s="161">
        <f t="shared" si="341"/>
        <v>27000</v>
      </c>
      <c r="H52" s="162">
        <f t="shared" si="341"/>
        <v>0</v>
      </c>
      <c r="I52" s="161"/>
      <c r="J52" s="162"/>
      <c r="K52" s="161"/>
      <c r="L52" s="162"/>
      <c r="M52" s="161"/>
      <c r="N52" s="162"/>
      <c r="O52" s="161"/>
      <c r="P52" s="162"/>
      <c r="Q52" s="161"/>
      <c r="R52" s="162"/>
      <c r="S52" s="161"/>
      <c r="T52" s="162"/>
      <c r="U52" s="161"/>
      <c r="V52" s="162"/>
      <c r="W52" s="161"/>
      <c r="X52" s="162"/>
      <c r="Y52" s="161"/>
      <c r="Z52" s="162"/>
      <c r="AA52" s="161"/>
      <c r="AB52" s="162"/>
      <c r="AC52" s="161"/>
      <c r="AD52" s="162"/>
      <c r="AE52" s="161"/>
      <c r="AF52" s="162"/>
      <c r="AG52" s="161"/>
      <c r="AH52" s="162"/>
      <c r="AI52" s="161">
        <f>23000+1000</f>
        <v>24000</v>
      </c>
      <c r="AJ52" s="162">
        <f>19560+1600</f>
        <v>21160</v>
      </c>
      <c r="AK52" s="161"/>
      <c r="AL52" s="162"/>
      <c r="AM52" s="161"/>
      <c r="AN52" s="162"/>
      <c r="AO52" s="161"/>
      <c r="AP52" s="162"/>
      <c r="AQ52" s="161"/>
      <c r="AR52" s="162"/>
      <c r="AS52" s="161"/>
      <c r="AT52" s="162"/>
      <c r="AU52" s="161"/>
      <c r="AV52" s="162"/>
      <c r="AW52" s="161"/>
      <c r="AX52" s="162"/>
      <c r="AY52" s="161"/>
      <c r="AZ52" s="162"/>
      <c r="BA52" s="161"/>
      <c r="BB52" s="162"/>
      <c r="BC52" s="161"/>
      <c r="BD52" s="162"/>
      <c r="BE52" s="161"/>
      <c r="BF52" s="162"/>
      <c r="BG52" s="161"/>
      <c r="BH52" s="162"/>
      <c r="BI52" s="161"/>
      <c r="BJ52" s="162"/>
      <c r="BK52" s="161"/>
      <c r="BL52" s="162"/>
      <c r="BM52" s="161"/>
      <c r="BN52" s="162"/>
      <c r="BO52" s="161"/>
      <c r="BP52" s="162"/>
      <c r="BQ52" s="161"/>
      <c r="BR52" s="162"/>
      <c r="BS52" s="161"/>
      <c r="BT52" s="162"/>
      <c r="BU52" s="161"/>
      <c r="BV52" s="162"/>
      <c r="BW52" s="161"/>
      <c r="BX52" s="162"/>
      <c r="BY52" s="161"/>
      <c r="BZ52" s="162"/>
      <c r="CA52" s="161"/>
      <c r="CB52" s="162"/>
      <c r="CC52" s="161"/>
      <c r="CD52" s="162"/>
      <c r="CE52" s="161"/>
      <c r="CF52" s="162"/>
      <c r="CG52" s="161"/>
      <c r="CH52" s="162"/>
      <c r="CI52" s="161"/>
      <c r="CJ52" s="162"/>
      <c r="CK52" s="161"/>
      <c r="CL52" s="162"/>
      <c r="CM52" s="161"/>
      <c r="CN52" s="162"/>
      <c r="CO52" s="161"/>
      <c r="CP52" s="162"/>
      <c r="CQ52" s="161"/>
      <c r="CR52" s="162"/>
      <c r="CS52" s="161"/>
      <c r="CT52" s="162"/>
      <c r="CU52" s="161"/>
      <c r="CV52" s="162"/>
      <c r="CW52" s="161"/>
      <c r="CX52" s="162"/>
      <c r="CY52" s="161"/>
      <c r="CZ52" s="162"/>
      <c r="DA52" s="161"/>
      <c r="DB52" s="162"/>
      <c r="DC52" s="161"/>
      <c r="DD52" s="162"/>
      <c r="DE52" s="161">
        <f>9000+4000+12000+2000</f>
        <v>27000</v>
      </c>
      <c r="DF52" s="162"/>
      <c r="DG52" s="161"/>
      <c r="DH52" s="162"/>
      <c r="DI52" s="161"/>
      <c r="DJ52" s="162"/>
      <c r="DK52" s="161"/>
      <c r="DL52" s="162"/>
      <c r="DM52" s="161"/>
      <c r="DN52" s="162"/>
      <c r="DO52" s="161"/>
      <c r="DP52" s="162"/>
      <c r="DQ52" s="161"/>
      <c r="DR52" s="162"/>
      <c r="DS52" s="161"/>
      <c r="DT52" s="162"/>
      <c r="DU52" s="161"/>
      <c r="DV52" s="162"/>
    </row>
    <row r="53" spans="1:126" x14ac:dyDescent="0.2">
      <c r="A53" s="163" t="s">
        <v>618</v>
      </c>
      <c r="B53" s="163" t="s">
        <v>337</v>
      </c>
      <c r="C53" s="164">
        <f t="shared" ref="C53:I53" si="343">SUM(C45:C52)</f>
        <v>96000</v>
      </c>
      <c r="D53" s="165">
        <f t="shared" si="343"/>
        <v>40000</v>
      </c>
      <c r="E53" s="164">
        <f t="shared" si="343"/>
        <v>24000</v>
      </c>
      <c r="F53" s="165">
        <f t="shared" si="343"/>
        <v>21160</v>
      </c>
      <c r="G53" s="164">
        <f t="shared" si="343"/>
        <v>32000</v>
      </c>
      <c r="H53" s="165">
        <f t="shared" si="343"/>
        <v>18840</v>
      </c>
      <c r="I53" s="164">
        <f t="shared" si="343"/>
        <v>0</v>
      </c>
      <c r="J53" s="165">
        <f t="shared" ref="J53:AO53" si="344">SUM(J45:J52)</f>
        <v>0</v>
      </c>
      <c r="K53" s="164">
        <f t="shared" si="344"/>
        <v>0</v>
      </c>
      <c r="L53" s="165">
        <f t="shared" si="344"/>
        <v>0</v>
      </c>
      <c r="M53" s="164">
        <f t="shared" si="344"/>
        <v>0</v>
      </c>
      <c r="N53" s="165">
        <f t="shared" si="344"/>
        <v>0</v>
      </c>
      <c r="O53" s="164">
        <f t="shared" si="344"/>
        <v>0</v>
      </c>
      <c r="P53" s="165">
        <f t="shared" si="344"/>
        <v>0</v>
      </c>
      <c r="Q53" s="164">
        <f t="shared" si="344"/>
        <v>0</v>
      </c>
      <c r="R53" s="165">
        <f t="shared" si="344"/>
        <v>0</v>
      </c>
      <c r="S53" s="164">
        <f t="shared" si="344"/>
        <v>0</v>
      </c>
      <c r="T53" s="165">
        <f t="shared" ref="T53" si="345">SUM(T45:T52)</f>
        <v>0</v>
      </c>
      <c r="U53" s="164">
        <f t="shared" si="344"/>
        <v>0</v>
      </c>
      <c r="V53" s="165">
        <f t="shared" ref="V53" si="346">SUM(V45:V52)</f>
        <v>0</v>
      </c>
      <c r="W53" s="164">
        <f t="shared" si="344"/>
        <v>0</v>
      </c>
      <c r="X53" s="165">
        <f t="shared" si="344"/>
        <v>0</v>
      </c>
      <c r="Y53" s="164">
        <f t="shared" si="344"/>
        <v>0</v>
      </c>
      <c r="Z53" s="165">
        <f t="shared" si="344"/>
        <v>0</v>
      </c>
      <c r="AA53" s="164">
        <f t="shared" si="344"/>
        <v>0</v>
      </c>
      <c r="AB53" s="165">
        <f t="shared" ref="AB53" si="347">SUM(AB45:AB52)</f>
        <v>0</v>
      </c>
      <c r="AC53" s="164">
        <f t="shared" si="344"/>
        <v>0</v>
      </c>
      <c r="AD53" s="165">
        <f t="shared" ref="AD53" si="348">SUM(AD45:AD52)</f>
        <v>0</v>
      </c>
      <c r="AE53" s="164">
        <f t="shared" si="344"/>
        <v>0</v>
      </c>
      <c r="AF53" s="165">
        <f t="shared" ref="AF53:AH53" si="349">SUM(AF45:AF52)</f>
        <v>0</v>
      </c>
      <c r="AG53" s="164"/>
      <c r="AH53" s="165">
        <f t="shared" si="349"/>
        <v>0</v>
      </c>
      <c r="AI53" s="164">
        <f>SUM(AI45:AI52)</f>
        <v>24000</v>
      </c>
      <c r="AJ53" s="165">
        <f>SUM(AJ45:AJ52)</f>
        <v>21160</v>
      </c>
      <c r="AK53" s="164">
        <f t="shared" si="344"/>
        <v>0</v>
      </c>
      <c r="AL53" s="165">
        <f t="shared" si="344"/>
        <v>0</v>
      </c>
      <c r="AM53" s="164">
        <f t="shared" si="344"/>
        <v>0</v>
      </c>
      <c r="AN53" s="165"/>
      <c r="AO53" s="164">
        <f t="shared" si="344"/>
        <v>0</v>
      </c>
      <c r="AP53" s="165">
        <f t="shared" ref="AP53" si="350">SUM(AP45:AP52)</f>
        <v>0</v>
      </c>
      <c r="AQ53" s="164">
        <f t="shared" ref="AQ53:DS53" si="351">SUM(AQ45:AQ52)</f>
        <v>0</v>
      </c>
      <c r="AR53" s="165">
        <f t="shared" ref="AR53" si="352">SUM(AR45:AR52)</f>
        <v>0</v>
      </c>
      <c r="AS53" s="164">
        <f t="shared" si="351"/>
        <v>0</v>
      </c>
      <c r="AT53" s="165">
        <f t="shared" ref="AT53" si="353">SUM(AT45:AT52)</f>
        <v>0</v>
      </c>
      <c r="AU53" s="164">
        <f t="shared" si="351"/>
        <v>0</v>
      </c>
      <c r="AV53" s="165">
        <f t="shared" ref="AV53" si="354">SUM(AV45:AV52)</f>
        <v>0</v>
      </c>
      <c r="AW53" s="164">
        <f t="shared" si="351"/>
        <v>0</v>
      </c>
      <c r="AX53" s="165">
        <f t="shared" ref="AX53" si="355">SUM(AX45:AX52)</f>
        <v>0</v>
      </c>
      <c r="AY53" s="164">
        <f t="shared" si="351"/>
        <v>0</v>
      </c>
      <c r="AZ53" s="165">
        <f t="shared" ref="AZ53" si="356">SUM(AZ45:AZ52)</f>
        <v>0</v>
      </c>
      <c r="BA53" s="164">
        <f t="shared" si="351"/>
        <v>0</v>
      </c>
      <c r="BB53" s="165">
        <f t="shared" ref="BB53" si="357">SUM(BB45:BB52)</f>
        <v>0</v>
      </c>
      <c r="BC53" s="164">
        <f t="shared" si="351"/>
        <v>0</v>
      </c>
      <c r="BD53" s="165">
        <f t="shared" ref="BD53" si="358">SUM(BD45:BD52)</f>
        <v>0</v>
      </c>
      <c r="BE53" s="164">
        <f t="shared" si="351"/>
        <v>0</v>
      </c>
      <c r="BF53" s="165">
        <f t="shared" ref="BF53" si="359">SUM(BF45:BF52)</f>
        <v>0</v>
      </c>
      <c r="BG53" s="164">
        <f t="shared" si="351"/>
        <v>0</v>
      </c>
      <c r="BH53" s="165">
        <f t="shared" ref="BH53" si="360">SUM(BH45:BH52)</f>
        <v>0</v>
      </c>
      <c r="BI53" s="164">
        <f t="shared" si="351"/>
        <v>0</v>
      </c>
      <c r="BJ53" s="165">
        <f t="shared" ref="BJ53" si="361">SUM(BJ45:BJ52)</f>
        <v>0</v>
      </c>
      <c r="BK53" s="164">
        <f t="shared" si="351"/>
        <v>0</v>
      </c>
      <c r="BL53" s="165">
        <f t="shared" ref="BL53" si="362">SUM(BL45:BL52)</f>
        <v>0</v>
      </c>
      <c r="BM53" s="164">
        <f t="shared" si="351"/>
        <v>0</v>
      </c>
      <c r="BN53" s="165">
        <f t="shared" ref="BN53" si="363">SUM(BN45:BN52)</f>
        <v>0</v>
      </c>
      <c r="BO53" s="164">
        <f t="shared" si="351"/>
        <v>0</v>
      </c>
      <c r="BP53" s="165">
        <f t="shared" ref="BP53" si="364">SUM(BP45:BP52)</f>
        <v>0</v>
      </c>
      <c r="BQ53" s="164">
        <f t="shared" si="351"/>
        <v>0</v>
      </c>
      <c r="BR53" s="165">
        <f t="shared" ref="BR53" si="365">SUM(BR45:BR52)</f>
        <v>0</v>
      </c>
      <c r="BS53" s="164">
        <f t="shared" si="351"/>
        <v>0</v>
      </c>
      <c r="BT53" s="165">
        <f t="shared" ref="BT53" si="366">SUM(BT45:BT52)</f>
        <v>0</v>
      </c>
      <c r="BU53" s="164">
        <f t="shared" si="351"/>
        <v>0</v>
      </c>
      <c r="BV53" s="165">
        <f t="shared" ref="BV53" si="367">SUM(BV45:BV52)</f>
        <v>0</v>
      </c>
      <c r="BW53" s="164">
        <f t="shared" si="351"/>
        <v>0</v>
      </c>
      <c r="BX53" s="165">
        <f t="shared" ref="BX53" si="368">SUM(BX45:BX52)</f>
        <v>0</v>
      </c>
      <c r="BY53" s="164">
        <f t="shared" si="351"/>
        <v>0</v>
      </c>
      <c r="BZ53" s="165">
        <f t="shared" ref="BZ53" si="369">SUM(BZ45:BZ52)</f>
        <v>0</v>
      </c>
      <c r="CA53" s="164">
        <f t="shared" si="351"/>
        <v>0</v>
      </c>
      <c r="CB53" s="165">
        <f t="shared" ref="CB53" si="370">SUM(CB45:CB52)</f>
        <v>0</v>
      </c>
      <c r="CC53" s="164">
        <f t="shared" si="351"/>
        <v>0</v>
      </c>
      <c r="CD53" s="165">
        <f t="shared" ref="CD53" si="371">SUM(CD45:CD52)</f>
        <v>0</v>
      </c>
      <c r="CE53" s="164">
        <f>SUM(CE45:CE52)</f>
        <v>0</v>
      </c>
      <c r="CF53" s="165">
        <f>SUM(CF45:CF52)</f>
        <v>0</v>
      </c>
      <c r="CG53" s="164">
        <f t="shared" si="351"/>
        <v>0</v>
      </c>
      <c r="CH53" s="165">
        <f t="shared" ref="CH53" si="372">SUM(CH45:CH52)</f>
        <v>0</v>
      </c>
      <c r="CI53" s="164">
        <f t="shared" si="351"/>
        <v>0</v>
      </c>
      <c r="CJ53" s="165">
        <f t="shared" ref="CJ53" si="373">SUM(CJ45:CJ52)</f>
        <v>0</v>
      </c>
      <c r="CK53" s="164">
        <f t="shared" si="351"/>
        <v>0</v>
      </c>
      <c r="CL53" s="165">
        <f t="shared" ref="CL53" si="374">SUM(CL45:CL52)</f>
        <v>0</v>
      </c>
      <c r="CM53" s="164">
        <f t="shared" si="351"/>
        <v>0</v>
      </c>
      <c r="CN53" s="165">
        <f t="shared" ref="CN53" si="375">SUM(CN45:CN52)</f>
        <v>0</v>
      </c>
      <c r="CO53" s="164">
        <f t="shared" si="351"/>
        <v>0</v>
      </c>
      <c r="CP53" s="165">
        <f t="shared" ref="CP53" si="376">SUM(CP45:CP52)</f>
        <v>0</v>
      </c>
      <c r="CQ53" s="164">
        <f t="shared" si="351"/>
        <v>0</v>
      </c>
      <c r="CR53" s="165">
        <f t="shared" ref="CR53" si="377">SUM(CR45:CR52)</f>
        <v>0</v>
      </c>
      <c r="CS53" s="164">
        <f t="shared" si="351"/>
        <v>0</v>
      </c>
      <c r="CT53" s="165">
        <f t="shared" ref="CT53" si="378">SUM(CT45:CT52)</f>
        <v>0</v>
      </c>
      <c r="CU53" s="164">
        <f t="shared" si="351"/>
        <v>0</v>
      </c>
      <c r="CV53" s="165">
        <f t="shared" ref="CV53" si="379">SUM(CV45:CV52)</f>
        <v>0</v>
      </c>
      <c r="CW53" s="164">
        <f t="shared" si="351"/>
        <v>0</v>
      </c>
      <c r="CX53" s="165">
        <f t="shared" ref="CX53" si="380">SUM(CX45:CX52)</f>
        <v>0</v>
      </c>
      <c r="CY53" s="164">
        <f t="shared" si="351"/>
        <v>0</v>
      </c>
      <c r="CZ53" s="165"/>
      <c r="DA53" s="164">
        <f t="shared" si="351"/>
        <v>0</v>
      </c>
      <c r="DB53" s="165"/>
      <c r="DC53" s="164">
        <f t="shared" si="351"/>
        <v>0</v>
      </c>
      <c r="DD53" s="165">
        <f t="shared" ref="DD53" si="381">SUM(DD45:DD52)</f>
        <v>0</v>
      </c>
      <c r="DE53" s="164">
        <f t="shared" si="351"/>
        <v>32000</v>
      </c>
      <c r="DF53" s="165">
        <f t="shared" ref="DF53" si="382">SUM(DF45:DF52)</f>
        <v>18840</v>
      </c>
      <c r="DG53" s="164">
        <f t="shared" si="351"/>
        <v>0</v>
      </c>
      <c r="DH53" s="165">
        <f t="shared" ref="DH53" si="383">SUM(DH45:DH52)</f>
        <v>0</v>
      </c>
      <c r="DI53" s="164">
        <f t="shared" si="351"/>
        <v>0</v>
      </c>
      <c r="DJ53" s="165">
        <f t="shared" ref="DJ53" si="384">SUM(DJ45:DJ52)</f>
        <v>0</v>
      </c>
      <c r="DK53" s="164">
        <f t="shared" si="351"/>
        <v>0</v>
      </c>
      <c r="DL53" s="165">
        <f t="shared" ref="DL53" si="385">SUM(DL45:DL52)</f>
        <v>0</v>
      </c>
      <c r="DM53" s="164">
        <f t="shared" si="351"/>
        <v>0</v>
      </c>
      <c r="DN53" s="165">
        <f t="shared" ref="DN53" si="386">SUM(DN45:DN52)</f>
        <v>0</v>
      </c>
      <c r="DO53" s="164">
        <f t="shared" si="351"/>
        <v>0</v>
      </c>
      <c r="DP53" s="165">
        <f t="shared" ref="DP53" si="387">SUM(DP45:DP52)</f>
        <v>0</v>
      </c>
      <c r="DQ53" s="164">
        <f t="shared" si="351"/>
        <v>0</v>
      </c>
      <c r="DR53" s="165"/>
      <c r="DS53" s="164">
        <f t="shared" si="351"/>
        <v>0</v>
      </c>
      <c r="DT53" s="165">
        <f t="shared" ref="DT53" si="388">SUM(DT45:DT52)</f>
        <v>0</v>
      </c>
      <c r="DU53" s="164"/>
      <c r="DV53" s="165"/>
    </row>
    <row r="54" spans="1:126" x14ac:dyDescent="0.2">
      <c r="A54" s="160" t="s">
        <v>882</v>
      </c>
      <c r="B54" s="160" t="s">
        <v>883</v>
      </c>
      <c r="C54" s="161">
        <f t="shared" si="342"/>
        <v>0</v>
      </c>
      <c r="D54" s="162">
        <f t="shared" si="338"/>
        <v>0</v>
      </c>
      <c r="E54" s="161">
        <f t="shared" ref="E54:E65" si="389">K54+M54+O53:O54+Q54+S54+U54+W54+Y54+AA54+AC54+AE54+AI54</f>
        <v>0</v>
      </c>
      <c r="F54" s="162">
        <f t="shared" ref="F54:F65" si="390">L54+N54+P53:P54+R54+T54+V54+X54+Z54+AB54+AD54+AF54+AJ54+AH54</f>
        <v>0</v>
      </c>
      <c r="G54" s="161">
        <f t="shared" ref="G54:H65" si="391">AK54+AM54+AO54+AQ54+AS54+AU54+AW54+AY54+BA54+BC54+BE54+BG54+BI54+BK54+BM54+BO54+BQ54+BS54+BU54+BW54+BY54+CA54+CC54+CE54+CG54+CI54+CK54+CM54+CO54+CQ54+CS54+CU54+CW54+DA54+CY54+DC54+DE54+DG54+DI54+DK54+DM54+DO54+DQ54+DS54+DU54</f>
        <v>0</v>
      </c>
      <c r="H54" s="162">
        <f t="shared" si="391"/>
        <v>0</v>
      </c>
      <c r="I54" s="161"/>
      <c r="J54" s="162"/>
      <c r="K54" s="161"/>
      <c r="L54" s="162"/>
      <c r="M54" s="161"/>
      <c r="N54" s="162"/>
      <c r="O54" s="161"/>
      <c r="P54" s="162"/>
      <c r="Q54" s="161"/>
      <c r="R54" s="162"/>
      <c r="S54" s="161"/>
      <c r="T54" s="162"/>
      <c r="U54" s="161"/>
      <c r="V54" s="162"/>
      <c r="W54" s="161"/>
      <c r="X54" s="162"/>
      <c r="Y54" s="161"/>
      <c r="Z54" s="162"/>
      <c r="AA54" s="161"/>
      <c r="AB54" s="162"/>
      <c r="AC54" s="161"/>
      <c r="AD54" s="162"/>
      <c r="AE54" s="161"/>
      <c r="AF54" s="162"/>
      <c r="AG54" s="161"/>
      <c r="AH54" s="162"/>
      <c r="AI54" s="161"/>
      <c r="AJ54" s="162"/>
      <c r="AK54" s="161"/>
      <c r="AL54" s="162"/>
      <c r="AM54" s="161"/>
      <c r="AN54" s="162"/>
      <c r="AO54" s="161"/>
      <c r="AP54" s="162"/>
      <c r="AQ54" s="161"/>
      <c r="AR54" s="162"/>
      <c r="AS54" s="161"/>
      <c r="AT54" s="162"/>
      <c r="AU54" s="161"/>
      <c r="AV54" s="162"/>
      <c r="AW54" s="161"/>
      <c r="AX54" s="162"/>
      <c r="AY54" s="161"/>
      <c r="AZ54" s="162"/>
      <c r="BA54" s="161"/>
      <c r="BB54" s="162"/>
      <c r="BC54" s="161"/>
      <c r="BD54" s="162"/>
      <c r="BE54" s="161"/>
      <c r="BF54" s="162"/>
      <c r="BG54" s="161"/>
      <c r="BH54" s="162"/>
      <c r="BI54" s="161"/>
      <c r="BJ54" s="162"/>
      <c r="BK54" s="161"/>
      <c r="BL54" s="162"/>
      <c r="BM54" s="161"/>
      <c r="BN54" s="162"/>
      <c r="BO54" s="161"/>
      <c r="BP54" s="162"/>
      <c r="BQ54" s="161"/>
      <c r="BR54" s="162"/>
      <c r="BS54" s="161"/>
      <c r="BT54" s="162"/>
      <c r="BU54" s="161"/>
      <c r="BV54" s="162"/>
      <c r="BW54" s="161"/>
      <c r="BX54" s="162"/>
      <c r="BY54" s="161"/>
      <c r="BZ54" s="162"/>
      <c r="CA54" s="161"/>
      <c r="CB54" s="162"/>
      <c r="CC54" s="161"/>
      <c r="CD54" s="162"/>
      <c r="CE54" s="161"/>
      <c r="CF54" s="162"/>
      <c r="CG54" s="161"/>
      <c r="CH54" s="162"/>
      <c r="CI54" s="161"/>
      <c r="CJ54" s="162"/>
      <c r="CK54" s="161"/>
      <c r="CL54" s="162"/>
      <c r="CM54" s="161"/>
      <c r="CN54" s="162"/>
      <c r="CO54" s="161"/>
      <c r="CP54" s="162"/>
      <c r="CQ54" s="161"/>
      <c r="CR54" s="162"/>
      <c r="CS54" s="161"/>
      <c r="CT54" s="162"/>
      <c r="CU54" s="161"/>
      <c r="CV54" s="162"/>
      <c r="CW54" s="161"/>
      <c r="CX54" s="162"/>
      <c r="CY54" s="161"/>
      <c r="CZ54" s="162"/>
      <c r="DA54" s="161"/>
      <c r="DB54" s="162"/>
      <c r="DC54" s="161"/>
      <c r="DD54" s="162"/>
      <c r="DE54" s="161"/>
      <c r="DF54" s="162"/>
      <c r="DG54" s="161"/>
      <c r="DH54" s="162"/>
      <c r="DI54" s="161"/>
      <c r="DJ54" s="162"/>
      <c r="DK54" s="161"/>
      <c r="DL54" s="162"/>
      <c r="DM54" s="161"/>
      <c r="DN54" s="162"/>
      <c r="DO54" s="161"/>
      <c r="DP54" s="162"/>
      <c r="DQ54" s="161"/>
      <c r="DR54" s="162"/>
      <c r="DS54" s="161"/>
      <c r="DT54" s="162"/>
      <c r="DU54" s="161"/>
      <c r="DV54" s="162"/>
    </row>
    <row r="55" spans="1:126" x14ac:dyDescent="0.2">
      <c r="A55" s="160" t="s">
        <v>884</v>
      </c>
      <c r="B55" s="160" t="s">
        <v>885</v>
      </c>
      <c r="C55" s="161">
        <f t="shared" si="342"/>
        <v>22677</v>
      </c>
      <c r="D55" s="162">
        <f t="shared" si="338"/>
        <v>10000</v>
      </c>
      <c r="E55" s="161">
        <f t="shared" si="389"/>
        <v>12677</v>
      </c>
      <c r="F55" s="162">
        <f t="shared" si="390"/>
        <v>10000</v>
      </c>
      <c r="G55" s="161">
        <f t="shared" si="391"/>
        <v>0</v>
      </c>
      <c r="H55" s="162">
        <f t="shared" si="391"/>
        <v>0</v>
      </c>
      <c r="I55" s="161"/>
      <c r="J55" s="162"/>
      <c r="K55" s="161"/>
      <c r="L55" s="162"/>
      <c r="M55" s="161"/>
      <c r="N55" s="162"/>
      <c r="O55" s="161"/>
      <c r="P55" s="162"/>
      <c r="Q55" s="161"/>
      <c r="R55" s="162"/>
      <c r="S55" s="161"/>
      <c r="T55" s="162"/>
      <c r="U55" s="161"/>
      <c r="V55" s="162"/>
      <c r="W55" s="161"/>
      <c r="X55" s="162"/>
      <c r="Y55" s="161"/>
      <c r="Z55" s="162"/>
      <c r="AA55" s="161"/>
      <c r="AB55" s="162"/>
      <c r="AC55" s="161"/>
      <c r="AD55" s="162"/>
      <c r="AE55" s="161">
        <v>12677</v>
      </c>
      <c r="AF55" s="162">
        <v>10000</v>
      </c>
      <c r="AG55" s="161"/>
      <c r="AH55" s="162">
        <v>0</v>
      </c>
      <c r="AI55" s="161"/>
      <c r="AJ55" s="162"/>
      <c r="AK55" s="161"/>
      <c r="AL55" s="162"/>
      <c r="AM55" s="161"/>
      <c r="AN55" s="162"/>
      <c r="AO55" s="161"/>
      <c r="AP55" s="162"/>
      <c r="AQ55" s="161"/>
      <c r="AR55" s="162"/>
      <c r="AS55" s="161"/>
      <c r="AT55" s="162"/>
      <c r="AU55" s="161"/>
      <c r="AV55" s="162"/>
      <c r="AW55" s="161"/>
      <c r="AX55" s="162"/>
      <c r="AY55" s="161"/>
      <c r="AZ55" s="162"/>
      <c r="BA55" s="161"/>
      <c r="BB55" s="162"/>
      <c r="BC55" s="161"/>
      <c r="BD55" s="162"/>
      <c r="BE55" s="161"/>
      <c r="BF55" s="162"/>
      <c r="BG55" s="161"/>
      <c r="BH55" s="162"/>
      <c r="BI55" s="161"/>
      <c r="BJ55" s="162"/>
      <c r="BK55" s="161"/>
      <c r="BL55" s="162"/>
      <c r="BM55" s="161"/>
      <c r="BN55" s="162"/>
      <c r="BO55" s="161"/>
      <c r="BP55" s="162"/>
      <c r="BQ55" s="161"/>
      <c r="BR55" s="162"/>
      <c r="BS55" s="161"/>
      <c r="BT55" s="162"/>
      <c r="BU55" s="161"/>
      <c r="BV55" s="162"/>
      <c r="BW55" s="161"/>
      <c r="BX55" s="162"/>
      <c r="BY55" s="161"/>
      <c r="BZ55" s="162"/>
      <c r="CA55" s="161"/>
      <c r="CB55" s="162"/>
      <c r="CC55" s="161"/>
      <c r="CD55" s="162"/>
      <c r="CE55" s="161"/>
      <c r="CF55" s="162"/>
      <c r="CG55" s="161"/>
      <c r="CH55" s="162"/>
      <c r="CI55" s="161"/>
      <c r="CJ55" s="162"/>
      <c r="CK55" s="161"/>
      <c r="CL55" s="162"/>
      <c r="CM55" s="161"/>
      <c r="CN55" s="162"/>
      <c r="CO55" s="161"/>
      <c r="CP55" s="162"/>
      <c r="CQ55" s="161"/>
      <c r="CR55" s="162"/>
      <c r="CS55" s="161"/>
      <c r="CT55" s="162"/>
      <c r="CU55" s="161"/>
      <c r="CV55" s="162"/>
      <c r="CW55" s="161"/>
      <c r="CX55" s="162"/>
      <c r="CY55" s="161"/>
      <c r="CZ55" s="162"/>
      <c r="DA55" s="161"/>
      <c r="DB55" s="162"/>
      <c r="DC55" s="161"/>
      <c r="DD55" s="162"/>
      <c r="DE55" s="161"/>
      <c r="DF55" s="162"/>
      <c r="DG55" s="161"/>
      <c r="DH55" s="162"/>
      <c r="DI55" s="161"/>
      <c r="DJ55" s="162"/>
      <c r="DK55" s="161"/>
      <c r="DL55" s="162"/>
      <c r="DM55" s="161"/>
      <c r="DN55" s="162"/>
      <c r="DO55" s="161"/>
      <c r="DP55" s="162"/>
      <c r="DQ55" s="161"/>
      <c r="DR55" s="162"/>
      <c r="DS55" s="161"/>
      <c r="DT55" s="162"/>
      <c r="DU55" s="161"/>
      <c r="DV55" s="162"/>
    </row>
    <row r="56" spans="1:126" x14ac:dyDescent="0.2">
      <c r="A56" s="160" t="s">
        <v>886</v>
      </c>
      <c r="B56" s="170" t="s">
        <v>887</v>
      </c>
      <c r="C56" s="161">
        <f t="shared" si="342"/>
        <v>0</v>
      </c>
      <c r="D56" s="162">
        <f t="shared" si="338"/>
        <v>0</v>
      </c>
      <c r="E56" s="161">
        <f t="shared" si="389"/>
        <v>0</v>
      </c>
      <c r="F56" s="162">
        <f t="shared" si="390"/>
        <v>0</v>
      </c>
      <c r="G56" s="161">
        <f t="shared" si="391"/>
        <v>0</v>
      </c>
      <c r="H56" s="162">
        <f t="shared" si="391"/>
        <v>0</v>
      </c>
      <c r="I56" s="161"/>
      <c r="J56" s="162"/>
      <c r="K56" s="161"/>
      <c r="L56" s="162"/>
      <c r="M56" s="161"/>
      <c r="N56" s="162"/>
      <c r="O56" s="161"/>
      <c r="P56" s="162"/>
      <c r="Q56" s="161"/>
      <c r="R56" s="162"/>
      <c r="S56" s="161"/>
      <c r="T56" s="162"/>
      <c r="U56" s="161"/>
      <c r="V56" s="162"/>
      <c r="W56" s="161"/>
      <c r="X56" s="162"/>
      <c r="Y56" s="161"/>
      <c r="Z56" s="162"/>
      <c r="AA56" s="161"/>
      <c r="AB56" s="162"/>
      <c r="AC56" s="161"/>
      <c r="AD56" s="162"/>
      <c r="AE56" s="161"/>
      <c r="AF56" s="162"/>
      <c r="AG56" s="161"/>
      <c r="AH56" s="162"/>
      <c r="AI56" s="161"/>
      <c r="AJ56" s="162"/>
      <c r="AK56" s="161"/>
      <c r="AL56" s="162"/>
      <c r="AM56" s="161"/>
      <c r="AN56" s="162"/>
      <c r="AO56" s="161"/>
      <c r="AP56" s="162"/>
      <c r="AQ56" s="161"/>
      <c r="AR56" s="162"/>
      <c r="AS56" s="161"/>
      <c r="AT56" s="162"/>
      <c r="AU56" s="161"/>
      <c r="AV56" s="162"/>
      <c r="AW56" s="161"/>
      <c r="AX56" s="162"/>
      <c r="AY56" s="161"/>
      <c r="AZ56" s="162"/>
      <c r="BA56" s="161"/>
      <c r="BB56" s="162"/>
      <c r="BC56" s="161"/>
      <c r="BD56" s="162"/>
      <c r="BE56" s="161"/>
      <c r="BF56" s="162"/>
      <c r="BG56" s="161"/>
      <c r="BH56" s="162"/>
      <c r="BI56" s="161"/>
      <c r="BJ56" s="162"/>
      <c r="BK56" s="161"/>
      <c r="BL56" s="162"/>
      <c r="BM56" s="161"/>
      <c r="BN56" s="162"/>
      <c r="BO56" s="161"/>
      <c r="BP56" s="162"/>
      <c r="BQ56" s="161"/>
      <c r="BR56" s="162"/>
      <c r="BS56" s="161"/>
      <c r="BT56" s="162"/>
      <c r="BU56" s="161"/>
      <c r="BV56" s="162"/>
      <c r="BW56" s="161"/>
      <c r="BX56" s="162"/>
      <c r="BY56" s="161"/>
      <c r="BZ56" s="162"/>
      <c r="CA56" s="161"/>
      <c r="CB56" s="162"/>
      <c r="CC56" s="161"/>
      <c r="CD56" s="162"/>
      <c r="CE56" s="161"/>
      <c r="CF56" s="162"/>
      <c r="CG56" s="161"/>
      <c r="CH56" s="162"/>
      <c r="CI56" s="161"/>
      <c r="CJ56" s="162"/>
      <c r="CK56" s="161"/>
      <c r="CL56" s="162"/>
      <c r="CM56" s="161"/>
      <c r="CN56" s="162"/>
      <c r="CO56" s="161"/>
      <c r="CP56" s="162"/>
      <c r="CQ56" s="161"/>
      <c r="CR56" s="162"/>
      <c r="CS56" s="161"/>
      <c r="CT56" s="162"/>
      <c r="CU56" s="161"/>
      <c r="CV56" s="162"/>
      <c r="CW56" s="161"/>
      <c r="CX56" s="162"/>
      <c r="CY56" s="161"/>
      <c r="CZ56" s="162"/>
      <c r="DA56" s="161"/>
      <c r="DB56" s="162"/>
      <c r="DC56" s="161"/>
      <c r="DD56" s="162"/>
      <c r="DE56" s="161"/>
      <c r="DF56" s="162"/>
      <c r="DG56" s="161"/>
      <c r="DH56" s="162"/>
      <c r="DI56" s="161"/>
      <c r="DJ56" s="162"/>
      <c r="DK56" s="161"/>
      <c r="DL56" s="162"/>
      <c r="DM56" s="161"/>
      <c r="DN56" s="162"/>
      <c r="DO56" s="161"/>
      <c r="DP56" s="162"/>
      <c r="DQ56" s="161"/>
      <c r="DR56" s="162"/>
      <c r="DS56" s="161"/>
      <c r="DT56" s="162"/>
      <c r="DU56" s="161"/>
      <c r="DV56" s="162"/>
    </row>
    <row r="57" spans="1:126" x14ac:dyDescent="0.2">
      <c r="A57" s="160" t="s">
        <v>888</v>
      </c>
      <c r="B57" s="170" t="s">
        <v>889</v>
      </c>
      <c r="C57" s="161">
        <f t="shared" si="342"/>
        <v>0</v>
      </c>
      <c r="D57" s="162">
        <f t="shared" si="338"/>
        <v>0</v>
      </c>
      <c r="E57" s="161">
        <f t="shared" si="389"/>
        <v>0</v>
      </c>
      <c r="F57" s="162">
        <f t="shared" si="390"/>
        <v>0</v>
      </c>
      <c r="G57" s="161">
        <f t="shared" si="391"/>
        <v>0</v>
      </c>
      <c r="H57" s="162">
        <f t="shared" si="391"/>
        <v>0</v>
      </c>
      <c r="I57" s="161"/>
      <c r="J57" s="162"/>
      <c r="K57" s="161"/>
      <c r="L57" s="162"/>
      <c r="M57" s="161"/>
      <c r="N57" s="162"/>
      <c r="O57" s="161"/>
      <c r="P57" s="162"/>
      <c r="Q57" s="161"/>
      <c r="R57" s="162"/>
      <c r="S57" s="161"/>
      <c r="T57" s="162"/>
      <c r="U57" s="161"/>
      <c r="V57" s="162"/>
      <c r="W57" s="161"/>
      <c r="X57" s="162"/>
      <c r="Y57" s="161"/>
      <c r="Z57" s="162"/>
      <c r="AA57" s="161"/>
      <c r="AB57" s="162"/>
      <c r="AC57" s="161"/>
      <c r="AD57" s="162"/>
      <c r="AE57" s="161"/>
      <c r="AF57" s="162"/>
      <c r="AG57" s="161"/>
      <c r="AH57" s="162"/>
      <c r="AI57" s="161"/>
      <c r="AJ57" s="162"/>
      <c r="AK57" s="161"/>
      <c r="AL57" s="162"/>
      <c r="AM57" s="161"/>
      <c r="AN57" s="162"/>
      <c r="AO57" s="161"/>
      <c r="AP57" s="162"/>
      <c r="AQ57" s="161"/>
      <c r="AR57" s="162"/>
      <c r="AS57" s="161"/>
      <c r="AT57" s="162"/>
      <c r="AU57" s="161"/>
      <c r="AV57" s="162"/>
      <c r="AW57" s="161"/>
      <c r="AX57" s="162"/>
      <c r="AY57" s="161"/>
      <c r="AZ57" s="162"/>
      <c r="BA57" s="161"/>
      <c r="BB57" s="162"/>
      <c r="BC57" s="161"/>
      <c r="BD57" s="162"/>
      <c r="BE57" s="161"/>
      <c r="BF57" s="162"/>
      <c r="BG57" s="161"/>
      <c r="BH57" s="162"/>
      <c r="BI57" s="161"/>
      <c r="BJ57" s="162"/>
      <c r="BK57" s="161"/>
      <c r="BL57" s="162"/>
      <c r="BM57" s="161"/>
      <c r="BN57" s="162"/>
      <c r="BO57" s="161"/>
      <c r="BP57" s="162"/>
      <c r="BQ57" s="161"/>
      <c r="BR57" s="162"/>
      <c r="BS57" s="161"/>
      <c r="BT57" s="162"/>
      <c r="BU57" s="161"/>
      <c r="BV57" s="162"/>
      <c r="BW57" s="161"/>
      <c r="BX57" s="162"/>
      <c r="BY57" s="161"/>
      <c r="BZ57" s="162"/>
      <c r="CA57" s="161"/>
      <c r="CB57" s="162"/>
      <c r="CC57" s="161"/>
      <c r="CD57" s="162"/>
      <c r="CE57" s="161"/>
      <c r="CF57" s="162"/>
      <c r="CG57" s="161"/>
      <c r="CH57" s="162"/>
      <c r="CI57" s="161"/>
      <c r="CJ57" s="162"/>
      <c r="CK57" s="161"/>
      <c r="CL57" s="162"/>
      <c r="CM57" s="161"/>
      <c r="CN57" s="162"/>
      <c r="CO57" s="161"/>
      <c r="CP57" s="162"/>
      <c r="CQ57" s="161"/>
      <c r="CR57" s="162"/>
      <c r="CS57" s="161"/>
      <c r="CT57" s="162"/>
      <c r="CU57" s="161"/>
      <c r="CV57" s="162"/>
      <c r="CW57" s="161"/>
      <c r="CX57" s="162"/>
      <c r="CY57" s="161"/>
      <c r="CZ57" s="162"/>
      <c r="DA57" s="161"/>
      <c r="DB57" s="162"/>
      <c r="DC57" s="161"/>
      <c r="DD57" s="162"/>
      <c r="DE57" s="161"/>
      <c r="DF57" s="162"/>
      <c r="DG57" s="161"/>
      <c r="DH57" s="162"/>
      <c r="DI57" s="161"/>
      <c r="DJ57" s="162"/>
      <c r="DK57" s="161"/>
      <c r="DL57" s="162"/>
      <c r="DM57" s="161"/>
      <c r="DN57" s="162"/>
      <c r="DO57" s="161"/>
      <c r="DP57" s="162"/>
      <c r="DQ57" s="161"/>
      <c r="DR57" s="162"/>
      <c r="DS57" s="161"/>
      <c r="DT57" s="162"/>
      <c r="DU57" s="161"/>
      <c r="DV57" s="162"/>
    </row>
    <row r="58" spans="1:126" x14ac:dyDescent="0.2">
      <c r="A58" s="160" t="s">
        <v>890</v>
      </c>
      <c r="B58" s="170" t="s">
        <v>891</v>
      </c>
      <c r="C58" s="161">
        <f t="shared" si="342"/>
        <v>0</v>
      </c>
      <c r="D58" s="162">
        <f t="shared" si="338"/>
        <v>0</v>
      </c>
      <c r="E58" s="161">
        <f t="shared" si="389"/>
        <v>0</v>
      </c>
      <c r="F58" s="162">
        <f t="shared" si="390"/>
        <v>0</v>
      </c>
      <c r="G58" s="161">
        <f t="shared" si="391"/>
        <v>0</v>
      </c>
      <c r="H58" s="162">
        <f t="shared" si="391"/>
        <v>0</v>
      </c>
      <c r="I58" s="161"/>
      <c r="J58" s="162"/>
      <c r="K58" s="161"/>
      <c r="L58" s="162"/>
      <c r="M58" s="161"/>
      <c r="N58" s="162"/>
      <c r="O58" s="161"/>
      <c r="P58" s="162"/>
      <c r="Q58" s="161"/>
      <c r="R58" s="162"/>
      <c r="S58" s="161"/>
      <c r="T58" s="162"/>
      <c r="U58" s="161"/>
      <c r="V58" s="162"/>
      <c r="W58" s="161"/>
      <c r="X58" s="162"/>
      <c r="Y58" s="161"/>
      <c r="Z58" s="162"/>
      <c r="AA58" s="161"/>
      <c r="AB58" s="162"/>
      <c r="AC58" s="161"/>
      <c r="AD58" s="162"/>
      <c r="AE58" s="161"/>
      <c r="AF58" s="162"/>
      <c r="AG58" s="161"/>
      <c r="AH58" s="162"/>
      <c r="AI58" s="161"/>
      <c r="AJ58" s="162"/>
      <c r="AK58" s="161"/>
      <c r="AL58" s="162"/>
      <c r="AM58" s="161"/>
      <c r="AN58" s="162"/>
      <c r="AO58" s="161"/>
      <c r="AP58" s="162"/>
      <c r="AQ58" s="161"/>
      <c r="AR58" s="162"/>
      <c r="AS58" s="161"/>
      <c r="AT58" s="162"/>
      <c r="AU58" s="161"/>
      <c r="AV58" s="162"/>
      <c r="AW58" s="161"/>
      <c r="AX58" s="162"/>
      <c r="AY58" s="161"/>
      <c r="AZ58" s="162"/>
      <c r="BA58" s="161"/>
      <c r="BB58" s="162"/>
      <c r="BC58" s="161"/>
      <c r="BD58" s="162"/>
      <c r="BE58" s="161"/>
      <c r="BF58" s="162"/>
      <c r="BG58" s="161"/>
      <c r="BH58" s="162"/>
      <c r="BI58" s="161"/>
      <c r="BJ58" s="162"/>
      <c r="BK58" s="161"/>
      <c r="BL58" s="162"/>
      <c r="BM58" s="161"/>
      <c r="BN58" s="162"/>
      <c r="BO58" s="161"/>
      <c r="BP58" s="162"/>
      <c r="BQ58" s="161"/>
      <c r="BR58" s="162"/>
      <c r="BS58" s="161"/>
      <c r="BT58" s="162"/>
      <c r="BU58" s="161"/>
      <c r="BV58" s="162"/>
      <c r="BW58" s="161"/>
      <c r="BX58" s="162"/>
      <c r="BY58" s="161"/>
      <c r="BZ58" s="162"/>
      <c r="CA58" s="161"/>
      <c r="CB58" s="162"/>
      <c r="CC58" s="161"/>
      <c r="CD58" s="162"/>
      <c r="CE58" s="161"/>
      <c r="CF58" s="162"/>
      <c r="CG58" s="161"/>
      <c r="CH58" s="162"/>
      <c r="CI58" s="161"/>
      <c r="CJ58" s="162"/>
      <c r="CK58" s="161"/>
      <c r="CL58" s="162"/>
      <c r="CM58" s="161"/>
      <c r="CN58" s="162"/>
      <c r="CO58" s="161"/>
      <c r="CP58" s="162"/>
      <c r="CQ58" s="161"/>
      <c r="CR58" s="162"/>
      <c r="CS58" s="161"/>
      <c r="CT58" s="162"/>
      <c r="CU58" s="161"/>
      <c r="CV58" s="162"/>
      <c r="CW58" s="161"/>
      <c r="CX58" s="162"/>
      <c r="CY58" s="161"/>
      <c r="CZ58" s="162"/>
      <c r="DA58" s="161"/>
      <c r="DB58" s="162"/>
      <c r="DC58" s="161"/>
      <c r="DD58" s="162"/>
      <c r="DE58" s="161"/>
      <c r="DF58" s="162"/>
      <c r="DG58" s="161"/>
      <c r="DH58" s="162"/>
      <c r="DI58" s="161"/>
      <c r="DJ58" s="162"/>
      <c r="DK58" s="161"/>
      <c r="DL58" s="162"/>
      <c r="DM58" s="161"/>
      <c r="DN58" s="162"/>
      <c r="DO58" s="161"/>
      <c r="DP58" s="162"/>
      <c r="DQ58" s="161"/>
      <c r="DR58" s="162"/>
      <c r="DS58" s="161"/>
      <c r="DT58" s="162"/>
      <c r="DU58" s="161"/>
      <c r="DV58" s="162"/>
    </row>
    <row r="59" spans="1:126" x14ac:dyDescent="0.2">
      <c r="A59" s="160" t="s">
        <v>892</v>
      </c>
      <c r="B59" s="170" t="s">
        <v>893</v>
      </c>
      <c r="C59" s="161">
        <f>SUM(I59:DU59)</f>
        <v>74810</v>
      </c>
      <c r="D59" s="162">
        <f t="shared" si="338"/>
        <v>35106</v>
      </c>
      <c r="E59" s="161">
        <f t="shared" si="389"/>
        <v>0</v>
      </c>
      <c r="F59" s="162">
        <f t="shared" si="390"/>
        <v>0</v>
      </c>
      <c r="G59" s="161">
        <f t="shared" si="391"/>
        <v>39904</v>
      </c>
      <c r="H59" s="162">
        <f t="shared" si="391"/>
        <v>35106</v>
      </c>
      <c r="I59" s="161"/>
      <c r="J59" s="162"/>
      <c r="K59" s="161"/>
      <c r="L59" s="162"/>
      <c r="M59" s="161"/>
      <c r="N59" s="162"/>
      <c r="O59" s="161"/>
      <c r="P59" s="162"/>
      <c r="Q59" s="161"/>
      <c r="R59" s="162"/>
      <c r="S59" s="161"/>
      <c r="T59" s="162"/>
      <c r="U59" s="161"/>
      <c r="V59" s="162"/>
      <c r="W59" s="161"/>
      <c r="X59" s="162"/>
      <c r="Y59" s="161"/>
      <c r="Z59" s="162"/>
      <c r="AA59" s="161"/>
      <c r="AB59" s="162"/>
      <c r="AC59" s="161"/>
      <c r="AD59" s="162"/>
      <c r="AE59" s="161"/>
      <c r="AF59" s="162"/>
      <c r="AG59" s="161"/>
      <c r="AH59" s="162"/>
      <c r="AI59" s="161"/>
      <c r="AJ59" s="162"/>
      <c r="AK59" s="161"/>
      <c r="AL59" s="162"/>
      <c r="AM59" s="161"/>
      <c r="AN59" s="162"/>
      <c r="AO59" s="161"/>
      <c r="AP59" s="162"/>
      <c r="AQ59" s="161"/>
      <c r="AR59" s="162"/>
      <c r="AS59" s="161">
        <v>1000</v>
      </c>
      <c r="AT59" s="162">
        <v>2000</v>
      </c>
      <c r="AU59" s="161"/>
      <c r="AV59" s="162"/>
      <c r="AW59" s="161"/>
      <c r="AX59" s="162"/>
      <c r="AY59" s="161"/>
      <c r="AZ59" s="162"/>
      <c r="BA59" s="161"/>
      <c r="BB59" s="162"/>
      <c r="BC59" s="161"/>
      <c r="BD59" s="162"/>
      <c r="BE59" s="161"/>
      <c r="BF59" s="162"/>
      <c r="BG59" s="161"/>
      <c r="BH59" s="162"/>
      <c r="BI59" s="161"/>
      <c r="BJ59" s="162"/>
      <c r="BK59" s="161"/>
      <c r="BL59" s="162"/>
      <c r="BM59" s="161"/>
      <c r="BN59" s="162"/>
      <c r="BO59" s="161"/>
      <c r="BP59" s="162"/>
      <c r="BQ59" s="161">
        <v>11818</v>
      </c>
      <c r="BR59" s="162">
        <v>8163</v>
      </c>
      <c r="BS59" s="161">
        <f>2000</f>
        <v>2000</v>
      </c>
      <c r="BT59" s="162">
        <f>2363+260</f>
        <v>2623</v>
      </c>
      <c r="BU59" s="161">
        <f>14120+5000</f>
        <v>19120</v>
      </c>
      <c r="BV59" s="162">
        <f>14120+5000</f>
        <v>19120</v>
      </c>
      <c r="BW59" s="161">
        <v>2000</v>
      </c>
      <c r="BX59" s="162">
        <v>2000</v>
      </c>
      <c r="BY59" s="161">
        <f>2766+1000</f>
        <v>3766</v>
      </c>
      <c r="BZ59" s="162">
        <f>1000</f>
        <v>1000</v>
      </c>
      <c r="CA59" s="161"/>
      <c r="CB59" s="162"/>
      <c r="CC59" s="161"/>
      <c r="CD59" s="162"/>
      <c r="CE59" s="161"/>
      <c r="CF59" s="162"/>
      <c r="CG59" s="161"/>
      <c r="CH59" s="162"/>
      <c r="CI59" s="161"/>
      <c r="CJ59" s="162"/>
      <c r="CK59" s="161"/>
      <c r="CL59" s="162"/>
      <c r="CM59" s="161"/>
      <c r="CN59" s="162"/>
      <c r="CO59" s="161"/>
      <c r="CP59" s="162"/>
      <c r="CQ59" s="161"/>
      <c r="CR59" s="162"/>
      <c r="CS59" s="161"/>
      <c r="CT59" s="162"/>
      <c r="CU59" s="161"/>
      <c r="CV59" s="162"/>
      <c r="CW59" s="161"/>
      <c r="CX59" s="162"/>
      <c r="CY59" s="161"/>
      <c r="CZ59" s="162"/>
      <c r="DA59" s="161"/>
      <c r="DB59" s="162"/>
      <c r="DC59" s="161"/>
      <c r="DD59" s="162"/>
      <c r="DE59" s="161"/>
      <c r="DF59" s="162"/>
      <c r="DG59" s="161"/>
      <c r="DH59" s="162"/>
      <c r="DI59" s="161"/>
      <c r="DJ59" s="162"/>
      <c r="DK59" s="161"/>
      <c r="DL59" s="162"/>
      <c r="DM59" s="161"/>
      <c r="DN59" s="162"/>
      <c r="DO59" s="161"/>
      <c r="DP59" s="162"/>
      <c r="DQ59" s="161"/>
      <c r="DR59" s="162"/>
      <c r="DS59" s="161"/>
      <c r="DT59" s="162"/>
      <c r="DU59" s="161">
        <v>200</v>
      </c>
      <c r="DV59" s="162">
        <v>200</v>
      </c>
    </row>
    <row r="60" spans="1:126" x14ac:dyDescent="0.2">
      <c r="A60" s="160" t="s">
        <v>894</v>
      </c>
      <c r="B60" s="170" t="s">
        <v>895</v>
      </c>
      <c r="C60" s="161">
        <f t="shared" si="342"/>
        <v>0</v>
      </c>
      <c r="D60" s="162">
        <f t="shared" si="338"/>
        <v>0</v>
      </c>
      <c r="E60" s="161">
        <f t="shared" si="389"/>
        <v>0</v>
      </c>
      <c r="F60" s="162">
        <f t="shared" si="390"/>
        <v>0</v>
      </c>
      <c r="G60" s="161">
        <f t="shared" si="391"/>
        <v>0</v>
      </c>
      <c r="H60" s="162">
        <f t="shared" si="391"/>
        <v>0</v>
      </c>
      <c r="I60" s="161"/>
      <c r="J60" s="162"/>
      <c r="K60" s="161"/>
      <c r="L60" s="162"/>
      <c r="M60" s="161"/>
      <c r="N60" s="162"/>
      <c r="O60" s="161"/>
      <c r="P60" s="162"/>
      <c r="Q60" s="161"/>
      <c r="R60" s="162"/>
      <c r="S60" s="161"/>
      <c r="T60" s="162"/>
      <c r="U60" s="161"/>
      <c r="V60" s="162"/>
      <c r="W60" s="161"/>
      <c r="X60" s="162"/>
      <c r="Y60" s="161"/>
      <c r="Z60" s="162"/>
      <c r="AA60" s="161"/>
      <c r="AB60" s="162"/>
      <c r="AC60" s="161"/>
      <c r="AD60" s="162"/>
      <c r="AE60" s="161"/>
      <c r="AF60" s="162"/>
      <c r="AG60" s="161"/>
      <c r="AH60" s="162"/>
      <c r="AI60" s="161"/>
      <c r="AJ60" s="162"/>
      <c r="AK60" s="161"/>
      <c r="AL60" s="162"/>
      <c r="AM60" s="161"/>
      <c r="AN60" s="162"/>
      <c r="AO60" s="161"/>
      <c r="AP60" s="162"/>
      <c r="AQ60" s="161"/>
      <c r="AR60" s="162"/>
      <c r="AS60" s="161"/>
      <c r="AT60" s="162"/>
      <c r="AU60" s="161"/>
      <c r="AV60" s="162"/>
      <c r="AW60" s="161"/>
      <c r="AX60" s="162"/>
      <c r="AY60" s="161"/>
      <c r="AZ60" s="162"/>
      <c r="BA60" s="161"/>
      <c r="BB60" s="162"/>
      <c r="BC60" s="161"/>
      <c r="BD60" s="162"/>
      <c r="BE60" s="161"/>
      <c r="BF60" s="162"/>
      <c r="BG60" s="161"/>
      <c r="BH60" s="162"/>
      <c r="BI60" s="161"/>
      <c r="BJ60" s="162"/>
      <c r="BK60" s="161"/>
      <c r="BL60" s="162"/>
      <c r="BM60" s="161"/>
      <c r="BN60" s="162"/>
      <c r="BO60" s="161"/>
      <c r="BP60" s="162"/>
      <c r="BQ60" s="161"/>
      <c r="BR60" s="162"/>
      <c r="BS60" s="161"/>
      <c r="BT60" s="162"/>
      <c r="BU60" s="161"/>
      <c r="BV60" s="162"/>
      <c r="BW60" s="161"/>
      <c r="BX60" s="162"/>
      <c r="BY60" s="161"/>
      <c r="BZ60" s="162"/>
      <c r="CA60" s="161"/>
      <c r="CB60" s="162"/>
      <c r="CC60" s="161"/>
      <c r="CD60" s="162"/>
      <c r="CE60" s="161"/>
      <c r="CF60" s="162"/>
      <c r="CG60" s="161"/>
      <c r="CH60" s="162"/>
      <c r="CI60" s="161"/>
      <c r="CJ60" s="162"/>
      <c r="CK60" s="161"/>
      <c r="CL60" s="162"/>
      <c r="CM60" s="161"/>
      <c r="CN60" s="162"/>
      <c r="CO60" s="161"/>
      <c r="CP60" s="162"/>
      <c r="CQ60" s="161"/>
      <c r="CR60" s="162"/>
      <c r="CS60" s="161"/>
      <c r="CT60" s="162"/>
      <c r="CU60" s="161"/>
      <c r="CV60" s="162"/>
      <c r="CW60" s="161"/>
      <c r="CX60" s="162"/>
      <c r="CY60" s="161"/>
      <c r="CZ60" s="162"/>
      <c r="DA60" s="161"/>
      <c r="DB60" s="162"/>
      <c r="DC60" s="161"/>
      <c r="DD60" s="162"/>
      <c r="DE60" s="161"/>
      <c r="DF60" s="162"/>
      <c r="DG60" s="161"/>
      <c r="DH60" s="162"/>
      <c r="DI60" s="161"/>
      <c r="DJ60" s="162"/>
      <c r="DK60" s="161"/>
      <c r="DL60" s="162"/>
      <c r="DM60" s="161"/>
      <c r="DN60" s="162"/>
      <c r="DO60" s="161"/>
      <c r="DP60" s="162"/>
      <c r="DQ60" s="161"/>
      <c r="DR60" s="162"/>
      <c r="DS60" s="161"/>
      <c r="DT60" s="162"/>
      <c r="DU60" s="161"/>
      <c r="DV60" s="162"/>
    </row>
    <row r="61" spans="1:126" x14ac:dyDescent="0.2">
      <c r="A61" s="160" t="s">
        <v>896</v>
      </c>
      <c r="B61" s="170" t="s">
        <v>897</v>
      </c>
      <c r="C61" s="161">
        <f t="shared" si="342"/>
        <v>0</v>
      </c>
      <c r="D61" s="162">
        <f t="shared" si="338"/>
        <v>0</v>
      </c>
      <c r="E61" s="161">
        <f t="shared" si="389"/>
        <v>0</v>
      </c>
      <c r="F61" s="162">
        <f t="shared" si="390"/>
        <v>0</v>
      </c>
      <c r="G61" s="161">
        <f t="shared" si="391"/>
        <v>0</v>
      </c>
      <c r="H61" s="162">
        <f t="shared" si="391"/>
        <v>0</v>
      </c>
      <c r="I61" s="161"/>
      <c r="J61" s="162"/>
      <c r="K61" s="161"/>
      <c r="L61" s="162"/>
      <c r="M61" s="161"/>
      <c r="N61" s="162"/>
      <c r="O61" s="161"/>
      <c r="P61" s="162"/>
      <c r="Q61" s="161"/>
      <c r="R61" s="162"/>
      <c r="S61" s="161"/>
      <c r="T61" s="162"/>
      <c r="U61" s="161"/>
      <c r="V61" s="162"/>
      <c r="W61" s="161"/>
      <c r="X61" s="162"/>
      <c r="Y61" s="161"/>
      <c r="Z61" s="162"/>
      <c r="AA61" s="161"/>
      <c r="AB61" s="162"/>
      <c r="AC61" s="161"/>
      <c r="AD61" s="162"/>
      <c r="AE61" s="161"/>
      <c r="AF61" s="162"/>
      <c r="AG61" s="161"/>
      <c r="AH61" s="162"/>
      <c r="AI61" s="161"/>
      <c r="AJ61" s="162"/>
      <c r="AK61" s="161"/>
      <c r="AL61" s="162"/>
      <c r="AM61" s="161"/>
      <c r="AN61" s="162"/>
      <c r="AO61" s="161"/>
      <c r="AP61" s="162"/>
      <c r="AQ61" s="161"/>
      <c r="AR61" s="162"/>
      <c r="AS61" s="161"/>
      <c r="AT61" s="162"/>
      <c r="AU61" s="161"/>
      <c r="AV61" s="162"/>
      <c r="AW61" s="161"/>
      <c r="AX61" s="162"/>
      <c r="AY61" s="161"/>
      <c r="AZ61" s="162"/>
      <c r="BA61" s="161"/>
      <c r="BB61" s="162"/>
      <c r="BC61" s="161"/>
      <c r="BD61" s="162"/>
      <c r="BE61" s="161"/>
      <c r="BF61" s="162"/>
      <c r="BG61" s="161"/>
      <c r="BH61" s="162"/>
      <c r="BI61" s="161"/>
      <c r="BJ61" s="162"/>
      <c r="BK61" s="161"/>
      <c r="BL61" s="162"/>
      <c r="BM61" s="161"/>
      <c r="BN61" s="162"/>
      <c r="BO61" s="161"/>
      <c r="BP61" s="162"/>
      <c r="BQ61" s="161"/>
      <c r="BR61" s="162"/>
      <c r="BS61" s="161"/>
      <c r="BT61" s="162"/>
      <c r="BU61" s="161"/>
      <c r="BV61" s="162"/>
      <c r="BW61" s="161"/>
      <c r="BX61" s="162"/>
      <c r="BY61" s="161"/>
      <c r="BZ61" s="162"/>
      <c r="CA61" s="161"/>
      <c r="CB61" s="162"/>
      <c r="CC61" s="161"/>
      <c r="CD61" s="162"/>
      <c r="CE61" s="161"/>
      <c r="CF61" s="162"/>
      <c r="CG61" s="161"/>
      <c r="CH61" s="162"/>
      <c r="CI61" s="161"/>
      <c r="CJ61" s="162"/>
      <c r="CK61" s="161"/>
      <c r="CL61" s="162"/>
      <c r="CM61" s="161"/>
      <c r="CN61" s="162"/>
      <c r="CO61" s="161"/>
      <c r="CP61" s="162"/>
      <c r="CQ61" s="161"/>
      <c r="CR61" s="162"/>
      <c r="CS61" s="161"/>
      <c r="CT61" s="162"/>
      <c r="CU61" s="161"/>
      <c r="CV61" s="162"/>
      <c r="CW61" s="161"/>
      <c r="CX61" s="162"/>
      <c r="CY61" s="161"/>
      <c r="CZ61" s="162"/>
      <c r="DA61" s="161"/>
      <c r="DB61" s="162"/>
      <c r="DC61" s="161"/>
      <c r="DD61" s="162"/>
      <c r="DE61" s="161"/>
      <c r="DF61" s="162"/>
      <c r="DG61" s="161"/>
      <c r="DH61" s="162"/>
      <c r="DI61" s="161"/>
      <c r="DJ61" s="162"/>
      <c r="DK61" s="161"/>
      <c r="DL61" s="162"/>
      <c r="DM61" s="161"/>
      <c r="DN61" s="162"/>
      <c r="DO61" s="161"/>
      <c r="DP61" s="162"/>
      <c r="DQ61" s="161"/>
      <c r="DR61" s="162"/>
      <c r="DS61" s="161"/>
      <c r="DT61" s="162"/>
      <c r="DU61" s="161"/>
      <c r="DV61" s="162"/>
    </row>
    <row r="62" spans="1:126" x14ac:dyDescent="0.2">
      <c r="A62" s="160" t="s">
        <v>898</v>
      </c>
      <c r="B62" s="160" t="s">
        <v>899</v>
      </c>
      <c r="C62" s="161">
        <f t="shared" si="342"/>
        <v>0</v>
      </c>
      <c r="D62" s="162">
        <f t="shared" si="338"/>
        <v>0</v>
      </c>
      <c r="E62" s="161">
        <f t="shared" si="389"/>
        <v>0</v>
      </c>
      <c r="F62" s="162">
        <f t="shared" si="390"/>
        <v>0</v>
      </c>
      <c r="G62" s="161">
        <f t="shared" si="391"/>
        <v>0</v>
      </c>
      <c r="H62" s="162">
        <f t="shared" si="391"/>
        <v>0</v>
      </c>
      <c r="I62" s="161"/>
      <c r="J62" s="162"/>
      <c r="K62" s="161"/>
      <c r="L62" s="162"/>
      <c r="M62" s="161"/>
      <c r="N62" s="162"/>
      <c r="O62" s="161"/>
      <c r="P62" s="162"/>
      <c r="Q62" s="161"/>
      <c r="R62" s="162"/>
      <c r="S62" s="161"/>
      <c r="T62" s="162"/>
      <c r="U62" s="161"/>
      <c r="V62" s="162"/>
      <c r="W62" s="161"/>
      <c r="X62" s="162"/>
      <c r="Y62" s="161"/>
      <c r="Z62" s="162"/>
      <c r="AA62" s="161"/>
      <c r="AB62" s="162"/>
      <c r="AC62" s="161"/>
      <c r="AD62" s="162"/>
      <c r="AE62" s="161"/>
      <c r="AF62" s="162"/>
      <c r="AG62" s="161"/>
      <c r="AH62" s="162"/>
      <c r="AI62" s="161"/>
      <c r="AJ62" s="162"/>
      <c r="AK62" s="161"/>
      <c r="AL62" s="162"/>
      <c r="AM62" s="161"/>
      <c r="AN62" s="162"/>
      <c r="AO62" s="161"/>
      <c r="AP62" s="162"/>
      <c r="AQ62" s="161"/>
      <c r="AR62" s="162"/>
      <c r="AS62" s="161"/>
      <c r="AT62" s="162"/>
      <c r="AU62" s="161"/>
      <c r="AV62" s="162"/>
      <c r="AW62" s="161"/>
      <c r="AX62" s="162"/>
      <c r="AY62" s="161"/>
      <c r="AZ62" s="162"/>
      <c r="BA62" s="161"/>
      <c r="BB62" s="162"/>
      <c r="BC62" s="161"/>
      <c r="BD62" s="162"/>
      <c r="BE62" s="161"/>
      <c r="BF62" s="162"/>
      <c r="BG62" s="161"/>
      <c r="BH62" s="162"/>
      <c r="BI62" s="161"/>
      <c r="BJ62" s="162"/>
      <c r="BK62" s="161"/>
      <c r="BL62" s="162"/>
      <c r="BM62" s="161"/>
      <c r="BN62" s="162"/>
      <c r="BO62" s="161"/>
      <c r="BP62" s="162"/>
      <c r="BQ62" s="161"/>
      <c r="BR62" s="162"/>
      <c r="BS62" s="161"/>
      <c r="BT62" s="162"/>
      <c r="BU62" s="161"/>
      <c r="BV62" s="162"/>
      <c r="BW62" s="161"/>
      <c r="BX62" s="162"/>
      <c r="BY62" s="161"/>
      <c r="BZ62" s="162"/>
      <c r="CA62" s="161"/>
      <c r="CB62" s="162"/>
      <c r="CC62" s="161"/>
      <c r="CD62" s="162"/>
      <c r="CE62" s="161"/>
      <c r="CF62" s="162"/>
      <c r="CG62" s="161"/>
      <c r="CH62" s="162"/>
      <c r="CI62" s="161"/>
      <c r="CJ62" s="162"/>
      <c r="CK62" s="161"/>
      <c r="CL62" s="162"/>
      <c r="CM62" s="161"/>
      <c r="CN62" s="162"/>
      <c r="CO62" s="161"/>
      <c r="CP62" s="162"/>
      <c r="CQ62" s="161"/>
      <c r="CR62" s="162"/>
      <c r="CS62" s="161"/>
      <c r="CT62" s="162"/>
      <c r="CU62" s="161"/>
      <c r="CV62" s="162"/>
      <c r="CW62" s="161"/>
      <c r="CX62" s="162"/>
      <c r="CY62" s="161"/>
      <c r="CZ62" s="162"/>
      <c r="DA62" s="161"/>
      <c r="DB62" s="162"/>
      <c r="DC62" s="161"/>
      <c r="DD62" s="162"/>
      <c r="DE62" s="161"/>
      <c r="DF62" s="162"/>
      <c r="DG62" s="161"/>
      <c r="DH62" s="162"/>
      <c r="DI62" s="161"/>
      <c r="DJ62" s="162"/>
      <c r="DK62" s="161"/>
      <c r="DL62" s="162"/>
      <c r="DM62" s="161"/>
      <c r="DN62" s="162"/>
      <c r="DO62" s="161"/>
      <c r="DP62" s="162"/>
      <c r="DQ62" s="161"/>
      <c r="DR62" s="162"/>
      <c r="DS62" s="161"/>
      <c r="DT62" s="162"/>
      <c r="DU62" s="161"/>
      <c r="DV62" s="162"/>
    </row>
    <row r="63" spans="1:126" x14ac:dyDescent="0.2">
      <c r="A63" s="160" t="s">
        <v>900</v>
      </c>
      <c r="B63" s="160" t="s">
        <v>901</v>
      </c>
      <c r="C63" s="161">
        <f t="shared" si="342"/>
        <v>0</v>
      </c>
      <c r="D63" s="162">
        <f t="shared" si="338"/>
        <v>0</v>
      </c>
      <c r="E63" s="161">
        <f t="shared" si="389"/>
        <v>0</v>
      </c>
      <c r="F63" s="162">
        <f t="shared" si="390"/>
        <v>0</v>
      </c>
      <c r="G63" s="161">
        <f t="shared" si="391"/>
        <v>0</v>
      </c>
      <c r="H63" s="162">
        <f t="shared" si="391"/>
        <v>0</v>
      </c>
      <c r="I63" s="161"/>
      <c r="J63" s="162"/>
      <c r="K63" s="161"/>
      <c r="L63" s="162"/>
      <c r="M63" s="161"/>
      <c r="N63" s="162"/>
      <c r="O63" s="161"/>
      <c r="P63" s="162"/>
      <c r="Q63" s="161"/>
      <c r="R63" s="162"/>
      <c r="S63" s="161"/>
      <c r="T63" s="162"/>
      <c r="U63" s="161"/>
      <c r="V63" s="162"/>
      <c r="W63" s="161"/>
      <c r="X63" s="162"/>
      <c r="Y63" s="161"/>
      <c r="Z63" s="162"/>
      <c r="AA63" s="161"/>
      <c r="AB63" s="162"/>
      <c r="AC63" s="161"/>
      <c r="AD63" s="162"/>
      <c r="AE63" s="161"/>
      <c r="AF63" s="162"/>
      <c r="AG63" s="161"/>
      <c r="AH63" s="162"/>
      <c r="AI63" s="161"/>
      <c r="AJ63" s="162"/>
      <c r="AK63" s="161"/>
      <c r="AL63" s="162"/>
      <c r="AM63" s="161"/>
      <c r="AN63" s="162"/>
      <c r="AO63" s="161"/>
      <c r="AP63" s="162"/>
      <c r="AQ63" s="161"/>
      <c r="AR63" s="162"/>
      <c r="AS63" s="161"/>
      <c r="AT63" s="162"/>
      <c r="AU63" s="161"/>
      <c r="AV63" s="162"/>
      <c r="AW63" s="161"/>
      <c r="AX63" s="162"/>
      <c r="AY63" s="161"/>
      <c r="AZ63" s="162"/>
      <c r="BA63" s="161"/>
      <c r="BB63" s="162"/>
      <c r="BC63" s="161"/>
      <c r="BD63" s="162"/>
      <c r="BE63" s="161"/>
      <c r="BF63" s="162"/>
      <c r="BG63" s="161"/>
      <c r="BH63" s="162"/>
      <c r="BI63" s="161"/>
      <c r="BJ63" s="162"/>
      <c r="BK63" s="161"/>
      <c r="BL63" s="162"/>
      <c r="BM63" s="161"/>
      <c r="BN63" s="162"/>
      <c r="BO63" s="161"/>
      <c r="BP63" s="162"/>
      <c r="BQ63" s="161"/>
      <c r="BR63" s="162"/>
      <c r="BS63" s="161"/>
      <c r="BT63" s="162"/>
      <c r="BU63" s="161"/>
      <c r="BV63" s="162"/>
      <c r="BW63" s="161"/>
      <c r="BX63" s="162"/>
      <c r="BY63" s="161"/>
      <c r="BZ63" s="162"/>
      <c r="CA63" s="161"/>
      <c r="CB63" s="162"/>
      <c r="CC63" s="161"/>
      <c r="CD63" s="162"/>
      <c r="CE63" s="161"/>
      <c r="CF63" s="162"/>
      <c r="CG63" s="161"/>
      <c r="CH63" s="162"/>
      <c r="CI63" s="161"/>
      <c r="CJ63" s="162"/>
      <c r="CK63" s="161"/>
      <c r="CL63" s="162"/>
      <c r="CM63" s="161"/>
      <c r="CN63" s="162"/>
      <c r="CO63" s="161"/>
      <c r="CP63" s="162"/>
      <c r="CQ63" s="161"/>
      <c r="CR63" s="162"/>
      <c r="CS63" s="161"/>
      <c r="CT63" s="162"/>
      <c r="CU63" s="161"/>
      <c r="CV63" s="162"/>
      <c r="CW63" s="161"/>
      <c r="CX63" s="162"/>
      <c r="CY63" s="161"/>
      <c r="CZ63" s="162"/>
      <c r="DA63" s="161"/>
      <c r="DB63" s="162"/>
      <c r="DC63" s="161"/>
      <c r="DD63" s="162"/>
      <c r="DE63" s="161"/>
      <c r="DF63" s="162"/>
      <c r="DG63" s="161"/>
      <c r="DH63" s="162"/>
      <c r="DI63" s="161"/>
      <c r="DJ63" s="162"/>
      <c r="DK63" s="161"/>
      <c r="DL63" s="162"/>
      <c r="DM63" s="161"/>
      <c r="DN63" s="162"/>
      <c r="DO63" s="161"/>
      <c r="DP63" s="162"/>
      <c r="DQ63" s="161"/>
      <c r="DR63" s="162"/>
      <c r="DS63" s="161"/>
      <c r="DT63" s="162"/>
      <c r="DU63" s="161"/>
      <c r="DV63" s="162"/>
    </row>
    <row r="64" spans="1:126" x14ac:dyDescent="0.2">
      <c r="A64" s="160" t="s">
        <v>902</v>
      </c>
      <c r="B64" s="160" t="s">
        <v>903</v>
      </c>
      <c r="C64" s="161">
        <f t="shared" si="342"/>
        <v>537607</v>
      </c>
      <c r="D64" s="162">
        <f t="shared" si="338"/>
        <v>289756</v>
      </c>
      <c r="E64" s="161">
        <f t="shared" si="389"/>
        <v>0</v>
      </c>
      <c r="F64" s="162">
        <f t="shared" si="390"/>
        <v>0</v>
      </c>
      <c r="G64" s="161">
        <f t="shared" si="391"/>
        <v>247851</v>
      </c>
      <c r="H64" s="162">
        <f t="shared" si="391"/>
        <v>289756</v>
      </c>
      <c r="I64" s="161"/>
      <c r="J64" s="162"/>
      <c r="K64" s="161"/>
      <c r="L64" s="162"/>
      <c r="M64" s="161"/>
      <c r="N64" s="162"/>
      <c r="O64" s="161"/>
      <c r="P64" s="162"/>
      <c r="Q64" s="161"/>
      <c r="R64" s="162"/>
      <c r="S64" s="161"/>
      <c r="T64" s="162"/>
      <c r="U64" s="161"/>
      <c r="V64" s="162"/>
      <c r="W64" s="161"/>
      <c r="X64" s="162"/>
      <c r="Y64" s="161"/>
      <c r="Z64" s="162"/>
      <c r="AA64" s="161"/>
      <c r="AB64" s="162"/>
      <c r="AC64" s="161"/>
      <c r="AD64" s="162"/>
      <c r="AE64" s="161"/>
      <c r="AF64" s="162"/>
      <c r="AG64" s="161"/>
      <c r="AH64" s="162"/>
      <c r="AI64" s="161"/>
      <c r="AJ64" s="162"/>
      <c r="AK64" s="161"/>
      <c r="AL64" s="162"/>
      <c r="AM64" s="161"/>
      <c r="AN64" s="162"/>
      <c r="AO64" s="161"/>
      <c r="AP64" s="162"/>
      <c r="AQ64" s="161"/>
      <c r="AR64" s="162"/>
      <c r="AS64" s="161"/>
      <c r="AT64" s="162"/>
      <c r="AU64" s="161"/>
      <c r="AV64" s="162"/>
      <c r="AW64" s="161"/>
      <c r="AX64" s="162"/>
      <c r="AY64" s="161"/>
      <c r="AZ64" s="162"/>
      <c r="BA64" s="161"/>
      <c r="BB64" s="162"/>
      <c r="BC64" s="161"/>
      <c r="BD64" s="162"/>
      <c r="BE64" s="161"/>
      <c r="BF64" s="162"/>
      <c r="BG64" s="161"/>
      <c r="BH64" s="162"/>
      <c r="BI64" s="161"/>
      <c r="BJ64" s="162"/>
      <c r="BK64" s="161"/>
      <c r="BL64" s="162"/>
      <c r="BM64" s="161"/>
      <c r="BN64" s="162"/>
      <c r="BO64" s="161"/>
      <c r="BP64" s="162"/>
      <c r="BQ64" s="161"/>
      <c r="BR64" s="162"/>
      <c r="BS64" s="161"/>
      <c r="BT64" s="162"/>
      <c r="BU64" s="161"/>
      <c r="BV64" s="162"/>
      <c r="BW64" s="161"/>
      <c r="BX64" s="162"/>
      <c r="BY64" s="161"/>
      <c r="BZ64" s="162"/>
      <c r="CA64" s="161">
        <v>7560</v>
      </c>
      <c r="CB64" s="162">
        <f>6000-1560</f>
        <v>4440</v>
      </c>
      <c r="CC64" s="161">
        <v>5400</v>
      </c>
      <c r="CD64" s="162">
        <v>5400</v>
      </c>
      <c r="CE64" s="161">
        <v>400</v>
      </c>
      <c r="CF64" s="162">
        <v>400</v>
      </c>
      <c r="CG64" s="161"/>
      <c r="CH64" s="162"/>
      <c r="CI64" s="161">
        <v>156331</v>
      </c>
      <c r="CJ64" s="162">
        <f>156331+39084</f>
        <v>195415</v>
      </c>
      <c r="CK64" s="161">
        <v>24888</v>
      </c>
      <c r="CL64" s="162">
        <v>27269</v>
      </c>
      <c r="CM64" s="161">
        <v>3000</v>
      </c>
      <c r="CN64" s="162">
        <v>1500</v>
      </c>
      <c r="CO64" s="161">
        <f>10000-4500+1000</f>
        <v>6500</v>
      </c>
      <c r="CP64" s="162">
        <f>10000-4500+1000</f>
        <v>6500</v>
      </c>
      <c r="CQ64" s="161">
        <v>2572</v>
      </c>
      <c r="CR64" s="162">
        <v>2572</v>
      </c>
      <c r="CS64" s="161"/>
      <c r="CT64" s="162"/>
      <c r="CU64" s="161">
        <f>12000+6000+3000+4500+6000</f>
        <v>31500</v>
      </c>
      <c r="CV64" s="162">
        <f>12000+6000+3000+4500+6000</f>
        <v>31500</v>
      </c>
      <c r="CW64" s="161">
        <v>9500</v>
      </c>
      <c r="CX64" s="162">
        <f>14000+760</f>
        <v>14760</v>
      </c>
      <c r="CY64" s="161"/>
      <c r="CZ64" s="162"/>
      <c r="DA64" s="161"/>
      <c r="DB64" s="162"/>
      <c r="DC64" s="161"/>
      <c r="DD64" s="162"/>
      <c r="DE64" s="161"/>
      <c r="DF64" s="162"/>
      <c r="DG64" s="161">
        <v>200</v>
      </c>
      <c r="DH64" s="162">
        <v>0</v>
      </c>
      <c r="DI64" s="161"/>
      <c r="DJ64" s="162"/>
      <c r="DK64" s="161"/>
      <c r="DL64" s="162"/>
      <c r="DM64" s="161"/>
      <c r="DN64" s="162"/>
      <c r="DO64" s="161"/>
      <c r="DP64" s="162"/>
      <c r="DQ64" s="161"/>
      <c r="DR64" s="162"/>
      <c r="DS64" s="161"/>
      <c r="DT64" s="162"/>
      <c r="DU64" s="161"/>
      <c r="DV64" s="162"/>
    </row>
    <row r="65" spans="1:126" x14ac:dyDescent="0.2">
      <c r="A65" s="160" t="s">
        <v>904</v>
      </c>
      <c r="B65" s="160" t="s">
        <v>905</v>
      </c>
      <c r="C65" s="161" t="e">
        <f t="shared" si="342"/>
        <v>#REF!</v>
      </c>
      <c r="D65" s="162" t="e">
        <f t="shared" si="338"/>
        <v>#REF!</v>
      </c>
      <c r="E65" s="161">
        <f t="shared" si="389"/>
        <v>304858</v>
      </c>
      <c r="F65" s="162" t="e">
        <f t="shared" si="390"/>
        <v>#REF!</v>
      </c>
      <c r="G65" s="161">
        <f t="shared" si="391"/>
        <v>0</v>
      </c>
      <c r="H65" s="162">
        <f t="shared" si="391"/>
        <v>0</v>
      </c>
      <c r="I65" s="161"/>
      <c r="J65" s="162"/>
      <c r="K65" s="161"/>
      <c r="L65" s="162"/>
      <c r="M65" s="161"/>
      <c r="N65" s="162"/>
      <c r="O65" s="161"/>
      <c r="P65" s="162"/>
      <c r="Q65" s="161"/>
      <c r="R65" s="162"/>
      <c r="S65" s="161"/>
      <c r="T65" s="162"/>
      <c r="U65" s="161"/>
      <c r="V65" s="162"/>
      <c r="W65" s="161"/>
      <c r="X65" s="162"/>
      <c r="Y65" s="161"/>
      <c r="Z65" s="162"/>
      <c r="AA65" s="161"/>
      <c r="AB65" s="162"/>
      <c r="AC65" s="161"/>
      <c r="AD65" s="162"/>
      <c r="AE65" s="161">
        <f>'[3]2D Céltartalék'!D24</f>
        <v>304858</v>
      </c>
      <c r="AF65" s="162" t="e">
        <f>'2D Céltartalék'!#REF!</f>
        <v>#REF!</v>
      </c>
      <c r="AG65" s="161"/>
      <c r="AH65" s="162">
        <f>'2D Céltartalék'!D34</f>
        <v>0</v>
      </c>
      <c r="AI65" s="161"/>
      <c r="AJ65" s="162"/>
      <c r="AK65" s="161"/>
      <c r="AL65" s="162"/>
      <c r="AM65" s="161"/>
      <c r="AN65" s="162"/>
      <c r="AO65" s="161"/>
      <c r="AP65" s="162"/>
      <c r="AQ65" s="161"/>
      <c r="AR65" s="162"/>
      <c r="AS65" s="161"/>
      <c r="AT65" s="162"/>
      <c r="AU65" s="161"/>
      <c r="AV65" s="162"/>
      <c r="AW65" s="161"/>
      <c r="AX65" s="162"/>
      <c r="AY65" s="161"/>
      <c r="AZ65" s="162"/>
      <c r="BA65" s="161"/>
      <c r="BB65" s="162"/>
      <c r="BC65" s="161"/>
      <c r="BD65" s="162"/>
      <c r="BE65" s="161"/>
      <c r="BF65" s="162"/>
      <c r="BG65" s="161"/>
      <c r="BH65" s="162"/>
      <c r="BI65" s="161"/>
      <c r="BJ65" s="162"/>
      <c r="BK65" s="161"/>
      <c r="BL65" s="162"/>
      <c r="BM65" s="161"/>
      <c r="BN65" s="162"/>
      <c r="BO65" s="161"/>
      <c r="BP65" s="162"/>
      <c r="BQ65" s="161"/>
      <c r="BR65" s="162"/>
      <c r="BS65" s="161"/>
      <c r="BT65" s="162"/>
      <c r="BU65" s="161"/>
      <c r="BV65" s="162"/>
      <c r="BW65" s="161"/>
      <c r="BX65" s="162"/>
      <c r="BY65" s="161"/>
      <c r="BZ65" s="162"/>
      <c r="CA65" s="161"/>
      <c r="CB65" s="162"/>
      <c r="CC65" s="161"/>
      <c r="CD65" s="162"/>
      <c r="CE65" s="161"/>
      <c r="CF65" s="162"/>
      <c r="CG65" s="161"/>
      <c r="CH65" s="162"/>
      <c r="CI65" s="161"/>
      <c r="CJ65" s="162"/>
      <c r="CK65" s="161"/>
      <c r="CL65" s="162"/>
      <c r="CM65" s="161"/>
      <c r="CN65" s="162"/>
      <c r="CO65" s="161"/>
      <c r="CP65" s="162"/>
      <c r="CQ65" s="161"/>
      <c r="CR65" s="162"/>
      <c r="CS65" s="161"/>
      <c r="CT65" s="162"/>
      <c r="CU65" s="161"/>
      <c r="CV65" s="162"/>
      <c r="CW65" s="161"/>
      <c r="CX65" s="162"/>
      <c r="CY65" s="161"/>
      <c r="CZ65" s="162"/>
      <c r="DA65" s="161"/>
      <c r="DB65" s="162"/>
      <c r="DC65" s="161"/>
      <c r="DD65" s="162"/>
      <c r="DE65" s="161"/>
      <c r="DF65" s="162"/>
      <c r="DG65" s="161"/>
      <c r="DH65" s="162"/>
      <c r="DI65" s="161"/>
      <c r="DJ65" s="162"/>
      <c r="DK65" s="161"/>
      <c r="DL65" s="162"/>
      <c r="DM65" s="161"/>
      <c r="DN65" s="162"/>
      <c r="DO65" s="161"/>
      <c r="DP65" s="162"/>
      <c r="DQ65" s="161"/>
      <c r="DR65" s="162"/>
      <c r="DS65" s="161"/>
      <c r="DT65" s="162"/>
      <c r="DU65" s="161"/>
      <c r="DV65" s="162"/>
    </row>
    <row r="66" spans="1:126" x14ac:dyDescent="0.2">
      <c r="A66" s="163" t="s">
        <v>906</v>
      </c>
      <c r="B66" s="163" t="s">
        <v>339</v>
      </c>
      <c r="C66" s="164" t="e">
        <f t="shared" ref="C66:I66" si="392">SUM(C54:C65)</f>
        <v>#REF!</v>
      </c>
      <c r="D66" s="165" t="e">
        <f t="shared" si="392"/>
        <v>#REF!</v>
      </c>
      <c r="E66" s="164">
        <f t="shared" si="392"/>
        <v>317535</v>
      </c>
      <c r="F66" s="165" t="e">
        <f t="shared" si="392"/>
        <v>#REF!</v>
      </c>
      <c r="G66" s="164">
        <f t="shared" si="392"/>
        <v>287755</v>
      </c>
      <c r="H66" s="165">
        <f t="shared" si="392"/>
        <v>324862</v>
      </c>
      <c r="I66" s="164">
        <f t="shared" si="392"/>
        <v>0</v>
      </c>
      <c r="J66" s="165">
        <f t="shared" ref="J66:AO66" si="393">SUM(J54:J65)</f>
        <v>0</v>
      </c>
      <c r="K66" s="164">
        <f t="shared" si="393"/>
        <v>0</v>
      </c>
      <c r="L66" s="165">
        <f t="shared" si="393"/>
        <v>0</v>
      </c>
      <c r="M66" s="164">
        <f t="shared" si="393"/>
        <v>0</v>
      </c>
      <c r="N66" s="165">
        <f t="shared" si="393"/>
        <v>0</v>
      </c>
      <c r="O66" s="164">
        <f t="shared" si="393"/>
        <v>0</v>
      </c>
      <c r="P66" s="165">
        <f t="shared" si="393"/>
        <v>0</v>
      </c>
      <c r="Q66" s="164">
        <f t="shared" si="393"/>
        <v>0</v>
      </c>
      <c r="R66" s="165">
        <f t="shared" si="393"/>
        <v>0</v>
      </c>
      <c r="S66" s="164">
        <f t="shared" si="393"/>
        <v>0</v>
      </c>
      <c r="T66" s="165">
        <f t="shared" ref="T66" si="394">SUM(T54:T65)</f>
        <v>0</v>
      </c>
      <c r="U66" s="164">
        <f t="shared" si="393"/>
        <v>0</v>
      </c>
      <c r="V66" s="165">
        <f t="shared" ref="V66" si="395">SUM(V54:V65)</f>
        <v>0</v>
      </c>
      <c r="W66" s="164">
        <f t="shared" si="393"/>
        <v>0</v>
      </c>
      <c r="X66" s="165">
        <f t="shared" si="393"/>
        <v>0</v>
      </c>
      <c r="Y66" s="164">
        <f t="shared" si="393"/>
        <v>0</v>
      </c>
      <c r="Z66" s="165">
        <f t="shared" si="393"/>
        <v>0</v>
      </c>
      <c r="AA66" s="164">
        <f t="shared" si="393"/>
        <v>0</v>
      </c>
      <c r="AB66" s="165">
        <f t="shared" ref="AB66" si="396">SUM(AB54:AB65)</f>
        <v>0</v>
      </c>
      <c r="AC66" s="164">
        <f t="shared" si="393"/>
        <v>0</v>
      </c>
      <c r="AD66" s="165">
        <f t="shared" ref="AD66" si="397">SUM(AD54:AD65)</f>
        <v>0</v>
      </c>
      <c r="AE66" s="164">
        <f t="shared" si="393"/>
        <v>317535</v>
      </c>
      <c r="AF66" s="165" t="e">
        <f t="shared" ref="AF66:AH66" si="398">SUM(AF54:AF65)</f>
        <v>#REF!</v>
      </c>
      <c r="AG66" s="164"/>
      <c r="AH66" s="165">
        <f t="shared" si="398"/>
        <v>0</v>
      </c>
      <c r="AI66" s="164">
        <f>SUM(AI54:AI65)</f>
        <v>0</v>
      </c>
      <c r="AJ66" s="165">
        <f>SUM(AJ54:AJ65)</f>
        <v>0</v>
      </c>
      <c r="AK66" s="164">
        <f t="shared" si="393"/>
        <v>0</v>
      </c>
      <c r="AL66" s="165">
        <f t="shared" ref="AL66" si="399">SUM(AL54:AL65)</f>
        <v>0</v>
      </c>
      <c r="AM66" s="164">
        <f t="shared" si="393"/>
        <v>0</v>
      </c>
      <c r="AN66" s="165"/>
      <c r="AO66" s="164">
        <f t="shared" si="393"/>
        <v>0</v>
      </c>
      <c r="AP66" s="165">
        <f t="shared" ref="AP66" si="400">SUM(AP54:AP65)</f>
        <v>0</v>
      </c>
      <c r="AQ66" s="164">
        <f t="shared" ref="AQ66:DU66" si="401">SUM(AQ54:AQ65)</f>
        <v>0</v>
      </c>
      <c r="AR66" s="165">
        <f t="shared" ref="AR66" si="402">SUM(AR54:AR65)</f>
        <v>0</v>
      </c>
      <c r="AS66" s="164">
        <f t="shared" si="401"/>
        <v>1000</v>
      </c>
      <c r="AT66" s="165">
        <f t="shared" ref="AT66" si="403">SUM(AT54:AT65)</f>
        <v>2000</v>
      </c>
      <c r="AU66" s="164">
        <f t="shared" si="401"/>
        <v>0</v>
      </c>
      <c r="AV66" s="165">
        <f t="shared" ref="AV66" si="404">SUM(AV54:AV65)</f>
        <v>0</v>
      </c>
      <c r="AW66" s="164">
        <f t="shared" si="401"/>
        <v>0</v>
      </c>
      <c r="AX66" s="165">
        <f t="shared" ref="AX66" si="405">SUM(AX54:AX65)</f>
        <v>0</v>
      </c>
      <c r="AY66" s="164">
        <f t="shared" si="401"/>
        <v>0</v>
      </c>
      <c r="AZ66" s="165">
        <f t="shared" ref="AZ66" si="406">SUM(AZ54:AZ65)</f>
        <v>0</v>
      </c>
      <c r="BA66" s="164">
        <f t="shared" si="401"/>
        <v>0</v>
      </c>
      <c r="BB66" s="165">
        <f t="shared" ref="BB66" si="407">SUM(BB54:BB65)</f>
        <v>0</v>
      </c>
      <c r="BC66" s="164">
        <f t="shared" si="401"/>
        <v>0</v>
      </c>
      <c r="BD66" s="165">
        <f t="shared" ref="BD66" si="408">SUM(BD54:BD65)</f>
        <v>0</v>
      </c>
      <c r="BE66" s="164">
        <f t="shared" si="401"/>
        <v>0</v>
      </c>
      <c r="BF66" s="165">
        <f t="shared" ref="BF66" si="409">SUM(BF54:BF65)</f>
        <v>0</v>
      </c>
      <c r="BG66" s="164">
        <f t="shared" si="401"/>
        <v>0</v>
      </c>
      <c r="BH66" s="165">
        <f t="shared" ref="BH66" si="410">SUM(BH54:BH65)</f>
        <v>0</v>
      </c>
      <c r="BI66" s="164">
        <f t="shared" si="401"/>
        <v>0</v>
      </c>
      <c r="BJ66" s="165">
        <f t="shared" ref="BJ66" si="411">SUM(BJ54:BJ65)</f>
        <v>0</v>
      </c>
      <c r="BK66" s="164">
        <f t="shared" si="401"/>
        <v>0</v>
      </c>
      <c r="BL66" s="165">
        <f t="shared" ref="BL66" si="412">SUM(BL54:BL65)</f>
        <v>0</v>
      </c>
      <c r="BM66" s="164">
        <f t="shared" si="401"/>
        <v>0</v>
      </c>
      <c r="BN66" s="165">
        <f t="shared" ref="BN66" si="413">SUM(BN54:BN65)</f>
        <v>0</v>
      </c>
      <c r="BO66" s="164">
        <f t="shared" si="401"/>
        <v>0</v>
      </c>
      <c r="BP66" s="165">
        <f t="shared" ref="BP66" si="414">SUM(BP54:BP65)</f>
        <v>0</v>
      </c>
      <c r="BQ66" s="164">
        <f t="shared" si="401"/>
        <v>11818</v>
      </c>
      <c r="BR66" s="165">
        <f t="shared" ref="BR66" si="415">SUM(BR54:BR65)</f>
        <v>8163</v>
      </c>
      <c r="BS66" s="164">
        <f t="shared" si="401"/>
        <v>2000</v>
      </c>
      <c r="BT66" s="165">
        <f t="shared" ref="BT66" si="416">SUM(BT54:BT65)</f>
        <v>2623</v>
      </c>
      <c r="BU66" s="164">
        <f t="shared" si="401"/>
        <v>19120</v>
      </c>
      <c r="BV66" s="165">
        <f t="shared" ref="BV66" si="417">SUM(BV54:BV65)</f>
        <v>19120</v>
      </c>
      <c r="BW66" s="164">
        <f t="shared" si="401"/>
        <v>2000</v>
      </c>
      <c r="BX66" s="165">
        <f t="shared" ref="BX66" si="418">SUM(BX54:BX65)</f>
        <v>2000</v>
      </c>
      <c r="BY66" s="164">
        <f t="shared" si="401"/>
        <v>3766</v>
      </c>
      <c r="BZ66" s="165">
        <f t="shared" ref="BZ66" si="419">SUM(BZ54:BZ65)</f>
        <v>1000</v>
      </c>
      <c r="CA66" s="164">
        <f t="shared" si="401"/>
        <v>7560</v>
      </c>
      <c r="CB66" s="165">
        <f t="shared" ref="CB66" si="420">SUM(CB54:CB65)</f>
        <v>4440</v>
      </c>
      <c r="CC66" s="164">
        <f t="shared" si="401"/>
        <v>5400</v>
      </c>
      <c r="CD66" s="165">
        <f t="shared" ref="CD66" si="421">SUM(CD54:CD65)</f>
        <v>5400</v>
      </c>
      <c r="CE66" s="164">
        <f>SUM(CE54:CE65)</f>
        <v>400</v>
      </c>
      <c r="CF66" s="165">
        <f>SUM(CF54:CF65)</f>
        <v>400</v>
      </c>
      <c r="CG66" s="164">
        <f t="shared" si="401"/>
        <v>0</v>
      </c>
      <c r="CH66" s="165">
        <f t="shared" ref="CH66" si="422">SUM(CH54:CH65)</f>
        <v>0</v>
      </c>
      <c r="CI66" s="164">
        <f t="shared" si="401"/>
        <v>156331</v>
      </c>
      <c r="CJ66" s="165">
        <f t="shared" ref="CJ66" si="423">SUM(CJ54:CJ65)</f>
        <v>195415</v>
      </c>
      <c r="CK66" s="164">
        <f t="shared" si="401"/>
        <v>24888</v>
      </c>
      <c r="CL66" s="165">
        <f t="shared" ref="CL66" si="424">SUM(CL54:CL65)</f>
        <v>27269</v>
      </c>
      <c r="CM66" s="164">
        <f t="shared" si="401"/>
        <v>3000</v>
      </c>
      <c r="CN66" s="165">
        <f t="shared" ref="CN66" si="425">SUM(CN54:CN65)</f>
        <v>1500</v>
      </c>
      <c r="CO66" s="164">
        <f t="shared" si="401"/>
        <v>6500</v>
      </c>
      <c r="CP66" s="165">
        <f t="shared" ref="CP66" si="426">SUM(CP54:CP65)</f>
        <v>6500</v>
      </c>
      <c r="CQ66" s="164">
        <f t="shared" si="401"/>
        <v>2572</v>
      </c>
      <c r="CR66" s="165">
        <f t="shared" ref="CR66" si="427">SUM(CR54:CR65)</f>
        <v>2572</v>
      </c>
      <c r="CS66" s="164">
        <f t="shared" si="401"/>
        <v>0</v>
      </c>
      <c r="CT66" s="165">
        <f t="shared" ref="CT66" si="428">SUM(CT54:CT65)</f>
        <v>0</v>
      </c>
      <c r="CU66" s="164">
        <f t="shared" si="401"/>
        <v>31500</v>
      </c>
      <c r="CV66" s="165">
        <f t="shared" ref="CV66" si="429">SUM(CV54:CV65)</f>
        <v>31500</v>
      </c>
      <c r="CW66" s="164">
        <f t="shared" si="401"/>
        <v>9500</v>
      </c>
      <c r="CX66" s="165">
        <f t="shared" ref="CX66" si="430">SUM(CX54:CX65)</f>
        <v>14760</v>
      </c>
      <c r="CY66" s="164">
        <f t="shared" si="401"/>
        <v>0</v>
      </c>
      <c r="CZ66" s="165"/>
      <c r="DA66" s="164">
        <f t="shared" si="401"/>
        <v>0</v>
      </c>
      <c r="DB66" s="165"/>
      <c r="DC66" s="164">
        <f t="shared" si="401"/>
        <v>0</v>
      </c>
      <c r="DD66" s="165">
        <f t="shared" ref="DD66" si="431">SUM(DD54:DD65)</f>
        <v>0</v>
      </c>
      <c r="DE66" s="164">
        <f t="shared" si="401"/>
        <v>0</v>
      </c>
      <c r="DF66" s="165">
        <f t="shared" ref="DF66" si="432">SUM(DF54:DF65)</f>
        <v>0</v>
      </c>
      <c r="DG66" s="164">
        <f t="shared" si="401"/>
        <v>200</v>
      </c>
      <c r="DH66" s="165">
        <f t="shared" ref="DH66" si="433">SUM(DH54:DH65)</f>
        <v>0</v>
      </c>
      <c r="DI66" s="164">
        <f t="shared" si="401"/>
        <v>0</v>
      </c>
      <c r="DJ66" s="165">
        <f t="shared" ref="DJ66" si="434">SUM(DJ54:DJ65)</f>
        <v>0</v>
      </c>
      <c r="DK66" s="164">
        <f t="shared" si="401"/>
        <v>0</v>
      </c>
      <c r="DL66" s="165">
        <f t="shared" ref="DL66" si="435">SUM(DL54:DL65)</f>
        <v>0</v>
      </c>
      <c r="DM66" s="164">
        <f t="shared" si="401"/>
        <v>0</v>
      </c>
      <c r="DN66" s="165">
        <f t="shared" ref="DN66" si="436">SUM(DN54:DN65)</f>
        <v>0</v>
      </c>
      <c r="DO66" s="164">
        <f t="shared" si="401"/>
        <v>0</v>
      </c>
      <c r="DP66" s="165">
        <f t="shared" ref="DP66" si="437">SUM(DP54:DP65)</f>
        <v>0</v>
      </c>
      <c r="DQ66" s="164">
        <f t="shared" si="401"/>
        <v>0</v>
      </c>
      <c r="DR66" s="165"/>
      <c r="DS66" s="164">
        <f t="shared" si="401"/>
        <v>0</v>
      </c>
      <c r="DT66" s="165">
        <f t="shared" ref="DT66" si="438">SUM(DT54:DT65)</f>
        <v>0</v>
      </c>
      <c r="DU66" s="164">
        <f t="shared" si="401"/>
        <v>200</v>
      </c>
      <c r="DV66" s="165">
        <f t="shared" ref="DV66" si="439">SUM(DV54:DV65)</f>
        <v>200</v>
      </c>
    </row>
    <row r="67" spans="1:126" x14ac:dyDescent="0.2">
      <c r="A67" s="160" t="s">
        <v>195</v>
      </c>
      <c r="B67" s="160" t="s">
        <v>197</v>
      </c>
      <c r="C67" s="161">
        <f t="shared" si="342"/>
        <v>11044</v>
      </c>
      <c r="D67" s="162">
        <f t="shared" si="338"/>
        <v>7874</v>
      </c>
      <c r="E67" s="161">
        <f t="shared" ref="E67:E73" si="440">K67+M67+O66:O67+Q67+S67+U67+W67+Y67+AA67+AC67+AE67+AI67</f>
        <v>3170</v>
      </c>
      <c r="F67" s="162">
        <f t="shared" ref="F67:F72" si="441">L67+N67+P66:P67+R67+T67+V67+X67+Z67+AB67+AD67+AF67+AJ67+AH67</f>
        <v>7874</v>
      </c>
      <c r="G67" s="161">
        <f t="shared" ref="G67:H105" si="442">AK67+AM67+AO67+AQ67+AS67+AU67+AW67+AY67+BA67+BC67+BE67+BG67+BI67+BK67+BM67+BO67+BQ67+BS67+BU67+BW67+BY67+CA67+CC67+CE67+CG67+CI67+CK67+CM67+CO67+CQ67+CS67+CU67+CW67+DA67+CY67+DC67+DE67+DG67+DI67+DK67+DM67+DO67+DQ67+DS67+DU67</f>
        <v>0</v>
      </c>
      <c r="H67" s="162">
        <f t="shared" si="442"/>
        <v>0</v>
      </c>
      <c r="I67" s="161"/>
      <c r="J67" s="162"/>
      <c r="K67" s="161">
        <v>2820</v>
      </c>
      <c r="L67" s="162">
        <f>4724+3150</f>
        <v>7874</v>
      </c>
      <c r="M67" s="161"/>
      <c r="N67" s="162"/>
      <c r="O67" s="161"/>
      <c r="P67" s="162"/>
      <c r="Q67" s="161"/>
      <c r="R67" s="162"/>
      <c r="S67" s="161"/>
      <c r="T67" s="162"/>
      <c r="U67" s="161"/>
      <c r="V67" s="162"/>
      <c r="W67" s="161"/>
      <c r="X67" s="162"/>
      <c r="Y67" s="161"/>
      <c r="Z67" s="162"/>
      <c r="AA67" s="161"/>
      <c r="AB67" s="162"/>
      <c r="AC67" s="161"/>
      <c r="AD67" s="162"/>
      <c r="AE67" s="161">
        <f>'[3]7. beruházás'!J18</f>
        <v>350</v>
      </c>
      <c r="AF67" s="162">
        <v>0</v>
      </c>
      <c r="AG67" s="161"/>
      <c r="AH67" s="162">
        <v>0</v>
      </c>
      <c r="AI67" s="161"/>
      <c r="AJ67" s="162"/>
      <c r="AK67" s="161"/>
      <c r="AL67" s="162"/>
      <c r="AM67" s="161"/>
      <c r="AN67" s="162"/>
      <c r="AO67" s="161"/>
      <c r="AP67" s="162"/>
      <c r="AQ67" s="161"/>
      <c r="AR67" s="162"/>
      <c r="AS67" s="161"/>
      <c r="AT67" s="162"/>
      <c r="AU67" s="161"/>
      <c r="AV67" s="162"/>
      <c r="AW67" s="161"/>
      <c r="AX67" s="162"/>
      <c r="AY67" s="161"/>
      <c r="AZ67" s="162"/>
      <c r="BA67" s="161"/>
      <c r="BB67" s="162"/>
      <c r="BC67" s="161"/>
      <c r="BD67" s="162"/>
      <c r="BE67" s="161"/>
      <c r="BF67" s="162"/>
      <c r="BG67" s="161"/>
      <c r="BH67" s="162"/>
      <c r="BI67" s="161"/>
      <c r="BJ67" s="162"/>
      <c r="BK67" s="161"/>
      <c r="BL67" s="162"/>
      <c r="BM67" s="161"/>
      <c r="BN67" s="162"/>
      <c r="BO67" s="161"/>
      <c r="BP67" s="162"/>
      <c r="BQ67" s="161"/>
      <c r="BR67" s="162"/>
      <c r="BS67" s="161"/>
      <c r="BT67" s="162"/>
      <c r="BU67" s="161"/>
      <c r="BV67" s="162"/>
      <c r="BW67" s="161"/>
      <c r="BX67" s="162"/>
      <c r="BY67" s="161"/>
      <c r="BZ67" s="162"/>
      <c r="CA67" s="161"/>
      <c r="CB67" s="162"/>
      <c r="CC67" s="161"/>
      <c r="CD67" s="162"/>
      <c r="CE67" s="161"/>
      <c r="CF67" s="162"/>
      <c r="CG67" s="161"/>
      <c r="CH67" s="162"/>
      <c r="CI67" s="161"/>
      <c r="CJ67" s="162"/>
      <c r="CK67" s="161"/>
      <c r="CL67" s="162"/>
      <c r="CM67" s="161"/>
      <c r="CN67" s="162"/>
      <c r="CO67" s="161"/>
      <c r="CP67" s="162"/>
      <c r="CQ67" s="161"/>
      <c r="CR67" s="162"/>
      <c r="CS67" s="161"/>
      <c r="CT67" s="162"/>
      <c r="CU67" s="161"/>
      <c r="CV67" s="162"/>
      <c r="CW67" s="161"/>
      <c r="CX67" s="162"/>
      <c r="CY67" s="161"/>
      <c r="CZ67" s="162"/>
      <c r="DA67" s="161"/>
      <c r="DB67" s="162"/>
      <c r="DC67" s="161"/>
      <c r="DD67" s="162"/>
      <c r="DE67" s="161"/>
      <c r="DF67" s="162"/>
      <c r="DG67" s="161"/>
      <c r="DH67" s="162"/>
      <c r="DI67" s="161"/>
      <c r="DJ67" s="162"/>
      <c r="DK67" s="161"/>
      <c r="DL67" s="162"/>
      <c r="DM67" s="161"/>
      <c r="DN67" s="162"/>
      <c r="DO67" s="161"/>
      <c r="DP67" s="162"/>
      <c r="DQ67" s="161"/>
      <c r="DR67" s="162"/>
      <c r="DS67" s="161"/>
      <c r="DT67" s="162"/>
      <c r="DU67" s="161"/>
      <c r="DV67" s="162"/>
    </row>
    <row r="68" spans="1:126" x14ac:dyDescent="0.2">
      <c r="A68" s="160" t="s">
        <v>198</v>
      </c>
      <c r="B68" s="160" t="s">
        <v>200</v>
      </c>
      <c r="C68" s="161" t="e">
        <f t="shared" si="342"/>
        <v>#REF!</v>
      </c>
      <c r="D68" s="162" t="e">
        <f>F68+H68+J68</f>
        <v>#REF!</v>
      </c>
      <c r="E68" s="161">
        <f t="shared" si="440"/>
        <v>106320</v>
      </c>
      <c r="F68" s="162">
        <f>L68+N68+P67:P68+R68+T68+V68+X68+Z68+AB68+AD68+AF68+AJ68+AH68</f>
        <v>2995</v>
      </c>
      <c r="G68" s="161">
        <f t="shared" si="442"/>
        <v>199644</v>
      </c>
      <c r="H68" s="162" t="e">
        <f t="shared" si="442"/>
        <v>#REF!</v>
      </c>
      <c r="I68" s="161"/>
      <c r="J68" s="162"/>
      <c r="K68" s="161">
        <v>3937</v>
      </c>
      <c r="L68" s="162"/>
      <c r="M68" s="161"/>
      <c r="N68" s="162">
        <v>1181</v>
      </c>
      <c r="O68" s="161"/>
      <c r="P68" s="162"/>
      <c r="Q68" s="161"/>
      <c r="R68" s="162"/>
      <c r="S68" s="161"/>
      <c r="T68" s="162"/>
      <c r="U68" s="161"/>
      <c r="V68" s="162"/>
      <c r="W68" s="161"/>
      <c r="X68" s="162"/>
      <c r="Y68" s="161"/>
      <c r="Z68" s="162">
        <f>414</f>
        <v>414</v>
      </c>
      <c r="AA68" s="161"/>
      <c r="AB68" s="162">
        <v>1400</v>
      </c>
      <c r="AC68" s="161"/>
      <c r="AD68" s="162"/>
      <c r="AE68" s="161">
        <f>'[3]7. beruházás'!J8+'[3]7. beruházás'!J12+'[3]7. beruházás'!J13+'[3]7. beruházás'!J17+'[3]7. beruházás'!J19+'[3]7. beruházás'!J24+'[3]7. beruházás'!J26</f>
        <v>102383</v>
      </c>
      <c r="AF68" s="162">
        <v>0</v>
      </c>
      <c r="AG68" s="161"/>
      <c r="AH68" s="162">
        <v>0</v>
      </c>
      <c r="AI68" s="161"/>
      <c r="AJ68" s="162"/>
      <c r="AK68" s="161"/>
      <c r="AL68" s="162"/>
      <c r="AM68" s="161"/>
      <c r="AN68" s="162"/>
      <c r="AO68" s="161"/>
      <c r="AP68" s="162"/>
      <c r="AQ68" s="161"/>
      <c r="AR68" s="162"/>
      <c r="AS68" s="161"/>
      <c r="AT68" s="162"/>
      <c r="AU68" s="161"/>
      <c r="AV68" s="162"/>
      <c r="AW68" s="161"/>
      <c r="AX68" s="162"/>
      <c r="AY68" s="161"/>
      <c r="AZ68" s="162"/>
      <c r="BA68" s="161"/>
      <c r="BB68" s="162"/>
      <c r="BC68" s="161"/>
      <c r="BD68" s="162"/>
      <c r="BE68" s="161"/>
      <c r="BF68" s="162"/>
      <c r="BG68" s="161"/>
      <c r="BH68" s="162"/>
      <c r="BI68" s="161"/>
      <c r="BJ68" s="162"/>
      <c r="BK68" s="161"/>
      <c r="BL68" s="162"/>
      <c r="BM68" s="161"/>
      <c r="BN68" s="162"/>
      <c r="BO68" s="161"/>
      <c r="BP68" s="162"/>
      <c r="BQ68" s="161"/>
      <c r="BR68" s="162"/>
      <c r="BS68" s="161"/>
      <c r="BT68" s="162"/>
      <c r="BU68" s="161"/>
      <c r="BV68" s="162"/>
      <c r="BW68" s="161"/>
      <c r="BX68" s="162"/>
      <c r="BY68" s="161"/>
      <c r="BZ68" s="162"/>
      <c r="CA68" s="161"/>
      <c r="CB68" s="162"/>
      <c r="CC68" s="161"/>
      <c r="CD68" s="162"/>
      <c r="CE68" s="161"/>
      <c r="CF68" s="162"/>
      <c r="CG68" s="161"/>
      <c r="CH68" s="162"/>
      <c r="CI68" s="161"/>
      <c r="CJ68" s="162"/>
      <c r="CK68" s="161"/>
      <c r="CL68" s="162"/>
      <c r="CM68" s="161"/>
      <c r="CN68" s="162"/>
      <c r="CO68" s="161"/>
      <c r="CP68" s="162"/>
      <c r="CQ68" s="161"/>
      <c r="CR68" s="162"/>
      <c r="CS68" s="161"/>
      <c r="CT68" s="162"/>
      <c r="CU68" s="161"/>
      <c r="CV68" s="162"/>
      <c r="CW68" s="161"/>
      <c r="CX68" s="162"/>
      <c r="CY68" s="161"/>
      <c r="CZ68" s="162"/>
      <c r="DA68" s="161"/>
      <c r="DB68" s="162"/>
      <c r="DC68" s="161"/>
      <c r="DD68" s="162"/>
      <c r="DE68" s="161"/>
      <c r="DF68" s="162"/>
      <c r="DG68" s="161"/>
      <c r="DH68" s="162"/>
      <c r="DI68" s="161">
        <f>'[3]7. beruházás'!J6+'[3]7. beruházás'!J7+'[3]7. beruházás'!J9+'[3]7. beruházás'!J10+'[3]7. beruházás'!J11+'[3]7. beruházás'!J14+'[3]7. beruházás'!J16+'[3]7. beruházás'!J15+'[3]7. beruházás'!J22+'[3]7. beruházás'!J25</f>
        <v>199644</v>
      </c>
      <c r="DJ68" s="162" t="e">
        <f>'8. beruházás'!#REF!+'8. beruházás'!#REF!+'8. beruházás'!#REF!+'8. beruházás'!#REF!+'8. beruházás'!#REF!+'8. beruházás'!#REF!+'8. beruházás'!#REF!+'8. beruházás'!#REF!+'8. beruházás'!#REF!+'8. beruházás'!#REF!+'8. beruházás'!#REF!+'8. beruházás'!#REF!+'8. beruházás'!#REF!+'8. beruházás'!#REF!-195901</f>
        <v>#REF!</v>
      </c>
      <c r="DK68" s="161"/>
      <c r="DL68" s="162"/>
      <c r="DM68" s="161"/>
      <c r="DN68" s="162"/>
      <c r="DO68" s="161"/>
      <c r="DP68" s="162"/>
      <c r="DQ68" s="161"/>
      <c r="DR68" s="162"/>
      <c r="DS68" s="161"/>
      <c r="DT68" s="162"/>
      <c r="DU68" s="161"/>
      <c r="DV68" s="162"/>
    </row>
    <row r="69" spans="1:126" x14ac:dyDescent="0.2">
      <c r="A69" s="160" t="s">
        <v>201</v>
      </c>
      <c r="B69" s="160" t="s">
        <v>203</v>
      </c>
      <c r="C69" s="161">
        <f t="shared" si="342"/>
        <v>3937</v>
      </c>
      <c r="D69" s="162">
        <f t="shared" si="338"/>
        <v>0</v>
      </c>
      <c r="E69" s="161">
        <f t="shared" si="440"/>
        <v>0</v>
      </c>
      <c r="F69" s="162">
        <f t="shared" si="441"/>
        <v>0</v>
      </c>
      <c r="G69" s="161">
        <f t="shared" si="442"/>
        <v>3937</v>
      </c>
      <c r="H69" s="162">
        <f t="shared" si="442"/>
        <v>0</v>
      </c>
      <c r="I69" s="161"/>
      <c r="J69" s="162"/>
      <c r="K69" s="161"/>
      <c r="L69" s="162"/>
      <c r="M69" s="161"/>
      <c r="N69" s="162"/>
      <c r="O69" s="161"/>
      <c r="P69" s="162"/>
      <c r="Q69" s="161"/>
      <c r="R69" s="162"/>
      <c r="S69" s="161"/>
      <c r="T69" s="162"/>
      <c r="U69" s="161"/>
      <c r="V69" s="162"/>
      <c r="W69" s="161"/>
      <c r="X69" s="162"/>
      <c r="Y69" s="161"/>
      <c r="Z69" s="162"/>
      <c r="AA69" s="161"/>
      <c r="AB69" s="162"/>
      <c r="AC69" s="161"/>
      <c r="AD69" s="162"/>
      <c r="AE69" s="161"/>
      <c r="AF69" s="162"/>
      <c r="AG69" s="161"/>
      <c r="AH69" s="162"/>
      <c r="AI69" s="161"/>
      <c r="AJ69" s="162"/>
      <c r="AK69" s="161"/>
      <c r="AL69" s="162"/>
      <c r="AM69" s="161"/>
      <c r="AN69" s="162"/>
      <c r="AO69" s="161"/>
      <c r="AP69" s="162"/>
      <c r="AQ69" s="161"/>
      <c r="AR69" s="162"/>
      <c r="AS69" s="161"/>
      <c r="AT69" s="162"/>
      <c r="AU69" s="161"/>
      <c r="AV69" s="162"/>
      <c r="AW69" s="161"/>
      <c r="AX69" s="162"/>
      <c r="AY69" s="161"/>
      <c r="AZ69" s="162"/>
      <c r="BA69" s="161"/>
      <c r="BB69" s="162"/>
      <c r="BC69" s="161"/>
      <c r="BD69" s="162"/>
      <c r="BE69" s="161"/>
      <c r="BF69" s="162"/>
      <c r="BG69" s="161"/>
      <c r="BH69" s="162"/>
      <c r="BI69" s="161"/>
      <c r="BJ69" s="162"/>
      <c r="BK69" s="161"/>
      <c r="BL69" s="162"/>
      <c r="BM69" s="161"/>
      <c r="BN69" s="162"/>
      <c r="BO69" s="161"/>
      <c r="BP69" s="162"/>
      <c r="BQ69" s="161"/>
      <c r="BR69" s="162"/>
      <c r="BS69" s="161"/>
      <c r="BT69" s="162"/>
      <c r="BU69" s="161"/>
      <c r="BV69" s="162"/>
      <c r="BW69" s="161"/>
      <c r="BX69" s="162"/>
      <c r="BY69" s="161"/>
      <c r="BZ69" s="162"/>
      <c r="CA69" s="161"/>
      <c r="CB69" s="162"/>
      <c r="CC69" s="161"/>
      <c r="CD69" s="162"/>
      <c r="CE69" s="161"/>
      <c r="CF69" s="162"/>
      <c r="CG69" s="161"/>
      <c r="CH69" s="162"/>
      <c r="CI69" s="161"/>
      <c r="CJ69" s="162"/>
      <c r="CK69" s="161"/>
      <c r="CL69" s="162"/>
      <c r="CM69" s="161"/>
      <c r="CN69" s="162"/>
      <c r="CO69" s="161"/>
      <c r="CP69" s="162"/>
      <c r="CQ69" s="161"/>
      <c r="CR69" s="162"/>
      <c r="CS69" s="161"/>
      <c r="CT69" s="162"/>
      <c r="CU69" s="161"/>
      <c r="CV69" s="162"/>
      <c r="CW69" s="161"/>
      <c r="CX69" s="162"/>
      <c r="CY69" s="161"/>
      <c r="CZ69" s="162"/>
      <c r="DA69" s="161"/>
      <c r="DB69" s="162"/>
      <c r="DC69" s="161"/>
      <c r="DD69" s="162"/>
      <c r="DE69" s="161"/>
      <c r="DF69" s="162"/>
      <c r="DG69" s="161"/>
      <c r="DH69" s="162"/>
      <c r="DI69" s="161">
        <f>'[3]7. beruházás'!J28</f>
        <v>3937</v>
      </c>
      <c r="DJ69" s="162"/>
      <c r="DK69" s="161"/>
      <c r="DL69" s="162"/>
      <c r="DM69" s="161"/>
      <c r="DN69" s="162"/>
      <c r="DO69" s="161"/>
      <c r="DP69" s="162"/>
      <c r="DQ69" s="161"/>
      <c r="DR69" s="162"/>
      <c r="DS69" s="161"/>
      <c r="DT69" s="162"/>
      <c r="DU69" s="161"/>
      <c r="DV69" s="162"/>
    </row>
    <row r="70" spans="1:126" x14ac:dyDescent="0.2">
      <c r="A70" s="160" t="s">
        <v>204</v>
      </c>
      <c r="B70" s="160" t="s">
        <v>907</v>
      </c>
      <c r="C70" s="161">
        <f t="shared" si="342"/>
        <v>204456</v>
      </c>
      <c r="D70" s="162">
        <f t="shared" si="338"/>
        <v>200219</v>
      </c>
      <c r="E70" s="161">
        <f t="shared" si="440"/>
        <v>300</v>
      </c>
      <c r="F70" s="162">
        <f t="shared" si="441"/>
        <v>200219</v>
      </c>
      <c r="G70" s="161">
        <f t="shared" si="442"/>
        <v>3937</v>
      </c>
      <c r="H70" s="162">
        <f t="shared" si="442"/>
        <v>0</v>
      </c>
      <c r="I70" s="161"/>
      <c r="J70" s="162"/>
      <c r="K70" s="161"/>
      <c r="L70" s="162"/>
      <c r="M70" s="161"/>
      <c r="N70" s="162"/>
      <c r="O70" s="161"/>
      <c r="P70" s="162"/>
      <c r="Q70" s="161"/>
      <c r="R70" s="162"/>
      <c r="S70" s="161"/>
      <c r="T70" s="162"/>
      <c r="U70" s="161"/>
      <c r="V70" s="162"/>
      <c r="W70" s="161"/>
      <c r="X70" s="162"/>
      <c r="Y70" s="161"/>
      <c r="Z70" s="162">
        <v>3937</v>
      </c>
      <c r="AA70" s="161"/>
      <c r="AB70" s="162"/>
      <c r="AC70" s="161"/>
      <c r="AD70" s="162"/>
      <c r="AE70" s="161">
        <f>'[3]7. beruházás'!J23</f>
        <v>300</v>
      </c>
      <c r="AF70" s="162">
        <f>381+195901</f>
        <v>196282</v>
      </c>
      <c r="AG70" s="161"/>
      <c r="AH70" s="162"/>
      <c r="AI70" s="161"/>
      <c r="AJ70" s="162"/>
      <c r="AK70" s="161"/>
      <c r="AL70" s="162"/>
      <c r="AM70" s="161"/>
      <c r="AN70" s="162"/>
      <c r="AO70" s="161"/>
      <c r="AP70" s="162"/>
      <c r="AQ70" s="161"/>
      <c r="AR70" s="162"/>
      <c r="AS70" s="161"/>
      <c r="AT70" s="162"/>
      <c r="AU70" s="161"/>
      <c r="AV70" s="162"/>
      <c r="AW70" s="161"/>
      <c r="AX70" s="162"/>
      <c r="AY70" s="161"/>
      <c r="AZ70" s="162"/>
      <c r="BA70" s="161"/>
      <c r="BB70" s="162"/>
      <c r="BC70" s="161"/>
      <c r="BD70" s="162"/>
      <c r="BE70" s="161"/>
      <c r="BF70" s="162"/>
      <c r="BG70" s="161"/>
      <c r="BH70" s="162"/>
      <c r="BI70" s="161"/>
      <c r="BJ70" s="162"/>
      <c r="BK70" s="161"/>
      <c r="BL70" s="162"/>
      <c r="BM70" s="161"/>
      <c r="BN70" s="162"/>
      <c r="BO70" s="161"/>
      <c r="BP70" s="162"/>
      <c r="BQ70" s="161"/>
      <c r="BR70" s="162"/>
      <c r="BS70" s="161"/>
      <c r="BT70" s="162"/>
      <c r="BU70" s="161"/>
      <c r="BV70" s="162"/>
      <c r="BW70" s="161"/>
      <c r="BX70" s="162"/>
      <c r="BY70" s="161"/>
      <c r="BZ70" s="162"/>
      <c r="CA70" s="161"/>
      <c r="CB70" s="162"/>
      <c r="CC70" s="161"/>
      <c r="CD70" s="162"/>
      <c r="CE70" s="161"/>
      <c r="CF70" s="162"/>
      <c r="CG70" s="161"/>
      <c r="CH70" s="162"/>
      <c r="CI70" s="161"/>
      <c r="CJ70" s="162"/>
      <c r="CK70" s="161"/>
      <c r="CL70" s="162"/>
      <c r="CM70" s="161"/>
      <c r="CN70" s="162"/>
      <c r="CO70" s="161"/>
      <c r="CP70" s="162"/>
      <c r="CQ70" s="161"/>
      <c r="CR70" s="162"/>
      <c r="CS70" s="161"/>
      <c r="CT70" s="162"/>
      <c r="CU70" s="161"/>
      <c r="CV70" s="162"/>
      <c r="CW70" s="161"/>
      <c r="CX70" s="162"/>
      <c r="CY70" s="161"/>
      <c r="CZ70" s="162"/>
      <c r="DA70" s="161"/>
      <c r="DB70" s="162"/>
      <c r="DC70" s="161"/>
      <c r="DD70" s="162"/>
      <c r="DE70" s="161"/>
      <c r="DF70" s="162"/>
      <c r="DG70" s="161"/>
      <c r="DH70" s="162"/>
      <c r="DI70" s="161">
        <f>'[3]7. beruházás'!J27</f>
        <v>3937</v>
      </c>
      <c r="DJ70" s="162"/>
      <c r="DK70" s="161"/>
      <c r="DL70" s="162"/>
      <c r="DM70" s="161"/>
      <c r="DN70" s="162"/>
      <c r="DO70" s="161"/>
      <c r="DP70" s="162"/>
      <c r="DQ70" s="161"/>
      <c r="DR70" s="162"/>
      <c r="DS70" s="161"/>
      <c r="DT70" s="162"/>
      <c r="DU70" s="161"/>
      <c r="DV70" s="162"/>
    </row>
    <row r="71" spans="1:126" x14ac:dyDescent="0.2">
      <c r="A71" s="160" t="s">
        <v>209</v>
      </c>
      <c r="B71" s="160" t="s">
        <v>211</v>
      </c>
      <c r="C71" s="161">
        <f t="shared" si="342"/>
        <v>0</v>
      </c>
      <c r="D71" s="162">
        <f t="shared" si="338"/>
        <v>0</v>
      </c>
      <c r="E71" s="161">
        <f t="shared" si="440"/>
        <v>0</v>
      </c>
      <c r="F71" s="162">
        <f t="shared" si="441"/>
        <v>0</v>
      </c>
      <c r="G71" s="161">
        <f t="shared" si="442"/>
        <v>0</v>
      </c>
      <c r="H71" s="162">
        <f t="shared" si="442"/>
        <v>0</v>
      </c>
      <c r="I71" s="161"/>
      <c r="J71" s="162"/>
      <c r="K71" s="161"/>
      <c r="L71" s="162"/>
      <c r="M71" s="161"/>
      <c r="N71" s="162"/>
      <c r="O71" s="161"/>
      <c r="P71" s="162"/>
      <c r="Q71" s="161"/>
      <c r="R71" s="162"/>
      <c r="S71" s="161"/>
      <c r="T71" s="162"/>
      <c r="U71" s="161"/>
      <c r="V71" s="162"/>
      <c r="W71" s="161"/>
      <c r="X71" s="162"/>
      <c r="Y71" s="161"/>
      <c r="Z71" s="162"/>
      <c r="AA71" s="161"/>
      <c r="AB71" s="162"/>
      <c r="AC71" s="161"/>
      <c r="AD71" s="162"/>
      <c r="AE71" s="161"/>
      <c r="AF71" s="162"/>
      <c r="AG71" s="161"/>
      <c r="AH71" s="162"/>
      <c r="AI71" s="161"/>
      <c r="AJ71" s="162"/>
      <c r="AK71" s="161"/>
      <c r="AL71" s="162"/>
      <c r="AM71" s="161"/>
      <c r="AN71" s="162"/>
      <c r="AO71" s="161"/>
      <c r="AP71" s="162"/>
      <c r="AQ71" s="161"/>
      <c r="AR71" s="162"/>
      <c r="AS71" s="161"/>
      <c r="AT71" s="162"/>
      <c r="AU71" s="161"/>
      <c r="AV71" s="162"/>
      <c r="AW71" s="161"/>
      <c r="AX71" s="162"/>
      <c r="AY71" s="161"/>
      <c r="AZ71" s="162"/>
      <c r="BA71" s="161"/>
      <c r="BB71" s="162"/>
      <c r="BC71" s="161"/>
      <c r="BD71" s="162"/>
      <c r="BE71" s="161"/>
      <c r="BF71" s="162"/>
      <c r="BG71" s="161"/>
      <c r="BH71" s="162"/>
      <c r="BI71" s="161"/>
      <c r="BJ71" s="162"/>
      <c r="BK71" s="161"/>
      <c r="BL71" s="162"/>
      <c r="BM71" s="161"/>
      <c r="BN71" s="162"/>
      <c r="BO71" s="161"/>
      <c r="BP71" s="162"/>
      <c r="BQ71" s="161"/>
      <c r="BR71" s="162"/>
      <c r="BS71" s="161"/>
      <c r="BT71" s="162"/>
      <c r="BU71" s="161"/>
      <c r="BV71" s="162"/>
      <c r="BW71" s="161"/>
      <c r="BX71" s="162"/>
      <c r="BY71" s="161"/>
      <c r="BZ71" s="162"/>
      <c r="CA71" s="161"/>
      <c r="CB71" s="162"/>
      <c r="CC71" s="161"/>
      <c r="CD71" s="162"/>
      <c r="CE71" s="161"/>
      <c r="CF71" s="162"/>
      <c r="CG71" s="161"/>
      <c r="CH71" s="162"/>
      <c r="CI71" s="161"/>
      <c r="CJ71" s="162"/>
      <c r="CK71" s="161"/>
      <c r="CL71" s="162"/>
      <c r="CM71" s="161"/>
      <c r="CN71" s="162"/>
      <c r="CO71" s="161"/>
      <c r="CP71" s="162"/>
      <c r="CQ71" s="161"/>
      <c r="CR71" s="162"/>
      <c r="CS71" s="161"/>
      <c r="CT71" s="162"/>
      <c r="CU71" s="161"/>
      <c r="CV71" s="162"/>
      <c r="CW71" s="161"/>
      <c r="CX71" s="162"/>
      <c r="CY71" s="161"/>
      <c r="CZ71" s="162"/>
      <c r="DA71" s="161"/>
      <c r="DB71" s="162"/>
      <c r="DC71" s="161"/>
      <c r="DD71" s="162"/>
      <c r="DE71" s="161"/>
      <c r="DF71" s="162"/>
      <c r="DG71" s="161"/>
      <c r="DH71" s="162"/>
      <c r="DI71" s="161"/>
      <c r="DJ71" s="162"/>
      <c r="DK71" s="161"/>
      <c r="DL71" s="162"/>
      <c r="DM71" s="161"/>
      <c r="DN71" s="162"/>
      <c r="DO71" s="161"/>
      <c r="DP71" s="162"/>
      <c r="DQ71" s="161"/>
      <c r="DR71" s="162"/>
      <c r="DS71" s="161"/>
      <c r="DT71" s="162"/>
      <c r="DU71" s="161"/>
      <c r="DV71" s="162"/>
    </row>
    <row r="72" spans="1:126" x14ac:dyDescent="0.2">
      <c r="A72" s="160" t="s">
        <v>212</v>
      </c>
      <c r="B72" s="160" t="s">
        <v>908</v>
      </c>
      <c r="C72" s="161">
        <f t="shared" si="342"/>
        <v>0</v>
      </c>
      <c r="D72" s="162">
        <f t="shared" si="338"/>
        <v>0</v>
      </c>
      <c r="E72" s="161">
        <f t="shared" si="440"/>
        <v>0</v>
      </c>
      <c r="F72" s="162">
        <f t="shared" si="441"/>
        <v>0</v>
      </c>
      <c r="G72" s="161">
        <f t="shared" si="442"/>
        <v>0</v>
      </c>
      <c r="H72" s="162">
        <f t="shared" si="442"/>
        <v>0</v>
      </c>
      <c r="I72" s="161"/>
      <c r="J72" s="162"/>
      <c r="K72" s="161"/>
      <c r="L72" s="162"/>
      <c r="M72" s="161"/>
      <c r="N72" s="162"/>
      <c r="O72" s="161"/>
      <c r="P72" s="162"/>
      <c r="Q72" s="161"/>
      <c r="R72" s="162"/>
      <c r="S72" s="161"/>
      <c r="T72" s="162"/>
      <c r="U72" s="161"/>
      <c r="V72" s="162"/>
      <c r="W72" s="161"/>
      <c r="X72" s="162"/>
      <c r="Y72" s="161"/>
      <c r="Z72" s="162"/>
      <c r="AA72" s="161"/>
      <c r="AB72" s="162"/>
      <c r="AC72" s="161"/>
      <c r="AD72" s="162"/>
      <c r="AE72" s="161"/>
      <c r="AF72" s="162"/>
      <c r="AG72" s="161"/>
      <c r="AH72" s="162"/>
      <c r="AI72" s="161"/>
      <c r="AJ72" s="162"/>
      <c r="AK72" s="161"/>
      <c r="AL72" s="162"/>
      <c r="AM72" s="161"/>
      <c r="AN72" s="162"/>
      <c r="AO72" s="161"/>
      <c r="AP72" s="162"/>
      <c r="AQ72" s="161"/>
      <c r="AR72" s="162"/>
      <c r="AS72" s="161"/>
      <c r="AT72" s="162"/>
      <c r="AU72" s="161"/>
      <c r="AV72" s="162"/>
      <c r="AW72" s="161"/>
      <c r="AX72" s="162"/>
      <c r="AY72" s="161"/>
      <c r="AZ72" s="162"/>
      <c r="BA72" s="161"/>
      <c r="BB72" s="162"/>
      <c r="BC72" s="161"/>
      <c r="BD72" s="162"/>
      <c r="BE72" s="161"/>
      <c r="BF72" s="162"/>
      <c r="BG72" s="161"/>
      <c r="BH72" s="162"/>
      <c r="BI72" s="161"/>
      <c r="BJ72" s="162"/>
      <c r="BK72" s="161"/>
      <c r="BL72" s="162"/>
      <c r="BM72" s="161"/>
      <c r="BN72" s="162"/>
      <c r="BO72" s="161"/>
      <c r="BP72" s="162"/>
      <c r="BQ72" s="161"/>
      <c r="BR72" s="162"/>
      <c r="BS72" s="161"/>
      <c r="BT72" s="162"/>
      <c r="BU72" s="161"/>
      <c r="BV72" s="162"/>
      <c r="BW72" s="161"/>
      <c r="BX72" s="162"/>
      <c r="BY72" s="161"/>
      <c r="BZ72" s="162"/>
      <c r="CA72" s="161"/>
      <c r="CB72" s="162"/>
      <c r="CC72" s="161"/>
      <c r="CD72" s="162"/>
      <c r="CE72" s="161"/>
      <c r="CF72" s="162"/>
      <c r="CG72" s="161"/>
      <c r="CH72" s="162"/>
      <c r="CI72" s="161"/>
      <c r="CJ72" s="162"/>
      <c r="CK72" s="161"/>
      <c r="CL72" s="162"/>
      <c r="CM72" s="161"/>
      <c r="CN72" s="162"/>
      <c r="CO72" s="161"/>
      <c r="CP72" s="162"/>
      <c r="CQ72" s="161"/>
      <c r="CR72" s="162"/>
      <c r="CS72" s="161"/>
      <c r="CT72" s="162"/>
      <c r="CU72" s="161"/>
      <c r="CV72" s="162"/>
      <c r="CW72" s="161"/>
      <c r="CX72" s="162"/>
      <c r="CY72" s="161"/>
      <c r="CZ72" s="162"/>
      <c r="DA72" s="161"/>
      <c r="DB72" s="162"/>
      <c r="DC72" s="161"/>
      <c r="DD72" s="162"/>
      <c r="DE72" s="161"/>
      <c r="DF72" s="162"/>
      <c r="DG72" s="161"/>
      <c r="DH72" s="162"/>
      <c r="DI72" s="161"/>
      <c r="DJ72" s="162"/>
      <c r="DK72" s="161"/>
      <c r="DL72" s="162"/>
      <c r="DM72" s="161"/>
      <c r="DN72" s="162"/>
      <c r="DO72" s="161"/>
      <c r="DP72" s="162"/>
      <c r="DQ72" s="161"/>
      <c r="DR72" s="162"/>
      <c r="DS72" s="161"/>
      <c r="DT72" s="162"/>
      <c r="DU72" s="161"/>
      <c r="DV72" s="162"/>
    </row>
    <row r="73" spans="1:126" x14ac:dyDescent="0.2">
      <c r="A73" s="160" t="s">
        <v>215</v>
      </c>
      <c r="B73" s="160" t="s">
        <v>909</v>
      </c>
      <c r="C73" s="161">
        <f t="shared" si="342"/>
        <v>89670</v>
      </c>
      <c r="D73" s="162">
        <f t="shared" si="338"/>
        <v>3998</v>
      </c>
      <c r="E73" s="161">
        <f t="shared" si="440"/>
        <v>29643</v>
      </c>
      <c r="F73" s="162">
        <f>L73+N73+P72:P73+R73+T73+V73+X73+Z73+AB73+AD73+AF73+AJ73+AH73</f>
        <v>3998</v>
      </c>
      <c r="G73" s="161">
        <f t="shared" si="442"/>
        <v>56029</v>
      </c>
      <c r="H73" s="162">
        <f t="shared" si="442"/>
        <v>0</v>
      </c>
      <c r="I73" s="161"/>
      <c r="J73" s="162"/>
      <c r="K73" s="161">
        <f>ROUND((K67+K68+K69+K70)*0.27,0)</f>
        <v>1824</v>
      </c>
      <c r="L73" s="162">
        <f>ROUND((L67+L68+L69+L70)*0.27,0)</f>
        <v>2126</v>
      </c>
      <c r="M73" s="161"/>
      <c r="N73" s="162">
        <f>ROUND((N67+N68+N69+N70)*0.27,0)</f>
        <v>319</v>
      </c>
      <c r="O73" s="161"/>
      <c r="P73" s="162"/>
      <c r="Q73" s="161"/>
      <c r="R73" s="162"/>
      <c r="S73" s="161"/>
      <c r="T73" s="162"/>
      <c r="U73" s="161"/>
      <c r="V73" s="162">
        <f>ROUND((V67+V68+V69+V70)*0.27,0)</f>
        <v>0</v>
      </c>
      <c r="W73" s="161"/>
      <c r="X73" s="162"/>
      <c r="Y73" s="161"/>
      <c r="Z73" s="162">
        <f>ROUND((Z67+Z68+Z69+Z70)*0.27,0)</f>
        <v>1175</v>
      </c>
      <c r="AA73" s="161"/>
      <c r="AB73" s="162">
        <f>ROUND((AB67+AB68+AB69+AB70)*0.27,0)</f>
        <v>378</v>
      </c>
      <c r="AC73" s="161"/>
      <c r="AD73" s="162"/>
      <c r="AE73" s="161">
        <f>'[3]7. beruházás'!K23+'[3]7. beruházás'!K8+'[3]7. beruházás'!K12+'[3]7. beruházás'!K13+'[3]7. beruházás'!K17+'[3]7. beruházás'!K18+'[3]7. beruházás'!K19+'[3]7. beruházás'!K24+'[3]7. beruházás'!K26</f>
        <v>27819</v>
      </c>
      <c r="AF73" s="162"/>
      <c r="AG73" s="161"/>
      <c r="AH73" s="162">
        <f>ROUND((AH67+AH68+AH69+AH70)*0.27,0)</f>
        <v>0</v>
      </c>
      <c r="AI73" s="161"/>
      <c r="AJ73" s="162"/>
      <c r="AK73" s="161"/>
      <c r="AL73" s="162"/>
      <c r="AM73" s="161"/>
      <c r="AN73" s="162"/>
      <c r="AO73" s="161"/>
      <c r="AP73" s="162"/>
      <c r="AQ73" s="161"/>
      <c r="AR73" s="162"/>
      <c r="AS73" s="161"/>
      <c r="AT73" s="162"/>
      <c r="AU73" s="161"/>
      <c r="AV73" s="162"/>
      <c r="AW73" s="161"/>
      <c r="AX73" s="162"/>
      <c r="AY73" s="161"/>
      <c r="AZ73" s="162"/>
      <c r="BA73" s="161"/>
      <c r="BB73" s="162"/>
      <c r="BC73" s="161"/>
      <c r="BD73" s="162"/>
      <c r="BE73" s="161"/>
      <c r="BF73" s="162"/>
      <c r="BG73" s="161"/>
      <c r="BH73" s="162"/>
      <c r="BI73" s="161"/>
      <c r="BJ73" s="162"/>
      <c r="BK73" s="161"/>
      <c r="BL73" s="162"/>
      <c r="BM73" s="161"/>
      <c r="BN73" s="162"/>
      <c r="BO73" s="161"/>
      <c r="BP73" s="162"/>
      <c r="BQ73" s="161"/>
      <c r="BR73" s="162"/>
      <c r="BS73" s="161"/>
      <c r="BT73" s="162"/>
      <c r="BU73" s="161"/>
      <c r="BV73" s="162"/>
      <c r="BW73" s="161"/>
      <c r="BX73" s="162"/>
      <c r="BY73" s="161"/>
      <c r="BZ73" s="162"/>
      <c r="CA73" s="161"/>
      <c r="CB73" s="162"/>
      <c r="CC73" s="161"/>
      <c r="CD73" s="162"/>
      <c r="CE73" s="161"/>
      <c r="CF73" s="162"/>
      <c r="CG73" s="161"/>
      <c r="CH73" s="162"/>
      <c r="CI73" s="161"/>
      <c r="CJ73" s="162"/>
      <c r="CK73" s="161"/>
      <c r="CL73" s="162"/>
      <c r="CM73" s="161"/>
      <c r="CN73" s="162"/>
      <c r="CO73" s="161"/>
      <c r="CP73" s="162"/>
      <c r="CQ73" s="161"/>
      <c r="CR73" s="162"/>
      <c r="CS73" s="161"/>
      <c r="CT73" s="162"/>
      <c r="CU73" s="161"/>
      <c r="CV73" s="162"/>
      <c r="CW73" s="161"/>
      <c r="CX73" s="162"/>
      <c r="CY73" s="161"/>
      <c r="CZ73" s="162"/>
      <c r="DA73" s="161"/>
      <c r="DB73" s="162"/>
      <c r="DC73" s="161"/>
      <c r="DD73" s="162"/>
      <c r="DE73" s="161"/>
      <c r="DF73" s="162"/>
      <c r="DG73" s="161"/>
      <c r="DH73" s="162"/>
      <c r="DI73" s="161">
        <f>'[3]7. beruházás'!K6+'[3]7. beruházás'!K7+'[3]7. beruházás'!K9+'[3]7. beruházás'!K10+'[3]7. beruházás'!K11+'[3]7. beruházás'!K14+'[3]7. beruházás'!K16+'[3]7. beruházás'!K15+'[3]7. beruházás'!K22+'[3]7. beruházás'!K25+'[3]7. beruházás'!K27+'[3]7. beruházás'!K28</f>
        <v>56029</v>
      </c>
      <c r="DJ73" s="162"/>
      <c r="DK73" s="161"/>
      <c r="DL73" s="162"/>
      <c r="DM73" s="161"/>
      <c r="DN73" s="162"/>
      <c r="DO73" s="161"/>
      <c r="DP73" s="162"/>
      <c r="DQ73" s="161"/>
      <c r="DR73" s="162"/>
      <c r="DS73" s="161"/>
      <c r="DT73" s="162"/>
      <c r="DU73" s="161"/>
      <c r="DV73" s="162"/>
    </row>
    <row r="74" spans="1:126" x14ac:dyDescent="0.2">
      <c r="A74" s="163" t="s">
        <v>218</v>
      </c>
      <c r="B74" s="163" t="s">
        <v>351</v>
      </c>
      <c r="C74" s="164" t="e">
        <f t="shared" ref="C74:I74" si="443">SUM(C67:C73)</f>
        <v>#REF!</v>
      </c>
      <c r="D74" s="165" t="e">
        <f t="shared" si="443"/>
        <v>#REF!</v>
      </c>
      <c r="E74" s="164">
        <f t="shared" si="443"/>
        <v>139433</v>
      </c>
      <c r="F74" s="165">
        <f t="shared" si="443"/>
        <v>215086</v>
      </c>
      <c r="G74" s="164">
        <f t="shared" si="443"/>
        <v>263547</v>
      </c>
      <c r="H74" s="165" t="e">
        <f t="shared" si="443"/>
        <v>#REF!</v>
      </c>
      <c r="I74" s="164">
        <f t="shared" si="443"/>
        <v>0</v>
      </c>
      <c r="J74" s="165">
        <f t="shared" ref="J74:AO74" si="444">SUM(J67:J73)</f>
        <v>0</v>
      </c>
      <c r="K74" s="164">
        <f t="shared" si="444"/>
        <v>8581</v>
      </c>
      <c r="L74" s="165">
        <f t="shared" si="444"/>
        <v>10000</v>
      </c>
      <c r="M74" s="164">
        <f t="shared" si="444"/>
        <v>0</v>
      </c>
      <c r="N74" s="165">
        <f t="shared" si="444"/>
        <v>1500</v>
      </c>
      <c r="O74" s="164">
        <f t="shared" si="444"/>
        <v>0</v>
      </c>
      <c r="P74" s="165">
        <f t="shared" si="444"/>
        <v>0</v>
      </c>
      <c r="Q74" s="164">
        <f t="shared" si="444"/>
        <v>0</v>
      </c>
      <c r="R74" s="165">
        <f t="shared" si="444"/>
        <v>0</v>
      </c>
      <c r="S74" s="164">
        <f t="shared" si="444"/>
        <v>0</v>
      </c>
      <c r="T74" s="165">
        <f t="shared" ref="T74" si="445">SUM(T67:T73)</f>
        <v>0</v>
      </c>
      <c r="U74" s="164">
        <f t="shared" si="444"/>
        <v>0</v>
      </c>
      <c r="V74" s="165">
        <f t="shared" ref="V74" si="446">SUM(V67:V73)</f>
        <v>0</v>
      </c>
      <c r="W74" s="164">
        <f t="shared" si="444"/>
        <v>0</v>
      </c>
      <c r="X74" s="165">
        <f t="shared" si="444"/>
        <v>0</v>
      </c>
      <c r="Y74" s="164">
        <f t="shared" si="444"/>
        <v>0</v>
      </c>
      <c r="Z74" s="165">
        <f t="shared" si="444"/>
        <v>5526</v>
      </c>
      <c r="AA74" s="164">
        <f t="shared" si="444"/>
        <v>0</v>
      </c>
      <c r="AB74" s="165">
        <f t="shared" ref="AB74" si="447">SUM(AB67:AB73)</f>
        <v>1778</v>
      </c>
      <c r="AC74" s="164">
        <f t="shared" si="444"/>
        <v>0</v>
      </c>
      <c r="AD74" s="165">
        <f t="shared" ref="AD74" si="448">SUM(AD67:AD73)</f>
        <v>0</v>
      </c>
      <c r="AE74" s="164">
        <f t="shared" si="444"/>
        <v>130852</v>
      </c>
      <c r="AF74" s="165">
        <f t="shared" ref="AF74:AH74" si="449">SUM(AF67:AF73)</f>
        <v>196282</v>
      </c>
      <c r="AG74" s="164"/>
      <c r="AH74" s="165">
        <f t="shared" si="449"/>
        <v>0</v>
      </c>
      <c r="AI74" s="164">
        <f>SUM(AI67:AI73)</f>
        <v>0</v>
      </c>
      <c r="AJ74" s="165">
        <f>SUM(AJ67:AJ73)</f>
        <v>0</v>
      </c>
      <c r="AK74" s="164">
        <f t="shared" si="444"/>
        <v>0</v>
      </c>
      <c r="AL74" s="165">
        <f t="shared" ref="AL74" si="450">SUM(AL67:AL73)</f>
        <v>0</v>
      </c>
      <c r="AM74" s="164">
        <f t="shared" si="444"/>
        <v>0</v>
      </c>
      <c r="AN74" s="165"/>
      <c r="AO74" s="164">
        <f t="shared" si="444"/>
        <v>0</v>
      </c>
      <c r="AP74" s="165">
        <f t="shared" ref="AP74" si="451">SUM(AP67:AP73)</f>
        <v>0</v>
      </c>
      <c r="AQ74" s="164">
        <f t="shared" ref="AQ74:DS74" si="452">SUM(AQ67:AQ73)</f>
        <v>0</v>
      </c>
      <c r="AR74" s="165">
        <f t="shared" ref="AR74" si="453">SUM(AR67:AR73)</f>
        <v>0</v>
      </c>
      <c r="AS74" s="164">
        <f t="shared" si="452"/>
        <v>0</v>
      </c>
      <c r="AT74" s="165">
        <f t="shared" ref="AT74" si="454">SUM(AT67:AT73)</f>
        <v>0</v>
      </c>
      <c r="AU74" s="164">
        <f t="shared" si="452"/>
        <v>0</v>
      </c>
      <c r="AV74" s="165">
        <f t="shared" ref="AV74" si="455">SUM(AV67:AV73)</f>
        <v>0</v>
      </c>
      <c r="AW74" s="164">
        <f t="shared" si="452"/>
        <v>0</v>
      </c>
      <c r="AX74" s="165">
        <f t="shared" ref="AX74" si="456">SUM(AX67:AX73)</f>
        <v>0</v>
      </c>
      <c r="AY74" s="164">
        <f t="shared" si="452"/>
        <v>0</v>
      </c>
      <c r="AZ74" s="165">
        <f t="shared" ref="AZ74" si="457">SUM(AZ67:AZ73)</f>
        <v>0</v>
      </c>
      <c r="BA74" s="164">
        <f t="shared" si="452"/>
        <v>0</v>
      </c>
      <c r="BB74" s="165">
        <f t="shared" ref="BB74" si="458">SUM(BB67:BB73)</f>
        <v>0</v>
      </c>
      <c r="BC74" s="164">
        <f t="shared" si="452"/>
        <v>0</v>
      </c>
      <c r="BD74" s="165">
        <f t="shared" ref="BD74" si="459">SUM(BD67:BD73)</f>
        <v>0</v>
      </c>
      <c r="BE74" s="164">
        <f t="shared" si="452"/>
        <v>0</v>
      </c>
      <c r="BF74" s="165">
        <f t="shared" ref="BF74" si="460">SUM(BF67:BF73)</f>
        <v>0</v>
      </c>
      <c r="BG74" s="164">
        <f t="shared" si="452"/>
        <v>0</v>
      </c>
      <c r="BH74" s="165">
        <f t="shared" ref="BH74" si="461">SUM(BH67:BH73)</f>
        <v>0</v>
      </c>
      <c r="BI74" s="164">
        <f t="shared" si="452"/>
        <v>0</v>
      </c>
      <c r="BJ74" s="165">
        <f t="shared" ref="BJ74" si="462">SUM(BJ67:BJ73)</f>
        <v>0</v>
      </c>
      <c r="BK74" s="164">
        <f t="shared" si="452"/>
        <v>0</v>
      </c>
      <c r="BL74" s="165">
        <f t="shared" ref="BL74" si="463">SUM(BL67:BL73)</f>
        <v>0</v>
      </c>
      <c r="BM74" s="164">
        <f t="shared" si="452"/>
        <v>0</v>
      </c>
      <c r="BN74" s="165">
        <f t="shared" ref="BN74" si="464">SUM(BN67:BN73)</f>
        <v>0</v>
      </c>
      <c r="BO74" s="164">
        <f t="shared" si="452"/>
        <v>0</v>
      </c>
      <c r="BP74" s="165">
        <f t="shared" ref="BP74" si="465">SUM(BP67:BP73)</f>
        <v>0</v>
      </c>
      <c r="BQ74" s="164">
        <f t="shared" si="452"/>
        <v>0</v>
      </c>
      <c r="BR74" s="165">
        <f t="shared" ref="BR74" si="466">SUM(BR67:BR73)</f>
        <v>0</v>
      </c>
      <c r="BS74" s="164">
        <f t="shared" si="452"/>
        <v>0</v>
      </c>
      <c r="BT74" s="165">
        <f t="shared" ref="BT74" si="467">SUM(BT67:BT73)</f>
        <v>0</v>
      </c>
      <c r="BU74" s="164">
        <f t="shared" si="452"/>
        <v>0</v>
      </c>
      <c r="BV74" s="165">
        <f t="shared" ref="BV74" si="468">SUM(BV67:BV73)</f>
        <v>0</v>
      </c>
      <c r="BW74" s="164">
        <f t="shared" si="452"/>
        <v>0</v>
      </c>
      <c r="BX74" s="165">
        <f t="shared" ref="BX74" si="469">SUM(BX67:BX73)</f>
        <v>0</v>
      </c>
      <c r="BY74" s="164">
        <f t="shared" si="452"/>
        <v>0</v>
      </c>
      <c r="BZ74" s="165">
        <f t="shared" ref="BZ74" si="470">SUM(BZ67:BZ73)</f>
        <v>0</v>
      </c>
      <c r="CA74" s="164">
        <f t="shared" si="452"/>
        <v>0</v>
      </c>
      <c r="CB74" s="165">
        <f t="shared" ref="CB74" si="471">SUM(CB67:CB73)</f>
        <v>0</v>
      </c>
      <c r="CC74" s="164">
        <f t="shared" si="452"/>
        <v>0</v>
      </c>
      <c r="CD74" s="165">
        <f t="shared" ref="CD74" si="472">SUM(CD67:CD73)</f>
        <v>0</v>
      </c>
      <c r="CE74" s="164">
        <f>SUM(CE67:CE73)</f>
        <v>0</v>
      </c>
      <c r="CF74" s="165">
        <f>SUM(CF67:CF73)</f>
        <v>0</v>
      </c>
      <c r="CG74" s="164">
        <f t="shared" si="452"/>
        <v>0</v>
      </c>
      <c r="CH74" s="165">
        <f t="shared" ref="CH74" si="473">SUM(CH67:CH73)</f>
        <v>0</v>
      </c>
      <c r="CI74" s="164">
        <f t="shared" si="452"/>
        <v>0</v>
      </c>
      <c r="CJ74" s="165">
        <f t="shared" ref="CJ74" si="474">SUM(CJ67:CJ73)</f>
        <v>0</v>
      </c>
      <c r="CK74" s="164">
        <f t="shared" si="452"/>
        <v>0</v>
      </c>
      <c r="CL74" s="165">
        <f t="shared" ref="CL74" si="475">SUM(CL67:CL73)</f>
        <v>0</v>
      </c>
      <c r="CM74" s="164">
        <f t="shared" si="452"/>
        <v>0</v>
      </c>
      <c r="CN74" s="165">
        <f t="shared" ref="CN74" si="476">SUM(CN67:CN73)</f>
        <v>0</v>
      </c>
      <c r="CO74" s="164">
        <f t="shared" si="452"/>
        <v>0</v>
      </c>
      <c r="CP74" s="165">
        <f t="shared" ref="CP74" si="477">SUM(CP67:CP73)</f>
        <v>0</v>
      </c>
      <c r="CQ74" s="164">
        <f t="shared" si="452"/>
        <v>0</v>
      </c>
      <c r="CR74" s="165">
        <f t="shared" ref="CR74" si="478">SUM(CR67:CR73)</f>
        <v>0</v>
      </c>
      <c r="CS74" s="164">
        <f t="shared" si="452"/>
        <v>0</v>
      </c>
      <c r="CT74" s="165">
        <f t="shared" ref="CT74" si="479">SUM(CT67:CT73)</f>
        <v>0</v>
      </c>
      <c r="CU74" s="164">
        <f t="shared" si="452"/>
        <v>0</v>
      </c>
      <c r="CV74" s="165">
        <f t="shared" ref="CV74" si="480">SUM(CV67:CV73)</f>
        <v>0</v>
      </c>
      <c r="CW74" s="164">
        <f t="shared" si="452"/>
        <v>0</v>
      </c>
      <c r="CX74" s="165">
        <f t="shared" ref="CX74" si="481">SUM(CX67:CX73)</f>
        <v>0</v>
      </c>
      <c r="CY74" s="164">
        <f t="shared" si="452"/>
        <v>0</v>
      </c>
      <c r="CZ74" s="165"/>
      <c r="DA74" s="164">
        <f t="shared" si="452"/>
        <v>0</v>
      </c>
      <c r="DB74" s="165"/>
      <c r="DC74" s="164">
        <f t="shared" si="452"/>
        <v>0</v>
      </c>
      <c r="DD74" s="165">
        <f t="shared" ref="DD74" si="482">SUM(DD67:DD73)</f>
        <v>0</v>
      </c>
      <c r="DE74" s="164">
        <f t="shared" si="452"/>
        <v>0</v>
      </c>
      <c r="DF74" s="165">
        <f t="shared" ref="DF74" si="483">SUM(DF67:DF73)</f>
        <v>0</v>
      </c>
      <c r="DG74" s="164">
        <f t="shared" si="452"/>
        <v>0</v>
      </c>
      <c r="DH74" s="165">
        <f t="shared" ref="DH74" si="484">SUM(DH67:DH73)</f>
        <v>0</v>
      </c>
      <c r="DI74" s="164">
        <f t="shared" si="452"/>
        <v>263547</v>
      </c>
      <c r="DJ74" s="165" t="e">
        <f t="shared" ref="DJ74" si="485">SUM(DJ67:DJ73)</f>
        <v>#REF!</v>
      </c>
      <c r="DK74" s="164">
        <f t="shared" si="452"/>
        <v>0</v>
      </c>
      <c r="DL74" s="165">
        <f t="shared" ref="DL74" si="486">SUM(DL67:DL73)</f>
        <v>0</v>
      </c>
      <c r="DM74" s="164">
        <f t="shared" si="452"/>
        <v>0</v>
      </c>
      <c r="DN74" s="165">
        <f t="shared" ref="DN74" si="487">SUM(DN67:DN73)</f>
        <v>0</v>
      </c>
      <c r="DO74" s="164">
        <f t="shared" si="452"/>
        <v>0</v>
      </c>
      <c r="DP74" s="165">
        <f t="shared" ref="DP74" si="488">SUM(DP67:DP73)</f>
        <v>0</v>
      </c>
      <c r="DQ74" s="164">
        <f t="shared" si="452"/>
        <v>0</v>
      </c>
      <c r="DR74" s="165"/>
      <c r="DS74" s="164">
        <f t="shared" si="452"/>
        <v>0</v>
      </c>
      <c r="DT74" s="165">
        <f t="shared" ref="DT74" si="489">SUM(DT67:DT73)</f>
        <v>0</v>
      </c>
      <c r="DU74" s="164"/>
      <c r="DV74" s="165"/>
    </row>
    <row r="75" spans="1:126" x14ac:dyDescent="0.2">
      <c r="A75" s="160" t="s">
        <v>221</v>
      </c>
      <c r="B75" s="160" t="s">
        <v>223</v>
      </c>
      <c r="C75" s="161">
        <f t="shared" si="342"/>
        <v>327097</v>
      </c>
      <c r="D75" s="162">
        <f t="shared" si="338"/>
        <v>213922</v>
      </c>
      <c r="E75" s="161">
        <f>K75+M75+O74:O75+Q75+S75+U75+W75+Y75+AA75+AC75+AE75+AI75</f>
        <v>90308</v>
      </c>
      <c r="F75" s="162">
        <f t="shared" ref="F75:F78" si="490">L75+N75+P74:P75+R75+T75+V75+X75+Z75+AB75+AD75+AF75+AJ75+AH75</f>
        <v>196922</v>
      </c>
      <c r="G75" s="161">
        <f t="shared" si="442"/>
        <v>22867</v>
      </c>
      <c r="H75" s="162">
        <f t="shared" si="442"/>
        <v>17000</v>
      </c>
      <c r="I75" s="161"/>
      <c r="J75" s="162"/>
      <c r="K75" s="161"/>
      <c r="L75" s="162"/>
      <c r="M75" s="161"/>
      <c r="N75" s="162"/>
      <c r="O75" s="161"/>
      <c r="P75" s="162"/>
      <c r="Q75" s="161"/>
      <c r="R75" s="162"/>
      <c r="S75" s="161"/>
      <c r="T75" s="162"/>
      <c r="U75" s="161"/>
      <c r="V75" s="162"/>
      <c r="W75" s="161"/>
      <c r="X75" s="162"/>
      <c r="Y75" s="161"/>
      <c r="Z75" s="162"/>
      <c r="AA75" s="161"/>
      <c r="AB75" s="162"/>
      <c r="AC75" s="161"/>
      <c r="AD75" s="162"/>
      <c r="AE75" s="161">
        <f>'[3]8. felújítás'!J6+'[3]8. felújítás'!J12+'[3]8. felújítás'!J13+'[3]8. felújítás'!J14+'[3]8. felújítás'!J8</f>
        <v>90308</v>
      </c>
      <c r="AF75" s="162">
        <v>196922</v>
      </c>
      <c r="AG75" s="161"/>
      <c r="AH75" s="162">
        <v>0</v>
      </c>
      <c r="AI75" s="161"/>
      <c r="AJ75" s="162"/>
      <c r="AK75" s="161"/>
      <c r="AL75" s="162"/>
      <c r="AM75" s="161"/>
      <c r="AN75" s="162"/>
      <c r="AO75" s="161"/>
      <c r="AP75" s="162"/>
      <c r="AQ75" s="161"/>
      <c r="AR75" s="162"/>
      <c r="AS75" s="161"/>
      <c r="AT75" s="162"/>
      <c r="AU75" s="161"/>
      <c r="AV75" s="162"/>
      <c r="AW75" s="161"/>
      <c r="AX75" s="162"/>
      <c r="AY75" s="161"/>
      <c r="AZ75" s="162"/>
      <c r="BA75" s="161"/>
      <c r="BB75" s="162"/>
      <c r="BC75" s="161"/>
      <c r="BD75" s="162"/>
      <c r="BE75" s="161"/>
      <c r="BF75" s="162"/>
      <c r="BG75" s="161"/>
      <c r="BH75" s="162"/>
      <c r="BI75" s="161"/>
      <c r="BJ75" s="162"/>
      <c r="BK75" s="161"/>
      <c r="BL75" s="162"/>
      <c r="BM75" s="161"/>
      <c r="BN75" s="162"/>
      <c r="BO75" s="161"/>
      <c r="BP75" s="162"/>
      <c r="BQ75" s="161"/>
      <c r="BR75" s="162"/>
      <c r="BS75" s="161"/>
      <c r="BT75" s="162"/>
      <c r="BU75" s="161"/>
      <c r="BV75" s="162"/>
      <c r="BW75" s="161"/>
      <c r="BX75" s="162"/>
      <c r="BY75" s="161"/>
      <c r="BZ75" s="162"/>
      <c r="CA75" s="161"/>
      <c r="CB75" s="162"/>
      <c r="CC75" s="161"/>
      <c r="CD75" s="162"/>
      <c r="CE75" s="161"/>
      <c r="CF75" s="162"/>
      <c r="CG75" s="161"/>
      <c r="CH75" s="162"/>
      <c r="CI75" s="161"/>
      <c r="CJ75" s="162"/>
      <c r="CK75" s="161"/>
      <c r="CL75" s="162"/>
      <c r="CM75" s="161"/>
      <c r="CN75" s="162"/>
      <c r="CO75" s="161"/>
      <c r="CP75" s="162"/>
      <c r="CQ75" s="161"/>
      <c r="CR75" s="162"/>
      <c r="CS75" s="161"/>
      <c r="CT75" s="162"/>
      <c r="CU75" s="161"/>
      <c r="CV75" s="162"/>
      <c r="CW75" s="161"/>
      <c r="CX75" s="162"/>
      <c r="CY75" s="161"/>
      <c r="CZ75" s="162"/>
      <c r="DA75" s="161"/>
      <c r="DB75" s="162"/>
      <c r="DC75" s="161"/>
      <c r="DD75" s="162"/>
      <c r="DE75" s="161"/>
      <c r="DF75" s="162"/>
      <c r="DG75" s="161"/>
      <c r="DH75" s="162"/>
      <c r="DI75" s="161"/>
      <c r="DJ75" s="162"/>
      <c r="DK75" s="161">
        <f>'[3]8. felújítás'!J7+'[3]8. felújítás'!J15+'[3]8. felújítás'!J16+'[3]8. felújítás'!J17</f>
        <v>22867</v>
      </c>
      <c r="DL75" s="162">
        <v>17000</v>
      </c>
      <c r="DM75" s="161"/>
      <c r="DN75" s="162"/>
      <c r="DO75" s="161"/>
      <c r="DP75" s="162"/>
      <c r="DQ75" s="161"/>
      <c r="DR75" s="162"/>
      <c r="DS75" s="161"/>
      <c r="DT75" s="162"/>
      <c r="DU75" s="161"/>
      <c r="DV75" s="162"/>
    </row>
    <row r="76" spans="1:126" x14ac:dyDescent="0.2">
      <c r="A76" s="160" t="s">
        <v>224</v>
      </c>
      <c r="B76" s="160" t="s">
        <v>910</v>
      </c>
      <c r="C76" s="161">
        <f t="shared" si="342"/>
        <v>0</v>
      </c>
      <c r="D76" s="162">
        <f t="shared" si="338"/>
        <v>0</v>
      </c>
      <c r="E76" s="161">
        <f>K76+M76+O75:O76+Q76+S76+U76+W76+Y76+AA76+AC76+AE76+AI76</f>
        <v>0</v>
      </c>
      <c r="F76" s="162">
        <f t="shared" si="490"/>
        <v>0</v>
      </c>
      <c r="G76" s="161">
        <f t="shared" si="442"/>
        <v>0</v>
      </c>
      <c r="H76" s="162">
        <f t="shared" si="442"/>
        <v>0</v>
      </c>
      <c r="I76" s="161"/>
      <c r="J76" s="162"/>
      <c r="K76" s="161"/>
      <c r="L76" s="162"/>
      <c r="M76" s="161"/>
      <c r="N76" s="162"/>
      <c r="O76" s="161"/>
      <c r="P76" s="162"/>
      <c r="Q76" s="161"/>
      <c r="R76" s="162"/>
      <c r="S76" s="161"/>
      <c r="T76" s="162"/>
      <c r="U76" s="161"/>
      <c r="V76" s="162"/>
      <c r="W76" s="161"/>
      <c r="X76" s="162"/>
      <c r="Y76" s="161"/>
      <c r="Z76" s="162"/>
      <c r="AA76" s="161"/>
      <c r="AB76" s="162"/>
      <c r="AC76" s="161"/>
      <c r="AD76" s="162"/>
      <c r="AE76" s="161"/>
      <c r="AF76" s="162"/>
      <c r="AG76" s="161"/>
      <c r="AH76" s="162"/>
      <c r="AI76" s="161"/>
      <c r="AJ76" s="162"/>
      <c r="AK76" s="161"/>
      <c r="AL76" s="162"/>
      <c r="AM76" s="161"/>
      <c r="AN76" s="162"/>
      <c r="AO76" s="161"/>
      <c r="AP76" s="162"/>
      <c r="AQ76" s="161"/>
      <c r="AR76" s="162"/>
      <c r="AS76" s="161"/>
      <c r="AT76" s="162"/>
      <c r="AU76" s="161"/>
      <c r="AV76" s="162"/>
      <c r="AW76" s="161"/>
      <c r="AX76" s="162"/>
      <c r="AY76" s="161"/>
      <c r="AZ76" s="162"/>
      <c r="BA76" s="161"/>
      <c r="BB76" s="162"/>
      <c r="BC76" s="161"/>
      <c r="BD76" s="162"/>
      <c r="BE76" s="161"/>
      <c r="BF76" s="162"/>
      <c r="BG76" s="161"/>
      <c r="BH76" s="162"/>
      <c r="BI76" s="161"/>
      <c r="BJ76" s="162"/>
      <c r="BK76" s="161"/>
      <c r="BL76" s="162"/>
      <c r="BM76" s="161"/>
      <c r="BN76" s="162"/>
      <c r="BO76" s="161"/>
      <c r="BP76" s="162"/>
      <c r="BQ76" s="161"/>
      <c r="BR76" s="162"/>
      <c r="BS76" s="161"/>
      <c r="BT76" s="162"/>
      <c r="BU76" s="161"/>
      <c r="BV76" s="162"/>
      <c r="BW76" s="161"/>
      <c r="BX76" s="162"/>
      <c r="BY76" s="161"/>
      <c r="BZ76" s="162"/>
      <c r="CA76" s="161"/>
      <c r="CB76" s="162"/>
      <c r="CC76" s="161"/>
      <c r="CD76" s="162"/>
      <c r="CE76" s="161"/>
      <c r="CF76" s="162"/>
      <c r="CG76" s="161"/>
      <c r="CH76" s="162"/>
      <c r="CI76" s="161"/>
      <c r="CJ76" s="162"/>
      <c r="CK76" s="161"/>
      <c r="CL76" s="162"/>
      <c r="CM76" s="161"/>
      <c r="CN76" s="162"/>
      <c r="CO76" s="161"/>
      <c r="CP76" s="162"/>
      <c r="CQ76" s="161"/>
      <c r="CR76" s="162"/>
      <c r="CS76" s="161"/>
      <c r="CT76" s="162"/>
      <c r="CU76" s="161"/>
      <c r="CV76" s="162"/>
      <c r="CW76" s="161"/>
      <c r="CX76" s="162"/>
      <c r="CY76" s="161"/>
      <c r="CZ76" s="162"/>
      <c r="DA76" s="161"/>
      <c r="DB76" s="162"/>
      <c r="DC76" s="161"/>
      <c r="DD76" s="162"/>
      <c r="DE76" s="161"/>
      <c r="DF76" s="162"/>
      <c r="DG76" s="161"/>
      <c r="DH76" s="162"/>
      <c r="DI76" s="161"/>
      <c r="DJ76" s="162"/>
      <c r="DK76" s="161"/>
      <c r="DL76" s="162"/>
      <c r="DM76" s="161"/>
      <c r="DN76" s="162"/>
      <c r="DO76" s="161"/>
      <c r="DP76" s="162"/>
      <c r="DQ76" s="161"/>
      <c r="DR76" s="162"/>
      <c r="DS76" s="161"/>
      <c r="DT76" s="162"/>
      <c r="DU76" s="161"/>
      <c r="DV76" s="162"/>
    </row>
    <row r="77" spans="1:126" x14ac:dyDescent="0.2">
      <c r="A77" s="160" t="s">
        <v>227</v>
      </c>
      <c r="B77" s="160" t="s">
        <v>911</v>
      </c>
      <c r="C77" s="161">
        <f t="shared" si="342"/>
        <v>0</v>
      </c>
      <c r="D77" s="162">
        <f t="shared" si="338"/>
        <v>0</v>
      </c>
      <c r="E77" s="161">
        <f>K77+M77+O76:O77+Q77+S77+U77+W77+Y77+AA77+AC77+AE77+AI77</f>
        <v>0</v>
      </c>
      <c r="F77" s="162">
        <f t="shared" si="490"/>
        <v>0</v>
      </c>
      <c r="G77" s="161">
        <f t="shared" si="442"/>
        <v>0</v>
      </c>
      <c r="H77" s="162">
        <f t="shared" si="442"/>
        <v>0</v>
      </c>
      <c r="I77" s="161"/>
      <c r="J77" s="162"/>
      <c r="K77" s="161"/>
      <c r="L77" s="162"/>
      <c r="M77" s="161"/>
      <c r="N77" s="162"/>
      <c r="O77" s="161"/>
      <c r="P77" s="162"/>
      <c r="Q77" s="161"/>
      <c r="R77" s="162"/>
      <c r="S77" s="161"/>
      <c r="T77" s="162"/>
      <c r="U77" s="161"/>
      <c r="V77" s="162"/>
      <c r="W77" s="161"/>
      <c r="X77" s="162"/>
      <c r="Y77" s="161"/>
      <c r="Z77" s="162"/>
      <c r="AA77" s="161"/>
      <c r="AB77" s="162"/>
      <c r="AC77" s="161"/>
      <c r="AD77" s="162"/>
      <c r="AE77" s="161"/>
      <c r="AF77" s="162"/>
      <c r="AG77" s="161"/>
      <c r="AH77" s="162"/>
      <c r="AI77" s="161"/>
      <c r="AJ77" s="162"/>
      <c r="AK77" s="161"/>
      <c r="AL77" s="162"/>
      <c r="AM77" s="161"/>
      <c r="AN77" s="162"/>
      <c r="AO77" s="161"/>
      <c r="AP77" s="162"/>
      <c r="AQ77" s="161"/>
      <c r="AR77" s="162"/>
      <c r="AS77" s="161"/>
      <c r="AT77" s="162"/>
      <c r="AU77" s="161"/>
      <c r="AV77" s="162"/>
      <c r="AW77" s="161"/>
      <c r="AX77" s="162"/>
      <c r="AY77" s="161"/>
      <c r="AZ77" s="162"/>
      <c r="BA77" s="161"/>
      <c r="BB77" s="162"/>
      <c r="BC77" s="161"/>
      <c r="BD77" s="162"/>
      <c r="BE77" s="161"/>
      <c r="BF77" s="162"/>
      <c r="BG77" s="161"/>
      <c r="BH77" s="162"/>
      <c r="BI77" s="161"/>
      <c r="BJ77" s="162"/>
      <c r="BK77" s="161"/>
      <c r="BL77" s="162"/>
      <c r="BM77" s="161"/>
      <c r="BN77" s="162"/>
      <c r="BO77" s="161"/>
      <c r="BP77" s="162"/>
      <c r="BQ77" s="161"/>
      <c r="BR77" s="162"/>
      <c r="BS77" s="161"/>
      <c r="BT77" s="162"/>
      <c r="BU77" s="161"/>
      <c r="BV77" s="162"/>
      <c r="BW77" s="161"/>
      <c r="BX77" s="162"/>
      <c r="BY77" s="161"/>
      <c r="BZ77" s="162"/>
      <c r="CA77" s="161"/>
      <c r="CB77" s="162"/>
      <c r="CC77" s="161"/>
      <c r="CD77" s="162"/>
      <c r="CE77" s="161"/>
      <c r="CF77" s="162"/>
      <c r="CG77" s="161"/>
      <c r="CH77" s="162"/>
      <c r="CI77" s="161"/>
      <c r="CJ77" s="162"/>
      <c r="CK77" s="161"/>
      <c r="CL77" s="162"/>
      <c r="CM77" s="161"/>
      <c r="CN77" s="162"/>
      <c r="CO77" s="161"/>
      <c r="CP77" s="162"/>
      <c r="CQ77" s="161"/>
      <c r="CR77" s="162"/>
      <c r="CS77" s="161"/>
      <c r="CT77" s="162"/>
      <c r="CU77" s="161"/>
      <c r="CV77" s="162"/>
      <c r="CW77" s="161"/>
      <c r="CX77" s="162"/>
      <c r="CY77" s="161"/>
      <c r="CZ77" s="162"/>
      <c r="DA77" s="161"/>
      <c r="DB77" s="162"/>
      <c r="DC77" s="161"/>
      <c r="DD77" s="162"/>
      <c r="DE77" s="161"/>
      <c r="DF77" s="162"/>
      <c r="DG77" s="161"/>
      <c r="DH77" s="162"/>
      <c r="DI77" s="161"/>
      <c r="DJ77" s="162"/>
      <c r="DK77" s="161"/>
      <c r="DL77" s="162"/>
      <c r="DM77" s="161"/>
      <c r="DN77" s="162"/>
      <c r="DO77" s="161"/>
      <c r="DP77" s="162"/>
      <c r="DQ77" s="161"/>
      <c r="DR77" s="162"/>
      <c r="DS77" s="161"/>
      <c r="DT77" s="162"/>
      <c r="DU77" s="161"/>
      <c r="DV77" s="162"/>
    </row>
    <row r="78" spans="1:126" x14ac:dyDescent="0.2">
      <c r="A78" s="160" t="s">
        <v>232</v>
      </c>
      <c r="B78" s="160" t="s">
        <v>912</v>
      </c>
      <c r="C78" s="161">
        <f t="shared" si="342"/>
        <v>30557</v>
      </c>
      <c r="D78" s="162">
        <f t="shared" si="338"/>
        <v>0</v>
      </c>
      <c r="E78" s="161">
        <f>K78+M78+O77:O78+Q78+S78+U78+W78+Y78+AA78+AC78+AE78+AI78</f>
        <v>24384</v>
      </c>
      <c r="F78" s="162">
        <f t="shared" si="490"/>
        <v>0</v>
      </c>
      <c r="G78" s="161">
        <f t="shared" si="442"/>
        <v>6173</v>
      </c>
      <c r="H78" s="162">
        <f t="shared" si="442"/>
        <v>0</v>
      </c>
      <c r="I78" s="161"/>
      <c r="J78" s="162"/>
      <c r="K78" s="161"/>
      <c r="L78" s="162"/>
      <c r="M78" s="161"/>
      <c r="N78" s="162"/>
      <c r="O78" s="161"/>
      <c r="P78" s="162"/>
      <c r="Q78" s="161"/>
      <c r="R78" s="162"/>
      <c r="S78" s="161"/>
      <c r="T78" s="162"/>
      <c r="U78" s="161"/>
      <c r="V78" s="162"/>
      <c r="W78" s="161"/>
      <c r="X78" s="162"/>
      <c r="Y78" s="161"/>
      <c r="Z78" s="162"/>
      <c r="AA78" s="161"/>
      <c r="AB78" s="162"/>
      <c r="AC78" s="161"/>
      <c r="AD78" s="162"/>
      <c r="AE78" s="161">
        <f>'[3]8. felújítás'!K6+'[3]8. felújítás'!K12+'[3]8. felújítás'!K13+'[3]8. felújítás'!K14+'[3]8. felújítás'!K8</f>
        <v>24384</v>
      </c>
      <c r="AF78" s="162">
        <v>0</v>
      </c>
      <c r="AG78" s="161"/>
      <c r="AH78" s="162">
        <v>0</v>
      </c>
      <c r="AI78" s="161"/>
      <c r="AJ78" s="162"/>
      <c r="AK78" s="161"/>
      <c r="AL78" s="162"/>
      <c r="AM78" s="161"/>
      <c r="AN78" s="162"/>
      <c r="AO78" s="161"/>
      <c r="AP78" s="162"/>
      <c r="AQ78" s="161"/>
      <c r="AR78" s="162"/>
      <c r="AS78" s="161"/>
      <c r="AT78" s="162"/>
      <c r="AU78" s="161"/>
      <c r="AV78" s="162"/>
      <c r="AW78" s="161"/>
      <c r="AX78" s="162"/>
      <c r="AY78" s="161"/>
      <c r="AZ78" s="162"/>
      <c r="BA78" s="161"/>
      <c r="BB78" s="162"/>
      <c r="BC78" s="161"/>
      <c r="BD78" s="162"/>
      <c r="BE78" s="161"/>
      <c r="BF78" s="162"/>
      <c r="BG78" s="161"/>
      <c r="BH78" s="162"/>
      <c r="BI78" s="161"/>
      <c r="BJ78" s="162"/>
      <c r="BK78" s="161"/>
      <c r="BL78" s="162"/>
      <c r="BM78" s="161"/>
      <c r="BN78" s="162"/>
      <c r="BO78" s="161"/>
      <c r="BP78" s="162"/>
      <c r="BQ78" s="161"/>
      <c r="BR78" s="162"/>
      <c r="BS78" s="161"/>
      <c r="BT78" s="162"/>
      <c r="BU78" s="161"/>
      <c r="BV78" s="162"/>
      <c r="BW78" s="161"/>
      <c r="BX78" s="162"/>
      <c r="BY78" s="161"/>
      <c r="BZ78" s="162"/>
      <c r="CA78" s="161"/>
      <c r="CB78" s="162"/>
      <c r="CC78" s="161"/>
      <c r="CD78" s="162"/>
      <c r="CE78" s="161"/>
      <c r="CF78" s="162"/>
      <c r="CG78" s="161"/>
      <c r="CH78" s="162"/>
      <c r="CI78" s="161"/>
      <c r="CJ78" s="162"/>
      <c r="CK78" s="161"/>
      <c r="CL78" s="162"/>
      <c r="CM78" s="161"/>
      <c r="CN78" s="162"/>
      <c r="CO78" s="161"/>
      <c r="CP78" s="162"/>
      <c r="CQ78" s="161"/>
      <c r="CR78" s="162"/>
      <c r="CS78" s="161"/>
      <c r="CT78" s="162"/>
      <c r="CU78" s="161"/>
      <c r="CV78" s="162"/>
      <c r="CW78" s="161"/>
      <c r="CX78" s="162"/>
      <c r="CY78" s="161"/>
      <c r="CZ78" s="162"/>
      <c r="DA78" s="161"/>
      <c r="DB78" s="162"/>
      <c r="DC78" s="161"/>
      <c r="DD78" s="162"/>
      <c r="DE78" s="161"/>
      <c r="DF78" s="162"/>
      <c r="DG78" s="161"/>
      <c r="DH78" s="162"/>
      <c r="DI78" s="161"/>
      <c r="DJ78" s="162"/>
      <c r="DK78" s="161">
        <f>'[3]8. felújítás'!K7+'[3]8. felújítás'!K15+'[3]8. felújítás'!K16+'[3]8. felújítás'!K17</f>
        <v>6173</v>
      </c>
      <c r="DL78" s="162"/>
      <c r="DM78" s="161"/>
      <c r="DN78" s="162"/>
      <c r="DO78" s="161"/>
      <c r="DP78" s="162"/>
      <c r="DQ78" s="161"/>
      <c r="DR78" s="162"/>
      <c r="DS78" s="161"/>
      <c r="DT78" s="162"/>
      <c r="DU78" s="161"/>
      <c r="DV78" s="162"/>
    </row>
    <row r="79" spans="1:126" x14ac:dyDescent="0.2">
      <c r="A79" s="163" t="s">
        <v>235</v>
      </c>
      <c r="B79" s="163" t="s">
        <v>342</v>
      </c>
      <c r="C79" s="164">
        <f t="shared" ref="C79:I79" si="491">SUM(C75:C78)</f>
        <v>357654</v>
      </c>
      <c r="D79" s="165">
        <f t="shared" si="491"/>
        <v>213922</v>
      </c>
      <c r="E79" s="164">
        <f t="shared" si="491"/>
        <v>114692</v>
      </c>
      <c r="F79" s="165">
        <f t="shared" si="491"/>
        <v>196922</v>
      </c>
      <c r="G79" s="164">
        <f t="shared" si="491"/>
        <v>29040</v>
      </c>
      <c r="H79" s="165">
        <f t="shared" si="491"/>
        <v>17000</v>
      </c>
      <c r="I79" s="164">
        <f t="shared" si="491"/>
        <v>0</v>
      </c>
      <c r="J79" s="165">
        <f t="shared" ref="J79:AO79" si="492">SUM(J75:J78)</f>
        <v>0</v>
      </c>
      <c r="K79" s="164">
        <f t="shared" si="492"/>
        <v>0</v>
      </c>
      <c r="L79" s="165">
        <f t="shared" si="492"/>
        <v>0</v>
      </c>
      <c r="M79" s="164">
        <f t="shared" si="492"/>
        <v>0</v>
      </c>
      <c r="N79" s="165">
        <f t="shared" si="492"/>
        <v>0</v>
      </c>
      <c r="O79" s="164">
        <f t="shared" si="492"/>
        <v>0</v>
      </c>
      <c r="P79" s="165">
        <f t="shared" si="492"/>
        <v>0</v>
      </c>
      <c r="Q79" s="164">
        <f t="shared" si="492"/>
        <v>0</v>
      </c>
      <c r="R79" s="165">
        <f t="shared" si="492"/>
        <v>0</v>
      </c>
      <c r="S79" s="164">
        <f t="shared" si="492"/>
        <v>0</v>
      </c>
      <c r="T79" s="165">
        <f t="shared" ref="T79" si="493">SUM(T75:T78)</f>
        <v>0</v>
      </c>
      <c r="U79" s="164">
        <f t="shared" si="492"/>
        <v>0</v>
      </c>
      <c r="V79" s="165">
        <f t="shared" ref="V79" si="494">SUM(V75:V78)</f>
        <v>0</v>
      </c>
      <c r="W79" s="164">
        <f t="shared" si="492"/>
        <v>0</v>
      </c>
      <c r="X79" s="165">
        <f t="shared" si="492"/>
        <v>0</v>
      </c>
      <c r="Y79" s="164">
        <f t="shared" si="492"/>
        <v>0</v>
      </c>
      <c r="Z79" s="165">
        <f t="shared" si="492"/>
        <v>0</v>
      </c>
      <c r="AA79" s="164">
        <f t="shared" si="492"/>
        <v>0</v>
      </c>
      <c r="AB79" s="165">
        <f t="shared" ref="AB79" si="495">SUM(AB75:AB78)</f>
        <v>0</v>
      </c>
      <c r="AC79" s="164">
        <f t="shared" si="492"/>
        <v>0</v>
      </c>
      <c r="AD79" s="165">
        <f t="shared" ref="AD79" si="496">SUM(AD75:AD78)</f>
        <v>0</v>
      </c>
      <c r="AE79" s="164">
        <f t="shared" si="492"/>
        <v>114692</v>
      </c>
      <c r="AF79" s="165">
        <f t="shared" ref="AF79:AH79" si="497">SUM(AF75:AF78)</f>
        <v>196922</v>
      </c>
      <c r="AG79" s="164"/>
      <c r="AH79" s="165">
        <f t="shared" si="497"/>
        <v>0</v>
      </c>
      <c r="AI79" s="164">
        <f>SUM(AI75:AI78)</f>
        <v>0</v>
      </c>
      <c r="AJ79" s="165">
        <f>SUM(AJ75:AJ78)</f>
        <v>0</v>
      </c>
      <c r="AK79" s="164">
        <f t="shared" si="492"/>
        <v>0</v>
      </c>
      <c r="AL79" s="165">
        <f t="shared" ref="AL79" si="498">SUM(AL75:AL78)</f>
        <v>0</v>
      </c>
      <c r="AM79" s="164">
        <f t="shared" si="492"/>
        <v>0</v>
      </c>
      <c r="AN79" s="165"/>
      <c r="AO79" s="164">
        <f t="shared" si="492"/>
        <v>0</v>
      </c>
      <c r="AP79" s="165">
        <f t="shared" ref="AP79" si="499">SUM(AP75:AP78)</f>
        <v>0</v>
      </c>
      <c r="AQ79" s="164">
        <f t="shared" ref="AQ79:DS79" si="500">SUM(AQ75:AQ78)</f>
        <v>0</v>
      </c>
      <c r="AR79" s="165">
        <f t="shared" ref="AR79" si="501">SUM(AR75:AR78)</f>
        <v>0</v>
      </c>
      <c r="AS79" s="164">
        <f t="shared" si="500"/>
        <v>0</v>
      </c>
      <c r="AT79" s="165">
        <f t="shared" ref="AT79" si="502">SUM(AT75:AT78)</f>
        <v>0</v>
      </c>
      <c r="AU79" s="164">
        <f t="shared" si="500"/>
        <v>0</v>
      </c>
      <c r="AV79" s="165">
        <f t="shared" ref="AV79" si="503">SUM(AV75:AV78)</f>
        <v>0</v>
      </c>
      <c r="AW79" s="164">
        <f t="shared" si="500"/>
        <v>0</v>
      </c>
      <c r="AX79" s="165">
        <f t="shared" ref="AX79" si="504">SUM(AX75:AX78)</f>
        <v>0</v>
      </c>
      <c r="AY79" s="164">
        <f t="shared" si="500"/>
        <v>0</v>
      </c>
      <c r="AZ79" s="165">
        <f t="shared" ref="AZ79" si="505">SUM(AZ75:AZ78)</f>
        <v>0</v>
      </c>
      <c r="BA79" s="164">
        <f t="shared" si="500"/>
        <v>0</v>
      </c>
      <c r="BB79" s="165">
        <f t="shared" ref="BB79" si="506">SUM(BB75:BB78)</f>
        <v>0</v>
      </c>
      <c r="BC79" s="164">
        <f t="shared" si="500"/>
        <v>0</v>
      </c>
      <c r="BD79" s="165">
        <f t="shared" ref="BD79" si="507">SUM(BD75:BD78)</f>
        <v>0</v>
      </c>
      <c r="BE79" s="164">
        <f t="shared" si="500"/>
        <v>0</v>
      </c>
      <c r="BF79" s="165">
        <f t="shared" ref="BF79" si="508">SUM(BF75:BF78)</f>
        <v>0</v>
      </c>
      <c r="BG79" s="164">
        <f t="shared" si="500"/>
        <v>0</v>
      </c>
      <c r="BH79" s="165">
        <f t="shared" ref="BH79" si="509">SUM(BH75:BH78)</f>
        <v>0</v>
      </c>
      <c r="BI79" s="164">
        <f t="shared" si="500"/>
        <v>0</v>
      </c>
      <c r="BJ79" s="165">
        <f t="shared" ref="BJ79" si="510">SUM(BJ75:BJ78)</f>
        <v>0</v>
      </c>
      <c r="BK79" s="164">
        <f t="shared" si="500"/>
        <v>0</v>
      </c>
      <c r="BL79" s="165">
        <f t="shared" ref="BL79" si="511">SUM(BL75:BL78)</f>
        <v>0</v>
      </c>
      <c r="BM79" s="164">
        <f t="shared" si="500"/>
        <v>0</v>
      </c>
      <c r="BN79" s="165">
        <f t="shared" ref="BN79" si="512">SUM(BN75:BN78)</f>
        <v>0</v>
      </c>
      <c r="BO79" s="164">
        <f t="shared" si="500"/>
        <v>0</v>
      </c>
      <c r="BP79" s="165">
        <f t="shared" ref="BP79" si="513">SUM(BP75:BP78)</f>
        <v>0</v>
      </c>
      <c r="BQ79" s="164">
        <f t="shared" si="500"/>
        <v>0</v>
      </c>
      <c r="BR79" s="165">
        <f t="shared" ref="BR79" si="514">SUM(BR75:BR78)</f>
        <v>0</v>
      </c>
      <c r="BS79" s="164">
        <f t="shared" si="500"/>
        <v>0</v>
      </c>
      <c r="BT79" s="165">
        <f t="shared" ref="BT79" si="515">SUM(BT75:BT78)</f>
        <v>0</v>
      </c>
      <c r="BU79" s="164">
        <f t="shared" si="500"/>
        <v>0</v>
      </c>
      <c r="BV79" s="165">
        <f t="shared" ref="BV79" si="516">SUM(BV75:BV78)</f>
        <v>0</v>
      </c>
      <c r="BW79" s="164">
        <f t="shared" si="500"/>
        <v>0</v>
      </c>
      <c r="BX79" s="165">
        <f t="shared" ref="BX79" si="517">SUM(BX75:BX78)</f>
        <v>0</v>
      </c>
      <c r="BY79" s="164">
        <f t="shared" si="500"/>
        <v>0</v>
      </c>
      <c r="BZ79" s="165">
        <f t="shared" ref="BZ79" si="518">SUM(BZ75:BZ78)</f>
        <v>0</v>
      </c>
      <c r="CA79" s="164">
        <f t="shared" si="500"/>
        <v>0</v>
      </c>
      <c r="CB79" s="165">
        <f t="shared" ref="CB79" si="519">SUM(CB75:CB78)</f>
        <v>0</v>
      </c>
      <c r="CC79" s="164">
        <f t="shared" si="500"/>
        <v>0</v>
      </c>
      <c r="CD79" s="165">
        <f t="shared" ref="CD79" si="520">SUM(CD75:CD78)</f>
        <v>0</v>
      </c>
      <c r="CE79" s="164">
        <f>SUM(CE75:CE78)</f>
        <v>0</v>
      </c>
      <c r="CF79" s="165">
        <f>SUM(CF75:CF78)</f>
        <v>0</v>
      </c>
      <c r="CG79" s="164">
        <f t="shared" si="500"/>
        <v>0</v>
      </c>
      <c r="CH79" s="165">
        <f t="shared" ref="CH79" si="521">SUM(CH75:CH78)</f>
        <v>0</v>
      </c>
      <c r="CI79" s="164">
        <f t="shared" si="500"/>
        <v>0</v>
      </c>
      <c r="CJ79" s="165">
        <f t="shared" ref="CJ79" si="522">SUM(CJ75:CJ78)</f>
        <v>0</v>
      </c>
      <c r="CK79" s="164">
        <f t="shared" si="500"/>
        <v>0</v>
      </c>
      <c r="CL79" s="165">
        <f t="shared" ref="CL79" si="523">SUM(CL75:CL78)</f>
        <v>0</v>
      </c>
      <c r="CM79" s="164">
        <f t="shared" si="500"/>
        <v>0</v>
      </c>
      <c r="CN79" s="165">
        <f t="shared" ref="CN79" si="524">SUM(CN75:CN78)</f>
        <v>0</v>
      </c>
      <c r="CO79" s="164">
        <f t="shared" si="500"/>
        <v>0</v>
      </c>
      <c r="CP79" s="165">
        <f t="shared" ref="CP79" si="525">SUM(CP75:CP78)</f>
        <v>0</v>
      </c>
      <c r="CQ79" s="164">
        <f t="shared" si="500"/>
        <v>0</v>
      </c>
      <c r="CR79" s="165">
        <f t="shared" ref="CR79" si="526">SUM(CR75:CR78)</f>
        <v>0</v>
      </c>
      <c r="CS79" s="164">
        <f t="shared" si="500"/>
        <v>0</v>
      </c>
      <c r="CT79" s="165">
        <f t="shared" ref="CT79" si="527">SUM(CT75:CT78)</f>
        <v>0</v>
      </c>
      <c r="CU79" s="164">
        <f t="shared" si="500"/>
        <v>0</v>
      </c>
      <c r="CV79" s="165">
        <f t="shared" ref="CV79" si="528">SUM(CV75:CV78)</f>
        <v>0</v>
      </c>
      <c r="CW79" s="164">
        <f t="shared" si="500"/>
        <v>0</v>
      </c>
      <c r="CX79" s="165">
        <f t="shared" ref="CX79" si="529">SUM(CX75:CX78)</f>
        <v>0</v>
      </c>
      <c r="CY79" s="164">
        <f t="shared" si="500"/>
        <v>0</v>
      </c>
      <c r="CZ79" s="165"/>
      <c r="DA79" s="164">
        <f t="shared" si="500"/>
        <v>0</v>
      </c>
      <c r="DB79" s="165"/>
      <c r="DC79" s="164">
        <f t="shared" si="500"/>
        <v>0</v>
      </c>
      <c r="DD79" s="165">
        <f t="shared" ref="DD79" si="530">SUM(DD75:DD78)</f>
        <v>0</v>
      </c>
      <c r="DE79" s="164">
        <f t="shared" si="500"/>
        <v>0</v>
      </c>
      <c r="DF79" s="165">
        <f t="shared" ref="DF79" si="531">SUM(DF75:DF78)</f>
        <v>0</v>
      </c>
      <c r="DG79" s="164">
        <f t="shared" si="500"/>
        <v>0</v>
      </c>
      <c r="DH79" s="165">
        <f t="shared" ref="DH79" si="532">SUM(DH75:DH78)</f>
        <v>0</v>
      </c>
      <c r="DI79" s="164">
        <f t="shared" si="500"/>
        <v>0</v>
      </c>
      <c r="DJ79" s="165">
        <f t="shared" ref="DJ79" si="533">SUM(DJ75:DJ78)</f>
        <v>0</v>
      </c>
      <c r="DK79" s="164">
        <f t="shared" si="500"/>
        <v>29040</v>
      </c>
      <c r="DL79" s="165">
        <f t="shared" ref="DL79" si="534">SUM(DL75:DL78)</f>
        <v>17000</v>
      </c>
      <c r="DM79" s="164">
        <f t="shared" si="500"/>
        <v>0</v>
      </c>
      <c r="DN79" s="165">
        <f t="shared" ref="DN79" si="535">SUM(DN75:DN78)</f>
        <v>0</v>
      </c>
      <c r="DO79" s="164">
        <f t="shared" si="500"/>
        <v>0</v>
      </c>
      <c r="DP79" s="165">
        <f t="shared" ref="DP79" si="536">SUM(DP75:DP78)</f>
        <v>0</v>
      </c>
      <c r="DQ79" s="164">
        <f t="shared" si="500"/>
        <v>0</v>
      </c>
      <c r="DR79" s="165"/>
      <c r="DS79" s="164">
        <f t="shared" si="500"/>
        <v>0</v>
      </c>
      <c r="DT79" s="165">
        <f t="shared" ref="DT79" si="537">SUM(DT75:DT78)</f>
        <v>0</v>
      </c>
      <c r="DU79" s="164"/>
      <c r="DV79" s="165"/>
    </row>
    <row r="80" spans="1:126" x14ac:dyDescent="0.2">
      <c r="A80" s="160" t="s">
        <v>913</v>
      </c>
      <c r="B80" s="170" t="s">
        <v>914</v>
      </c>
      <c r="C80" s="161">
        <f t="shared" si="342"/>
        <v>0</v>
      </c>
      <c r="D80" s="162">
        <f t="shared" si="338"/>
        <v>0</v>
      </c>
      <c r="E80" s="161">
        <f t="shared" ref="E80:E87" si="538">K80+M80+O79:O80+Q80+S80+U80+W80+Y80+AA80+AC80+AE80+AI80</f>
        <v>0</v>
      </c>
      <c r="F80" s="162">
        <f t="shared" ref="F80:F87" si="539">L80+N80+P79:P80+R80+T80+V80+X80+Z80+AB80+AD80+AF80+AJ80+AH80</f>
        <v>0</v>
      </c>
      <c r="G80" s="161">
        <f t="shared" si="442"/>
        <v>0</v>
      </c>
      <c r="H80" s="162">
        <f t="shared" si="442"/>
        <v>0</v>
      </c>
      <c r="I80" s="161"/>
      <c r="J80" s="162"/>
      <c r="K80" s="161"/>
      <c r="L80" s="162"/>
      <c r="M80" s="161"/>
      <c r="N80" s="162"/>
      <c r="O80" s="161"/>
      <c r="P80" s="162"/>
      <c r="Q80" s="161"/>
      <c r="R80" s="162"/>
      <c r="S80" s="161"/>
      <c r="T80" s="162"/>
      <c r="U80" s="161"/>
      <c r="V80" s="162"/>
      <c r="W80" s="161"/>
      <c r="X80" s="162"/>
      <c r="Y80" s="161"/>
      <c r="Z80" s="162"/>
      <c r="AA80" s="161"/>
      <c r="AB80" s="162"/>
      <c r="AC80" s="161"/>
      <c r="AD80" s="162"/>
      <c r="AE80" s="161"/>
      <c r="AF80" s="162"/>
      <c r="AG80" s="161"/>
      <c r="AH80" s="162"/>
      <c r="AI80" s="161"/>
      <c r="AJ80" s="162"/>
      <c r="AK80" s="161"/>
      <c r="AL80" s="162"/>
      <c r="AM80" s="161"/>
      <c r="AN80" s="162"/>
      <c r="AO80" s="161"/>
      <c r="AP80" s="162"/>
      <c r="AQ80" s="161"/>
      <c r="AR80" s="162"/>
      <c r="AS80" s="161"/>
      <c r="AT80" s="162"/>
      <c r="AU80" s="161"/>
      <c r="AV80" s="162"/>
      <c r="AW80" s="161"/>
      <c r="AX80" s="162"/>
      <c r="AY80" s="161"/>
      <c r="AZ80" s="162"/>
      <c r="BA80" s="161"/>
      <c r="BB80" s="162"/>
      <c r="BC80" s="161"/>
      <c r="BD80" s="162"/>
      <c r="BE80" s="161"/>
      <c r="BF80" s="162"/>
      <c r="BG80" s="161"/>
      <c r="BH80" s="162"/>
      <c r="BI80" s="161"/>
      <c r="BJ80" s="162"/>
      <c r="BK80" s="161"/>
      <c r="BL80" s="162"/>
      <c r="BM80" s="161"/>
      <c r="BN80" s="162"/>
      <c r="BO80" s="161"/>
      <c r="BP80" s="162"/>
      <c r="BQ80" s="161"/>
      <c r="BR80" s="162"/>
      <c r="BS80" s="161"/>
      <c r="BT80" s="162"/>
      <c r="BU80" s="161"/>
      <c r="BV80" s="162"/>
      <c r="BW80" s="161"/>
      <c r="BX80" s="162"/>
      <c r="BY80" s="161"/>
      <c r="BZ80" s="162"/>
      <c r="CA80" s="161"/>
      <c r="CB80" s="162"/>
      <c r="CC80" s="161"/>
      <c r="CD80" s="162"/>
      <c r="CE80" s="161"/>
      <c r="CF80" s="162"/>
      <c r="CG80" s="161"/>
      <c r="CH80" s="162"/>
      <c r="CI80" s="161"/>
      <c r="CJ80" s="162"/>
      <c r="CK80" s="161"/>
      <c r="CL80" s="162"/>
      <c r="CM80" s="161"/>
      <c r="CN80" s="162"/>
      <c r="CO80" s="161"/>
      <c r="CP80" s="162"/>
      <c r="CQ80" s="161"/>
      <c r="CR80" s="162"/>
      <c r="CS80" s="161"/>
      <c r="CT80" s="162"/>
      <c r="CU80" s="161"/>
      <c r="CV80" s="162"/>
      <c r="CW80" s="161"/>
      <c r="CX80" s="162"/>
      <c r="CY80" s="161"/>
      <c r="CZ80" s="162"/>
      <c r="DA80" s="161"/>
      <c r="DB80" s="162"/>
      <c r="DC80" s="161"/>
      <c r="DD80" s="162"/>
      <c r="DE80" s="161"/>
      <c r="DF80" s="162"/>
      <c r="DG80" s="161"/>
      <c r="DH80" s="162"/>
      <c r="DI80" s="161"/>
      <c r="DJ80" s="162"/>
      <c r="DK80" s="161"/>
      <c r="DL80" s="162"/>
      <c r="DM80" s="161"/>
      <c r="DN80" s="162"/>
      <c r="DO80" s="161"/>
      <c r="DP80" s="162"/>
      <c r="DQ80" s="161"/>
      <c r="DR80" s="162"/>
      <c r="DS80" s="161"/>
      <c r="DT80" s="162"/>
      <c r="DU80" s="161"/>
      <c r="DV80" s="162"/>
    </row>
    <row r="81" spans="1:126" x14ac:dyDescent="0.2">
      <c r="A81" s="160" t="s">
        <v>915</v>
      </c>
      <c r="B81" s="170" t="s">
        <v>916</v>
      </c>
      <c r="C81" s="161">
        <f t="shared" si="342"/>
        <v>0</v>
      </c>
      <c r="D81" s="162">
        <f t="shared" si="338"/>
        <v>0</v>
      </c>
      <c r="E81" s="161">
        <f t="shared" si="538"/>
        <v>0</v>
      </c>
      <c r="F81" s="162">
        <f t="shared" si="539"/>
        <v>0</v>
      </c>
      <c r="G81" s="161">
        <f t="shared" si="442"/>
        <v>0</v>
      </c>
      <c r="H81" s="162">
        <f t="shared" si="442"/>
        <v>0</v>
      </c>
      <c r="I81" s="161"/>
      <c r="J81" s="162"/>
      <c r="K81" s="161"/>
      <c r="L81" s="162"/>
      <c r="M81" s="161"/>
      <c r="N81" s="162"/>
      <c r="O81" s="161"/>
      <c r="P81" s="162"/>
      <c r="Q81" s="161"/>
      <c r="R81" s="162"/>
      <c r="S81" s="161"/>
      <c r="T81" s="162"/>
      <c r="U81" s="161"/>
      <c r="V81" s="162"/>
      <c r="W81" s="161"/>
      <c r="X81" s="162"/>
      <c r="Y81" s="161"/>
      <c r="Z81" s="162"/>
      <c r="AA81" s="161"/>
      <c r="AB81" s="162"/>
      <c r="AC81" s="161"/>
      <c r="AD81" s="162"/>
      <c r="AE81" s="161"/>
      <c r="AF81" s="162"/>
      <c r="AG81" s="161"/>
      <c r="AH81" s="162"/>
      <c r="AI81" s="161"/>
      <c r="AJ81" s="162"/>
      <c r="AK81" s="161"/>
      <c r="AL81" s="162"/>
      <c r="AM81" s="161"/>
      <c r="AN81" s="162"/>
      <c r="AO81" s="161"/>
      <c r="AP81" s="162"/>
      <c r="AQ81" s="161"/>
      <c r="AR81" s="162"/>
      <c r="AS81" s="161"/>
      <c r="AT81" s="162"/>
      <c r="AU81" s="161"/>
      <c r="AV81" s="162"/>
      <c r="AW81" s="161"/>
      <c r="AX81" s="162"/>
      <c r="AY81" s="161"/>
      <c r="AZ81" s="162"/>
      <c r="BA81" s="161"/>
      <c r="BB81" s="162"/>
      <c r="BC81" s="161"/>
      <c r="BD81" s="162"/>
      <c r="BE81" s="161"/>
      <c r="BF81" s="162"/>
      <c r="BG81" s="161"/>
      <c r="BH81" s="162"/>
      <c r="BI81" s="161"/>
      <c r="BJ81" s="162"/>
      <c r="BK81" s="161"/>
      <c r="BL81" s="162"/>
      <c r="BM81" s="161"/>
      <c r="BN81" s="162"/>
      <c r="BO81" s="161"/>
      <c r="BP81" s="162"/>
      <c r="BQ81" s="161"/>
      <c r="BR81" s="162"/>
      <c r="BS81" s="161"/>
      <c r="BT81" s="162"/>
      <c r="BU81" s="161"/>
      <c r="BV81" s="162"/>
      <c r="BW81" s="161"/>
      <c r="BX81" s="162"/>
      <c r="BY81" s="161"/>
      <c r="BZ81" s="162"/>
      <c r="CA81" s="161"/>
      <c r="CB81" s="162"/>
      <c r="CC81" s="161"/>
      <c r="CD81" s="162"/>
      <c r="CE81" s="161"/>
      <c r="CF81" s="162"/>
      <c r="CG81" s="161"/>
      <c r="CH81" s="162"/>
      <c r="CI81" s="161"/>
      <c r="CJ81" s="162"/>
      <c r="CK81" s="161"/>
      <c r="CL81" s="162"/>
      <c r="CM81" s="161"/>
      <c r="CN81" s="162"/>
      <c r="CO81" s="161"/>
      <c r="CP81" s="162"/>
      <c r="CQ81" s="161"/>
      <c r="CR81" s="162"/>
      <c r="CS81" s="161"/>
      <c r="CT81" s="162"/>
      <c r="CU81" s="161"/>
      <c r="CV81" s="162"/>
      <c r="CW81" s="161"/>
      <c r="CX81" s="162"/>
      <c r="CY81" s="161"/>
      <c r="CZ81" s="162"/>
      <c r="DA81" s="161"/>
      <c r="DB81" s="162"/>
      <c r="DC81" s="161"/>
      <c r="DD81" s="162"/>
      <c r="DE81" s="161"/>
      <c r="DF81" s="162"/>
      <c r="DG81" s="161"/>
      <c r="DH81" s="162"/>
      <c r="DI81" s="161"/>
      <c r="DJ81" s="162"/>
      <c r="DK81" s="161"/>
      <c r="DL81" s="162"/>
      <c r="DM81" s="161"/>
      <c r="DN81" s="162"/>
      <c r="DO81" s="161"/>
      <c r="DP81" s="162"/>
      <c r="DQ81" s="161"/>
      <c r="DR81" s="162"/>
      <c r="DS81" s="161"/>
      <c r="DT81" s="162"/>
      <c r="DU81" s="161"/>
      <c r="DV81" s="162"/>
    </row>
    <row r="82" spans="1:126" x14ac:dyDescent="0.2">
      <c r="A82" s="160" t="s">
        <v>917</v>
      </c>
      <c r="B82" s="170" t="s">
        <v>918</v>
      </c>
      <c r="C82" s="161">
        <f t="shared" si="342"/>
        <v>0</v>
      </c>
      <c r="D82" s="162">
        <f t="shared" si="338"/>
        <v>0</v>
      </c>
      <c r="E82" s="161">
        <f t="shared" si="538"/>
        <v>0</v>
      </c>
      <c r="F82" s="162">
        <f t="shared" si="539"/>
        <v>0</v>
      </c>
      <c r="G82" s="161">
        <f t="shared" si="442"/>
        <v>0</v>
      </c>
      <c r="H82" s="162">
        <f t="shared" si="442"/>
        <v>0</v>
      </c>
      <c r="I82" s="161"/>
      <c r="J82" s="162"/>
      <c r="K82" s="161"/>
      <c r="L82" s="162"/>
      <c r="M82" s="161"/>
      <c r="N82" s="162"/>
      <c r="O82" s="161"/>
      <c r="P82" s="162"/>
      <c r="Q82" s="161"/>
      <c r="R82" s="162"/>
      <c r="S82" s="161"/>
      <c r="T82" s="162"/>
      <c r="U82" s="161"/>
      <c r="V82" s="162"/>
      <c r="W82" s="161"/>
      <c r="X82" s="162"/>
      <c r="Y82" s="161"/>
      <c r="Z82" s="162"/>
      <c r="AA82" s="161"/>
      <c r="AB82" s="162"/>
      <c r="AC82" s="161"/>
      <c r="AD82" s="162"/>
      <c r="AE82" s="161"/>
      <c r="AF82" s="162"/>
      <c r="AG82" s="161"/>
      <c r="AH82" s="162"/>
      <c r="AI82" s="161"/>
      <c r="AJ82" s="162"/>
      <c r="AK82" s="161"/>
      <c r="AL82" s="162"/>
      <c r="AM82" s="161"/>
      <c r="AN82" s="162"/>
      <c r="AO82" s="161"/>
      <c r="AP82" s="162"/>
      <c r="AQ82" s="161"/>
      <c r="AR82" s="162"/>
      <c r="AS82" s="161"/>
      <c r="AT82" s="162"/>
      <c r="AU82" s="161"/>
      <c r="AV82" s="162"/>
      <c r="AW82" s="161"/>
      <c r="AX82" s="162"/>
      <c r="AY82" s="161"/>
      <c r="AZ82" s="162"/>
      <c r="BA82" s="161"/>
      <c r="BB82" s="162"/>
      <c r="BC82" s="161"/>
      <c r="BD82" s="162"/>
      <c r="BE82" s="161"/>
      <c r="BF82" s="162"/>
      <c r="BG82" s="161"/>
      <c r="BH82" s="162"/>
      <c r="BI82" s="161"/>
      <c r="BJ82" s="162"/>
      <c r="BK82" s="161"/>
      <c r="BL82" s="162"/>
      <c r="BM82" s="161"/>
      <c r="BN82" s="162"/>
      <c r="BO82" s="161"/>
      <c r="BP82" s="162"/>
      <c r="BQ82" s="161"/>
      <c r="BR82" s="162"/>
      <c r="BS82" s="161"/>
      <c r="BT82" s="162"/>
      <c r="BU82" s="161"/>
      <c r="BV82" s="162"/>
      <c r="BW82" s="161"/>
      <c r="BX82" s="162"/>
      <c r="BY82" s="161"/>
      <c r="BZ82" s="162"/>
      <c r="CA82" s="161"/>
      <c r="CB82" s="162"/>
      <c r="CC82" s="161"/>
      <c r="CD82" s="162"/>
      <c r="CE82" s="161"/>
      <c r="CF82" s="162"/>
      <c r="CG82" s="161"/>
      <c r="CH82" s="162"/>
      <c r="CI82" s="161"/>
      <c r="CJ82" s="162"/>
      <c r="CK82" s="161"/>
      <c r="CL82" s="162"/>
      <c r="CM82" s="161"/>
      <c r="CN82" s="162"/>
      <c r="CO82" s="161"/>
      <c r="CP82" s="162"/>
      <c r="CQ82" s="161"/>
      <c r="CR82" s="162"/>
      <c r="CS82" s="161"/>
      <c r="CT82" s="162"/>
      <c r="CU82" s="161"/>
      <c r="CV82" s="162"/>
      <c r="CW82" s="161"/>
      <c r="CX82" s="162"/>
      <c r="CY82" s="161"/>
      <c r="CZ82" s="162"/>
      <c r="DA82" s="161"/>
      <c r="DB82" s="162"/>
      <c r="DC82" s="161"/>
      <c r="DD82" s="162"/>
      <c r="DE82" s="161"/>
      <c r="DF82" s="162"/>
      <c r="DG82" s="161"/>
      <c r="DH82" s="162"/>
      <c r="DI82" s="161"/>
      <c r="DJ82" s="162"/>
      <c r="DK82" s="161"/>
      <c r="DL82" s="162"/>
      <c r="DM82" s="161"/>
      <c r="DN82" s="162"/>
      <c r="DO82" s="161"/>
      <c r="DP82" s="162"/>
      <c r="DQ82" s="161"/>
      <c r="DR82" s="162"/>
      <c r="DS82" s="161"/>
      <c r="DT82" s="162"/>
      <c r="DU82" s="161"/>
      <c r="DV82" s="162"/>
    </row>
    <row r="83" spans="1:126" x14ac:dyDescent="0.2">
      <c r="A83" s="160" t="s">
        <v>919</v>
      </c>
      <c r="B83" s="170" t="s">
        <v>920</v>
      </c>
      <c r="C83" s="161">
        <f t="shared" si="342"/>
        <v>0</v>
      </c>
      <c r="D83" s="162">
        <f t="shared" si="338"/>
        <v>0</v>
      </c>
      <c r="E83" s="161">
        <f t="shared" si="538"/>
        <v>0</v>
      </c>
      <c r="F83" s="162">
        <f t="shared" si="539"/>
        <v>0</v>
      </c>
      <c r="G83" s="161">
        <f t="shared" si="442"/>
        <v>0</v>
      </c>
      <c r="H83" s="162">
        <f t="shared" si="442"/>
        <v>0</v>
      </c>
      <c r="I83" s="161"/>
      <c r="J83" s="162"/>
      <c r="K83" s="161"/>
      <c r="L83" s="162"/>
      <c r="M83" s="161"/>
      <c r="N83" s="162"/>
      <c r="O83" s="161"/>
      <c r="P83" s="162"/>
      <c r="Q83" s="161"/>
      <c r="R83" s="162"/>
      <c r="S83" s="161"/>
      <c r="T83" s="162"/>
      <c r="U83" s="161"/>
      <c r="V83" s="162"/>
      <c r="W83" s="161"/>
      <c r="X83" s="162"/>
      <c r="Y83" s="161"/>
      <c r="Z83" s="162"/>
      <c r="AA83" s="161"/>
      <c r="AB83" s="162"/>
      <c r="AC83" s="161"/>
      <c r="AD83" s="162"/>
      <c r="AE83" s="161"/>
      <c r="AF83" s="162"/>
      <c r="AG83" s="161"/>
      <c r="AH83" s="162"/>
      <c r="AI83" s="161"/>
      <c r="AJ83" s="162"/>
      <c r="AK83" s="161"/>
      <c r="AL83" s="162"/>
      <c r="AM83" s="161"/>
      <c r="AN83" s="162"/>
      <c r="AO83" s="161"/>
      <c r="AP83" s="162"/>
      <c r="AQ83" s="161"/>
      <c r="AR83" s="162"/>
      <c r="AS83" s="161"/>
      <c r="AT83" s="162"/>
      <c r="AU83" s="161"/>
      <c r="AV83" s="162"/>
      <c r="AW83" s="161"/>
      <c r="AX83" s="162"/>
      <c r="AY83" s="161"/>
      <c r="AZ83" s="162"/>
      <c r="BA83" s="161"/>
      <c r="BB83" s="162"/>
      <c r="BC83" s="161"/>
      <c r="BD83" s="162"/>
      <c r="BE83" s="161"/>
      <c r="BF83" s="162"/>
      <c r="BG83" s="161"/>
      <c r="BH83" s="162"/>
      <c r="BI83" s="161"/>
      <c r="BJ83" s="162"/>
      <c r="BK83" s="161"/>
      <c r="BL83" s="162"/>
      <c r="BM83" s="161"/>
      <c r="BN83" s="162"/>
      <c r="BO83" s="161"/>
      <c r="BP83" s="162"/>
      <c r="BQ83" s="161"/>
      <c r="BR83" s="162"/>
      <c r="BS83" s="161"/>
      <c r="BT83" s="162"/>
      <c r="BU83" s="161"/>
      <c r="BV83" s="162"/>
      <c r="BW83" s="161"/>
      <c r="BX83" s="162"/>
      <c r="BY83" s="161"/>
      <c r="BZ83" s="162"/>
      <c r="CA83" s="161"/>
      <c r="CB83" s="162"/>
      <c r="CC83" s="161"/>
      <c r="CD83" s="162"/>
      <c r="CE83" s="161"/>
      <c r="CF83" s="162"/>
      <c r="CG83" s="161"/>
      <c r="CH83" s="162"/>
      <c r="CI83" s="161"/>
      <c r="CJ83" s="162"/>
      <c r="CK83" s="161"/>
      <c r="CL83" s="162"/>
      <c r="CM83" s="161"/>
      <c r="CN83" s="162"/>
      <c r="CO83" s="161"/>
      <c r="CP83" s="162"/>
      <c r="CQ83" s="161"/>
      <c r="CR83" s="162"/>
      <c r="CS83" s="161"/>
      <c r="CT83" s="162"/>
      <c r="CU83" s="161"/>
      <c r="CV83" s="162"/>
      <c r="CW83" s="161"/>
      <c r="CX83" s="162"/>
      <c r="CY83" s="161"/>
      <c r="CZ83" s="162"/>
      <c r="DA83" s="161"/>
      <c r="DB83" s="162"/>
      <c r="DC83" s="161"/>
      <c r="DD83" s="162"/>
      <c r="DE83" s="161"/>
      <c r="DF83" s="162"/>
      <c r="DG83" s="161"/>
      <c r="DH83" s="162"/>
      <c r="DI83" s="161"/>
      <c r="DJ83" s="162"/>
      <c r="DK83" s="161"/>
      <c r="DL83" s="162"/>
      <c r="DM83" s="161"/>
      <c r="DN83" s="162"/>
      <c r="DO83" s="161"/>
      <c r="DP83" s="162"/>
      <c r="DQ83" s="161"/>
      <c r="DR83" s="162"/>
      <c r="DS83" s="161"/>
      <c r="DT83" s="162"/>
      <c r="DU83" s="161"/>
      <c r="DV83" s="162"/>
    </row>
    <row r="84" spans="1:126" x14ac:dyDescent="0.2">
      <c r="A84" s="160" t="s">
        <v>921</v>
      </c>
      <c r="B84" s="170" t="s">
        <v>922</v>
      </c>
      <c r="C84" s="161">
        <f t="shared" si="342"/>
        <v>0</v>
      </c>
      <c r="D84" s="162">
        <f t="shared" si="338"/>
        <v>0</v>
      </c>
      <c r="E84" s="161">
        <f t="shared" si="538"/>
        <v>0</v>
      </c>
      <c r="F84" s="162">
        <f t="shared" si="539"/>
        <v>0</v>
      </c>
      <c r="G84" s="161">
        <f t="shared" si="442"/>
        <v>0</v>
      </c>
      <c r="H84" s="162">
        <f t="shared" si="442"/>
        <v>0</v>
      </c>
      <c r="I84" s="161"/>
      <c r="J84" s="162"/>
      <c r="K84" s="161"/>
      <c r="L84" s="162"/>
      <c r="M84" s="161"/>
      <c r="N84" s="162"/>
      <c r="O84" s="161"/>
      <c r="P84" s="162"/>
      <c r="Q84" s="161"/>
      <c r="R84" s="162"/>
      <c r="S84" s="161"/>
      <c r="T84" s="162"/>
      <c r="U84" s="161"/>
      <c r="V84" s="162"/>
      <c r="W84" s="161"/>
      <c r="X84" s="162"/>
      <c r="Y84" s="161"/>
      <c r="Z84" s="162"/>
      <c r="AA84" s="161"/>
      <c r="AB84" s="162"/>
      <c r="AC84" s="161"/>
      <c r="AD84" s="162"/>
      <c r="AE84" s="161"/>
      <c r="AF84" s="162"/>
      <c r="AG84" s="161"/>
      <c r="AH84" s="162"/>
      <c r="AI84" s="161"/>
      <c r="AJ84" s="162"/>
      <c r="AK84" s="161"/>
      <c r="AL84" s="162"/>
      <c r="AM84" s="161"/>
      <c r="AN84" s="162"/>
      <c r="AO84" s="161"/>
      <c r="AP84" s="162"/>
      <c r="AQ84" s="161"/>
      <c r="AR84" s="162"/>
      <c r="AS84" s="161"/>
      <c r="AT84" s="162"/>
      <c r="AU84" s="161"/>
      <c r="AV84" s="162"/>
      <c r="AW84" s="161"/>
      <c r="AX84" s="162"/>
      <c r="AY84" s="161"/>
      <c r="AZ84" s="162"/>
      <c r="BA84" s="161"/>
      <c r="BB84" s="162"/>
      <c r="BC84" s="161"/>
      <c r="BD84" s="162"/>
      <c r="BE84" s="161"/>
      <c r="BF84" s="162"/>
      <c r="BG84" s="161"/>
      <c r="BH84" s="162"/>
      <c r="BI84" s="161"/>
      <c r="BJ84" s="162"/>
      <c r="BK84" s="161"/>
      <c r="BL84" s="162"/>
      <c r="BM84" s="161"/>
      <c r="BN84" s="162"/>
      <c r="BO84" s="161"/>
      <c r="BP84" s="162"/>
      <c r="BQ84" s="161"/>
      <c r="BR84" s="162"/>
      <c r="BS84" s="161"/>
      <c r="BT84" s="162"/>
      <c r="BU84" s="161"/>
      <c r="BV84" s="162"/>
      <c r="BW84" s="161"/>
      <c r="BX84" s="162"/>
      <c r="BY84" s="161"/>
      <c r="BZ84" s="162"/>
      <c r="CA84" s="161"/>
      <c r="CB84" s="162"/>
      <c r="CC84" s="161"/>
      <c r="CD84" s="162"/>
      <c r="CE84" s="161"/>
      <c r="CF84" s="162"/>
      <c r="CG84" s="161"/>
      <c r="CH84" s="162"/>
      <c r="CI84" s="161"/>
      <c r="CJ84" s="162"/>
      <c r="CK84" s="161"/>
      <c r="CL84" s="162"/>
      <c r="CM84" s="161"/>
      <c r="CN84" s="162"/>
      <c r="CO84" s="161"/>
      <c r="CP84" s="162"/>
      <c r="CQ84" s="161"/>
      <c r="CR84" s="162"/>
      <c r="CS84" s="161"/>
      <c r="CT84" s="162"/>
      <c r="CU84" s="161"/>
      <c r="CV84" s="162"/>
      <c r="CW84" s="161"/>
      <c r="CX84" s="162"/>
      <c r="CY84" s="161"/>
      <c r="CZ84" s="162"/>
      <c r="DA84" s="161"/>
      <c r="DB84" s="162"/>
      <c r="DC84" s="161"/>
      <c r="DD84" s="162"/>
      <c r="DE84" s="161"/>
      <c r="DF84" s="162"/>
      <c r="DG84" s="161"/>
      <c r="DH84" s="162"/>
      <c r="DI84" s="161"/>
      <c r="DJ84" s="162"/>
      <c r="DK84" s="161"/>
      <c r="DL84" s="162"/>
      <c r="DM84" s="161"/>
      <c r="DN84" s="162"/>
      <c r="DO84" s="161"/>
      <c r="DP84" s="162"/>
      <c r="DQ84" s="161"/>
      <c r="DR84" s="162"/>
      <c r="DS84" s="161"/>
      <c r="DT84" s="162"/>
      <c r="DU84" s="161"/>
      <c r="DV84" s="162"/>
    </row>
    <row r="85" spans="1:126" x14ac:dyDescent="0.2">
      <c r="A85" s="160" t="s">
        <v>923</v>
      </c>
      <c r="B85" s="170" t="s">
        <v>924</v>
      </c>
      <c r="C85" s="161">
        <f t="shared" si="342"/>
        <v>0</v>
      </c>
      <c r="D85" s="162">
        <f t="shared" si="338"/>
        <v>0</v>
      </c>
      <c r="E85" s="161">
        <f t="shared" si="538"/>
        <v>0</v>
      </c>
      <c r="F85" s="162">
        <f t="shared" si="539"/>
        <v>0</v>
      </c>
      <c r="G85" s="161">
        <f t="shared" si="442"/>
        <v>0</v>
      </c>
      <c r="H85" s="162">
        <f t="shared" si="442"/>
        <v>0</v>
      </c>
      <c r="I85" s="161"/>
      <c r="J85" s="162"/>
      <c r="K85" s="161"/>
      <c r="L85" s="162"/>
      <c r="M85" s="161"/>
      <c r="N85" s="162"/>
      <c r="O85" s="161"/>
      <c r="P85" s="162"/>
      <c r="Q85" s="161"/>
      <c r="R85" s="162"/>
      <c r="S85" s="161"/>
      <c r="T85" s="162"/>
      <c r="U85" s="161"/>
      <c r="V85" s="162"/>
      <c r="W85" s="161"/>
      <c r="X85" s="162"/>
      <c r="Y85" s="161"/>
      <c r="Z85" s="162"/>
      <c r="AA85" s="161"/>
      <c r="AB85" s="162"/>
      <c r="AC85" s="161"/>
      <c r="AD85" s="162"/>
      <c r="AE85" s="161"/>
      <c r="AF85" s="162"/>
      <c r="AG85" s="161"/>
      <c r="AH85" s="162"/>
      <c r="AI85" s="161"/>
      <c r="AJ85" s="162"/>
      <c r="AK85" s="161"/>
      <c r="AL85" s="162"/>
      <c r="AM85" s="161"/>
      <c r="AN85" s="162"/>
      <c r="AO85" s="161"/>
      <c r="AP85" s="162"/>
      <c r="AQ85" s="161"/>
      <c r="AR85" s="162"/>
      <c r="AS85" s="161"/>
      <c r="AT85" s="162"/>
      <c r="AU85" s="161"/>
      <c r="AV85" s="162"/>
      <c r="AW85" s="161"/>
      <c r="AX85" s="162"/>
      <c r="AY85" s="161"/>
      <c r="AZ85" s="162"/>
      <c r="BA85" s="161"/>
      <c r="BB85" s="162"/>
      <c r="BC85" s="161"/>
      <c r="BD85" s="162"/>
      <c r="BE85" s="161"/>
      <c r="BF85" s="162"/>
      <c r="BG85" s="161"/>
      <c r="BH85" s="162"/>
      <c r="BI85" s="161"/>
      <c r="BJ85" s="162"/>
      <c r="BK85" s="161"/>
      <c r="BL85" s="162"/>
      <c r="BM85" s="161"/>
      <c r="BN85" s="162"/>
      <c r="BO85" s="161"/>
      <c r="BP85" s="162"/>
      <c r="BQ85" s="161"/>
      <c r="BR85" s="162"/>
      <c r="BS85" s="161"/>
      <c r="BT85" s="162"/>
      <c r="BU85" s="161"/>
      <c r="BV85" s="162"/>
      <c r="BW85" s="161"/>
      <c r="BX85" s="162"/>
      <c r="BY85" s="161"/>
      <c r="BZ85" s="162"/>
      <c r="CA85" s="161"/>
      <c r="CB85" s="162"/>
      <c r="CC85" s="161"/>
      <c r="CD85" s="162"/>
      <c r="CE85" s="161"/>
      <c r="CF85" s="162"/>
      <c r="CG85" s="161"/>
      <c r="CH85" s="162"/>
      <c r="CI85" s="161"/>
      <c r="CJ85" s="162"/>
      <c r="CK85" s="161"/>
      <c r="CL85" s="162"/>
      <c r="CM85" s="161"/>
      <c r="CN85" s="162"/>
      <c r="CO85" s="161"/>
      <c r="CP85" s="162"/>
      <c r="CQ85" s="161"/>
      <c r="CR85" s="162"/>
      <c r="CS85" s="161"/>
      <c r="CT85" s="162"/>
      <c r="CU85" s="161"/>
      <c r="CV85" s="162"/>
      <c r="CW85" s="161"/>
      <c r="CX85" s="162"/>
      <c r="CY85" s="161"/>
      <c r="CZ85" s="162"/>
      <c r="DA85" s="161"/>
      <c r="DB85" s="162"/>
      <c r="DC85" s="161"/>
      <c r="DD85" s="162"/>
      <c r="DE85" s="161"/>
      <c r="DF85" s="162"/>
      <c r="DG85" s="161"/>
      <c r="DH85" s="162"/>
      <c r="DI85" s="161"/>
      <c r="DJ85" s="162"/>
      <c r="DK85" s="161"/>
      <c r="DL85" s="162"/>
      <c r="DM85" s="161"/>
      <c r="DN85" s="162"/>
      <c r="DO85" s="161"/>
      <c r="DP85" s="162"/>
      <c r="DQ85" s="161"/>
      <c r="DR85" s="162"/>
      <c r="DS85" s="161"/>
      <c r="DT85" s="162"/>
      <c r="DU85" s="161"/>
      <c r="DV85" s="162"/>
    </row>
    <row r="86" spans="1:126" x14ac:dyDescent="0.2">
      <c r="A86" s="160" t="s">
        <v>925</v>
      </c>
      <c r="B86" s="160" t="s">
        <v>926</v>
      </c>
      <c r="C86" s="161">
        <f t="shared" si="342"/>
        <v>0</v>
      </c>
      <c r="D86" s="162">
        <f t="shared" si="338"/>
        <v>0</v>
      </c>
      <c r="E86" s="161">
        <f t="shared" si="538"/>
        <v>0</v>
      </c>
      <c r="F86" s="162">
        <f t="shared" si="539"/>
        <v>0</v>
      </c>
      <c r="G86" s="161">
        <f t="shared" si="442"/>
        <v>0</v>
      </c>
      <c r="H86" s="162">
        <f t="shared" si="442"/>
        <v>0</v>
      </c>
      <c r="I86" s="161"/>
      <c r="J86" s="162"/>
      <c r="K86" s="161"/>
      <c r="L86" s="162"/>
      <c r="M86" s="161"/>
      <c r="N86" s="162"/>
      <c r="O86" s="161"/>
      <c r="P86" s="162"/>
      <c r="Q86" s="161"/>
      <c r="R86" s="162"/>
      <c r="S86" s="161"/>
      <c r="T86" s="162"/>
      <c r="U86" s="161"/>
      <c r="V86" s="162"/>
      <c r="W86" s="161"/>
      <c r="X86" s="162"/>
      <c r="Y86" s="161"/>
      <c r="Z86" s="162"/>
      <c r="AA86" s="161"/>
      <c r="AB86" s="162"/>
      <c r="AC86" s="161"/>
      <c r="AD86" s="162"/>
      <c r="AE86" s="161"/>
      <c r="AF86" s="162"/>
      <c r="AG86" s="161"/>
      <c r="AH86" s="162"/>
      <c r="AI86" s="161"/>
      <c r="AJ86" s="162"/>
      <c r="AK86" s="161"/>
      <c r="AL86" s="162"/>
      <c r="AM86" s="161"/>
      <c r="AN86" s="162"/>
      <c r="AO86" s="161"/>
      <c r="AP86" s="162"/>
      <c r="AQ86" s="161"/>
      <c r="AR86" s="162"/>
      <c r="AS86" s="161"/>
      <c r="AT86" s="162"/>
      <c r="AU86" s="161"/>
      <c r="AV86" s="162"/>
      <c r="AW86" s="161"/>
      <c r="AX86" s="162"/>
      <c r="AY86" s="161"/>
      <c r="AZ86" s="162"/>
      <c r="BA86" s="161"/>
      <c r="BB86" s="162"/>
      <c r="BC86" s="161"/>
      <c r="BD86" s="162"/>
      <c r="BE86" s="161"/>
      <c r="BF86" s="162"/>
      <c r="BG86" s="161"/>
      <c r="BH86" s="162"/>
      <c r="BI86" s="161"/>
      <c r="BJ86" s="162"/>
      <c r="BK86" s="161"/>
      <c r="BL86" s="162"/>
      <c r="BM86" s="161"/>
      <c r="BN86" s="162"/>
      <c r="BO86" s="161"/>
      <c r="BP86" s="162"/>
      <c r="BQ86" s="161"/>
      <c r="BR86" s="162"/>
      <c r="BS86" s="161"/>
      <c r="BT86" s="162"/>
      <c r="BU86" s="161"/>
      <c r="BV86" s="162"/>
      <c r="BW86" s="161"/>
      <c r="BX86" s="162"/>
      <c r="BY86" s="161"/>
      <c r="BZ86" s="162"/>
      <c r="CA86" s="161"/>
      <c r="CB86" s="162"/>
      <c r="CC86" s="161"/>
      <c r="CD86" s="162"/>
      <c r="CE86" s="161"/>
      <c r="CF86" s="162"/>
      <c r="CG86" s="161"/>
      <c r="CH86" s="162"/>
      <c r="CI86" s="161"/>
      <c r="CJ86" s="162"/>
      <c r="CK86" s="161"/>
      <c r="CL86" s="162"/>
      <c r="CM86" s="161"/>
      <c r="CN86" s="162"/>
      <c r="CO86" s="161"/>
      <c r="CP86" s="162"/>
      <c r="CQ86" s="161"/>
      <c r="CR86" s="162"/>
      <c r="CS86" s="161"/>
      <c r="CT86" s="162"/>
      <c r="CU86" s="161"/>
      <c r="CV86" s="162"/>
      <c r="CW86" s="161"/>
      <c r="CX86" s="162"/>
      <c r="CY86" s="161"/>
      <c r="CZ86" s="162"/>
      <c r="DA86" s="161"/>
      <c r="DB86" s="162"/>
      <c r="DC86" s="161"/>
      <c r="DD86" s="162"/>
      <c r="DE86" s="161"/>
      <c r="DF86" s="162"/>
      <c r="DG86" s="161"/>
      <c r="DH86" s="162"/>
      <c r="DI86" s="161"/>
      <c r="DJ86" s="162"/>
      <c r="DK86" s="161"/>
      <c r="DL86" s="162"/>
      <c r="DM86" s="161"/>
      <c r="DN86" s="162"/>
      <c r="DO86" s="161"/>
      <c r="DP86" s="162"/>
      <c r="DQ86" s="161"/>
      <c r="DR86" s="162"/>
      <c r="DS86" s="161"/>
      <c r="DT86" s="162"/>
      <c r="DU86" s="161"/>
      <c r="DV86" s="162"/>
    </row>
    <row r="87" spans="1:126" x14ac:dyDescent="0.2">
      <c r="A87" s="160" t="s">
        <v>927</v>
      </c>
      <c r="B87" s="160" t="s">
        <v>928</v>
      </c>
      <c r="C87" s="161">
        <f t="shared" si="342"/>
        <v>1800</v>
      </c>
      <c r="D87" s="162">
        <f t="shared" si="338"/>
        <v>1800</v>
      </c>
      <c r="E87" s="161">
        <f t="shared" si="538"/>
        <v>0</v>
      </c>
      <c r="F87" s="162">
        <f t="shared" si="539"/>
        <v>1800</v>
      </c>
      <c r="G87" s="161">
        <f t="shared" si="442"/>
        <v>0</v>
      </c>
      <c r="H87" s="162">
        <f t="shared" si="442"/>
        <v>0</v>
      </c>
      <c r="I87" s="161"/>
      <c r="J87" s="162"/>
      <c r="K87" s="161"/>
      <c r="L87" s="162">
        <v>1800</v>
      </c>
      <c r="M87" s="161"/>
      <c r="N87" s="162"/>
      <c r="O87" s="161"/>
      <c r="P87" s="162"/>
      <c r="Q87" s="161"/>
      <c r="R87" s="162"/>
      <c r="S87" s="161"/>
      <c r="T87" s="162"/>
      <c r="U87" s="161"/>
      <c r="V87" s="162"/>
      <c r="W87" s="161"/>
      <c r="X87" s="162"/>
      <c r="Y87" s="161"/>
      <c r="Z87" s="162"/>
      <c r="AA87" s="161"/>
      <c r="AB87" s="162"/>
      <c r="AC87" s="161"/>
      <c r="AD87" s="162"/>
      <c r="AE87" s="161"/>
      <c r="AF87" s="162"/>
      <c r="AG87" s="161"/>
      <c r="AH87" s="162"/>
      <c r="AI87" s="161"/>
      <c r="AJ87" s="162"/>
      <c r="AK87" s="161"/>
      <c r="AL87" s="162"/>
      <c r="AM87" s="161"/>
      <c r="AN87" s="162"/>
      <c r="AO87" s="161"/>
      <c r="AP87" s="162"/>
      <c r="AQ87" s="161"/>
      <c r="AR87" s="162"/>
      <c r="AS87" s="161"/>
      <c r="AT87" s="162"/>
      <c r="AU87" s="161"/>
      <c r="AV87" s="162"/>
      <c r="AW87" s="161"/>
      <c r="AX87" s="162"/>
      <c r="AY87" s="161"/>
      <c r="AZ87" s="162"/>
      <c r="BA87" s="161"/>
      <c r="BB87" s="162"/>
      <c r="BC87" s="161"/>
      <c r="BD87" s="162"/>
      <c r="BE87" s="161"/>
      <c r="BF87" s="162"/>
      <c r="BG87" s="161"/>
      <c r="BH87" s="162"/>
      <c r="BI87" s="161"/>
      <c r="BJ87" s="162"/>
      <c r="BK87" s="161"/>
      <c r="BL87" s="162"/>
      <c r="BM87" s="161"/>
      <c r="BN87" s="162"/>
      <c r="BO87" s="161"/>
      <c r="BP87" s="162"/>
      <c r="BQ87" s="161"/>
      <c r="BR87" s="162"/>
      <c r="BS87" s="161"/>
      <c r="BT87" s="162"/>
      <c r="BU87" s="161"/>
      <c r="BV87" s="162"/>
      <c r="BW87" s="161"/>
      <c r="BX87" s="162"/>
      <c r="BY87" s="161"/>
      <c r="BZ87" s="162"/>
      <c r="CA87" s="161"/>
      <c r="CB87" s="162"/>
      <c r="CC87" s="161"/>
      <c r="CD87" s="162"/>
      <c r="CE87" s="161"/>
      <c r="CF87" s="162"/>
      <c r="CG87" s="161"/>
      <c r="CH87" s="162"/>
      <c r="CI87" s="161"/>
      <c r="CJ87" s="162"/>
      <c r="CK87" s="161"/>
      <c r="CL87" s="162"/>
      <c r="CM87" s="161"/>
      <c r="CN87" s="162"/>
      <c r="CO87" s="161"/>
      <c r="CP87" s="162"/>
      <c r="CQ87" s="161"/>
      <c r="CR87" s="162"/>
      <c r="CS87" s="161"/>
      <c r="CT87" s="162"/>
      <c r="CU87" s="161"/>
      <c r="CV87" s="162"/>
      <c r="CW87" s="161"/>
      <c r="CX87" s="162"/>
      <c r="CY87" s="161"/>
      <c r="CZ87" s="162"/>
      <c r="DA87" s="161"/>
      <c r="DB87" s="162"/>
      <c r="DC87" s="161"/>
      <c r="DD87" s="162"/>
      <c r="DE87" s="161"/>
      <c r="DF87" s="162"/>
      <c r="DG87" s="161"/>
      <c r="DH87" s="162"/>
      <c r="DI87" s="161"/>
      <c r="DJ87" s="162"/>
      <c r="DK87" s="161"/>
      <c r="DL87" s="162"/>
      <c r="DM87" s="161"/>
      <c r="DN87" s="162"/>
      <c r="DO87" s="161"/>
      <c r="DP87" s="162"/>
      <c r="DQ87" s="161"/>
      <c r="DR87" s="162"/>
      <c r="DS87" s="161"/>
      <c r="DT87" s="162"/>
      <c r="DU87" s="161"/>
      <c r="DV87" s="162"/>
    </row>
    <row r="88" spans="1:126" x14ac:dyDescent="0.2">
      <c r="A88" s="163" t="s">
        <v>929</v>
      </c>
      <c r="B88" s="163" t="s">
        <v>343</v>
      </c>
      <c r="C88" s="164">
        <f t="shared" ref="C88:I88" si="540">SUM(C80:C87)</f>
        <v>1800</v>
      </c>
      <c r="D88" s="165">
        <f t="shared" si="540"/>
        <v>1800</v>
      </c>
      <c r="E88" s="164">
        <f t="shared" si="540"/>
        <v>0</v>
      </c>
      <c r="F88" s="165">
        <f t="shared" si="540"/>
        <v>1800</v>
      </c>
      <c r="G88" s="164">
        <f t="shared" si="540"/>
        <v>0</v>
      </c>
      <c r="H88" s="165">
        <f t="shared" si="540"/>
        <v>0</v>
      </c>
      <c r="I88" s="164">
        <f t="shared" si="540"/>
        <v>0</v>
      </c>
      <c r="J88" s="165">
        <f t="shared" ref="J88:AO88" si="541">SUM(J80:J87)</f>
        <v>0</v>
      </c>
      <c r="K88" s="164">
        <f t="shared" si="541"/>
        <v>0</v>
      </c>
      <c r="L88" s="165">
        <f t="shared" si="541"/>
        <v>1800</v>
      </c>
      <c r="M88" s="164">
        <f t="shared" si="541"/>
        <v>0</v>
      </c>
      <c r="N88" s="165">
        <f t="shared" si="541"/>
        <v>0</v>
      </c>
      <c r="O88" s="164">
        <f t="shared" si="541"/>
        <v>0</v>
      </c>
      <c r="P88" s="165">
        <f t="shared" si="541"/>
        <v>0</v>
      </c>
      <c r="Q88" s="164">
        <f t="shared" si="541"/>
        <v>0</v>
      </c>
      <c r="R88" s="165">
        <f t="shared" si="541"/>
        <v>0</v>
      </c>
      <c r="S88" s="164">
        <f t="shared" si="541"/>
        <v>0</v>
      </c>
      <c r="T88" s="165">
        <f t="shared" ref="T88" si="542">SUM(T80:T87)</f>
        <v>0</v>
      </c>
      <c r="U88" s="164">
        <f t="shared" si="541"/>
        <v>0</v>
      </c>
      <c r="V88" s="165">
        <f t="shared" ref="V88" si="543">SUM(V80:V87)</f>
        <v>0</v>
      </c>
      <c r="W88" s="164">
        <f t="shared" si="541"/>
        <v>0</v>
      </c>
      <c r="X88" s="165">
        <f t="shared" si="541"/>
        <v>0</v>
      </c>
      <c r="Y88" s="164">
        <f t="shared" si="541"/>
        <v>0</v>
      </c>
      <c r="Z88" s="165">
        <f t="shared" ref="Z88" si="544">SUM(Z80:Z87)</f>
        <v>0</v>
      </c>
      <c r="AA88" s="164">
        <f t="shared" si="541"/>
        <v>0</v>
      </c>
      <c r="AB88" s="165">
        <f t="shared" ref="AB88" si="545">SUM(AB80:AB87)</f>
        <v>0</v>
      </c>
      <c r="AC88" s="164">
        <f t="shared" si="541"/>
        <v>0</v>
      </c>
      <c r="AD88" s="165">
        <f t="shared" ref="AD88" si="546">SUM(AD80:AD87)</f>
        <v>0</v>
      </c>
      <c r="AE88" s="164">
        <f t="shared" si="541"/>
        <v>0</v>
      </c>
      <c r="AF88" s="165">
        <f t="shared" ref="AF88:AH88" si="547">SUM(AF80:AF87)</f>
        <v>0</v>
      </c>
      <c r="AG88" s="164"/>
      <c r="AH88" s="165">
        <f t="shared" si="547"/>
        <v>0</v>
      </c>
      <c r="AI88" s="164">
        <f>SUM(AI80:AI87)</f>
        <v>0</v>
      </c>
      <c r="AJ88" s="165">
        <f>SUM(AJ80:AJ87)</f>
        <v>0</v>
      </c>
      <c r="AK88" s="164">
        <f t="shared" si="541"/>
        <v>0</v>
      </c>
      <c r="AL88" s="165">
        <f t="shared" ref="AL88" si="548">SUM(AL80:AL87)</f>
        <v>0</v>
      </c>
      <c r="AM88" s="164">
        <f t="shared" si="541"/>
        <v>0</v>
      </c>
      <c r="AN88" s="165"/>
      <c r="AO88" s="164">
        <f t="shared" si="541"/>
        <v>0</v>
      </c>
      <c r="AP88" s="165">
        <f t="shared" ref="AP88" si="549">SUM(AP80:AP87)</f>
        <v>0</v>
      </c>
      <c r="AQ88" s="164">
        <f t="shared" ref="AQ88:DS88" si="550">SUM(AQ80:AQ87)</f>
        <v>0</v>
      </c>
      <c r="AR88" s="165">
        <f t="shared" ref="AR88" si="551">SUM(AR80:AR87)</f>
        <v>0</v>
      </c>
      <c r="AS88" s="164">
        <f t="shared" si="550"/>
        <v>0</v>
      </c>
      <c r="AT88" s="165">
        <f t="shared" ref="AT88" si="552">SUM(AT80:AT87)</f>
        <v>0</v>
      </c>
      <c r="AU88" s="164">
        <f t="shared" si="550"/>
        <v>0</v>
      </c>
      <c r="AV88" s="165">
        <f t="shared" ref="AV88" si="553">SUM(AV80:AV87)</f>
        <v>0</v>
      </c>
      <c r="AW88" s="164">
        <f t="shared" si="550"/>
        <v>0</v>
      </c>
      <c r="AX88" s="165">
        <f t="shared" ref="AX88" si="554">SUM(AX80:AX87)</f>
        <v>0</v>
      </c>
      <c r="AY88" s="164">
        <f t="shared" si="550"/>
        <v>0</v>
      </c>
      <c r="AZ88" s="165">
        <f t="shared" ref="AZ88" si="555">SUM(AZ80:AZ87)</f>
        <v>0</v>
      </c>
      <c r="BA88" s="164">
        <f t="shared" si="550"/>
        <v>0</v>
      </c>
      <c r="BB88" s="165">
        <f t="shared" ref="BB88" si="556">SUM(BB80:BB87)</f>
        <v>0</v>
      </c>
      <c r="BC88" s="164">
        <f t="shared" si="550"/>
        <v>0</v>
      </c>
      <c r="BD88" s="165">
        <f t="shared" ref="BD88" si="557">SUM(BD80:BD87)</f>
        <v>0</v>
      </c>
      <c r="BE88" s="164">
        <f t="shared" si="550"/>
        <v>0</v>
      </c>
      <c r="BF88" s="165">
        <f t="shared" ref="BF88" si="558">SUM(BF80:BF87)</f>
        <v>0</v>
      </c>
      <c r="BG88" s="164">
        <f t="shared" si="550"/>
        <v>0</v>
      </c>
      <c r="BH88" s="165">
        <f t="shared" ref="BH88" si="559">SUM(BH80:BH87)</f>
        <v>0</v>
      </c>
      <c r="BI88" s="164">
        <f t="shared" si="550"/>
        <v>0</v>
      </c>
      <c r="BJ88" s="165">
        <f t="shared" ref="BJ88" si="560">SUM(BJ80:BJ87)</f>
        <v>0</v>
      </c>
      <c r="BK88" s="164">
        <f t="shared" si="550"/>
        <v>0</v>
      </c>
      <c r="BL88" s="165">
        <f t="shared" ref="BL88" si="561">SUM(BL80:BL87)</f>
        <v>0</v>
      </c>
      <c r="BM88" s="164">
        <f t="shared" si="550"/>
        <v>0</v>
      </c>
      <c r="BN88" s="165">
        <f t="shared" ref="BN88" si="562">SUM(BN80:BN87)</f>
        <v>0</v>
      </c>
      <c r="BO88" s="164">
        <f t="shared" si="550"/>
        <v>0</v>
      </c>
      <c r="BP88" s="165">
        <f t="shared" ref="BP88" si="563">SUM(BP80:BP87)</f>
        <v>0</v>
      </c>
      <c r="BQ88" s="164">
        <f t="shared" si="550"/>
        <v>0</v>
      </c>
      <c r="BR88" s="165">
        <f t="shared" ref="BR88" si="564">SUM(BR80:BR87)</f>
        <v>0</v>
      </c>
      <c r="BS88" s="164">
        <f t="shared" si="550"/>
        <v>0</v>
      </c>
      <c r="BT88" s="165">
        <f t="shared" ref="BT88" si="565">SUM(BT80:BT87)</f>
        <v>0</v>
      </c>
      <c r="BU88" s="164">
        <f t="shared" si="550"/>
        <v>0</v>
      </c>
      <c r="BV88" s="165">
        <f t="shared" ref="BV88" si="566">SUM(BV80:BV87)</f>
        <v>0</v>
      </c>
      <c r="BW88" s="164">
        <f t="shared" si="550"/>
        <v>0</v>
      </c>
      <c r="BX88" s="165">
        <f t="shared" ref="BX88" si="567">SUM(BX80:BX87)</f>
        <v>0</v>
      </c>
      <c r="BY88" s="164">
        <f t="shared" si="550"/>
        <v>0</v>
      </c>
      <c r="BZ88" s="165">
        <f t="shared" ref="BZ88" si="568">SUM(BZ80:BZ87)</f>
        <v>0</v>
      </c>
      <c r="CA88" s="164">
        <f t="shared" si="550"/>
        <v>0</v>
      </c>
      <c r="CB88" s="165">
        <f t="shared" ref="CB88" si="569">SUM(CB80:CB87)</f>
        <v>0</v>
      </c>
      <c r="CC88" s="164">
        <f t="shared" si="550"/>
        <v>0</v>
      </c>
      <c r="CD88" s="165">
        <f t="shared" ref="CD88" si="570">SUM(CD80:CD87)</f>
        <v>0</v>
      </c>
      <c r="CE88" s="164">
        <f>SUM(CE80:CE87)</f>
        <v>0</v>
      </c>
      <c r="CF88" s="165">
        <f>SUM(CF80:CF87)</f>
        <v>0</v>
      </c>
      <c r="CG88" s="164">
        <f t="shared" si="550"/>
        <v>0</v>
      </c>
      <c r="CH88" s="165">
        <f t="shared" ref="CH88" si="571">SUM(CH80:CH87)</f>
        <v>0</v>
      </c>
      <c r="CI88" s="164">
        <f t="shared" si="550"/>
        <v>0</v>
      </c>
      <c r="CJ88" s="165">
        <f t="shared" ref="CJ88" si="572">SUM(CJ80:CJ87)</f>
        <v>0</v>
      </c>
      <c r="CK88" s="164">
        <f t="shared" si="550"/>
        <v>0</v>
      </c>
      <c r="CL88" s="165">
        <f t="shared" ref="CL88" si="573">SUM(CL80:CL87)</f>
        <v>0</v>
      </c>
      <c r="CM88" s="164">
        <f t="shared" si="550"/>
        <v>0</v>
      </c>
      <c r="CN88" s="165">
        <f t="shared" ref="CN88" si="574">SUM(CN80:CN87)</f>
        <v>0</v>
      </c>
      <c r="CO88" s="164">
        <f t="shared" si="550"/>
        <v>0</v>
      </c>
      <c r="CP88" s="165">
        <f t="shared" ref="CP88" si="575">SUM(CP80:CP87)</f>
        <v>0</v>
      </c>
      <c r="CQ88" s="164">
        <f t="shared" si="550"/>
        <v>0</v>
      </c>
      <c r="CR88" s="165">
        <f t="shared" ref="CR88" si="576">SUM(CR80:CR87)</f>
        <v>0</v>
      </c>
      <c r="CS88" s="164">
        <f t="shared" si="550"/>
        <v>0</v>
      </c>
      <c r="CT88" s="165">
        <f t="shared" ref="CT88" si="577">SUM(CT80:CT87)</f>
        <v>0</v>
      </c>
      <c r="CU88" s="164">
        <f t="shared" si="550"/>
        <v>0</v>
      </c>
      <c r="CV88" s="165">
        <f t="shared" ref="CV88" si="578">SUM(CV80:CV87)</f>
        <v>0</v>
      </c>
      <c r="CW88" s="164">
        <f t="shared" si="550"/>
        <v>0</v>
      </c>
      <c r="CX88" s="165">
        <f t="shared" ref="CX88" si="579">SUM(CX80:CX87)</f>
        <v>0</v>
      </c>
      <c r="CY88" s="164">
        <f t="shared" si="550"/>
        <v>0</v>
      </c>
      <c r="CZ88" s="165"/>
      <c r="DA88" s="164">
        <f t="shared" si="550"/>
        <v>0</v>
      </c>
      <c r="DB88" s="165"/>
      <c r="DC88" s="164">
        <f t="shared" si="550"/>
        <v>0</v>
      </c>
      <c r="DD88" s="165">
        <f t="shared" ref="DD88" si="580">SUM(DD80:DD87)</f>
        <v>0</v>
      </c>
      <c r="DE88" s="164">
        <f t="shared" si="550"/>
        <v>0</v>
      </c>
      <c r="DF88" s="165">
        <f t="shared" ref="DF88" si="581">SUM(DF80:DF87)</f>
        <v>0</v>
      </c>
      <c r="DG88" s="164">
        <f t="shared" si="550"/>
        <v>0</v>
      </c>
      <c r="DH88" s="165">
        <f t="shared" ref="DH88" si="582">SUM(DH80:DH87)</f>
        <v>0</v>
      </c>
      <c r="DI88" s="164">
        <f t="shared" si="550"/>
        <v>0</v>
      </c>
      <c r="DJ88" s="165">
        <f t="shared" ref="DJ88" si="583">SUM(DJ80:DJ87)</f>
        <v>0</v>
      </c>
      <c r="DK88" s="164">
        <f t="shared" si="550"/>
        <v>0</v>
      </c>
      <c r="DL88" s="165">
        <f t="shared" ref="DL88" si="584">SUM(DL80:DL87)</f>
        <v>0</v>
      </c>
      <c r="DM88" s="164">
        <f t="shared" si="550"/>
        <v>0</v>
      </c>
      <c r="DN88" s="165">
        <f t="shared" ref="DN88" si="585">SUM(DN80:DN87)</f>
        <v>0</v>
      </c>
      <c r="DO88" s="164">
        <f t="shared" si="550"/>
        <v>0</v>
      </c>
      <c r="DP88" s="165">
        <f t="shared" ref="DP88" si="586">SUM(DP80:DP87)</f>
        <v>0</v>
      </c>
      <c r="DQ88" s="164">
        <f t="shared" si="550"/>
        <v>0</v>
      </c>
      <c r="DR88" s="165"/>
      <c r="DS88" s="164">
        <f t="shared" si="550"/>
        <v>0</v>
      </c>
      <c r="DT88" s="165">
        <f t="shared" ref="DT88" si="587">SUM(DT80:DT87)</f>
        <v>0</v>
      </c>
      <c r="DU88" s="164"/>
      <c r="DV88" s="165"/>
    </row>
    <row r="89" spans="1:126" x14ac:dyDescent="0.2">
      <c r="A89" s="160" t="s">
        <v>930</v>
      </c>
      <c r="B89" s="160" t="s">
        <v>931</v>
      </c>
      <c r="C89" s="161">
        <f t="shared" si="342"/>
        <v>0</v>
      </c>
      <c r="D89" s="162">
        <f t="shared" si="338"/>
        <v>0</v>
      </c>
      <c r="E89" s="161">
        <f t="shared" ref="E89:E105" si="588">K89+M89+O88:O89+Q89+S89+U89+W89+Y89+AA89+AC89+AE89+AI89</f>
        <v>0</v>
      </c>
      <c r="F89" s="162">
        <f t="shared" ref="F89:F105" si="589">L89+N89+P88:P89+R89+T89+V89+X89+Z89+AB89+AD89+AF89+AJ89+AH89</f>
        <v>0</v>
      </c>
      <c r="G89" s="161">
        <f t="shared" si="442"/>
        <v>0</v>
      </c>
      <c r="H89" s="162">
        <f t="shared" si="442"/>
        <v>0</v>
      </c>
      <c r="I89" s="161"/>
      <c r="J89" s="162"/>
      <c r="K89" s="161"/>
      <c r="L89" s="162"/>
      <c r="M89" s="161"/>
      <c r="N89" s="162"/>
      <c r="O89" s="161"/>
      <c r="P89" s="162"/>
      <c r="Q89" s="161"/>
      <c r="R89" s="162"/>
      <c r="S89" s="161"/>
      <c r="T89" s="162"/>
      <c r="U89" s="161"/>
      <c r="V89" s="162"/>
      <c r="W89" s="161"/>
      <c r="X89" s="162"/>
      <c r="Y89" s="161"/>
      <c r="Z89" s="162"/>
      <c r="AA89" s="161"/>
      <c r="AB89" s="162"/>
      <c r="AC89" s="161"/>
      <c r="AD89" s="162"/>
      <c r="AE89" s="161"/>
      <c r="AF89" s="162"/>
      <c r="AG89" s="161"/>
      <c r="AH89" s="162"/>
      <c r="AI89" s="161"/>
      <c r="AJ89" s="162"/>
      <c r="AK89" s="161"/>
      <c r="AL89" s="162"/>
      <c r="AM89" s="161"/>
      <c r="AN89" s="162"/>
      <c r="AO89" s="161"/>
      <c r="AP89" s="162"/>
      <c r="AQ89" s="161"/>
      <c r="AR89" s="162"/>
      <c r="AS89" s="161"/>
      <c r="AT89" s="162"/>
      <c r="AU89" s="161"/>
      <c r="AV89" s="162"/>
      <c r="AW89" s="161"/>
      <c r="AX89" s="162"/>
      <c r="AY89" s="161"/>
      <c r="AZ89" s="162"/>
      <c r="BA89" s="161"/>
      <c r="BB89" s="162"/>
      <c r="BC89" s="161"/>
      <c r="BD89" s="162"/>
      <c r="BE89" s="161"/>
      <c r="BF89" s="162"/>
      <c r="BG89" s="161"/>
      <c r="BH89" s="162"/>
      <c r="BI89" s="161"/>
      <c r="BJ89" s="162"/>
      <c r="BK89" s="161"/>
      <c r="BL89" s="162"/>
      <c r="BM89" s="161"/>
      <c r="BN89" s="162"/>
      <c r="BO89" s="161"/>
      <c r="BP89" s="162"/>
      <c r="BQ89" s="161"/>
      <c r="BR89" s="162"/>
      <c r="BS89" s="161"/>
      <c r="BT89" s="162"/>
      <c r="BU89" s="161"/>
      <c r="BV89" s="162"/>
      <c r="BW89" s="161"/>
      <c r="BX89" s="162"/>
      <c r="BY89" s="161"/>
      <c r="BZ89" s="162"/>
      <c r="CA89" s="161"/>
      <c r="CB89" s="162"/>
      <c r="CC89" s="161"/>
      <c r="CD89" s="162"/>
      <c r="CE89" s="161"/>
      <c r="CF89" s="162"/>
      <c r="CG89" s="161"/>
      <c r="CH89" s="162"/>
      <c r="CI89" s="161"/>
      <c r="CJ89" s="162"/>
      <c r="CK89" s="161"/>
      <c r="CL89" s="162"/>
      <c r="CM89" s="161"/>
      <c r="CN89" s="162"/>
      <c r="CO89" s="161"/>
      <c r="CP89" s="162"/>
      <c r="CQ89" s="161"/>
      <c r="CR89" s="162"/>
      <c r="CS89" s="161"/>
      <c r="CT89" s="162"/>
      <c r="CU89" s="161"/>
      <c r="CV89" s="162"/>
      <c r="CW89" s="161"/>
      <c r="CX89" s="162"/>
      <c r="CY89" s="161"/>
      <c r="CZ89" s="162"/>
      <c r="DA89" s="161"/>
      <c r="DB89" s="162"/>
      <c r="DC89" s="161"/>
      <c r="DD89" s="162"/>
      <c r="DE89" s="161"/>
      <c r="DF89" s="162"/>
      <c r="DG89" s="161"/>
      <c r="DH89" s="162"/>
      <c r="DI89" s="161"/>
      <c r="DJ89" s="162"/>
      <c r="DK89" s="161"/>
      <c r="DL89" s="162"/>
      <c r="DM89" s="161"/>
      <c r="DN89" s="162"/>
      <c r="DO89" s="161"/>
      <c r="DP89" s="162"/>
      <c r="DQ89" s="161"/>
      <c r="DR89" s="162"/>
      <c r="DS89" s="161"/>
      <c r="DT89" s="162"/>
      <c r="DU89" s="161"/>
      <c r="DV89" s="162"/>
    </row>
    <row r="90" spans="1:126" x14ac:dyDescent="0.2">
      <c r="A90" s="160" t="s">
        <v>932</v>
      </c>
      <c r="B90" s="170" t="s">
        <v>933</v>
      </c>
      <c r="C90" s="161">
        <f t="shared" si="342"/>
        <v>0</v>
      </c>
      <c r="D90" s="162">
        <f t="shared" si="338"/>
        <v>0</v>
      </c>
      <c r="E90" s="161">
        <f t="shared" si="588"/>
        <v>0</v>
      </c>
      <c r="F90" s="162">
        <f t="shared" si="589"/>
        <v>0</v>
      </c>
      <c r="G90" s="161">
        <f t="shared" si="442"/>
        <v>0</v>
      </c>
      <c r="H90" s="162">
        <f t="shared" si="442"/>
        <v>0</v>
      </c>
      <c r="I90" s="161"/>
      <c r="J90" s="162"/>
      <c r="K90" s="161"/>
      <c r="L90" s="162"/>
      <c r="M90" s="161"/>
      <c r="N90" s="162"/>
      <c r="O90" s="161"/>
      <c r="P90" s="162"/>
      <c r="Q90" s="161"/>
      <c r="R90" s="162"/>
      <c r="S90" s="161"/>
      <c r="T90" s="162"/>
      <c r="U90" s="161"/>
      <c r="V90" s="162"/>
      <c r="W90" s="161"/>
      <c r="X90" s="162"/>
      <c r="Y90" s="161"/>
      <c r="Z90" s="162"/>
      <c r="AA90" s="161"/>
      <c r="AB90" s="162"/>
      <c r="AC90" s="161"/>
      <c r="AD90" s="162"/>
      <c r="AE90" s="161"/>
      <c r="AF90" s="162"/>
      <c r="AG90" s="161"/>
      <c r="AH90" s="162"/>
      <c r="AI90" s="161"/>
      <c r="AJ90" s="162"/>
      <c r="AK90" s="161"/>
      <c r="AL90" s="162"/>
      <c r="AM90" s="161"/>
      <c r="AN90" s="162"/>
      <c r="AO90" s="161"/>
      <c r="AP90" s="162"/>
      <c r="AQ90" s="161"/>
      <c r="AR90" s="162"/>
      <c r="AS90" s="161"/>
      <c r="AT90" s="162"/>
      <c r="AU90" s="161"/>
      <c r="AV90" s="162"/>
      <c r="AW90" s="161"/>
      <c r="AX90" s="162"/>
      <c r="AY90" s="161"/>
      <c r="AZ90" s="162"/>
      <c r="BA90" s="161"/>
      <c r="BB90" s="162"/>
      <c r="BC90" s="161"/>
      <c r="BD90" s="162"/>
      <c r="BE90" s="161"/>
      <c r="BF90" s="162"/>
      <c r="BG90" s="161"/>
      <c r="BH90" s="162"/>
      <c r="BI90" s="161"/>
      <c r="BJ90" s="162"/>
      <c r="BK90" s="161"/>
      <c r="BL90" s="162"/>
      <c r="BM90" s="161"/>
      <c r="BN90" s="162"/>
      <c r="BO90" s="161"/>
      <c r="BP90" s="162"/>
      <c r="BQ90" s="161"/>
      <c r="BR90" s="162"/>
      <c r="BS90" s="161"/>
      <c r="BT90" s="162"/>
      <c r="BU90" s="161"/>
      <c r="BV90" s="162"/>
      <c r="BW90" s="161"/>
      <c r="BX90" s="162"/>
      <c r="BY90" s="161"/>
      <c r="BZ90" s="162"/>
      <c r="CA90" s="161"/>
      <c r="CB90" s="162"/>
      <c r="CC90" s="161"/>
      <c r="CD90" s="162"/>
      <c r="CE90" s="161"/>
      <c r="CF90" s="162"/>
      <c r="CG90" s="161"/>
      <c r="CH90" s="162"/>
      <c r="CI90" s="161"/>
      <c r="CJ90" s="162"/>
      <c r="CK90" s="161"/>
      <c r="CL90" s="162"/>
      <c r="CM90" s="161"/>
      <c r="CN90" s="162"/>
      <c r="CO90" s="161"/>
      <c r="CP90" s="162"/>
      <c r="CQ90" s="161"/>
      <c r="CR90" s="162"/>
      <c r="CS90" s="161"/>
      <c r="CT90" s="162"/>
      <c r="CU90" s="161"/>
      <c r="CV90" s="162"/>
      <c r="CW90" s="161"/>
      <c r="CX90" s="162"/>
      <c r="CY90" s="161"/>
      <c r="CZ90" s="162"/>
      <c r="DA90" s="161"/>
      <c r="DB90" s="162"/>
      <c r="DC90" s="161"/>
      <c r="DD90" s="162"/>
      <c r="DE90" s="161"/>
      <c r="DF90" s="162"/>
      <c r="DG90" s="161"/>
      <c r="DH90" s="162"/>
      <c r="DI90" s="161"/>
      <c r="DJ90" s="162"/>
      <c r="DK90" s="161"/>
      <c r="DL90" s="162"/>
      <c r="DM90" s="161"/>
      <c r="DN90" s="162"/>
      <c r="DO90" s="161"/>
      <c r="DP90" s="162"/>
      <c r="DQ90" s="161"/>
      <c r="DR90" s="162"/>
      <c r="DS90" s="161"/>
      <c r="DT90" s="162"/>
      <c r="DU90" s="161"/>
      <c r="DV90" s="162"/>
    </row>
    <row r="91" spans="1:126" x14ac:dyDescent="0.2">
      <c r="A91" s="160" t="s">
        <v>934</v>
      </c>
      <c r="B91" s="160" t="s">
        <v>935</v>
      </c>
      <c r="C91" s="161">
        <f t="shared" si="342"/>
        <v>0</v>
      </c>
      <c r="D91" s="162">
        <f t="shared" si="338"/>
        <v>0</v>
      </c>
      <c r="E91" s="161">
        <f t="shared" si="588"/>
        <v>0</v>
      </c>
      <c r="F91" s="162">
        <f t="shared" si="589"/>
        <v>0</v>
      </c>
      <c r="G91" s="161">
        <f t="shared" si="442"/>
        <v>0</v>
      </c>
      <c r="H91" s="162">
        <f t="shared" si="442"/>
        <v>0</v>
      </c>
      <c r="I91" s="161"/>
      <c r="J91" s="162"/>
      <c r="K91" s="161"/>
      <c r="L91" s="162"/>
      <c r="M91" s="161"/>
      <c r="N91" s="162"/>
      <c r="O91" s="161"/>
      <c r="P91" s="162"/>
      <c r="Q91" s="161"/>
      <c r="R91" s="162"/>
      <c r="S91" s="161"/>
      <c r="T91" s="162"/>
      <c r="U91" s="161"/>
      <c r="V91" s="162"/>
      <c r="W91" s="161"/>
      <c r="X91" s="162"/>
      <c r="Y91" s="161"/>
      <c r="Z91" s="162"/>
      <c r="AA91" s="161"/>
      <c r="AB91" s="162"/>
      <c r="AC91" s="161"/>
      <c r="AD91" s="162"/>
      <c r="AE91" s="161"/>
      <c r="AF91" s="162"/>
      <c r="AG91" s="161"/>
      <c r="AH91" s="162"/>
      <c r="AI91" s="161"/>
      <c r="AJ91" s="162"/>
      <c r="AK91" s="161"/>
      <c r="AL91" s="162"/>
      <c r="AM91" s="161"/>
      <c r="AN91" s="162"/>
      <c r="AO91" s="161"/>
      <c r="AP91" s="162"/>
      <c r="AQ91" s="161"/>
      <c r="AR91" s="162"/>
      <c r="AS91" s="161"/>
      <c r="AT91" s="162"/>
      <c r="AU91" s="161"/>
      <c r="AV91" s="162"/>
      <c r="AW91" s="161"/>
      <c r="AX91" s="162"/>
      <c r="AY91" s="161"/>
      <c r="AZ91" s="162"/>
      <c r="BA91" s="161"/>
      <c r="BB91" s="162"/>
      <c r="BC91" s="161"/>
      <c r="BD91" s="162"/>
      <c r="BE91" s="161"/>
      <c r="BF91" s="162"/>
      <c r="BG91" s="161"/>
      <c r="BH91" s="162"/>
      <c r="BI91" s="161"/>
      <c r="BJ91" s="162"/>
      <c r="BK91" s="161"/>
      <c r="BL91" s="162"/>
      <c r="BM91" s="161"/>
      <c r="BN91" s="162"/>
      <c r="BO91" s="161"/>
      <c r="BP91" s="162"/>
      <c r="BQ91" s="161"/>
      <c r="BR91" s="162"/>
      <c r="BS91" s="161"/>
      <c r="BT91" s="162"/>
      <c r="BU91" s="161"/>
      <c r="BV91" s="162"/>
      <c r="BW91" s="161"/>
      <c r="BX91" s="162"/>
      <c r="BY91" s="161"/>
      <c r="BZ91" s="162"/>
      <c r="CA91" s="161"/>
      <c r="CB91" s="162"/>
      <c r="CC91" s="161"/>
      <c r="CD91" s="162"/>
      <c r="CE91" s="161"/>
      <c r="CF91" s="162"/>
      <c r="CG91" s="161"/>
      <c r="CH91" s="162"/>
      <c r="CI91" s="161"/>
      <c r="CJ91" s="162"/>
      <c r="CK91" s="161"/>
      <c r="CL91" s="162"/>
      <c r="CM91" s="161"/>
      <c r="CN91" s="162"/>
      <c r="CO91" s="161"/>
      <c r="CP91" s="162"/>
      <c r="CQ91" s="161"/>
      <c r="CR91" s="162"/>
      <c r="CS91" s="161"/>
      <c r="CT91" s="162"/>
      <c r="CU91" s="161"/>
      <c r="CV91" s="162"/>
      <c r="CW91" s="161"/>
      <c r="CX91" s="162"/>
      <c r="CY91" s="161"/>
      <c r="CZ91" s="162"/>
      <c r="DA91" s="161"/>
      <c r="DB91" s="162"/>
      <c r="DC91" s="161"/>
      <c r="DD91" s="162"/>
      <c r="DE91" s="161"/>
      <c r="DF91" s="162"/>
      <c r="DG91" s="161"/>
      <c r="DH91" s="162"/>
      <c r="DI91" s="161"/>
      <c r="DJ91" s="162"/>
      <c r="DK91" s="161"/>
      <c r="DL91" s="162"/>
      <c r="DM91" s="161"/>
      <c r="DN91" s="162"/>
      <c r="DO91" s="161"/>
      <c r="DP91" s="162"/>
      <c r="DQ91" s="161"/>
      <c r="DR91" s="162"/>
      <c r="DS91" s="161"/>
      <c r="DT91" s="162"/>
      <c r="DU91" s="161"/>
      <c r="DV91" s="162"/>
    </row>
    <row r="92" spans="1:126" x14ac:dyDescent="0.2">
      <c r="A92" s="160" t="s">
        <v>936</v>
      </c>
      <c r="B92" s="160" t="s">
        <v>937</v>
      </c>
      <c r="C92" s="161">
        <f t="shared" si="342"/>
        <v>0</v>
      </c>
      <c r="D92" s="162">
        <f t="shared" si="338"/>
        <v>0</v>
      </c>
      <c r="E92" s="161">
        <f t="shared" si="588"/>
        <v>0</v>
      </c>
      <c r="F92" s="162">
        <f t="shared" si="589"/>
        <v>0</v>
      </c>
      <c r="G92" s="161">
        <f t="shared" si="442"/>
        <v>0</v>
      </c>
      <c r="H92" s="162">
        <f t="shared" si="442"/>
        <v>0</v>
      </c>
      <c r="I92" s="161"/>
      <c r="J92" s="162"/>
      <c r="K92" s="161"/>
      <c r="L92" s="162"/>
      <c r="M92" s="161"/>
      <c r="N92" s="162"/>
      <c r="O92" s="161"/>
      <c r="P92" s="162"/>
      <c r="Q92" s="161"/>
      <c r="R92" s="162"/>
      <c r="S92" s="161"/>
      <c r="T92" s="162"/>
      <c r="U92" s="161"/>
      <c r="V92" s="162"/>
      <c r="W92" s="161"/>
      <c r="X92" s="162"/>
      <c r="Y92" s="161"/>
      <c r="Z92" s="162"/>
      <c r="AA92" s="161"/>
      <c r="AB92" s="162"/>
      <c r="AC92" s="161"/>
      <c r="AD92" s="162"/>
      <c r="AE92" s="161"/>
      <c r="AF92" s="162"/>
      <c r="AG92" s="161"/>
      <c r="AH92" s="162"/>
      <c r="AI92" s="161"/>
      <c r="AJ92" s="162"/>
      <c r="AK92" s="161"/>
      <c r="AL92" s="162"/>
      <c r="AM92" s="161"/>
      <c r="AN92" s="162"/>
      <c r="AO92" s="161"/>
      <c r="AP92" s="162"/>
      <c r="AQ92" s="161"/>
      <c r="AR92" s="162"/>
      <c r="AS92" s="161"/>
      <c r="AT92" s="162"/>
      <c r="AU92" s="161"/>
      <c r="AV92" s="162"/>
      <c r="AW92" s="161"/>
      <c r="AX92" s="162"/>
      <c r="AY92" s="161"/>
      <c r="AZ92" s="162"/>
      <c r="BA92" s="161"/>
      <c r="BB92" s="162"/>
      <c r="BC92" s="161"/>
      <c r="BD92" s="162"/>
      <c r="BE92" s="161"/>
      <c r="BF92" s="162"/>
      <c r="BG92" s="161"/>
      <c r="BH92" s="162"/>
      <c r="BI92" s="161"/>
      <c r="BJ92" s="162"/>
      <c r="BK92" s="161"/>
      <c r="BL92" s="162"/>
      <c r="BM92" s="161"/>
      <c r="BN92" s="162"/>
      <c r="BO92" s="161"/>
      <c r="BP92" s="162"/>
      <c r="BQ92" s="161"/>
      <c r="BR92" s="162"/>
      <c r="BS92" s="161"/>
      <c r="BT92" s="162"/>
      <c r="BU92" s="161"/>
      <c r="BV92" s="162"/>
      <c r="BW92" s="161"/>
      <c r="BX92" s="162"/>
      <c r="BY92" s="161"/>
      <c r="BZ92" s="162"/>
      <c r="CA92" s="161"/>
      <c r="CB92" s="162"/>
      <c r="CC92" s="161"/>
      <c r="CD92" s="162"/>
      <c r="CE92" s="161"/>
      <c r="CF92" s="162"/>
      <c r="CG92" s="161"/>
      <c r="CH92" s="162"/>
      <c r="CI92" s="161"/>
      <c r="CJ92" s="162"/>
      <c r="CK92" s="161"/>
      <c r="CL92" s="162"/>
      <c r="CM92" s="161"/>
      <c r="CN92" s="162"/>
      <c r="CO92" s="161"/>
      <c r="CP92" s="162"/>
      <c r="CQ92" s="161"/>
      <c r="CR92" s="162"/>
      <c r="CS92" s="161"/>
      <c r="CT92" s="162"/>
      <c r="CU92" s="161"/>
      <c r="CV92" s="162"/>
      <c r="CW92" s="161"/>
      <c r="CX92" s="162"/>
      <c r="CY92" s="161"/>
      <c r="CZ92" s="162"/>
      <c r="DA92" s="161"/>
      <c r="DB92" s="162"/>
      <c r="DC92" s="161"/>
      <c r="DD92" s="162"/>
      <c r="DE92" s="161"/>
      <c r="DF92" s="162"/>
      <c r="DG92" s="161"/>
      <c r="DH92" s="162"/>
      <c r="DI92" s="161"/>
      <c r="DJ92" s="162"/>
      <c r="DK92" s="161"/>
      <c r="DL92" s="162"/>
      <c r="DM92" s="161"/>
      <c r="DN92" s="162"/>
      <c r="DO92" s="161"/>
      <c r="DP92" s="162"/>
      <c r="DQ92" s="161"/>
      <c r="DR92" s="162"/>
      <c r="DS92" s="161"/>
      <c r="DT92" s="162"/>
      <c r="DU92" s="161"/>
      <c r="DV92" s="162"/>
    </row>
    <row r="93" spans="1:126" x14ac:dyDescent="0.2">
      <c r="A93" s="160" t="s">
        <v>938</v>
      </c>
      <c r="B93" s="160" t="s">
        <v>939</v>
      </c>
      <c r="C93" s="161">
        <f t="shared" si="342"/>
        <v>0</v>
      </c>
      <c r="D93" s="162">
        <f t="shared" si="338"/>
        <v>0</v>
      </c>
      <c r="E93" s="161">
        <f t="shared" si="588"/>
        <v>0</v>
      </c>
      <c r="F93" s="162">
        <f t="shared" si="589"/>
        <v>0</v>
      </c>
      <c r="G93" s="161">
        <f t="shared" si="442"/>
        <v>0</v>
      </c>
      <c r="H93" s="162">
        <f t="shared" si="442"/>
        <v>0</v>
      </c>
      <c r="I93" s="161"/>
      <c r="J93" s="162"/>
      <c r="K93" s="161"/>
      <c r="L93" s="162"/>
      <c r="M93" s="161"/>
      <c r="N93" s="162"/>
      <c r="O93" s="161"/>
      <c r="P93" s="162"/>
      <c r="Q93" s="161"/>
      <c r="R93" s="162"/>
      <c r="S93" s="161"/>
      <c r="T93" s="162"/>
      <c r="U93" s="161"/>
      <c r="V93" s="162"/>
      <c r="W93" s="161"/>
      <c r="X93" s="162"/>
      <c r="Y93" s="161"/>
      <c r="Z93" s="162"/>
      <c r="AA93" s="161"/>
      <c r="AB93" s="162"/>
      <c r="AC93" s="161"/>
      <c r="AD93" s="162"/>
      <c r="AE93" s="161"/>
      <c r="AF93" s="162"/>
      <c r="AG93" s="161"/>
      <c r="AH93" s="162"/>
      <c r="AI93" s="161"/>
      <c r="AJ93" s="162"/>
      <c r="AK93" s="161"/>
      <c r="AL93" s="162"/>
      <c r="AM93" s="161"/>
      <c r="AN93" s="162"/>
      <c r="AO93" s="161"/>
      <c r="AP93" s="162"/>
      <c r="AQ93" s="161"/>
      <c r="AR93" s="162"/>
      <c r="AS93" s="161"/>
      <c r="AT93" s="162"/>
      <c r="AU93" s="161"/>
      <c r="AV93" s="162"/>
      <c r="AW93" s="161"/>
      <c r="AX93" s="162"/>
      <c r="AY93" s="161"/>
      <c r="AZ93" s="162"/>
      <c r="BA93" s="161"/>
      <c r="BB93" s="162"/>
      <c r="BC93" s="161"/>
      <c r="BD93" s="162"/>
      <c r="BE93" s="161"/>
      <c r="BF93" s="162"/>
      <c r="BG93" s="161"/>
      <c r="BH93" s="162"/>
      <c r="BI93" s="161"/>
      <c r="BJ93" s="162"/>
      <c r="BK93" s="161"/>
      <c r="BL93" s="162"/>
      <c r="BM93" s="161"/>
      <c r="BN93" s="162"/>
      <c r="BO93" s="161"/>
      <c r="BP93" s="162"/>
      <c r="BQ93" s="161"/>
      <c r="BR93" s="162"/>
      <c r="BS93" s="161"/>
      <c r="BT93" s="162"/>
      <c r="BU93" s="161"/>
      <c r="BV93" s="162"/>
      <c r="BW93" s="161"/>
      <c r="BX93" s="162"/>
      <c r="BY93" s="161"/>
      <c r="BZ93" s="162"/>
      <c r="CA93" s="161"/>
      <c r="CB93" s="162"/>
      <c r="CC93" s="161"/>
      <c r="CD93" s="162"/>
      <c r="CE93" s="161"/>
      <c r="CF93" s="162"/>
      <c r="CG93" s="161"/>
      <c r="CH93" s="162"/>
      <c r="CI93" s="161"/>
      <c r="CJ93" s="162"/>
      <c r="CK93" s="161"/>
      <c r="CL93" s="162"/>
      <c r="CM93" s="161"/>
      <c r="CN93" s="162"/>
      <c r="CO93" s="161"/>
      <c r="CP93" s="162"/>
      <c r="CQ93" s="161"/>
      <c r="CR93" s="162"/>
      <c r="CS93" s="161"/>
      <c r="CT93" s="162"/>
      <c r="CU93" s="161"/>
      <c r="CV93" s="162"/>
      <c r="CW93" s="161"/>
      <c r="CX93" s="162"/>
      <c r="CY93" s="161"/>
      <c r="CZ93" s="162"/>
      <c r="DA93" s="161"/>
      <c r="DB93" s="162"/>
      <c r="DC93" s="161"/>
      <c r="DD93" s="162"/>
      <c r="DE93" s="161"/>
      <c r="DF93" s="162"/>
      <c r="DG93" s="161"/>
      <c r="DH93" s="162"/>
      <c r="DI93" s="161"/>
      <c r="DJ93" s="162"/>
      <c r="DK93" s="161"/>
      <c r="DL93" s="162"/>
      <c r="DM93" s="161"/>
      <c r="DN93" s="162"/>
      <c r="DO93" s="161"/>
      <c r="DP93" s="162"/>
      <c r="DQ93" s="161"/>
      <c r="DR93" s="162"/>
      <c r="DS93" s="161"/>
      <c r="DT93" s="162"/>
      <c r="DU93" s="161"/>
      <c r="DV93" s="162"/>
    </row>
    <row r="94" spans="1:126" x14ac:dyDescent="0.2">
      <c r="A94" s="160" t="s">
        <v>940</v>
      </c>
      <c r="B94" s="160" t="s">
        <v>941</v>
      </c>
      <c r="C94" s="161">
        <f t="shared" si="342"/>
        <v>0</v>
      </c>
      <c r="D94" s="162">
        <f t="shared" si="338"/>
        <v>0</v>
      </c>
      <c r="E94" s="161">
        <f t="shared" si="588"/>
        <v>0</v>
      </c>
      <c r="F94" s="162">
        <f t="shared" si="589"/>
        <v>0</v>
      </c>
      <c r="G94" s="161">
        <f t="shared" si="442"/>
        <v>0</v>
      </c>
      <c r="H94" s="162">
        <f t="shared" si="442"/>
        <v>0</v>
      </c>
      <c r="I94" s="161"/>
      <c r="J94" s="162"/>
      <c r="K94" s="161"/>
      <c r="L94" s="162"/>
      <c r="M94" s="161"/>
      <c r="N94" s="162"/>
      <c r="O94" s="161"/>
      <c r="P94" s="162"/>
      <c r="Q94" s="161"/>
      <c r="R94" s="162"/>
      <c r="S94" s="161"/>
      <c r="T94" s="162"/>
      <c r="U94" s="161"/>
      <c r="V94" s="162"/>
      <c r="W94" s="161"/>
      <c r="X94" s="162"/>
      <c r="Y94" s="161"/>
      <c r="Z94" s="162"/>
      <c r="AA94" s="161"/>
      <c r="AB94" s="162"/>
      <c r="AC94" s="161"/>
      <c r="AD94" s="162"/>
      <c r="AE94" s="161"/>
      <c r="AF94" s="162"/>
      <c r="AG94" s="161"/>
      <c r="AH94" s="162"/>
      <c r="AI94" s="161"/>
      <c r="AJ94" s="162"/>
      <c r="AK94" s="161"/>
      <c r="AL94" s="162"/>
      <c r="AM94" s="161"/>
      <c r="AN94" s="162"/>
      <c r="AO94" s="161"/>
      <c r="AP94" s="162"/>
      <c r="AQ94" s="161"/>
      <c r="AR94" s="162"/>
      <c r="AS94" s="161"/>
      <c r="AT94" s="162"/>
      <c r="AU94" s="161"/>
      <c r="AV94" s="162"/>
      <c r="AW94" s="161"/>
      <c r="AX94" s="162"/>
      <c r="AY94" s="161"/>
      <c r="AZ94" s="162"/>
      <c r="BA94" s="161"/>
      <c r="BB94" s="162"/>
      <c r="BC94" s="161"/>
      <c r="BD94" s="162"/>
      <c r="BE94" s="161"/>
      <c r="BF94" s="162"/>
      <c r="BG94" s="161"/>
      <c r="BH94" s="162"/>
      <c r="BI94" s="161"/>
      <c r="BJ94" s="162"/>
      <c r="BK94" s="161"/>
      <c r="BL94" s="162"/>
      <c r="BM94" s="161"/>
      <c r="BN94" s="162"/>
      <c r="BO94" s="161"/>
      <c r="BP94" s="162"/>
      <c r="BQ94" s="161"/>
      <c r="BR94" s="162"/>
      <c r="BS94" s="161"/>
      <c r="BT94" s="162"/>
      <c r="BU94" s="161"/>
      <c r="BV94" s="162"/>
      <c r="BW94" s="161"/>
      <c r="BX94" s="162"/>
      <c r="BY94" s="161"/>
      <c r="BZ94" s="162"/>
      <c r="CA94" s="161"/>
      <c r="CB94" s="162"/>
      <c r="CC94" s="161"/>
      <c r="CD94" s="162"/>
      <c r="CE94" s="161"/>
      <c r="CF94" s="162"/>
      <c r="CG94" s="161"/>
      <c r="CH94" s="162"/>
      <c r="CI94" s="161"/>
      <c r="CJ94" s="162"/>
      <c r="CK94" s="161"/>
      <c r="CL94" s="162"/>
      <c r="CM94" s="161"/>
      <c r="CN94" s="162"/>
      <c r="CO94" s="161"/>
      <c r="CP94" s="162"/>
      <c r="CQ94" s="161"/>
      <c r="CR94" s="162"/>
      <c r="CS94" s="161"/>
      <c r="CT94" s="162"/>
      <c r="CU94" s="161"/>
      <c r="CV94" s="162"/>
      <c r="CW94" s="161"/>
      <c r="CX94" s="162"/>
      <c r="CY94" s="161"/>
      <c r="CZ94" s="162"/>
      <c r="DA94" s="161"/>
      <c r="DB94" s="162"/>
      <c r="DC94" s="161"/>
      <c r="DD94" s="162"/>
      <c r="DE94" s="161"/>
      <c r="DF94" s="162"/>
      <c r="DG94" s="161"/>
      <c r="DH94" s="162"/>
      <c r="DI94" s="161"/>
      <c r="DJ94" s="162"/>
      <c r="DK94" s="161"/>
      <c r="DL94" s="162"/>
      <c r="DM94" s="161"/>
      <c r="DN94" s="162"/>
      <c r="DO94" s="161"/>
      <c r="DP94" s="162"/>
      <c r="DQ94" s="161"/>
      <c r="DR94" s="162"/>
      <c r="DS94" s="161"/>
      <c r="DT94" s="162"/>
      <c r="DU94" s="161"/>
      <c r="DV94" s="162"/>
    </row>
    <row r="95" spans="1:126" x14ac:dyDescent="0.2">
      <c r="A95" s="160" t="s">
        <v>942</v>
      </c>
      <c r="B95" s="160" t="s">
        <v>943</v>
      </c>
      <c r="C95" s="161">
        <f t="shared" si="342"/>
        <v>0</v>
      </c>
      <c r="D95" s="162">
        <f t="shared" si="338"/>
        <v>0</v>
      </c>
      <c r="E95" s="161">
        <f t="shared" si="588"/>
        <v>0</v>
      </c>
      <c r="F95" s="162">
        <f t="shared" si="589"/>
        <v>0</v>
      </c>
      <c r="G95" s="161">
        <f t="shared" si="442"/>
        <v>0</v>
      </c>
      <c r="H95" s="162">
        <f t="shared" si="442"/>
        <v>0</v>
      </c>
      <c r="I95" s="161"/>
      <c r="J95" s="162"/>
      <c r="K95" s="161"/>
      <c r="L95" s="162"/>
      <c r="M95" s="161"/>
      <c r="N95" s="162"/>
      <c r="O95" s="161"/>
      <c r="P95" s="162"/>
      <c r="Q95" s="161"/>
      <c r="R95" s="162"/>
      <c r="S95" s="161"/>
      <c r="T95" s="162"/>
      <c r="U95" s="161"/>
      <c r="V95" s="162"/>
      <c r="W95" s="161"/>
      <c r="X95" s="162"/>
      <c r="Y95" s="161"/>
      <c r="Z95" s="162"/>
      <c r="AA95" s="161"/>
      <c r="AB95" s="162"/>
      <c r="AC95" s="161"/>
      <c r="AD95" s="162"/>
      <c r="AE95" s="161"/>
      <c r="AF95" s="162"/>
      <c r="AG95" s="161"/>
      <c r="AH95" s="162"/>
      <c r="AI95" s="161"/>
      <c r="AJ95" s="162"/>
      <c r="AK95" s="161"/>
      <c r="AL95" s="162"/>
      <c r="AM95" s="161"/>
      <c r="AN95" s="162"/>
      <c r="AO95" s="161"/>
      <c r="AP95" s="162"/>
      <c r="AQ95" s="161"/>
      <c r="AR95" s="162"/>
      <c r="AS95" s="161"/>
      <c r="AT95" s="162"/>
      <c r="AU95" s="161"/>
      <c r="AV95" s="162"/>
      <c r="AW95" s="161"/>
      <c r="AX95" s="162"/>
      <c r="AY95" s="161"/>
      <c r="AZ95" s="162"/>
      <c r="BA95" s="161"/>
      <c r="BB95" s="162"/>
      <c r="BC95" s="161"/>
      <c r="BD95" s="162"/>
      <c r="BE95" s="161"/>
      <c r="BF95" s="162"/>
      <c r="BG95" s="161"/>
      <c r="BH95" s="162"/>
      <c r="BI95" s="161"/>
      <c r="BJ95" s="162"/>
      <c r="BK95" s="161"/>
      <c r="BL95" s="162"/>
      <c r="BM95" s="161"/>
      <c r="BN95" s="162"/>
      <c r="BO95" s="161"/>
      <c r="BP95" s="162"/>
      <c r="BQ95" s="161"/>
      <c r="BR95" s="162"/>
      <c r="BS95" s="161"/>
      <c r="BT95" s="162"/>
      <c r="BU95" s="161"/>
      <c r="BV95" s="162"/>
      <c r="BW95" s="161"/>
      <c r="BX95" s="162"/>
      <c r="BY95" s="161"/>
      <c r="BZ95" s="162"/>
      <c r="CA95" s="161"/>
      <c r="CB95" s="162"/>
      <c r="CC95" s="161"/>
      <c r="CD95" s="162"/>
      <c r="CE95" s="161"/>
      <c r="CF95" s="162"/>
      <c r="CG95" s="161"/>
      <c r="CH95" s="162"/>
      <c r="CI95" s="161"/>
      <c r="CJ95" s="162"/>
      <c r="CK95" s="161"/>
      <c r="CL95" s="162"/>
      <c r="CM95" s="161"/>
      <c r="CN95" s="162"/>
      <c r="CO95" s="161"/>
      <c r="CP95" s="162"/>
      <c r="CQ95" s="161"/>
      <c r="CR95" s="162"/>
      <c r="CS95" s="161"/>
      <c r="CT95" s="162"/>
      <c r="CU95" s="161"/>
      <c r="CV95" s="162"/>
      <c r="CW95" s="161"/>
      <c r="CX95" s="162"/>
      <c r="CY95" s="161"/>
      <c r="CZ95" s="162"/>
      <c r="DA95" s="161"/>
      <c r="DB95" s="162"/>
      <c r="DC95" s="161"/>
      <c r="DD95" s="162"/>
      <c r="DE95" s="161"/>
      <c r="DF95" s="162"/>
      <c r="DG95" s="161"/>
      <c r="DH95" s="162"/>
      <c r="DI95" s="161"/>
      <c r="DJ95" s="162"/>
      <c r="DK95" s="161"/>
      <c r="DL95" s="162"/>
      <c r="DM95" s="161"/>
      <c r="DN95" s="162"/>
      <c r="DO95" s="161"/>
      <c r="DP95" s="162"/>
      <c r="DQ95" s="161"/>
      <c r="DR95" s="162"/>
      <c r="DS95" s="161"/>
      <c r="DT95" s="162"/>
      <c r="DU95" s="161"/>
      <c r="DV95" s="162"/>
    </row>
    <row r="96" spans="1:126" x14ac:dyDescent="0.2">
      <c r="A96" s="160" t="s">
        <v>944</v>
      </c>
      <c r="B96" s="160" t="s">
        <v>945</v>
      </c>
      <c r="C96" s="161">
        <f t="shared" si="342"/>
        <v>0</v>
      </c>
      <c r="D96" s="162">
        <f t="shared" si="338"/>
        <v>0</v>
      </c>
      <c r="E96" s="161">
        <f t="shared" si="588"/>
        <v>0</v>
      </c>
      <c r="F96" s="162">
        <f t="shared" si="589"/>
        <v>0</v>
      </c>
      <c r="G96" s="161">
        <f t="shared" si="442"/>
        <v>0</v>
      </c>
      <c r="H96" s="162">
        <f t="shared" si="442"/>
        <v>0</v>
      </c>
      <c r="I96" s="161"/>
      <c r="J96" s="162"/>
      <c r="K96" s="161"/>
      <c r="L96" s="162"/>
      <c r="M96" s="161"/>
      <c r="N96" s="162"/>
      <c r="O96" s="161"/>
      <c r="P96" s="162"/>
      <c r="Q96" s="161"/>
      <c r="R96" s="162"/>
      <c r="S96" s="161"/>
      <c r="T96" s="162"/>
      <c r="U96" s="161"/>
      <c r="V96" s="162"/>
      <c r="W96" s="161"/>
      <c r="X96" s="162"/>
      <c r="Y96" s="161"/>
      <c r="Z96" s="162"/>
      <c r="AA96" s="161"/>
      <c r="AB96" s="162"/>
      <c r="AC96" s="161"/>
      <c r="AD96" s="162"/>
      <c r="AE96" s="161"/>
      <c r="AF96" s="162"/>
      <c r="AG96" s="161"/>
      <c r="AH96" s="162"/>
      <c r="AI96" s="161"/>
      <c r="AJ96" s="162"/>
      <c r="AK96" s="161"/>
      <c r="AL96" s="162"/>
      <c r="AM96" s="161"/>
      <c r="AN96" s="162"/>
      <c r="AO96" s="161"/>
      <c r="AP96" s="162"/>
      <c r="AQ96" s="161"/>
      <c r="AR96" s="162"/>
      <c r="AS96" s="161"/>
      <c r="AT96" s="162"/>
      <c r="AU96" s="161"/>
      <c r="AV96" s="162"/>
      <c r="AW96" s="161"/>
      <c r="AX96" s="162"/>
      <c r="AY96" s="161"/>
      <c r="AZ96" s="162"/>
      <c r="BA96" s="161"/>
      <c r="BB96" s="162"/>
      <c r="BC96" s="161"/>
      <c r="BD96" s="162"/>
      <c r="BE96" s="161"/>
      <c r="BF96" s="162"/>
      <c r="BG96" s="161"/>
      <c r="BH96" s="162"/>
      <c r="BI96" s="161"/>
      <c r="BJ96" s="162"/>
      <c r="BK96" s="161"/>
      <c r="BL96" s="162"/>
      <c r="BM96" s="161"/>
      <c r="BN96" s="162"/>
      <c r="BO96" s="161"/>
      <c r="BP96" s="162"/>
      <c r="BQ96" s="161"/>
      <c r="BR96" s="162"/>
      <c r="BS96" s="161"/>
      <c r="BT96" s="162"/>
      <c r="BU96" s="161"/>
      <c r="BV96" s="162"/>
      <c r="BW96" s="161"/>
      <c r="BX96" s="162"/>
      <c r="BY96" s="161"/>
      <c r="BZ96" s="162"/>
      <c r="CA96" s="161"/>
      <c r="CB96" s="162"/>
      <c r="CC96" s="161"/>
      <c r="CD96" s="162"/>
      <c r="CE96" s="161"/>
      <c r="CF96" s="162"/>
      <c r="CG96" s="161"/>
      <c r="CH96" s="162"/>
      <c r="CI96" s="161"/>
      <c r="CJ96" s="162"/>
      <c r="CK96" s="161"/>
      <c r="CL96" s="162"/>
      <c r="CM96" s="161"/>
      <c r="CN96" s="162"/>
      <c r="CO96" s="161"/>
      <c r="CP96" s="162"/>
      <c r="CQ96" s="161"/>
      <c r="CR96" s="162"/>
      <c r="CS96" s="161"/>
      <c r="CT96" s="162"/>
      <c r="CU96" s="161"/>
      <c r="CV96" s="162"/>
      <c r="CW96" s="161"/>
      <c r="CX96" s="162"/>
      <c r="CY96" s="161"/>
      <c r="CZ96" s="162"/>
      <c r="DA96" s="161"/>
      <c r="DB96" s="162"/>
      <c r="DC96" s="161"/>
      <c r="DD96" s="162"/>
      <c r="DE96" s="161"/>
      <c r="DF96" s="162"/>
      <c r="DG96" s="161"/>
      <c r="DH96" s="162"/>
      <c r="DI96" s="161"/>
      <c r="DJ96" s="162"/>
      <c r="DK96" s="161"/>
      <c r="DL96" s="162"/>
      <c r="DM96" s="161"/>
      <c r="DN96" s="162"/>
      <c r="DO96" s="161"/>
      <c r="DP96" s="162"/>
      <c r="DQ96" s="161"/>
      <c r="DR96" s="162"/>
      <c r="DS96" s="161"/>
      <c r="DT96" s="162"/>
      <c r="DU96" s="161"/>
      <c r="DV96" s="162"/>
    </row>
    <row r="97" spans="1:126" x14ac:dyDescent="0.2">
      <c r="A97" s="160" t="s">
        <v>946</v>
      </c>
      <c r="B97" s="160" t="s">
        <v>741</v>
      </c>
      <c r="C97" s="161">
        <f t="shared" si="342"/>
        <v>0</v>
      </c>
      <c r="D97" s="162">
        <f t="shared" si="338"/>
        <v>0</v>
      </c>
      <c r="E97" s="161">
        <f t="shared" si="588"/>
        <v>0</v>
      </c>
      <c r="F97" s="162">
        <f t="shared" si="589"/>
        <v>0</v>
      </c>
      <c r="G97" s="161">
        <f t="shared" si="442"/>
        <v>0</v>
      </c>
      <c r="H97" s="162">
        <f t="shared" si="442"/>
        <v>0</v>
      </c>
      <c r="I97" s="161"/>
      <c r="J97" s="162"/>
      <c r="K97" s="161"/>
      <c r="L97" s="162"/>
      <c r="M97" s="161"/>
      <c r="N97" s="162"/>
      <c r="O97" s="161"/>
      <c r="P97" s="162"/>
      <c r="Q97" s="161"/>
      <c r="R97" s="162"/>
      <c r="S97" s="161"/>
      <c r="T97" s="162"/>
      <c r="U97" s="161"/>
      <c r="V97" s="162"/>
      <c r="W97" s="161"/>
      <c r="X97" s="162"/>
      <c r="Y97" s="161"/>
      <c r="Z97" s="162"/>
      <c r="AA97" s="161"/>
      <c r="AB97" s="162"/>
      <c r="AC97" s="161"/>
      <c r="AD97" s="162"/>
      <c r="AE97" s="161"/>
      <c r="AF97" s="162"/>
      <c r="AG97" s="161"/>
      <c r="AH97" s="162"/>
      <c r="AI97" s="161"/>
      <c r="AJ97" s="162"/>
      <c r="AK97" s="161"/>
      <c r="AL97" s="162"/>
      <c r="AM97" s="161"/>
      <c r="AN97" s="162"/>
      <c r="AO97" s="161"/>
      <c r="AP97" s="162"/>
      <c r="AQ97" s="161"/>
      <c r="AR97" s="162"/>
      <c r="AS97" s="161"/>
      <c r="AT97" s="162"/>
      <c r="AU97" s="161"/>
      <c r="AV97" s="162"/>
      <c r="AW97" s="161"/>
      <c r="AX97" s="162"/>
      <c r="AY97" s="161"/>
      <c r="AZ97" s="162"/>
      <c r="BA97" s="161"/>
      <c r="BB97" s="162"/>
      <c r="BC97" s="161"/>
      <c r="BD97" s="162"/>
      <c r="BE97" s="161"/>
      <c r="BF97" s="162"/>
      <c r="BG97" s="161"/>
      <c r="BH97" s="162"/>
      <c r="BI97" s="161"/>
      <c r="BJ97" s="162"/>
      <c r="BK97" s="161"/>
      <c r="BL97" s="162"/>
      <c r="BM97" s="161"/>
      <c r="BN97" s="162"/>
      <c r="BO97" s="161"/>
      <c r="BP97" s="162"/>
      <c r="BQ97" s="161"/>
      <c r="BR97" s="162"/>
      <c r="BS97" s="161"/>
      <c r="BT97" s="162"/>
      <c r="BU97" s="161"/>
      <c r="BV97" s="162"/>
      <c r="BW97" s="161"/>
      <c r="BX97" s="162"/>
      <c r="BY97" s="161"/>
      <c r="BZ97" s="162"/>
      <c r="CA97" s="161"/>
      <c r="CB97" s="162"/>
      <c r="CC97" s="161"/>
      <c r="CD97" s="162"/>
      <c r="CE97" s="161"/>
      <c r="CF97" s="162"/>
      <c r="CG97" s="161"/>
      <c r="CH97" s="162"/>
      <c r="CI97" s="161"/>
      <c r="CJ97" s="162"/>
      <c r="CK97" s="161"/>
      <c r="CL97" s="162"/>
      <c r="CM97" s="161"/>
      <c r="CN97" s="162"/>
      <c r="CO97" s="161"/>
      <c r="CP97" s="162"/>
      <c r="CQ97" s="161"/>
      <c r="CR97" s="162"/>
      <c r="CS97" s="161"/>
      <c r="CT97" s="162"/>
      <c r="CU97" s="161"/>
      <c r="CV97" s="162"/>
      <c r="CW97" s="161"/>
      <c r="CX97" s="162"/>
      <c r="CY97" s="161"/>
      <c r="CZ97" s="162"/>
      <c r="DA97" s="161"/>
      <c r="DB97" s="162"/>
      <c r="DC97" s="161"/>
      <c r="DD97" s="162"/>
      <c r="DE97" s="161"/>
      <c r="DF97" s="162"/>
      <c r="DG97" s="161"/>
      <c r="DH97" s="162"/>
      <c r="DI97" s="161"/>
      <c r="DJ97" s="162"/>
      <c r="DK97" s="161"/>
      <c r="DL97" s="162"/>
      <c r="DM97" s="161"/>
      <c r="DN97" s="162"/>
      <c r="DO97" s="161"/>
      <c r="DP97" s="162"/>
      <c r="DQ97" s="161"/>
      <c r="DR97" s="162"/>
      <c r="DS97" s="161"/>
      <c r="DT97" s="162"/>
      <c r="DU97" s="161"/>
      <c r="DV97" s="162"/>
    </row>
    <row r="98" spans="1:126" x14ac:dyDescent="0.2">
      <c r="A98" s="160" t="s">
        <v>947</v>
      </c>
      <c r="B98" s="160" t="s">
        <v>948</v>
      </c>
      <c r="C98" s="161" t="e">
        <f t="shared" si="342"/>
        <v>#REF!</v>
      </c>
      <c r="D98" s="162" t="e">
        <f t="shared" si="338"/>
        <v>#REF!</v>
      </c>
      <c r="E98" s="161">
        <f t="shared" si="588"/>
        <v>0</v>
      </c>
      <c r="F98" s="162">
        <f t="shared" si="589"/>
        <v>0</v>
      </c>
      <c r="G98" s="161">
        <f t="shared" si="442"/>
        <v>0</v>
      </c>
      <c r="H98" s="162">
        <f t="shared" si="442"/>
        <v>0</v>
      </c>
      <c r="I98" s="161">
        <f>'[3]2B Önk kiad'!D36</f>
        <v>2312651</v>
      </c>
      <c r="J98" s="162" t="e">
        <f>'3.1. PH'!#REF!+'4.1. Vesz'!#REF!+'5. Eszi'!#REF!+'6.1. Óvoda'!#REF!+'6.2. Kalandpark'!#REF!+'6.3. KLMK'!#REF!+'6.4. Könyvtár'!#REF!+'5F Segítő Kéz'!#REF!</f>
        <v>#REF!</v>
      </c>
      <c r="K98" s="161"/>
      <c r="L98" s="162"/>
      <c r="M98" s="161"/>
      <c r="N98" s="162"/>
      <c r="O98" s="161"/>
      <c r="P98" s="162"/>
      <c r="Q98" s="161"/>
      <c r="R98" s="162"/>
      <c r="S98" s="161"/>
      <c r="T98" s="162"/>
      <c r="U98" s="161"/>
      <c r="V98" s="162"/>
      <c r="W98" s="161"/>
      <c r="X98" s="162"/>
      <c r="Y98" s="161"/>
      <c r="Z98" s="162"/>
      <c r="AA98" s="161"/>
      <c r="AB98" s="162"/>
      <c r="AC98" s="161"/>
      <c r="AD98" s="162"/>
      <c r="AE98" s="161"/>
      <c r="AF98" s="162"/>
      <c r="AG98" s="161"/>
      <c r="AH98" s="162"/>
      <c r="AI98" s="161"/>
      <c r="AJ98" s="162"/>
      <c r="AK98" s="161"/>
      <c r="AL98" s="162"/>
      <c r="AM98" s="161"/>
      <c r="AN98" s="162"/>
      <c r="AO98" s="161"/>
      <c r="AP98" s="162"/>
      <c r="AQ98" s="161"/>
      <c r="AR98" s="162"/>
      <c r="AS98" s="161"/>
      <c r="AT98" s="162"/>
      <c r="AU98" s="161"/>
      <c r="AV98" s="162"/>
      <c r="AW98" s="161"/>
      <c r="AX98" s="162"/>
      <c r="AY98" s="161"/>
      <c r="AZ98" s="162"/>
      <c r="BA98" s="161"/>
      <c r="BB98" s="162"/>
      <c r="BC98" s="161"/>
      <c r="BD98" s="162"/>
      <c r="BE98" s="161"/>
      <c r="BF98" s="162"/>
      <c r="BG98" s="161"/>
      <c r="BH98" s="162"/>
      <c r="BI98" s="161"/>
      <c r="BJ98" s="162"/>
      <c r="BK98" s="161"/>
      <c r="BL98" s="162"/>
      <c r="BM98" s="161"/>
      <c r="BN98" s="162"/>
      <c r="BO98" s="161"/>
      <c r="BP98" s="162"/>
      <c r="BQ98" s="161"/>
      <c r="BR98" s="162"/>
      <c r="BS98" s="161"/>
      <c r="BT98" s="162"/>
      <c r="BU98" s="161"/>
      <c r="BV98" s="162"/>
      <c r="BW98" s="161"/>
      <c r="BX98" s="162"/>
      <c r="BY98" s="161"/>
      <c r="BZ98" s="162"/>
      <c r="CA98" s="161"/>
      <c r="CB98" s="162"/>
      <c r="CC98" s="161"/>
      <c r="CD98" s="162"/>
      <c r="CE98" s="161"/>
      <c r="CF98" s="162"/>
      <c r="CG98" s="161"/>
      <c r="CH98" s="162"/>
      <c r="CI98" s="161"/>
      <c r="CJ98" s="162"/>
      <c r="CK98" s="161"/>
      <c r="CL98" s="162"/>
      <c r="CM98" s="161"/>
      <c r="CN98" s="162"/>
      <c r="CO98" s="161"/>
      <c r="CP98" s="162"/>
      <c r="CQ98" s="161"/>
      <c r="CR98" s="162"/>
      <c r="CS98" s="161"/>
      <c r="CT98" s="162"/>
      <c r="CU98" s="161"/>
      <c r="CV98" s="162"/>
      <c r="CW98" s="161"/>
      <c r="CX98" s="162"/>
      <c r="CY98" s="161"/>
      <c r="CZ98" s="162"/>
      <c r="DA98" s="161"/>
      <c r="DB98" s="162"/>
      <c r="DC98" s="161"/>
      <c r="DD98" s="162"/>
      <c r="DE98" s="161"/>
      <c r="DF98" s="162"/>
      <c r="DG98" s="161"/>
      <c r="DH98" s="162"/>
      <c r="DI98" s="161"/>
      <c r="DJ98" s="162"/>
      <c r="DK98" s="161"/>
      <c r="DL98" s="162"/>
      <c r="DM98" s="161"/>
      <c r="DN98" s="162"/>
      <c r="DO98" s="161"/>
      <c r="DP98" s="162"/>
      <c r="DQ98" s="161"/>
      <c r="DR98" s="162"/>
      <c r="DS98" s="161"/>
      <c r="DT98" s="162"/>
      <c r="DU98" s="161"/>
      <c r="DV98" s="162"/>
    </row>
    <row r="99" spans="1:126" x14ac:dyDescent="0.2">
      <c r="A99" s="160" t="s">
        <v>949</v>
      </c>
      <c r="B99" s="160" t="s">
        <v>743</v>
      </c>
      <c r="C99" s="161">
        <f t="shared" si="342"/>
        <v>1050000</v>
      </c>
      <c r="D99" s="162">
        <f t="shared" si="338"/>
        <v>450000</v>
      </c>
      <c r="E99" s="161">
        <f t="shared" si="588"/>
        <v>0</v>
      </c>
      <c r="F99" s="162">
        <f t="shared" si="589"/>
        <v>0</v>
      </c>
      <c r="G99" s="161">
        <f t="shared" si="442"/>
        <v>0</v>
      </c>
      <c r="H99" s="162">
        <f t="shared" si="442"/>
        <v>0</v>
      </c>
      <c r="I99" s="161">
        <v>600000</v>
      </c>
      <c r="J99" s="162">
        <v>450000</v>
      </c>
      <c r="K99" s="161"/>
      <c r="L99" s="162"/>
      <c r="M99" s="161"/>
      <c r="N99" s="162"/>
      <c r="O99" s="161"/>
      <c r="P99" s="162"/>
      <c r="Q99" s="161"/>
      <c r="R99" s="162"/>
      <c r="S99" s="161"/>
      <c r="T99" s="162"/>
      <c r="U99" s="161"/>
      <c r="V99" s="162"/>
      <c r="W99" s="161"/>
      <c r="X99" s="162"/>
      <c r="Y99" s="161"/>
      <c r="Z99" s="162"/>
      <c r="AA99" s="161"/>
      <c r="AB99" s="162"/>
      <c r="AC99" s="161"/>
      <c r="AD99" s="162"/>
      <c r="AE99" s="161"/>
      <c r="AF99" s="162"/>
      <c r="AG99" s="161"/>
      <c r="AH99" s="162"/>
      <c r="AI99" s="161"/>
      <c r="AJ99" s="162"/>
      <c r="AK99" s="161"/>
      <c r="AL99" s="162"/>
      <c r="AM99" s="161"/>
      <c r="AN99" s="162"/>
      <c r="AO99" s="161"/>
      <c r="AP99" s="162"/>
      <c r="AQ99" s="161"/>
      <c r="AR99" s="162"/>
      <c r="AS99" s="161"/>
      <c r="AT99" s="162"/>
      <c r="AU99" s="161"/>
      <c r="AV99" s="162"/>
      <c r="AW99" s="161"/>
      <c r="AX99" s="162"/>
      <c r="AY99" s="161"/>
      <c r="AZ99" s="162"/>
      <c r="BA99" s="161"/>
      <c r="BB99" s="162"/>
      <c r="BC99" s="161"/>
      <c r="BD99" s="162"/>
      <c r="BE99" s="161"/>
      <c r="BF99" s="162"/>
      <c r="BG99" s="161"/>
      <c r="BH99" s="162"/>
      <c r="BI99" s="161"/>
      <c r="BJ99" s="162"/>
      <c r="BK99" s="161"/>
      <c r="BL99" s="162"/>
      <c r="BM99" s="161"/>
      <c r="BN99" s="162"/>
      <c r="BO99" s="161"/>
      <c r="BP99" s="162"/>
      <c r="BQ99" s="161"/>
      <c r="BR99" s="162"/>
      <c r="BS99" s="161"/>
      <c r="BT99" s="162"/>
      <c r="BU99" s="161"/>
      <c r="BV99" s="162"/>
      <c r="BW99" s="161"/>
      <c r="BX99" s="162"/>
      <c r="BY99" s="161"/>
      <c r="BZ99" s="162"/>
      <c r="CA99" s="161"/>
      <c r="CB99" s="162"/>
      <c r="CC99" s="161"/>
      <c r="CD99" s="162"/>
      <c r="CE99" s="161"/>
      <c r="CF99" s="162"/>
      <c r="CG99" s="161"/>
      <c r="CH99" s="162"/>
      <c r="CI99" s="161"/>
      <c r="CJ99" s="162"/>
      <c r="CK99" s="161"/>
      <c r="CL99" s="162"/>
      <c r="CM99" s="161"/>
      <c r="CN99" s="162"/>
      <c r="CO99" s="161"/>
      <c r="CP99" s="162"/>
      <c r="CQ99" s="161"/>
      <c r="CR99" s="162"/>
      <c r="CS99" s="161"/>
      <c r="CT99" s="162"/>
      <c r="CU99" s="161"/>
      <c r="CV99" s="162"/>
      <c r="CW99" s="161"/>
      <c r="CX99" s="162"/>
      <c r="CY99" s="161"/>
      <c r="CZ99" s="162"/>
      <c r="DA99" s="161"/>
      <c r="DB99" s="162"/>
      <c r="DC99" s="161"/>
      <c r="DD99" s="162"/>
      <c r="DE99" s="161"/>
      <c r="DF99" s="162"/>
      <c r="DG99" s="161"/>
      <c r="DH99" s="162"/>
      <c r="DI99" s="161"/>
      <c r="DJ99" s="162"/>
      <c r="DK99" s="161"/>
      <c r="DL99" s="162"/>
      <c r="DM99" s="161"/>
      <c r="DN99" s="162"/>
      <c r="DO99" s="161"/>
      <c r="DP99" s="162"/>
      <c r="DQ99" s="161"/>
      <c r="DR99" s="162"/>
      <c r="DS99" s="161"/>
      <c r="DT99" s="162"/>
      <c r="DU99" s="161"/>
      <c r="DV99" s="162"/>
    </row>
    <row r="100" spans="1:126" x14ac:dyDescent="0.2">
      <c r="A100" s="160" t="s">
        <v>950</v>
      </c>
      <c r="B100" s="160" t="s">
        <v>951</v>
      </c>
      <c r="C100" s="161">
        <f t="shared" si="342"/>
        <v>0</v>
      </c>
      <c r="D100" s="162">
        <f t="shared" si="338"/>
        <v>0</v>
      </c>
      <c r="E100" s="161">
        <f t="shared" si="588"/>
        <v>0</v>
      </c>
      <c r="F100" s="162">
        <f t="shared" si="589"/>
        <v>0</v>
      </c>
      <c r="G100" s="161">
        <f t="shared" si="442"/>
        <v>0</v>
      </c>
      <c r="H100" s="162">
        <f t="shared" si="442"/>
        <v>0</v>
      </c>
      <c r="I100" s="161"/>
      <c r="J100" s="162"/>
      <c r="K100" s="161"/>
      <c r="L100" s="162"/>
      <c r="M100" s="161"/>
      <c r="N100" s="162"/>
      <c r="O100" s="161"/>
      <c r="P100" s="162"/>
      <c r="Q100" s="161"/>
      <c r="R100" s="162"/>
      <c r="S100" s="161"/>
      <c r="T100" s="162"/>
      <c r="U100" s="161"/>
      <c r="V100" s="162"/>
      <c r="W100" s="161"/>
      <c r="X100" s="162"/>
      <c r="Y100" s="161"/>
      <c r="Z100" s="162"/>
      <c r="AA100" s="161"/>
      <c r="AB100" s="162"/>
      <c r="AC100" s="161"/>
      <c r="AD100" s="162"/>
      <c r="AE100" s="161"/>
      <c r="AF100" s="162"/>
      <c r="AG100" s="161"/>
      <c r="AH100" s="162"/>
      <c r="AI100" s="161"/>
      <c r="AJ100" s="162"/>
      <c r="AK100" s="161"/>
      <c r="AL100" s="162"/>
      <c r="AM100" s="161"/>
      <c r="AN100" s="162"/>
      <c r="AO100" s="161"/>
      <c r="AP100" s="162"/>
      <c r="AQ100" s="161"/>
      <c r="AR100" s="162"/>
      <c r="AS100" s="161"/>
      <c r="AT100" s="162"/>
      <c r="AU100" s="161"/>
      <c r="AV100" s="162"/>
      <c r="AW100" s="161"/>
      <c r="AX100" s="162"/>
      <c r="AY100" s="161"/>
      <c r="AZ100" s="162"/>
      <c r="BA100" s="161"/>
      <c r="BB100" s="162"/>
      <c r="BC100" s="161"/>
      <c r="BD100" s="162"/>
      <c r="BE100" s="161"/>
      <c r="BF100" s="162"/>
      <c r="BG100" s="161"/>
      <c r="BH100" s="162"/>
      <c r="BI100" s="161"/>
      <c r="BJ100" s="162"/>
      <c r="BK100" s="161"/>
      <c r="BL100" s="162"/>
      <c r="BM100" s="161"/>
      <c r="BN100" s="162"/>
      <c r="BO100" s="161"/>
      <c r="BP100" s="162"/>
      <c r="BQ100" s="161"/>
      <c r="BR100" s="162"/>
      <c r="BS100" s="161"/>
      <c r="BT100" s="162"/>
      <c r="BU100" s="161"/>
      <c r="BV100" s="162"/>
      <c r="BW100" s="161"/>
      <c r="BX100" s="162"/>
      <c r="BY100" s="161"/>
      <c r="BZ100" s="162"/>
      <c r="CA100" s="161"/>
      <c r="CB100" s="162"/>
      <c r="CC100" s="161"/>
      <c r="CD100" s="162"/>
      <c r="CE100" s="161"/>
      <c r="CF100" s="162"/>
      <c r="CG100" s="161"/>
      <c r="CH100" s="162"/>
      <c r="CI100" s="161"/>
      <c r="CJ100" s="162"/>
      <c r="CK100" s="161"/>
      <c r="CL100" s="162"/>
      <c r="CM100" s="161"/>
      <c r="CN100" s="162"/>
      <c r="CO100" s="161"/>
      <c r="CP100" s="162"/>
      <c r="CQ100" s="161"/>
      <c r="CR100" s="162"/>
      <c r="CS100" s="161"/>
      <c r="CT100" s="162"/>
      <c r="CU100" s="161"/>
      <c r="CV100" s="162"/>
      <c r="CW100" s="161"/>
      <c r="CX100" s="162"/>
      <c r="CY100" s="161"/>
      <c r="CZ100" s="162"/>
      <c r="DA100" s="161"/>
      <c r="DB100" s="162"/>
      <c r="DC100" s="161"/>
      <c r="DD100" s="162"/>
      <c r="DE100" s="161"/>
      <c r="DF100" s="162"/>
      <c r="DG100" s="161"/>
      <c r="DH100" s="162"/>
      <c r="DI100" s="161"/>
      <c r="DJ100" s="162"/>
      <c r="DK100" s="161"/>
      <c r="DL100" s="162"/>
      <c r="DM100" s="161"/>
      <c r="DN100" s="162"/>
      <c r="DO100" s="161"/>
      <c r="DP100" s="162"/>
      <c r="DQ100" s="161"/>
      <c r="DR100" s="162"/>
      <c r="DS100" s="161"/>
      <c r="DT100" s="162"/>
      <c r="DU100" s="161"/>
      <c r="DV100" s="162"/>
    </row>
    <row r="101" spans="1:126" x14ac:dyDescent="0.2">
      <c r="A101" s="160" t="s">
        <v>952</v>
      </c>
      <c r="B101" s="160" t="s">
        <v>953</v>
      </c>
      <c r="C101" s="161">
        <f t="shared" si="342"/>
        <v>0</v>
      </c>
      <c r="D101" s="162">
        <f t="shared" si="338"/>
        <v>0</v>
      </c>
      <c r="E101" s="161">
        <f t="shared" si="588"/>
        <v>0</v>
      </c>
      <c r="F101" s="162">
        <f t="shared" si="589"/>
        <v>0</v>
      </c>
      <c r="G101" s="161">
        <f t="shared" si="442"/>
        <v>0</v>
      </c>
      <c r="H101" s="162">
        <f t="shared" si="442"/>
        <v>0</v>
      </c>
      <c r="I101" s="161"/>
      <c r="J101" s="162"/>
      <c r="K101" s="161"/>
      <c r="L101" s="162"/>
      <c r="M101" s="161"/>
      <c r="N101" s="162"/>
      <c r="O101" s="161"/>
      <c r="P101" s="162"/>
      <c r="Q101" s="161"/>
      <c r="R101" s="162"/>
      <c r="S101" s="161"/>
      <c r="T101" s="162"/>
      <c r="U101" s="161"/>
      <c r="V101" s="162"/>
      <c r="W101" s="161"/>
      <c r="X101" s="162"/>
      <c r="Y101" s="161"/>
      <c r="Z101" s="162"/>
      <c r="AA101" s="161"/>
      <c r="AB101" s="162"/>
      <c r="AC101" s="161"/>
      <c r="AD101" s="162"/>
      <c r="AE101" s="161"/>
      <c r="AF101" s="162"/>
      <c r="AG101" s="161"/>
      <c r="AH101" s="162"/>
      <c r="AI101" s="161"/>
      <c r="AJ101" s="162"/>
      <c r="AK101" s="161"/>
      <c r="AL101" s="162"/>
      <c r="AM101" s="161"/>
      <c r="AN101" s="162"/>
      <c r="AO101" s="161"/>
      <c r="AP101" s="162"/>
      <c r="AQ101" s="161"/>
      <c r="AR101" s="162"/>
      <c r="AS101" s="161"/>
      <c r="AT101" s="162"/>
      <c r="AU101" s="161"/>
      <c r="AV101" s="162"/>
      <c r="AW101" s="161"/>
      <c r="AX101" s="162"/>
      <c r="AY101" s="161"/>
      <c r="AZ101" s="162"/>
      <c r="BA101" s="161"/>
      <c r="BB101" s="162"/>
      <c r="BC101" s="161"/>
      <c r="BD101" s="162"/>
      <c r="BE101" s="161"/>
      <c r="BF101" s="162"/>
      <c r="BG101" s="161"/>
      <c r="BH101" s="162"/>
      <c r="BI101" s="161"/>
      <c r="BJ101" s="162"/>
      <c r="BK101" s="161"/>
      <c r="BL101" s="162"/>
      <c r="BM101" s="161"/>
      <c r="BN101" s="162"/>
      <c r="BO101" s="161"/>
      <c r="BP101" s="162"/>
      <c r="BQ101" s="161"/>
      <c r="BR101" s="162"/>
      <c r="BS101" s="161"/>
      <c r="BT101" s="162"/>
      <c r="BU101" s="161"/>
      <c r="BV101" s="162"/>
      <c r="BW101" s="161"/>
      <c r="BX101" s="162"/>
      <c r="BY101" s="161"/>
      <c r="BZ101" s="162"/>
      <c r="CA101" s="161"/>
      <c r="CB101" s="162"/>
      <c r="CC101" s="161"/>
      <c r="CD101" s="162"/>
      <c r="CE101" s="161"/>
      <c r="CF101" s="162"/>
      <c r="CG101" s="161"/>
      <c r="CH101" s="162"/>
      <c r="CI101" s="161"/>
      <c r="CJ101" s="162"/>
      <c r="CK101" s="161"/>
      <c r="CL101" s="162"/>
      <c r="CM101" s="161"/>
      <c r="CN101" s="162"/>
      <c r="CO101" s="161"/>
      <c r="CP101" s="162"/>
      <c r="CQ101" s="161"/>
      <c r="CR101" s="162"/>
      <c r="CS101" s="161"/>
      <c r="CT101" s="162"/>
      <c r="CU101" s="161"/>
      <c r="CV101" s="162"/>
      <c r="CW101" s="161"/>
      <c r="CX101" s="162"/>
      <c r="CY101" s="161"/>
      <c r="CZ101" s="162"/>
      <c r="DA101" s="161"/>
      <c r="DB101" s="162"/>
      <c r="DC101" s="161"/>
      <c r="DD101" s="162"/>
      <c r="DE101" s="161"/>
      <c r="DF101" s="162"/>
      <c r="DG101" s="161"/>
      <c r="DH101" s="162"/>
      <c r="DI101" s="161"/>
      <c r="DJ101" s="162"/>
      <c r="DK101" s="161"/>
      <c r="DL101" s="162"/>
      <c r="DM101" s="161"/>
      <c r="DN101" s="162"/>
      <c r="DO101" s="161"/>
      <c r="DP101" s="162"/>
      <c r="DQ101" s="161"/>
      <c r="DR101" s="162"/>
      <c r="DS101" s="161"/>
      <c r="DT101" s="162"/>
      <c r="DU101" s="161"/>
      <c r="DV101" s="162"/>
    </row>
    <row r="102" spans="1:126" x14ac:dyDescent="0.2">
      <c r="A102" s="160" t="s">
        <v>954</v>
      </c>
      <c r="B102" s="160" t="s">
        <v>955</v>
      </c>
      <c r="C102" s="161">
        <f t="shared" si="342"/>
        <v>0</v>
      </c>
      <c r="D102" s="162">
        <f t="shared" si="338"/>
        <v>0</v>
      </c>
      <c r="E102" s="161">
        <f t="shared" si="588"/>
        <v>0</v>
      </c>
      <c r="F102" s="162">
        <f t="shared" si="589"/>
        <v>0</v>
      </c>
      <c r="G102" s="161">
        <f t="shared" si="442"/>
        <v>0</v>
      </c>
      <c r="H102" s="162">
        <f t="shared" si="442"/>
        <v>0</v>
      </c>
      <c r="I102" s="161"/>
      <c r="J102" s="162"/>
      <c r="K102" s="161"/>
      <c r="L102" s="162"/>
      <c r="M102" s="161"/>
      <c r="N102" s="162"/>
      <c r="O102" s="161"/>
      <c r="P102" s="162"/>
      <c r="Q102" s="161"/>
      <c r="R102" s="162"/>
      <c r="S102" s="161"/>
      <c r="T102" s="162"/>
      <c r="U102" s="161"/>
      <c r="V102" s="162"/>
      <c r="W102" s="161"/>
      <c r="X102" s="162"/>
      <c r="Y102" s="161"/>
      <c r="Z102" s="162"/>
      <c r="AA102" s="161"/>
      <c r="AB102" s="162"/>
      <c r="AC102" s="161"/>
      <c r="AD102" s="162"/>
      <c r="AE102" s="161"/>
      <c r="AF102" s="162"/>
      <c r="AG102" s="161"/>
      <c r="AH102" s="162"/>
      <c r="AI102" s="161"/>
      <c r="AJ102" s="162"/>
      <c r="AK102" s="161"/>
      <c r="AL102" s="162"/>
      <c r="AM102" s="161"/>
      <c r="AN102" s="162"/>
      <c r="AO102" s="161"/>
      <c r="AP102" s="162"/>
      <c r="AQ102" s="161"/>
      <c r="AR102" s="162"/>
      <c r="AS102" s="161"/>
      <c r="AT102" s="162"/>
      <c r="AU102" s="161"/>
      <c r="AV102" s="162"/>
      <c r="AW102" s="161"/>
      <c r="AX102" s="162"/>
      <c r="AY102" s="161"/>
      <c r="AZ102" s="162"/>
      <c r="BA102" s="161"/>
      <c r="BB102" s="162"/>
      <c r="BC102" s="161"/>
      <c r="BD102" s="162"/>
      <c r="BE102" s="161"/>
      <c r="BF102" s="162"/>
      <c r="BG102" s="161"/>
      <c r="BH102" s="162"/>
      <c r="BI102" s="161"/>
      <c r="BJ102" s="162"/>
      <c r="BK102" s="161"/>
      <c r="BL102" s="162"/>
      <c r="BM102" s="161"/>
      <c r="BN102" s="162"/>
      <c r="BO102" s="161"/>
      <c r="BP102" s="162"/>
      <c r="BQ102" s="161"/>
      <c r="BR102" s="162"/>
      <c r="BS102" s="161"/>
      <c r="BT102" s="162"/>
      <c r="BU102" s="161"/>
      <c r="BV102" s="162"/>
      <c r="BW102" s="161"/>
      <c r="BX102" s="162"/>
      <c r="BY102" s="161"/>
      <c r="BZ102" s="162"/>
      <c r="CA102" s="161"/>
      <c r="CB102" s="162"/>
      <c r="CC102" s="161"/>
      <c r="CD102" s="162"/>
      <c r="CE102" s="161"/>
      <c r="CF102" s="162"/>
      <c r="CG102" s="161"/>
      <c r="CH102" s="162"/>
      <c r="CI102" s="161"/>
      <c r="CJ102" s="162"/>
      <c r="CK102" s="161"/>
      <c r="CL102" s="162"/>
      <c r="CM102" s="161"/>
      <c r="CN102" s="162"/>
      <c r="CO102" s="161"/>
      <c r="CP102" s="162"/>
      <c r="CQ102" s="161"/>
      <c r="CR102" s="162"/>
      <c r="CS102" s="161"/>
      <c r="CT102" s="162"/>
      <c r="CU102" s="161"/>
      <c r="CV102" s="162"/>
      <c r="CW102" s="161"/>
      <c r="CX102" s="162"/>
      <c r="CY102" s="161"/>
      <c r="CZ102" s="162"/>
      <c r="DA102" s="161"/>
      <c r="DB102" s="162"/>
      <c r="DC102" s="161"/>
      <c r="DD102" s="162"/>
      <c r="DE102" s="161"/>
      <c r="DF102" s="162"/>
      <c r="DG102" s="161"/>
      <c r="DH102" s="162"/>
      <c r="DI102" s="161"/>
      <c r="DJ102" s="162"/>
      <c r="DK102" s="161"/>
      <c r="DL102" s="162"/>
      <c r="DM102" s="161"/>
      <c r="DN102" s="162"/>
      <c r="DO102" s="161"/>
      <c r="DP102" s="162"/>
      <c r="DQ102" s="161"/>
      <c r="DR102" s="162"/>
      <c r="DS102" s="161"/>
      <c r="DT102" s="162"/>
      <c r="DU102" s="161"/>
      <c r="DV102" s="162"/>
    </row>
    <row r="103" spans="1:126" x14ac:dyDescent="0.2">
      <c r="A103" s="160" t="s">
        <v>956</v>
      </c>
      <c r="B103" s="160" t="s">
        <v>957</v>
      </c>
      <c r="C103" s="161">
        <f t="shared" si="342"/>
        <v>0</v>
      </c>
      <c r="D103" s="162">
        <f t="shared" si="338"/>
        <v>0</v>
      </c>
      <c r="E103" s="161">
        <f t="shared" si="588"/>
        <v>0</v>
      </c>
      <c r="F103" s="162">
        <f t="shared" si="589"/>
        <v>0</v>
      </c>
      <c r="G103" s="161">
        <f t="shared" si="442"/>
        <v>0</v>
      </c>
      <c r="H103" s="162">
        <f t="shared" si="442"/>
        <v>0</v>
      </c>
      <c r="I103" s="161"/>
      <c r="J103" s="162"/>
      <c r="K103" s="161"/>
      <c r="L103" s="162"/>
      <c r="M103" s="161"/>
      <c r="N103" s="162"/>
      <c r="O103" s="161"/>
      <c r="P103" s="162"/>
      <c r="Q103" s="161"/>
      <c r="R103" s="162"/>
      <c r="S103" s="161"/>
      <c r="T103" s="162"/>
      <c r="U103" s="161"/>
      <c r="V103" s="162"/>
      <c r="W103" s="161"/>
      <c r="X103" s="162"/>
      <c r="Y103" s="161"/>
      <c r="Z103" s="162"/>
      <c r="AA103" s="161"/>
      <c r="AB103" s="162"/>
      <c r="AC103" s="161"/>
      <c r="AD103" s="162"/>
      <c r="AE103" s="161"/>
      <c r="AF103" s="162"/>
      <c r="AG103" s="161"/>
      <c r="AH103" s="162"/>
      <c r="AI103" s="161"/>
      <c r="AJ103" s="162"/>
      <c r="AK103" s="161"/>
      <c r="AL103" s="162"/>
      <c r="AM103" s="161"/>
      <c r="AN103" s="162"/>
      <c r="AO103" s="161"/>
      <c r="AP103" s="162"/>
      <c r="AQ103" s="161"/>
      <c r="AR103" s="162"/>
      <c r="AS103" s="161"/>
      <c r="AT103" s="162"/>
      <c r="AU103" s="161"/>
      <c r="AV103" s="162"/>
      <c r="AW103" s="161"/>
      <c r="AX103" s="162"/>
      <c r="AY103" s="161"/>
      <c r="AZ103" s="162"/>
      <c r="BA103" s="161"/>
      <c r="BB103" s="162"/>
      <c r="BC103" s="161"/>
      <c r="BD103" s="162"/>
      <c r="BE103" s="161"/>
      <c r="BF103" s="162"/>
      <c r="BG103" s="161"/>
      <c r="BH103" s="162"/>
      <c r="BI103" s="161"/>
      <c r="BJ103" s="162"/>
      <c r="BK103" s="161"/>
      <c r="BL103" s="162"/>
      <c r="BM103" s="161"/>
      <c r="BN103" s="162"/>
      <c r="BO103" s="161"/>
      <c r="BP103" s="162"/>
      <c r="BQ103" s="161"/>
      <c r="BR103" s="162"/>
      <c r="BS103" s="161"/>
      <c r="BT103" s="162"/>
      <c r="BU103" s="161"/>
      <c r="BV103" s="162"/>
      <c r="BW103" s="161"/>
      <c r="BX103" s="162"/>
      <c r="BY103" s="161"/>
      <c r="BZ103" s="162"/>
      <c r="CA103" s="161"/>
      <c r="CB103" s="162"/>
      <c r="CC103" s="161"/>
      <c r="CD103" s="162"/>
      <c r="CE103" s="161"/>
      <c r="CF103" s="162"/>
      <c r="CG103" s="161"/>
      <c r="CH103" s="162"/>
      <c r="CI103" s="161"/>
      <c r="CJ103" s="162"/>
      <c r="CK103" s="161"/>
      <c r="CL103" s="162"/>
      <c r="CM103" s="161"/>
      <c r="CN103" s="162"/>
      <c r="CO103" s="161"/>
      <c r="CP103" s="162"/>
      <c r="CQ103" s="161"/>
      <c r="CR103" s="162"/>
      <c r="CS103" s="161"/>
      <c r="CT103" s="162"/>
      <c r="CU103" s="161"/>
      <c r="CV103" s="162"/>
      <c r="CW103" s="161"/>
      <c r="CX103" s="162"/>
      <c r="CY103" s="161"/>
      <c r="CZ103" s="162"/>
      <c r="DA103" s="161"/>
      <c r="DB103" s="162"/>
      <c r="DC103" s="161"/>
      <c r="DD103" s="162"/>
      <c r="DE103" s="161"/>
      <c r="DF103" s="162"/>
      <c r="DG103" s="161"/>
      <c r="DH103" s="162"/>
      <c r="DI103" s="161"/>
      <c r="DJ103" s="162"/>
      <c r="DK103" s="161"/>
      <c r="DL103" s="162"/>
      <c r="DM103" s="161"/>
      <c r="DN103" s="162"/>
      <c r="DO103" s="161"/>
      <c r="DP103" s="162"/>
      <c r="DQ103" s="161"/>
      <c r="DR103" s="162"/>
      <c r="DS103" s="161"/>
      <c r="DT103" s="162"/>
      <c r="DU103" s="161"/>
      <c r="DV103" s="162"/>
    </row>
    <row r="104" spans="1:126" x14ac:dyDescent="0.2">
      <c r="A104" s="160" t="s">
        <v>958</v>
      </c>
      <c r="B104" s="160" t="s">
        <v>959</v>
      </c>
      <c r="C104" s="161">
        <f t="shared" si="342"/>
        <v>0</v>
      </c>
      <c r="D104" s="162">
        <f t="shared" si="338"/>
        <v>0</v>
      </c>
      <c r="E104" s="161">
        <f t="shared" si="588"/>
        <v>0</v>
      </c>
      <c r="F104" s="162">
        <f t="shared" si="589"/>
        <v>0</v>
      </c>
      <c r="G104" s="161">
        <f t="shared" si="442"/>
        <v>0</v>
      </c>
      <c r="H104" s="162">
        <f t="shared" si="442"/>
        <v>0</v>
      </c>
      <c r="I104" s="161"/>
      <c r="J104" s="162"/>
      <c r="K104" s="161"/>
      <c r="L104" s="162"/>
      <c r="M104" s="161"/>
      <c r="N104" s="162"/>
      <c r="O104" s="161"/>
      <c r="P104" s="162"/>
      <c r="Q104" s="161"/>
      <c r="R104" s="162"/>
      <c r="S104" s="161"/>
      <c r="T104" s="162"/>
      <c r="U104" s="161"/>
      <c r="V104" s="162"/>
      <c r="W104" s="161"/>
      <c r="X104" s="162"/>
      <c r="Y104" s="161"/>
      <c r="Z104" s="162"/>
      <c r="AA104" s="161"/>
      <c r="AB104" s="162"/>
      <c r="AC104" s="161"/>
      <c r="AD104" s="162"/>
      <c r="AE104" s="161"/>
      <c r="AF104" s="162"/>
      <c r="AG104" s="161"/>
      <c r="AH104" s="162"/>
      <c r="AI104" s="161"/>
      <c r="AJ104" s="162"/>
      <c r="AK104" s="161"/>
      <c r="AL104" s="162"/>
      <c r="AM104" s="161"/>
      <c r="AN104" s="162"/>
      <c r="AO104" s="161"/>
      <c r="AP104" s="162"/>
      <c r="AQ104" s="161"/>
      <c r="AR104" s="162"/>
      <c r="AS104" s="161"/>
      <c r="AT104" s="162"/>
      <c r="AU104" s="161"/>
      <c r="AV104" s="162"/>
      <c r="AW104" s="161"/>
      <c r="AX104" s="162"/>
      <c r="AY104" s="161"/>
      <c r="AZ104" s="162"/>
      <c r="BA104" s="161"/>
      <c r="BB104" s="162"/>
      <c r="BC104" s="161"/>
      <c r="BD104" s="162"/>
      <c r="BE104" s="161"/>
      <c r="BF104" s="162"/>
      <c r="BG104" s="161"/>
      <c r="BH104" s="162"/>
      <c r="BI104" s="161"/>
      <c r="BJ104" s="162"/>
      <c r="BK104" s="161"/>
      <c r="BL104" s="162"/>
      <c r="BM104" s="161"/>
      <c r="BN104" s="162"/>
      <c r="BO104" s="161"/>
      <c r="BP104" s="162"/>
      <c r="BQ104" s="161"/>
      <c r="BR104" s="162"/>
      <c r="BS104" s="161"/>
      <c r="BT104" s="162"/>
      <c r="BU104" s="161"/>
      <c r="BV104" s="162"/>
      <c r="BW104" s="161"/>
      <c r="BX104" s="162"/>
      <c r="BY104" s="161"/>
      <c r="BZ104" s="162"/>
      <c r="CA104" s="161"/>
      <c r="CB104" s="162"/>
      <c r="CC104" s="161"/>
      <c r="CD104" s="162"/>
      <c r="CE104" s="161"/>
      <c r="CF104" s="162"/>
      <c r="CG104" s="161"/>
      <c r="CH104" s="162"/>
      <c r="CI104" s="161"/>
      <c r="CJ104" s="162"/>
      <c r="CK104" s="161"/>
      <c r="CL104" s="162"/>
      <c r="CM104" s="161"/>
      <c r="CN104" s="162"/>
      <c r="CO104" s="161"/>
      <c r="CP104" s="162"/>
      <c r="CQ104" s="161"/>
      <c r="CR104" s="162"/>
      <c r="CS104" s="161"/>
      <c r="CT104" s="162"/>
      <c r="CU104" s="161"/>
      <c r="CV104" s="162"/>
      <c r="CW104" s="161"/>
      <c r="CX104" s="162"/>
      <c r="CY104" s="161"/>
      <c r="CZ104" s="162"/>
      <c r="DA104" s="161"/>
      <c r="DB104" s="162"/>
      <c r="DC104" s="161"/>
      <c r="DD104" s="162"/>
      <c r="DE104" s="161"/>
      <c r="DF104" s="162"/>
      <c r="DG104" s="161"/>
      <c r="DH104" s="162"/>
      <c r="DI104" s="161"/>
      <c r="DJ104" s="162"/>
      <c r="DK104" s="161"/>
      <c r="DL104" s="162"/>
      <c r="DM104" s="161"/>
      <c r="DN104" s="162"/>
      <c r="DO104" s="161"/>
      <c r="DP104" s="162"/>
      <c r="DQ104" s="161"/>
      <c r="DR104" s="162"/>
      <c r="DS104" s="161"/>
      <c r="DT104" s="162"/>
      <c r="DU104" s="161"/>
      <c r="DV104" s="162"/>
    </row>
    <row r="105" spans="1:126" x14ac:dyDescent="0.2">
      <c r="A105" s="160" t="s">
        <v>960</v>
      </c>
      <c r="B105" s="160" t="s">
        <v>961</v>
      </c>
      <c r="C105" s="161">
        <f t="shared" si="342"/>
        <v>0</v>
      </c>
      <c r="D105" s="162">
        <f t="shared" si="338"/>
        <v>0</v>
      </c>
      <c r="E105" s="161">
        <f t="shared" si="588"/>
        <v>0</v>
      </c>
      <c r="F105" s="162">
        <f t="shared" si="589"/>
        <v>0</v>
      </c>
      <c r="G105" s="161">
        <f t="shared" si="442"/>
        <v>0</v>
      </c>
      <c r="H105" s="162">
        <f t="shared" si="442"/>
        <v>0</v>
      </c>
      <c r="I105" s="161"/>
      <c r="J105" s="162"/>
      <c r="K105" s="161"/>
      <c r="L105" s="162"/>
      <c r="M105" s="161"/>
      <c r="N105" s="162"/>
      <c r="O105" s="161"/>
      <c r="P105" s="162"/>
      <c r="Q105" s="161"/>
      <c r="R105" s="162"/>
      <c r="S105" s="161"/>
      <c r="T105" s="162"/>
      <c r="U105" s="161"/>
      <c r="V105" s="162"/>
      <c r="W105" s="161"/>
      <c r="X105" s="162"/>
      <c r="Y105" s="161"/>
      <c r="Z105" s="162"/>
      <c r="AA105" s="161"/>
      <c r="AB105" s="162"/>
      <c r="AC105" s="161"/>
      <c r="AD105" s="162"/>
      <c r="AE105" s="161"/>
      <c r="AF105" s="162"/>
      <c r="AG105" s="161"/>
      <c r="AH105" s="162"/>
      <c r="AI105" s="161"/>
      <c r="AJ105" s="162"/>
      <c r="AK105" s="161"/>
      <c r="AL105" s="162"/>
      <c r="AM105" s="161"/>
      <c r="AN105" s="162"/>
      <c r="AO105" s="161"/>
      <c r="AP105" s="162"/>
      <c r="AQ105" s="161"/>
      <c r="AR105" s="162"/>
      <c r="AS105" s="161"/>
      <c r="AT105" s="162"/>
      <c r="AU105" s="161"/>
      <c r="AV105" s="162"/>
      <c r="AW105" s="161"/>
      <c r="AX105" s="162"/>
      <c r="AY105" s="161"/>
      <c r="AZ105" s="162"/>
      <c r="BA105" s="161"/>
      <c r="BB105" s="162"/>
      <c r="BC105" s="161"/>
      <c r="BD105" s="162"/>
      <c r="BE105" s="161"/>
      <c r="BF105" s="162"/>
      <c r="BG105" s="161"/>
      <c r="BH105" s="162"/>
      <c r="BI105" s="161"/>
      <c r="BJ105" s="162"/>
      <c r="BK105" s="161"/>
      <c r="BL105" s="162"/>
      <c r="BM105" s="161"/>
      <c r="BN105" s="162"/>
      <c r="BO105" s="161"/>
      <c r="BP105" s="162"/>
      <c r="BQ105" s="161"/>
      <c r="BR105" s="162"/>
      <c r="BS105" s="161"/>
      <c r="BT105" s="162"/>
      <c r="BU105" s="161"/>
      <c r="BV105" s="162"/>
      <c r="BW105" s="161"/>
      <c r="BX105" s="162"/>
      <c r="BY105" s="161"/>
      <c r="BZ105" s="162"/>
      <c r="CA105" s="161"/>
      <c r="CB105" s="162"/>
      <c r="CC105" s="161"/>
      <c r="CD105" s="162"/>
      <c r="CE105" s="161"/>
      <c r="CF105" s="162"/>
      <c r="CG105" s="161"/>
      <c r="CH105" s="162"/>
      <c r="CI105" s="161"/>
      <c r="CJ105" s="162"/>
      <c r="CK105" s="161"/>
      <c r="CL105" s="162"/>
      <c r="CM105" s="161"/>
      <c r="CN105" s="162"/>
      <c r="CO105" s="161"/>
      <c r="CP105" s="162"/>
      <c r="CQ105" s="161"/>
      <c r="CR105" s="162"/>
      <c r="CS105" s="161"/>
      <c r="CT105" s="162"/>
      <c r="CU105" s="161"/>
      <c r="CV105" s="162"/>
      <c r="CW105" s="161"/>
      <c r="CX105" s="162"/>
      <c r="CY105" s="161"/>
      <c r="CZ105" s="162"/>
      <c r="DA105" s="161"/>
      <c r="DB105" s="162"/>
      <c r="DC105" s="161"/>
      <c r="DD105" s="162"/>
      <c r="DE105" s="161"/>
      <c r="DF105" s="162"/>
      <c r="DG105" s="161"/>
      <c r="DH105" s="162"/>
      <c r="DI105" s="161"/>
      <c r="DJ105" s="162"/>
      <c r="DK105" s="161"/>
      <c r="DL105" s="162"/>
      <c r="DM105" s="161"/>
      <c r="DN105" s="162"/>
      <c r="DO105" s="161"/>
      <c r="DP105" s="162"/>
      <c r="DQ105" s="161"/>
      <c r="DR105" s="162"/>
      <c r="DS105" s="161"/>
      <c r="DT105" s="162"/>
      <c r="DU105" s="161"/>
      <c r="DV105" s="162"/>
    </row>
    <row r="106" spans="1:126" x14ac:dyDescent="0.2">
      <c r="A106" s="163" t="s">
        <v>962</v>
      </c>
      <c r="B106" s="163" t="s">
        <v>963</v>
      </c>
      <c r="C106" s="164" t="e">
        <f t="shared" ref="C106:I106" si="590">SUM(C89:C105)</f>
        <v>#REF!</v>
      </c>
      <c r="D106" s="165" t="e">
        <f t="shared" si="590"/>
        <v>#REF!</v>
      </c>
      <c r="E106" s="164">
        <f t="shared" si="590"/>
        <v>0</v>
      </c>
      <c r="F106" s="165">
        <f t="shared" si="590"/>
        <v>0</v>
      </c>
      <c r="G106" s="164">
        <f t="shared" si="590"/>
        <v>0</v>
      </c>
      <c r="H106" s="165">
        <f t="shared" si="590"/>
        <v>0</v>
      </c>
      <c r="I106" s="164">
        <f t="shared" si="590"/>
        <v>2912651</v>
      </c>
      <c r="J106" s="165" t="e">
        <f t="shared" ref="J106:AO106" si="591">SUM(J89:J105)</f>
        <v>#REF!</v>
      </c>
      <c r="K106" s="164">
        <f t="shared" si="591"/>
        <v>0</v>
      </c>
      <c r="L106" s="165">
        <f t="shared" si="591"/>
        <v>0</v>
      </c>
      <c r="M106" s="164">
        <f t="shared" si="591"/>
        <v>0</v>
      </c>
      <c r="N106" s="165">
        <f t="shared" si="591"/>
        <v>0</v>
      </c>
      <c r="O106" s="164">
        <f t="shared" si="591"/>
        <v>0</v>
      </c>
      <c r="P106" s="165">
        <f t="shared" si="591"/>
        <v>0</v>
      </c>
      <c r="Q106" s="164">
        <f t="shared" si="591"/>
        <v>0</v>
      </c>
      <c r="R106" s="165">
        <f t="shared" si="591"/>
        <v>0</v>
      </c>
      <c r="S106" s="164">
        <f t="shared" si="591"/>
        <v>0</v>
      </c>
      <c r="T106" s="165">
        <f t="shared" ref="T106" si="592">SUM(T89:T105)</f>
        <v>0</v>
      </c>
      <c r="U106" s="164">
        <f t="shared" si="591"/>
        <v>0</v>
      </c>
      <c r="V106" s="165">
        <f t="shared" ref="V106" si="593">SUM(V89:V105)</f>
        <v>0</v>
      </c>
      <c r="W106" s="164">
        <f t="shared" si="591"/>
        <v>0</v>
      </c>
      <c r="X106" s="165">
        <f t="shared" si="591"/>
        <v>0</v>
      </c>
      <c r="Y106" s="164">
        <f t="shared" si="591"/>
        <v>0</v>
      </c>
      <c r="Z106" s="165">
        <f t="shared" ref="Z106" si="594">SUM(Z89:Z105)</f>
        <v>0</v>
      </c>
      <c r="AA106" s="164">
        <f t="shared" si="591"/>
        <v>0</v>
      </c>
      <c r="AB106" s="165">
        <f t="shared" ref="AB106" si="595">SUM(AB89:AB105)</f>
        <v>0</v>
      </c>
      <c r="AC106" s="164">
        <f t="shared" si="591"/>
        <v>0</v>
      </c>
      <c r="AD106" s="165">
        <f t="shared" ref="AD106" si="596">SUM(AD89:AD105)</f>
        <v>0</v>
      </c>
      <c r="AE106" s="164">
        <f t="shared" si="591"/>
        <v>0</v>
      </c>
      <c r="AF106" s="165">
        <f t="shared" ref="AF106:AH106" si="597">SUM(AF89:AF105)</f>
        <v>0</v>
      </c>
      <c r="AG106" s="164"/>
      <c r="AH106" s="165">
        <f t="shared" si="597"/>
        <v>0</v>
      </c>
      <c r="AI106" s="164">
        <f>SUM(AI89:AI105)</f>
        <v>0</v>
      </c>
      <c r="AJ106" s="165">
        <f>SUM(AJ89:AJ105)</f>
        <v>0</v>
      </c>
      <c r="AK106" s="164">
        <f t="shared" si="591"/>
        <v>0</v>
      </c>
      <c r="AL106" s="165">
        <f t="shared" ref="AL106" si="598">SUM(AL89:AL105)</f>
        <v>0</v>
      </c>
      <c r="AM106" s="164">
        <f t="shared" si="591"/>
        <v>0</v>
      </c>
      <c r="AN106" s="165"/>
      <c r="AO106" s="164">
        <f t="shared" si="591"/>
        <v>0</v>
      </c>
      <c r="AP106" s="165">
        <f t="shared" ref="AP106" si="599">SUM(AP89:AP105)</f>
        <v>0</v>
      </c>
      <c r="AQ106" s="164">
        <f t="shared" ref="AQ106:DS106" si="600">SUM(AQ89:AQ105)</f>
        <v>0</v>
      </c>
      <c r="AR106" s="165">
        <f t="shared" ref="AR106" si="601">SUM(AR89:AR105)</f>
        <v>0</v>
      </c>
      <c r="AS106" s="164">
        <f t="shared" si="600"/>
        <v>0</v>
      </c>
      <c r="AT106" s="165">
        <f t="shared" ref="AT106" si="602">SUM(AT89:AT105)</f>
        <v>0</v>
      </c>
      <c r="AU106" s="164">
        <f t="shared" si="600"/>
        <v>0</v>
      </c>
      <c r="AV106" s="165">
        <f t="shared" ref="AV106" si="603">SUM(AV89:AV105)</f>
        <v>0</v>
      </c>
      <c r="AW106" s="164">
        <f t="shared" si="600"/>
        <v>0</v>
      </c>
      <c r="AX106" s="165">
        <f t="shared" ref="AX106" si="604">SUM(AX89:AX105)</f>
        <v>0</v>
      </c>
      <c r="AY106" s="164">
        <f t="shared" si="600"/>
        <v>0</v>
      </c>
      <c r="AZ106" s="165">
        <f t="shared" ref="AZ106" si="605">SUM(AZ89:AZ105)</f>
        <v>0</v>
      </c>
      <c r="BA106" s="164">
        <f t="shared" si="600"/>
        <v>0</v>
      </c>
      <c r="BB106" s="165">
        <f t="shared" ref="BB106" si="606">SUM(BB89:BB105)</f>
        <v>0</v>
      </c>
      <c r="BC106" s="164">
        <f t="shared" si="600"/>
        <v>0</v>
      </c>
      <c r="BD106" s="165">
        <f t="shared" ref="BD106" si="607">SUM(BD89:BD105)</f>
        <v>0</v>
      </c>
      <c r="BE106" s="164">
        <f t="shared" si="600"/>
        <v>0</v>
      </c>
      <c r="BF106" s="165">
        <f t="shared" ref="BF106" si="608">SUM(BF89:BF105)</f>
        <v>0</v>
      </c>
      <c r="BG106" s="164">
        <f t="shared" si="600"/>
        <v>0</v>
      </c>
      <c r="BH106" s="165">
        <f t="shared" ref="BH106" si="609">SUM(BH89:BH105)</f>
        <v>0</v>
      </c>
      <c r="BI106" s="164">
        <f t="shared" si="600"/>
        <v>0</v>
      </c>
      <c r="BJ106" s="165">
        <f t="shared" ref="BJ106" si="610">SUM(BJ89:BJ105)</f>
        <v>0</v>
      </c>
      <c r="BK106" s="164">
        <f t="shared" si="600"/>
        <v>0</v>
      </c>
      <c r="BL106" s="165">
        <f t="shared" ref="BL106" si="611">SUM(BL89:BL105)</f>
        <v>0</v>
      </c>
      <c r="BM106" s="164">
        <f t="shared" si="600"/>
        <v>0</v>
      </c>
      <c r="BN106" s="165">
        <f t="shared" ref="BN106" si="612">SUM(BN89:BN105)</f>
        <v>0</v>
      </c>
      <c r="BO106" s="164">
        <f t="shared" si="600"/>
        <v>0</v>
      </c>
      <c r="BP106" s="165">
        <f t="shared" ref="BP106" si="613">SUM(BP89:BP105)</f>
        <v>0</v>
      </c>
      <c r="BQ106" s="164">
        <f t="shared" si="600"/>
        <v>0</v>
      </c>
      <c r="BR106" s="165">
        <f t="shared" ref="BR106" si="614">SUM(BR89:BR105)</f>
        <v>0</v>
      </c>
      <c r="BS106" s="164">
        <f t="shared" si="600"/>
        <v>0</v>
      </c>
      <c r="BT106" s="165">
        <f t="shared" ref="BT106" si="615">SUM(BT89:BT105)</f>
        <v>0</v>
      </c>
      <c r="BU106" s="164">
        <f t="shared" si="600"/>
        <v>0</v>
      </c>
      <c r="BV106" s="165">
        <f t="shared" ref="BV106" si="616">SUM(BV89:BV105)</f>
        <v>0</v>
      </c>
      <c r="BW106" s="164">
        <f t="shared" si="600"/>
        <v>0</v>
      </c>
      <c r="BX106" s="165">
        <f t="shared" ref="BX106" si="617">SUM(BX89:BX105)</f>
        <v>0</v>
      </c>
      <c r="BY106" s="164">
        <f t="shared" si="600"/>
        <v>0</v>
      </c>
      <c r="BZ106" s="165">
        <f t="shared" ref="BZ106" si="618">SUM(BZ89:BZ105)</f>
        <v>0</v>
      </c>
      <c r="CA106" s="164">
        <f t="shared" si="600"/>
        <v>0</v>
      </c>
      <c r="CB106" s="165">
        <f t="shared" ref="CB106" si="619">SUM(CB89:CB105)</f>
        <v>0</v>
      </c>
      <c r="CC106" s="164">
        <f t="shared" si="600"/>
        <v>0</v>
      </c>
      <c r="CD106" s="165">
        <f t="shared" ref="CD106" si="620">SUM(CD89:CD105)</f>
        <v>0</v>
      </c>
      <c r="CE106" s="164">
        <f>SUM(CE89:CE105)</f>
        <v>0</v>
      </c>
      <c r="CF106" s="165">
        <f>SUM(CF89:CF105)</f>
        <v>0</v>
      </c>
      <c r="CG106" s="164">
        <f t="shared" si="600"/>
        <v>0</v>
      </c>
      <c r="CH106" s="165">
        <f t="shared" ref="CH106" si="621">SUM(CH89:CH105)</f>
        <v>0</v>
      </c>
      <c r="CI106" s="164">
        <f t="shared" si="600"/>
        <v>0</v>
      </c>
      <c r="CJ106" s="165">
        <f t="shared" ref="CJ106" si="622">SUM(CJ89:CJ105)</f>
        <v>0</v>
      </c>
      <c r="CK106" s="164">
        <f t="shared" si="600"/>
        <v>0</v>
      </c>
      <c r="CL106" s="165">
        <f t="shared" ref="CL106" si="623">SUM(CL89:CL105)</f>
        <v>0</v>
      </c>
      <c r="CM106" s="164">
        <f t="shared" si="600"/>
        <v>0</v>
      </c>
      <c r="CN106" s="165">
        <f t="shared" ref="CN106" si="624">SUM(CN89:CN105)</f>
        <v>0</v>
      </c>
      <c r="CO106" s="164">
        <f t="shared" si="600"/>
        <v>0</v>
      </c>
      <c r="CP106" s="165">
        <f t="shared" ref="CP106" si="625">SUM(CP89:CP105)</f>
        <v>0</v>
      </c>
      <c r="CQ106" s="164">
        <f t="shared" si="600"/>
        <v>0</v>
      </c>
      <c r="CR106" s="165">
        <f t="shared" ref="CR106" si="626">SUM(CR89:CR105)</f>
        <v>0</v>
      </c>
      <c r="CS106" s="164">
        <f t="shared" si="600"/>
        <v>0</v>
      </c>
      <c r="CT106" s="165">
        <f t="shared" ref="CT106" si="627">SUM(CT89:CT105)</f>
        <v>0</v>
      </c>
      <c r="CU106" s="164">
        <f t="shared" si="600"/>
        <v>0</v>
      </c>
      <c r="CV106" s="165">
        <f t="shared" ref="CV106" si="628">SUM(CV89:CV105)</f>
        <v>0</v>
      </c>
      <c r="CW106" s="164">
        <f t="shared" si="600"/>
        <v>0</v>
      </c>
      <c r="CX106" s="165">
        <f t="shared" ref="CX106" si="629">SUM(CX89:CX105)</f>
        <v>0</v>
      </c>
      <c r="CY106" s="164">
        <f t="shared" si="600"/>
        <v>0</v>
      </c>
      <c r="CZ106" s="165"/>
      <c r="DA106" s="164">
        <f t="shared" si="600"/>
        <v>0</v>
      </c>
      <c r="DB106" s="165"/>
      <c r="DC106" s="164">
        <f t="shared" si="600"/>
        <v>0</v>
      </c>
      <c r="DD106" s="165">
        <f t="shared" ref="DD106" si="630">SUM(DD89:DD105)</f>
        <v>0</v>
      </c>
      <c r="DE106" s="164">
        <f t="shared" si="600"/>
        <v>0</v>
      </c>
      <c r="DF106" s="165">
        <f t="shared" ref="DF106" si="631">SUM(DF89:DF105)</f>
        <v>0</v>
      </c>
      <c r="DG106" s="164">
        <f t="shared" si="600"/>
        <v>0</v>
      </c>
      <c r="DH106" s="165">
        <f t="shared" ref="DH106" si="632">SUM(DH89:DH105)</f>
        <v>0</v>
      </c>
      <c r="DI106" s="164">
        <f t="shared" si="600"/>
        <v>0</v>
      </c>
      <c r="DJ106" s="165">
        <f t="shared" ref="DJ106" si="633">SUM(DJ89:DJ105)</f>
        <v>0</v>
      </c>
      <c r="DK106" s="164">
        <f t="shared" si="600"/>
        <v>0</v>
      </c>
      <c r="DL106" s="165">
        <f t="shared" ref="DL106" si="634">SUM(DL89:DL105)</f>
        <v>0</v>
      </c>
      <c r="DM106" s="164">
        <f t="shared" si="600"/>
        <v>0</v>
      </c>
      <c r="DN106" s="165">
        <f t="shared" ref="DN106" si="635">SUM(DN89:DN105)</f>
        <v>0</v>
      </c>
      <c r="DO106" s="164">
        <f t="shared" si="600"/>
        <v>0</v>
      </c>
      <c r="DP106" s="165">
        <f t="shared" ref="DP106" si="636">SUM(DP89:DP105)</f>
        <v>0</v>
      </c>
      <c r="DQ106" s="164">
        <f t="shared" si="600"/>
        <v>0</v>
      </c>
      <c r="DR106" s="165"/>
      <c r="DS106" s="164">
        <f t="shared" si="600"/>
        <v>0</v>
      </c>
      <c r="DT106" s="165">
        <f t="shared" ref="DT106" si="637">SUM(DT89:DT105)</f>
        <v>0</v>
      </c>
      <c r="DU106" s="164"/>
      <c r="DV106" s="165"/>
    </row>
    <row r="107" spans="1:126" x14ac:dyDescent="0.2">
      <c r="A107" s="985" t="s">
        <v>964</v>
      </c>
      <c r="B107" s="985"/>
      <c r="C107" s="171" t="e">
        <f t="shared" ref="C107:BO107" si="638">C44+C53+C66+C74+C79+C88+C106+C18+C19</f>
        <v>#REF!</v>
      </c>
      <c r="D107" s="172" t="e">
        <f t="shared" si="638"/>
        <v>#REF!</v>
      </c>
      <c r="E107" s="171">
        <f t="shared" si="638"/>
        <v>823805</v>
      </c>
      <c r="F107" s="172" t="e">
        <f t="shared" si="638"/>
        <v>#REF!</v>
      </c>
      <c r="G107" s="171">
        <f t="shared" si="638"/>
        <v>782823</v>
      </c>
      <c r="H107" s="172" t="e">
        <f>H44+H53+H66+H74+H79+H88+H106+H18+H19</f>
        <v>#REF!</v>
      </c>
      <c r="I107" s="171">
        <f t="shared" si="638"/>
        <v>2912651</v>
      </c>
      <c r="J107" s="172" t="e">
        <f t="shared" si="638"/>
        <v>#REF!</v>
      </c>
      <c r="K107" s="171">
        <f t="shared" si="638"/>
        <v>20986</v>
      </c>
      <c r="L107" s="172">
        <f t="shared" si="638"/>
        <v>21800</v>
      </c>
      <c r="M107" s="171">
        <f t="shared" si="638"/>
        <v>2540</v>
      </c>
      <c r="N107" s="172">
        <f t="shared" si="638"/>
        <v>4040</v>
      </c>
      <c r="O107" s="171">
        <f>O44+O53+O66+O74+O79+O88+O106+O18+O19</f>
        <v>19942</v>
      </c>
      <c r="P107" s="172">
        <f>P44+P53+P66+P74+P79+P88+P106+P18+P19</f>
        <v>18518</v>
      </c>
      <c r="Q107" s="171">
        <f t="shared" si="638"/>
        <v>29069</v>
      </c>
      <c r="R107" s="172">
        <f t="shared" si="638"/>
        <v>31943</v>
      </c>
      <c r="S107" s="171">
        <f t="shared" si="638"/>
        <v>0</v>
      </c>
      <c r="T107" s="172">
        <f t="shared" ref="T107" si="639">T44+T53+T66+T74+T79+T88+T106+T18+T19</f>
        <v>1000</v>
      </c>
      <c r="U107" s="171">
        <f t="shared" si="638"/>
        <v>0</v>
      </c>
      <c r="V107" s="172">
        <f t="shared" ref="V107" si="640">V44+V53+V66+V74+V79+V88+V106+V18+V19</f>
        <v>100</v>
      </c>
      <c r="W107" s="171">
        <f t="shared" si="638"/>
        <v>2413</v>
      </c>
      <c r="X107" s="172">
        <f t="shared" si="638"/>
        <v>2713</v>
      </c>
      <c r="Y107" s="171">
        <f t="shared" si="638"/>
        <v>1000</v>
      </c>
      <c r="Z107" s="172">
        <f t="shared" ref="Z107" si="641">Z44+Z53+Z66+Z74+Z79+Z88+Z106+Z18+Z19</f>
        <v>6526</v>
      </c>
      <c r="AA107" s="171">
        <f t="shared" si="638"/>
        <v>5115</v>
      </c>
      <c r="AB107" s="172">
        <f t="shared" ref="AB107" si="642">AB44+AB53+AB66+AB74+AB79+AB88+AB106+AB18+AB19</f>
        <v>4988</v>
      </c>
      <c r="AC107" s="171">
        <f t="shared" si="638"/>
        <v>400</v>
      </c>
      <c r="AD107" s="172">
        <f t="shared" ref="AD107" si="643">AD44+AD53+AD66+AD74+AD79+AD88+AD106+AD18+AD19</f>
        <v>400</v>
      </c>
      <c r="AE107" s="171">
        <f t="shared" si="638"/>
        <v>718340</v>
      </c>
      <c r="AF107" s="172" t="e">
        <f t="shared" ref="AF107:AH107" si="644">AF44+AF53+AF66+AF74+AF79+AF88+AF106+AF18+AF19</f>
        <v>#REF!</v>
      </c>
      <c r="AG107" s="171"/>
      <c r="AH107" s="172">
        <f t="shared" si="644"/>
        <v>10561</v>
      </c>
      <c r="AI107" s="171">
        <f t="shared" si="638"/>
        <v>24000</v>
      </c>
      <c r="AJ107" s="172">
        <f t="shared" ref="AJ107" si="645">AJ44+AJ53+AJ66+AJ74+AJ79+AJ88+AJ106+AJ18+AJ19</f>
        <v>21160</v>
      </c>
      <c r="AK107" s="171">
        <f t="shared" si="638"/>
        <v>3744</v>
      </c>
      <c r="AL107" s="172">
        <f t="shared" ref="AL107" si="646">AL44+AL53+AL66+AL74+AL79+AL88+AL106+AL18+AL19</f>
        <v>3744</v>
      </c>
      <c r="AM107" s="171">
        <f t="shared" si="638"/>
        <v>0</v>
      </c>
      <c r="AN107" s="172"/>
      <c r="AO107" s="171">
        <f t="shared" si="638"/>
        <v>4000</v>
      </c>
      <c r="AP107" s="172">
        <f t="shared" ref="AP107" si="647">AP44+AP53+AP66+AP74+AP79+AP88+AP106+AP18+AP19</f>
        <v>8061</v>
      </c>
      <c r="AQ107" s="171">
        <f t="shared" si="638"/>
        <v>1500</v>
      </c>
      <c r="AR107" s="172">
        <f t="shared" ref="AR107" si="648">AR44+AR53+AR66+AR74+AR79+AR88+AR106+AR18+AR19</f>
        <v>3500</v>
      </c>
      <c r="AS107" s="171">
        <f t="shared" si="638"/>
        <v>1000</v>
      </c>
      <c r="AT107" s="172">
        <f t="shared" ref="AT107" si="649">AT44+AT53+AT66+AT74+AT79+AT88+AT106+AT18+AT19</f>
        <v>5200</v>
      </c>
      <c r="AU107" s="171">
        <f t="shared" si="638"/>
        <v>0</v>
      </c>
      <c r="AV107" s="172">
        <f t="shared" ref="AV107" si="650">AV44+AV53+AV66+AV74+AV79+AV88+AV106+AV18+AV19</f>
        <v>0</v>
      </c>
      <c r="AW107" s="171">
        <f t="shared" si="638"/>
        <v>2811</v>
      </c>
      <c r="AX107" s="172">
        <f t="shared" ref="AX107" si="651">AX44+AX53+AX66+AX74+AX79+AX88+AX106+AX18+AX19</f>
        <v>2811</v>
      </c>
      <c r="AY107" s="171">
        <f t="shared" si="638"/>
        <v>1595</v>
      </c>
      <c r="AZ107" s="172">
        <f t="shared" ref="AZ107" si="652">AZ44+AZ53+AZ66+AZ74+AZ79+AZ88+AZ106+AZ18+AZ19</f>
        <v>1595</v>
      </c>
      <c r="BA107" s="171">
        <f t="shared" si="638"/>
        <v>6000</v>
      </c>
      <c r="BB107" s="172">
        <f t="shared" ref="BB107" si="653">BB44+BB53+BB66+BB74+BB79+BB88+BB106+BB18+BB19</f>
        <v>7620</v>
      </c>
      <c r="BC107" s="171">
        <f t="shared" si="638"/>
        <v>875</v>
      </c>
      <c r="BD107" s="172">
        <f t="shared" ref="BD107" si="654">BD44+BD53+BD66+BD74+BD79+BD88+BD106+BD18+BD19</f>
        <v>1750</v>
      </c>
      <c r="BE107" s="171">
        <f t="shared" si="638"/>
        <v>914</v>
      </c>
      <c r="BF107" s="172">
        <f t="shared" ref="BF107" si="655">BF44+BF53+BF66+BF74+BF79+BF88+BF106+BF18+BF19</f>
        <v>1829</v>
      </c>
      <c r="BG107" s="171">
        <f t="shared" si="638"/>
        <v>2400</v>
      </c>
      <c r="BH107" s="172">
        <f t="shared" ref="BH107" si="656">BH44+BH53+BH66+BH74+BH79+BH88+BH106+BH18+BH19</f>
        <v>2400</v>
      </c>
      <c r="BI107" s="171">
        <f t="shared" si="638"/>
        <v>2421</v>
      </c>
      <c r="BJ107" s="172">
        <f t="shared" ref="BJ107" si="657">BJ44+BJ53+BJ66+BJ74+BJ79+BJ88+BJ106+BJ18+BJ19</f>
        <v>2421</v>
      </c>
      <c r="BK107" s="171">
        <f t="shared" si="638"/>
        <v>2136</v>
      </c>
      <c r="BL107" s="172">
        <f t="shared" ref="BL107" si="658">BL44+BL53+BL66+BL74+BL79+BL88+BL106+BL18+BL19</f>
        <v>0</v>
      </c>
      <c r="BM107" s="171">
        <f t="shared" si="638"/>
        <v>1200</v>
      </c>
      <c r="BN107" s="172">
        <f t="shared" ref="BN107" si="659">BN44+BN53+BN66+BN74+BN79+BN88+BN106+BN18+BN19</f>
        <v>1500</v>
      </c>
      <c r="BO107" s="171">
        <f t="shared" si="638"/>
        <v>15000</v>
      </c>
      <c r="BP107" s="172">
        <f t="shared" ref="BP107" si="660">BP44+BP53+BP66+BP74+BP79+BP88+BP106+BP18+BP19</f>
        <v>18847</v>
      </c>
      <c r="BQ107" s="171">
        <f t="shared" ref="BQ107:DU107" si="661">BQ44+BQ53+BQ66+BQ74+BQ79+BQ88+BQ106+BQ18+BQ19</f>
        <v>11818</v>
      </c>
      <c r="BR107" s="172">
        <f t="shared" ref="BR107" si="662">BR44+BR53+BR66+BR74+BR79+BR88+BR106+BR18+BR19</f>
        <v>8163</v>
      </c>
      <c r="BS107" s="171">
        <f t="shared" si="661"/>
        <v>2000</v>
      </c>
      <c r="BT107" s="172">
        <f t="shared" ref="BT107" si="663">BT44+BT53+BT66+BT74+BT79+BT88+BT106+BT18+BT19</f>
        <v>2623</v>
      </c>
      <c r="BU107" s="171">
        <f t="shared" si="661"/>
        <v>19120</v>
      </c>
      <c r="BV107" s="172">
        <f t="shared" ref="BV107" si="664">BV44+BV53+BV66+BV74+BV79+BV88+BV106+BV18+BV19</f>
        <v>19120</v>
      </c>
      <c r="BW107" s="171">
        <f t="shared" si="661"/>
        <v>2000</v>
      </c>
      <c r="BX107" s="172">
        <f t="shared" ref="BX107" si="665">BX44+BX53+BX66+BX74+BX79+BX88+BX106+BX18+BX19</f>
        <v>2000</v>
      </c>
      <c r="BY107" s="171">
        <f t="shared" si="661"/>
        <v>3766</v>
      </c>
      <c r="BZ107" s="172">
        <f t="shared" ref="BZ107" si="666">BZ44+BZ53+BZ66+BZ74+BZ79+BZ88+BZ106+BZ18+BZ19</f>
        <v>1000</v>
      </c>
      <c r="CA107" s="171">
        <f t="shared" si="661"/>
        <v>7560</v>
      </c>
      <c r="CB107" s="172">
        <f t="shared" ref="CB107" si="667">CB44+CB53+CB66+CB74+CB79+CB88+CB106+CB18+CB19</f>
        <v>4440</v>
      </c>
      <c r="CC107" s="171">
        <f t="shared" si="661"/>
        <v>5400</v>
      </c>
      <c r="CD107" s="172">
        <f t="shared" ref="CD107" si="668">CD44+CD53+CD66+CD74+CD79+CD88+CD106+CD18+CD19</f>
        <v>5400</v>
      </c>
      <c r="CE107" s="171">
        <f>CE44+CE53+CE66+CE74+CE79+CE88+CE106+CE18+CE19</f>
        <v>400</v>
      </c>
      <c r="CF107" s="172">
        <f>CF44+CF53+CF66+CF74+CF79+CF88+CF106+CF18+CF19</f>
        <v>400</v>
      </c>
      <c r="CG107" s="171">
        <f t="shared" si="661"/>
        <v>0</v>
      </c>
      <c r="CH107" s="172">
        <f t="shared" ref="CH107" si="669">CH44+CH53+CH66+CH74+CH79+CH88+CH106+CH18+CH19</f>
        <v>0</v>
      </c>
      <c r="CI107" s="171">
        <f t="shared" si="661"/>
        <v>256163</v>
      </c>
      <c r="CJ107" s="172">
        <f t="shared" ref="CJ107" si="670">CJ44+CJ53+CJ66+CJ74+CJ79+CJ88+CJ106+CJ18+CJ19</f>
        <v>195415</v>
      </c>
      <c r="CK107" s="171">
        <f t="shared" si="661"/>
        <v>24888</v>
      </c>
      <c r="CL107" s="172">
        <f t="shared" ref="CL107" si="671">CL44+CL53+CL66+CL74+CL79+CL88+CL106+CL18+CL19</f>
        <v>27269</v>
      </c>
      <c r="CM107" s="171">
        <f t="shared" si="661"/>
        <v>3000</v>
      </c>
      <c r="CN107" s="172">
        <f t="shared" ref="CN107" si="672">CN44+CN53+CN66+CN74+CN79+CN88+CN106+CN18+CN19</f>
        <v>1500</v>
      </c>
      <c r="CO107" s="171">
        <f t="shared" si="661"/>
        <v>6500</v>
      </c>
      <c r="CP107" s="172">
        <f t="shared" ref="CP107" si="673">CP44+CP53+CP66+CP74+CP79+CP88+CP106+CP18+CP19</f>
        <v>6500</v>
      </c>
      <c r="CQ107" s="171">
        <f t="shared" si="661"/>
        <v>2572</v>
      </c>
      <c r="CR107" s="172">
        <f t="shared" ref="CR107" si="674">CR44+CR53+CR66+CR74+CR79+CR88+CR106+CR18+CR19</f>
        <v>2572</v>
      </c>
      <c r="CS107" s="171">
        <f t="shared" si="661"/>
        <v>0</v>
      </c>
      <c r="CT107" s="172">
        <f t="shared" ref="CT107" si="675">CT44+CT53+CT66+CT74+CT79+CT88+CT106+CT18+CT19</f>
        <v>15890</v>
      </c>
      <c r="CU107" s="171">
        <f t="shared" si="661"/>
        <v>31500</v>
      </c>
      <c r="CV107" s="172">
        <f t="shared" ref="CV107" si="676">CV44+CV53+CV66+CV74+CV79+CV88+CV106+CV18+CV19</f>
        <v>31500</v>
      </c>
      <c r="CW107" s="171">
        <f t="shared" si="661"/>
        <v>9500</v>
      </c>
      <c r="CX107" s="172">
        <f t="shared" ref="CX107" si="677">CX44+CX53+CX66+CX74+CX79+CX88+CX106+CX18+CX19</f>
        <v>14760</v>
      </c>
      <c r="CY107" s="171">
        <f t="shared" si="661"/>
        <v>0</v>
      </c>
      <c r="CZ107" s="172"/>
      <c r="DA107" s="171">
        <f t="shared" si="661"/>
        <v>0</v>
      </c>
      <c r="DB107" s="172"/>
      <c r="DC107" s="171">
        <f t="shared" si="661"/>
        <v>1710</v>
      </c>
      <c r="DD107" s="172">
        <f t="shared" ref="DD107" si="678">DD44+DD53+DD66+DD74+DD79+DD88+DD106+DD18+DD19</f>
        <v>2470</v>
      </c>
      <c r="DE107" s="171">
        <f t="shared" si="661"/>
        <v>32000</v>
      </c>
      <c r="DF107" s="172">
        <f t="shared" ref="DF107" si="679">DF44+DF53+DF66+DF74+DF79+DF88+DF106+DF18+DF19</f>
        <v>18840</v>
      </c>
      <c r="DG107" s="171">
        <f t="shared" si="661"/>
        <v>6000</v>
      </c>
      <c r="DH107" s="172">
        <f t="shared" ref="DH107" si="680">DH44+DH53+DH66+DH74+DH79+DH88+DH106+DH18+DH19</f>
        <v>40397</v>
      </c>
      <c r="DI107" s="171">
        <f t="shared" si="661"/>
        <v>263547</v>
      </c>
      <c r="DJ107" s="172" t="e">
        <f t="shared" ref="DJ107" si="681">DJ44+DJ53+DJ66+DJ74+DJ79+DJ88+DJ106+DJ18+DJ19</f>
        <v>#REF!</v>
      </c>
      <c r="DK107" s="171">
        <f t="shared" si="661"/>
        <v>29040</v>
      </c>
      <c r="DL107" s="172">
        <f t="shared" ref="DL107" si="682">DL44+DL53+DL66+DL74+DL79+DL88+DL106+DL18+DL19</f>
        <v>17000</v>
      </c>
      <c r="DM107" s="171">
        <f t="shared" si="661"/>
        <v>2000</v>
      </c>
      <c r="DN107" s="172">
        <f t="shared" ref="DN107" si="683">DN44+DN53+DN66+DN74+DN79+DN88+DN106+DN18+DN19</f>
        <v>5000</v>
      </c>
      <c r="DO107" s="171">
        <f t="shared" si="661"/>
        <v>1000</v>
      </c>
      <c r="DP107" s="172">
        <f t="shared" ref="DP107" si="684">DP44+DP53+DP66+DP74+DP79+DP88+DP106+DP18+DP19</f>
        <v>1000</v>
      </c>
      <c r="DQ107" s="171">
        <f t="shared" si="661"/>
        <v>0</v>
      </c>
      <c r="DR107" s="172"/>
      <c r="DS107" s="171">
        <f t="shared" si="661"/>
        <v>15543</v>
      </c>
      <c r="DT107" s="172">
        <f t="shared" ref="DT107" si="685">DT44+DT53+DT66+DT74+DT79+DT88+DT106+DT18+DT19</f>
        <v>23314</v>
      </c>
      <c r="DU107" s="171">
        <f t="shared" si="661"/>
        <v>200</v>
      </c>
      <c r="DV107" s="172">
        <f t="shared" ref="DV107" si="686">DV44+DV53+DV66+DV74+DV79+DV88+DV106+DV18+DV19</f>
        <v>200</v>
      </c>
    </row>
  </sheetData>
  <customSheetViews>
    <customSheetView guid="{7F1DC213-A29D-4C8C-BAC3-F1BD898020FD}" state="hidden">
      <pane xSplit="2" ySplit="1" topLeftCell="CX68" activePane="bottomRight" state="frozen"/>
      <selection pane="bottomRight" activeCell="AF75" sqref="AF75"/>
      <pageMargins left="0.78749999999999998" right="0.78749999999999998" top="0.78749999999999998" bottom="0.78749999999999998" header="9.8611111111111108E-2" footer="9.8611111111111108E-2"/>
      <pageSetup paperSize="9" fitToHeight="0" orientation="portrait" useFirstPageNumber="1" r:id="rId1"/>
      <headerFooter alignWithMargins="0">
        <oddHeader>&amp;CRovatrend lista</oddHeader>
        <oddFooter>&amp;Coldal: &amp;P/&amp;Nexportálva: 2014-01-13 13:57 (2105 MP)</oddFooter>
      </headerFooter>
    </customSheetView>
    <customSheetView guid="{4DCB1349-1166-4B69-AE14-D6B08F9FCE74}" state="hidden">
      <pane xSplit="2" ySplit="1" topLeftCell="CX68" activePane="bottomRight" state="frozen"/>
      <selection pane="bottomRight" activeCell="AF75" sqref="AF75"/>
      <pageMargins left="0.78749999999999998" right="0.78749999999999998" top="0.78749999999999998" bottom="0.78749999999999998" header="9.8611111111111108E-2" footer="9.8611111111111108E-2"/>
      <pageSetup paperSize="9" fitToHeight="0" orientation="portrait" useFirstPageNumber="1" r:id="rId2"/>
      <headerFooter alignWithMargins="0">
        <oddHeader>&amp;CRovatrend lista</oddHeader>
        <oddFooter>&amp;Coldal: &amp;P/&amp;Nexportálva: 2014-01-13 13:57 (2105 MP)</oddFooter>
      </headerFooter>
    </customSheetView>
  </customSheetViews>
  <mergeCells count="1">
    <mergeCell ref="A107:B107"/>
  </mergeCells>
  <pageMargins left="0.78749999999999998" right="0.78749999999999998" top="0.78749999999999998" bottom="0.78749999999999998" header="9.8611111111111108E-2" footer="9.8611111111111108E-2"/>
  <pageSetup paperSize="9" fitToHeight="0" orientation="portrait" useFirstPageNumber="1" r:id="rId3"/>
  <headerFooter alignWithMargins="0">
    <oddHeader>&amp;CRovatrend lista</oddHeader>
    <oddFooter>&amp;Coldal: &amp;P/&amp;Nexportálva: 2014-01-13 13:57 (2105 MP)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IT172"/>
  <sheetViews>
    <sheetView topLeftCell="B1" zoomScale="150" zoomScaleNormal="150" zoomScaleSheetLayoutView="100" workbookViewId="0">
      <pane xSplit="2" ySplit="3" topLeftCell="D142" activePane="bottomRight" state="frozen"/>
      <selection activeCell="B1" sqref="B1"/>
      <selection pane="topRight" activeCell="D1" sqref="D1"/>
      <selection pane="bottomLeft" activeCell="B4" sqref="B4"/>
      <selection pane="bottomRight" activeCell="M120" sqref="M120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2" width="10.7109375" style="6" customWidth="1"/>
    <col min="13" max="13" width="12" style="6" customWidth="1"/>
    <col min="14" max="16384" width="11.5703125" style="5"/>
  </cols>
  <sheetData>
    <row r="1" spans="1:13" s="1" customFormat="1" ht="12.75" customHeight="1" x14ac:dyDescent="0.25">
      <c r="A1" s="988" t="s">
        <v>601</v>
      </c>
      <c r="B1" s="989"/>
      <c r="C1" s="989"/>
      <c r="D1" s="989"/>
      <c r="E1" s="989"/>
      <c r="F1" s="989"/>
      <c r="G1" s="989"/>
      <c r="H1" s="989"/>
      <c r="I1" s="989"/>
      <c r="J1" s="989"/>
      <c r="K1" s="989"/>
      <c r="L1" s="989"/>
      <c r="M1" s="989"/>
    </row>
    <row r="2" spans="1:13" s="1" customFormat="1" ht="14.1" customHeight="1" x14ac:dyDescent="0.25">
      <c r="A2" s="957" t="s">
        <v>0</v>
      </c>
      <c r="B2" s="961" t="s">
        <v>1</v>
      </c>
      <c r="C2" s="957" t="s">
        <v>2</v>
      </c>
      <c r="D2" s="962" t="s">
        <v>260</v>
      </c>
      <c r="E2" s="952" t="s">
        <v>259</v>
      </c>
      <c r="F2" s="954" t="s">
        <v>598</v>
      </c>
      <c r="G2" s="955"/>
      <c r="H2" s="954" t="s">
        <v>599</v>
      </c>
      <c r="I2" s="955"/>
      <c r="J2" s="954" t="s">
        <v>600</v>
      </c>
      <c r="K2" s="955"/>
      <c r="L2" s="986" t="s">
        <v>1177</v>
      </c>
      <c r="M2" s="987"/>
    </row>
    <row r="3" spans="1:13" s="3" customFormat="1" ht="25.5" customHeight="1" x14ac:dyDescent="0.25">
      <c r="A3" s="957"/>
      <c r="B3" s="961"/>
      <c r="C3" s="957"/>
      <c r="D3" s="962"/>
      <c r="E3" s="953"/>
      <c r="F3" s="97" t="s">
        <v>263</v>
      </c>
      <c r="G3" s="97" t="s">
        <v>259</v>
      </c>
      <c r="H3" s="97" t="s">
        <v>260</v>
      </c>
      <c r="I3" s="97" t="s">
        <v>259</v>
      </c>
      <c r="J3" s="97" t="s">
        <v>260</v>
      </c>
      <c r="K3" s="97" t="s">
        <v>259</v>
      </c>
      <c r="L3" s="269" t="s">
        <v>260</v>
      </c>
      <c r="M3" s="269" t="s">
        <v>259</v>
      </c>
    </row>
    <row r="4" spans="1:13" ht="5.65" customHeight="1" x14ac:dyDescent="0.25"/>
    <row r="5" spans="1:13" ht="14.1" customHeight="1" x14ac:dyDescent="0.25">
      <c r="A5" s="956" t="s">
        <v>3</v>
      </c>
      <c r="B5" s="956"/>
      <c r="C5" s="956"/>
      <c r="D5" s="956"/>
      <c r="E5" s="956"/>
      <c r="F5" s="956"/>
      <c r="G5" s="956"/>
      <c r="H5" s="956"/>
      <c r="I5" s="956"/>
      <c r="J5" s="101"/>
      <c r="K5" s="101"/>
      <c r="L5" s="101"/>
      <c r="M5" s="101"/>
    </row>
    <row r="6" spans="1:13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26790</v>
      </c>
      <c r="E6" s="9">
        <f>G6+I6+K6</f>
        <v>31757</v>
      </c>
      <c r="F6" s="10">
        <v>0</v>
      </c>
      <c r="G6" s="10">
        <v>0</v>
      </c>
      <c r="H6" s="10">
        <v>26790</v>
      </c>
      <c r="I6" s="10">
        <f>31385+7*3*12+2*5*12</f>
        <v>31757</v>
      </c>
      <c r="J6" s="10">
        <v>0</v>
      </c>
      <c r="K6" s="10">
        <v>0</v>
      </c>
      <c r="L6" s="10">
        <v>0</v>
      </c>
      <c r="M6" s="10">
        <v>0</v>
      </c>
    </row>
    <row r="7" spans="1:13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  <c r="L7" s="14"/>
      <c r="M7" s="14"/>
    </row>
    <row r="8" spans="1:13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>F8+H8+J8</f>
        <v>0</v>
      </c>
      <c r="E8" s="9">
        <f t="shared" ref="E8:E10" si="0">G8+I8+K8</f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</row>
    <row r="9" spans="1:13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>F9+H9+J9</f>
        <v>0</v>
      </c>
      <c r="E9" s="9">
        <f t="shared" si="0"/>
        <v>787</v>
      </c>
      <c r="F9" s="10">
        <v>0</v>
      </c>
      <c r="G9" s="10">
        <v>0</v>
      </c>
      <c r="H9" s="10">
        <v>0</v>
      </c>
      <c r="I9" s="10">
        <v>787</v>
      </c>
      <c r="J9" s="10">
        <v>0</v>
      </c>
      <c r="K9" s="10">
        <v>0</v>
      </c>
      <c r="L9" s="10">
        <v>0</v>
      </c>
      <c r="M9" s="10">
        <v>0</v>
      </c>
    </row>
    <row r="10" spans="1:13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>F10+H10+J10</f>
        <v>350</v>
      </c>
      <c r="E10" s="9">
        <f t="shared" si="0"/>
        <v>350</v>
      </c>
      <c r="F10" s="10">
        <f>SUM(F11:F12)</f>
        <v>0</v>
      </c>
      <c r="G10" s="10">
        <f>SUM(G11:G12)</f>
        <v>0</v>
      </c>
      <c r="H10" s="10">
        <f>SUM(H11:H12)</f>
        <v>350</v>
      </c>
      <c r="I10" s="10">
        <f t="shared" ref="I10" si="1">SUM(I11:I12)</f>
        <v>350</v>
      </c>
      <c r="J10" s="10">
        <v>0</v>
      </c>
      <c r="K10" s="10">
        <v>0</v>
      </c>
      <c r="L10" s="10">
        <v>0</v>
      </c>
      <c r="M10" s="10">
        <v>0</v>
      </c>
    </row>
    <row r="11" spans="1:13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/>
      <c r="H11" s="14">
        <v>0</v>
      </c>
      <c r="I11" s="14"/>
      <c r="J11" s="14"/>
      <c r="K11" s="14"/>
      <c r="L11" s="14"/>
      <c r="M11" s="14"/>
    </row>
    <row r="12" spans="1:13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>
        <v>350</v>
      </c>
      <c r="I12" s="14">
        <v>350</v>
      </c>
      <c r="J12" s="14"/>
      <c r="K12" s="14"/>
      <c r="L12" s="14"/>
      <c r="M12" s="14"/>
    </row>
    <row r="13" spans="1:13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>F13+H13+J13</f>
        <v>0</v>
      </c>
      <c r="E13" s="9">
        <f t="shared" ref="E13:E15" si="2">G13+I13+K13</f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>F14+H14+J14</f>
        <v>0</v>
      </c>
      <c r="E14" s="9">
        <f t="shared" si="2"/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 s="3" customFormat="1" ht="12.75" customHeight="1" x14ac:dyDescent="0.25">
      <c r="A15" s="7" t="s">
        <v>24</v>
      </c>
      <c r="B15" s="7" t="s">
        <v>25</v>
      </c>
      <c r="C15" s="8" t="s">
        <v>26</v>
      </c>
      <c r="D15" s="9">
        <f>F15+H15+J15</f>
        <v>1200</v>
      </c>
      <c r="E15" s="9">
        <f t="shared" si="2"/>
        <v>1344</v>
      </c>
      <c r="F15" s="10">
        <v>0</v>
      </c>
      <c r="G15" s="10">
        <f>G16</f>
        <v>0</v>
      </c>
      <c r="H15" s="10">
        <f>H16</f>
        <v>1200</v>
      </c>
      <c r="I15" s="10">
        <f t="shared" ref="I15" si="3">I16</f>
        <v>1344</v>
      </c>
      <c r="J15" s="10">
        <v>0</v>
      </c>
      <c r="K15" s="10">
        <v>0</v>
      </c>
      <c r="L15" s="10">
        <v>0</v>
      </c>
      <c r="M15" s="10">
        <v>0</v>
      </c>
    </row>
    <row r="16" spans="1:13" s="15" customFormat="1" ht="11.45" customHeight="1" x14ac:dyDescent="0.25">
      <c r="A16" s="11"/>
      <c r="B16" s="11"/>
      <c r="C16" s="12" t="s">
        <v>278</v>
      </c>
      <c r="D16" s="13"/>
      <c r="E16" s="13"/>
      <c r="F16" s="14"/>
      <c r="G16" s="14"/>
      <c r="H16" s="14">
        <v>1200</v>
      </c>
      <c r="I16" s="14">
        <v>1344</v>
      </c>
      <c r="J16" s="14"/>
      <c r="K16" s="14"/>
      <c r="L16" s="14"/>
      <c r="M16" s="14"/>
    </row>
    <row r="17" spans="1:13" s="3" customFormat="1" ht="12.75" customHeight="1" x14ac:dyDescent="0.25">
      <c r="A17" s="7" t="s">
        <v>27</v>
      </c>
      <c r="B17" s="7" t="s">
        <v>28</v>
      </c>
      <c r="C17" s="8" t="s">
        <v>29</v>
      </c>
      <c r="D17" s="9">
        <f>F17+H17+J17</f>
        <v>0</v>
      </c>
      <c r="E17" s="9">
        <f t="shared" ref="E17:E19" si="4">G17+I17+K17</f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</row>
    <row r="18" spans="1:13" s="3" customFormat="1" ht="12.75" customHeight="1" x14ac:dyDescent="0.25">
      <c r="A18" s="7" t="s">
        <v>30</v>
      </c>
      <c r="B18" s="7" t="s">
        <v>31</v>
      </c>
      <c r="C18" s="8" t="s">
        <v>32</v>
      </c>
      <c r="D18" s="9">
        <f>F18+H18+J18</f>
        <v>1222</v>
      </c>
      <c r="E18" s="9">
        <f t="shared" si="4"/>
        <v>1016</v>
      </c>
      <c r="F18" s="10">
        <v>0</v>
      </c>
      <c r="G18" s="10">
        <v>0</v>
      </c>
      <c r="H18" s="10">
        <v>1222</v>
      </c>
      <c r="I18" s="10">
        <v>1016</v>
      </c>
      <c r="J18" s="10">
        <v>0</v>
      </c>
      <c r="K18" s="10">
        <v>0</v>
      </c>
      <c r="L18" s="10">
        <v>0</v>
      </c>
      <c r="M18" s="10">
        <v>0</v>
      </c>
    </row>
    <row r="19" spans="1:13" s="3" customFormat="1" ht="12.75" customHeight="1" x14ac:dyDescent="0.25">
      <c r="A19" s="7" t="s">
        <v>33</v>
      </c>
      <c r="B19" s="7" t="s">
        <v>34</v>
      </c>
      <c r="C19" s="8" t="s">
        <v>35</v>
      </c>
      <c r="D19" s="9">
        <f>F19+H19+J19</f>
        <v>0</v>
      </c>
      <c r="E19" s="9">
        <f t="shared" si="4"/>
        <v>168</v>
      </c>
      <c r="F19" s="10">
        <v>0</v>
      </c>
      <c r="G19" s="10">
        <f>G20</f>
        <v>0</v>
      </c>
      <c r="H19" s="10">
        <v>0</v>
      </c>
      <c r="I19" s="10">
        <f>I20</f>
        <v>168</v>
      </c>
      <c r="J19" s="10">
        <v>0</v>
      </c>
      <c r="K19" s="10">
        <v>0</v>
      </c>
      <c r="L19" s="10">
        <v>0</v>
      </c>
      <c r="M19" s="10">
        <v>0</v>
      </c>
    </row>
    <row r="20" spans="1:13" s="3" customFormat="1" ht="12.75" customHeight="1" x14ac:dyDescent="0.25">
      <c r="A20" s="11"/>
      <c r="B20" s="11"/>
      <c r="C20" s="12" t="s">
        <v>1179</v>
      </c>
      <c r="D20" s="13"/>
      <c r="E20" s="13"/>
      <c r="F20" s="14"/>
      <c r="G20" s="14"/>
      <c r="H20" s="14"/>
      <c r="I20" s="14">
        <v>168</v>
      </c>
      <c r="J20" s="14"/>
      <c r="K20" s="14"/>
      <c r="L20" s="14"/>
      <c r="M20" s="14"/>
    </row>
    <row r="21" spans="1:13" s="3" customFormat="1" ht="12.75" customHeight="1" x14ac:dyDescent="0.25">
      <c r="A21" s="7" t="s">
        <v>36</v>
      </c>
      <c r="B21" s="7" t="s">
        <v>37</v>
      </c>
      <c r="C21" s="8" t="s">
        <v>38</v>
      </c>
      <c r="D21" s="9">
        <f t="shared" ref="D21:D22" si="5">F21+H21+J21</f>
        <v>0</v>
      </c>
      <c r="E21" s="9">
        <f t="shared" ref="E21:E22" si="6">G21+I21+K21</f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s="3" customFormat="1" ht="12.75" customHeight="1" x14ac:dyDescent="0.25">
      <c r="A22" s="7" t="s">
        <v>39</v>
      </c>
      <c r="B22" s="7" t="s">
        <v>40</v>
      </c>
      <c r="C22" s="8" t="s">
        <v>41</v>
      </c>
      <c r="D22" s="9">
        <f t="shared" si="5"/>
        <v>0</v>
      </c>
      <c r="E22" s="9">
        <f t="shared" si="6"/>
        <v>0</v>
      </c>
      <c r="F22" s="10">
        <f>F23</f>
        <v>0</v>
      </c>
      <c r="G22" s="10">
        <f t="shared" ref="G22:I22" si="7">G23</f>
        <v>0</v>
      </c>
      <c r="H22" s="10">
        <f t="shared" si="7"/>
        <v>0</v>
      </c>
      <c r="I22" s="10">
        <f t="shared" si="7"/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 s="3" customFormat="1" ht="12.75" customHeight="1" x14ac:dyDescent="0.25">
      <c r="A23" s="11"/>
      <c r="B23" s="11"/>
      <c r="C23" s="12" t="s">
        <v>280</v>
      </c>
      <c r="D23" s="13"/>
      <c r="E23" s="13"/>
      <c r="F23" s="14">
        <v>0</v>
      </c>
      <c r="G23" s="14">
        <f>ROUND(G6*0.004,0)</f>
        <v>0</v>
      </c>
      <c r="H23" s="14"/>
      <c r="I23" s="14"/>
      <c r="J23" s="14"/>
      <c r="K23" s="14"/>
      <c r="L23" s="14"/>
      <c r="M23" s="14"/>
    </row>
    <row r="24" spans="1:13" s="3" customFormat="1" ht="12.75" customHeight="1" x14ac:dyDescent="0.25">
      <c r="A24" s="7" t="s">
        <v>42</v>
      </c>
      <c r="B24" s="7" t="s">
        <v>43</v>
      </c>
      <c r="C24" s="8" t="s">
        <v>44</v>
      </c>
      <c r="D24" s="9">
        <f>F24+H24+J24</f>
        <v>2959</v>
      </c>
      <c r="E24" s="9">
        <f>G24+I24+K24</f>
        <v>953</v>
      </c>
      <c r="F24" s="10">
        <v>0</v>
      </c>
      <c r="G24" s="10">
        <f>G25</f>
        <v>0</v>
      </c>
      <c r="H24" s="10">
        <v>2959</v>
      </c>
      <c r="I24" s="10">
        <f>I25</f>
        <v>953</v>
      </c>
      <c r="J24" s="10">
        <v>0</v>
      </c>
      <c r="K24" s="10">
        <v>0</v>
      </c>
      <c r="L24" s="10">
        <v>0</v>
      </c>
      <c r="M24" s="10">
        <v>0</v>
      </c>
    </row>
    <row r="25" spans="1:13" s="15" customFormat="1" ht="11.45" customHeight="1" x14ac:dyDescent="0.25">
      <c r="A25" s="11"/>
      <c r="B25" s="11"/>
      <c r="C25" s="12" t="s">
        <v>1181</v>
      </c>
      <c r="D25" s="13"/>
      <c r="E25" s="13"/>
      <c r="F25" s="14"/>
      <c r="G25" s="14"/>
      <c r="H25" s="14"/>
      <c r="I25" s="14">
        <f>ROUND(I6*0.03,0)</f>
        <v>953</v>
      </c>
      <c r="J25" s="14"/>
      <c r="K25" s="14"/>
      <c r="L25" s="14"/>
      <c r="M25" s="14"/>
    </row>
    <row r="26" spans="1:13" s="3" customFormat="1" ht="12.75" customHeight="1" x14ac:dyDescent="0.25">
      <c r="A26" s="16" t="s">
        <v>45</v>
      </c>
      <c r="B26" s="16" t="s">
        <v>46</v>
      </c>
      <c r="C26" s="17" t="s">
        <v>47</v>
      </c>
      <c r="D26" s="18">
        <f t="shared" ref="D26:K26" si="8">D6+D8+D9+D10+D13+D14+D15+D17+D18+D19+D21+D22+D24</f>
        <v>32521</v>
      </c>
      <c r="E26" s="18">
        <f t="shared" si="8"/>
        <v>36375</v>
      </c>
      <c r="F26" s="18">
        <f t="shared" si="8"/>
        <v>0</v>
      </c>
      <c r="G26" s="18">
        <f t="shared" si="8"/>
        <v>0</v>
      </c>
      <c r="H26" s="18">
        <f t="shared" si="8"/>
        <v>32521</v>
      </c>
      <c r="I26" s="18">
        <f t="shared" si="8"/>
        <v>36375</v>
      </c>
      <c r="J26" s="18">
        <f t="shared" si="8"/>
        <v>0</v>
      </c>
      <c r="K26" s="18">
        <f t="shared" si="8"/>
        <v>0</v>
      </c>
      <c r="L26" s="18">
        <f t="shared" ref="L26:M26" si="9">L6+L8+L9+L10+L13+L14+L15+L17+L18+L19+L21+L22+L24</f>
        <v>0</v>
      </c>
      <c r="M26" s="18">
        <f t="shared" si="9"/>
        <v>0</v>
      </c>
    </row>
    <row r="27" spans="1:13" s="3" customFormat="1" ht="12.75" customHeight="1" x14ac:dyDescent="0.25">
      <c r="A27" s="7" t="s">
        <v>48</v>
      </c>
      <c r="B27" s="7" t="s">
        <v>49</v>
      </c>
      <c r="C27" s="8" t="s">
        <v>50</v>
      </c>
      <c r="D27" s="9">
        <f t="shared" ref="D27:D28" si="10">F27+H27+J27</f>
        <v>0</v>
      </c>
      <c r="E27" s="9">
        <f t="shared" ref="E27:E28" si="11">G27+I27+K27</f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</row>
    <row r="28" spans="1:13" s="3" customFormat="1" ht="12.75" customHeight="1" x14ac:dyDescent="0.25">
      <c r="A28" s="7" t="s">
        <v>51</v>
      </c>
      <c r="B28" s="7" t="s">
        <v>52</v>
      </c>
      <c r="C28" s="8" t="s">
        <v>53</v>
      </c>
      <c r="D28" s="9">
        <f t="shared" si="10"/>
        <v>1700</v>
      </c>
      <c r="E28" s="9">
        <f t="shared" si="11"/>
        <v>1700</v>
      </c>
      <c r="F28" s="10">
        <f>F29</f>
        <v>0</v>
      </c>
      <c r="G28" s="10">
        <f t="shared" ref="G28:I28" si="12">G29</f>
        <v>0</v>
      </c>
      <c r="H28" s="10">
        <f t="shared" si="12"/>
        <v>1700</v>
      </c>
      <c r="I28" s="10">
        <f t="shared" si="12"/>
        <v>1700</v>
      </c>
      <c r="J28" s="10">
        <f>J29</f>
        <v>0</v>
      </c>
      <c r="K28" s="10">
        <f>K29</f>
        <v>0</v>
      </c>
      <c r="L28" s="10">
        <f>L29</f>
        <v>0</v>
      </c>
      <c r="M28" s="10">
        <f>M29</f>
        <v>0</v>
      </c>
    </row>
    <row r="29" spans="1:13" s="15" customFormat="1" ht="11.45" customHeight="1" x14ac:dyDescent="0.25">
      <c r="A29" s="11"/>
      <c r="B29" s="11"/>
      <c r="C29" s="12" t="s">
        <v>282</v>
      </c>
      <c r="D29" s="13"/>
      <c r="E29" s="13"/>
      <c r="F29" s="14"/>
      <c r="G29" s="14"/>
      <c r="H29" s="14">
        <v>1700</v>
      </c>
      <c r="I29" s="14">
        <v>1700</v>
      </c>
      <c r="J29" s="14"/>
      <c r="K29" s="14"/>
      <c r="L29" s="14"/>
      <c r="M29" s="14"/>
    </row>
    <row r="30" spans="1:13" s="3" customFormat="1" ht="12.75" customHeight="1" x14ac:dyDescent="0.25">
      <c r="A30" s="7" t="s">
        <v>54</v>
      </c>
      <c r="B30" s="7" t="s">
        <v>55</v>
      </c>
      <c r="C30" s="8" t="s">
        <v>285</v>
      </c>
      <c r="D30" s="9">
        <f>F30+H30+J30</f>
        <v>250</v>
      </c>
      <c r="E30" s="9">
        <f>G30+I30+K30+M30</f>
        <v>1250</v>
      </c>
      <c r="F30" s="10">
        <f>F31</f>
        <v>130</v>
      </c>
      <c r="G30" s="10">
        <f t="shared" ref="G30:I30" si="13">G31</f>
        <v>130</v>
      </c>
      <c r="H30" s="10">
        <f t="shared" si="13"/>
        <v>40</v>
      </c>
      <c r="I30" s="10">
        <f t="shared" si="13"/>
        <v>40</v>
      </c>
      <c r="J30" s="10">
        <f>J31</f>
        <v>80</v>
      </c>
      <c r="K30" s="10">
        <f>K31</f>
        <v>80</v>
      </c>
      <c r="L30" s="10">
        <f>L31</f>
        <v>0</v>
      </c>
      <c r="M30" s="10">
        <f>M31</f>
        <v>1000</v>
      </c>
    </row>
    <row r="31" spans="1:13" s="15" customFormat="1" ht="11.45" customHeight="1" x14ac:dyDescent="0.25">
      <c r="A31" s="11"/>
      <c r="B31" s="11"/>
      <c r="C31" s="12" t="s">
        <v>283</v>
      </c>
      <c r="D31" s="13"/>
      <c r="E31" s="13"/>
      <c r="F31" s="14">
        <v>130</v>
      </c>
      <c r="G31" s="14">
        <v>130</v>
      </c>
      <c r="H31" s="14">
        <v>40</v>
      </c>
      <c r="I31" s="14">
        <v>40</v>
      </c>
      <c r="J31" s="14">
        <v>80</v>
      </c>
      <c r="K31" s="14">
        <v>80</v>
      </c>
      <c r="L31" s="14">
        <v>0</v>
      </c>
      <c r="M31" s="14">
        <v>1000</v>
      </c>
    </row>
    <row r="32" spans="1:13" s="3" customFormat="1" ht="12.75" customHeight="1" x14ac:dyDescent="0.25">
      <c r="A32" s="16" t="s">
        <v>56</v>
      </c>
      <c r="B32" s="16" t="s">
        <v>57</v>
      </c>
      <c r="C32" s="17" t="s">
        <v>58</v>
      </c>
      <c r="D32" s="18">
        <f>D27+D28+D30</f>
        <v>1950</v>
      </c>
      <c r="E32" s="18">
        <f t="shared" ref="E32:J32" si="14">E27+E28+E30</f>
        <v>2950</v>
      </c>
      <c r="F32" s="18">
        <f t="shared" si="14"/>
        <v>130</v>
      </c>
      <c r="G32" s="18">
        <f t="shared" si="14"/>
        <v>130</v>
      </c>
      <c r="H32" s="18">
        <f t="shared" si="14"/>
        <v>1740</v>
      </c>
      <c r="I32" s="18">
        <f t="shared" si="14"/>
        <v>1740</v>
      </c>
      <c r="J32" s="18">
        <f t="shared" si="14"/>
        <v>80</v>
      </c>
      <c r="K32" s="18">
        <f t="shared" ref="K32:L32" si="15">K27+K28+K30</f>
        <v>80</v>
      </c>
      <c r="L32" s="18">
        <f t="shared" si="15"/>
        <v>0</v>
      </c>
      <c r="M32" s="18">
        <f t="shared" ref="M32" si="16">M27+M28+M30</f>
        <v>1000</v>
      </c>
    </row>
    <row r="33" spans="1:13" s="3" customFormat="1" ht="12.75" customHeight="1" x14ac:dyDescent="0.25">
      <c r="A33" s="20" t="s">
        <v>59</v>
      </c>
      <c r="B33" s="20" t="s">
        <v>60</v>
      </c>
      <c r="C33" s="21" t="s">
        <v>286</v>
      </c>
      <c r="D33" s="22">
        <f>D26+D32</f>
        <v>34471</v>
      </c>
      <c r="E33" s="22">
        <f t="shared" ref="E33:J33" si="17">E26+E32</f>
        <v>39325</v>
      </c>
      <c r="F33" s="22">
        <f t="shared" si="17"/>
        <v>130</v>
      </c>
      <c r="G33" s="22">
        <f t="shared" si="17"/>
        <v>130</v>
      </c>
      <c r="H33" s="22">
        <f t="shared" si="17"/>
        <v>34261</v>
      </c>
      <c r="I33" s="22">
        <f t="shared" si="17"/>
        <v>38115</v>
      </c>
      <c r="J33" s="22">
        <f t="shared" si="17"/>
        <v>80</v>
      </c>
      <c r="K33" s="22">
        <f t="shared" ref="K33:L33" si="18">K26+K32</f>
        <v>80</v>
      </c>
      <c r="L33" s="22">
        <f t="shared" si="18"/>
        <v>0</v>
      </c>
      <c r="M33" s="22">
        <f t="shared" ref="M33" si="19">M26+M32</f>
        <v>1000</v>
      </c>
    </row>
    <row r="34" spans="1:13" s="15" customFormat="1" ht="11.45" customHeight="1" x14ac:dyDescent="0.25">
      <c r="A34" s="11"/>
      <c r="B34" s="11"/>
      <c r="C34" s="12" t="s">
        <v>284</v>
      </c>
      <c r="D34" s="13">
        <f>H34+F34+J34</f>
        <v>8540</v>
      </c>
      <c r="E34" s="13">
        <f>I34+G34+K34</f>
        <v>9549</v>
      </c>
      <c r="F34" s="13">
        <v>0</v>
      </c>
      <c r="G34" s="13">
        <f>ROUND((G6+G8+G9+G10+G13+G14+G22+G28)*0.27,0)</f>
        <v>0</v>
      </c>
      <c r="H34" s="13">
        <v>8540</v>
      </c>
      <c r="I34" s="13">
        <f>ROUND((I6+I8+I9+I13+I14+I19+I24+I27+I28)*0.27,0)</f>
        <v>9549</v>
      </c>
      <c r="J34" s="13">
        <v>0</v>
      </c>
      <c r="K34" s="13">
        <v>0</v>
      </c>
      <c r="L34" s="13">
        <v>0</v>
      </c>
      <c r="M34" s="13">
        <v>0</v>
      </c>
    </row>
    <row r="35" spans="1:13" s="15" customFormat="1" ht="11.45" customHeight="1" x14ac:dyDescent="0.25">
      <c r="A35" s="11"/>
      <c r="B35" s="11"/>
      <c r="C35" s="12" t="s">
        <v>61</v>
      </c>
      <c r="D35" s="13">
        <f t="shared" ref="D35:D37" si="20">H35+F35+J35</f>
        <v>281</v>
      </c>
      <c r="E35" s="13">
        <f>I35+G35+K35+M35</f>
        <v>626</v>
      </c>
      <c r="F35" s="14">
        <v>42</v>
      </c>
      <c r="G35" s="13">
        <f>ROUND(G15*1.19*0.14+(G30+G24)*1.19*0.27,0)</f>
        <v>42</v>
      </c>
      <c r="H35" s="14">
        <v>213</v>
      </c>
      <c r="I35" s="13">
        <f>ROUND(I15*1.19*0.14+I31*1.19*0.27,0)</f>
        <v>237</v>
      </c>
      <c r="J35" s="14">
        <v>26</v>
      </c>
      <c r="K35" s="14">
        <v>26</v>
      </c>
      <c r="L35" s="14">
        <v>0</v>
      </c>
      <c r="M35" s="14">
        <v>321</v>
      </c>
    </row>
    <row r="36" spans="1:13" s="15" customFormat="1" ht="11.45" customHeight="1" x14ac:dyDescent="0.25">
      <c r="A36" s="11"/>
      <c r="B36" s="11"/>
      <c r="C36" s="12" t="s">
        <v>62</v>
      </c>
      <c r="D36" s="13">
        <f t="shared" si="20"/>
        <v>0</v>
      </c>
      <c r="E36" s="13">
        <f t="shared" ref="E36" si="21">I36+G36+K36</f>
        <v>0</v>
      </c>
      <c r="F36" s="14">
        <v>0</v>
      </c>
      <c r="G36" s="14"/>
      <c r="H36" s="14"/>
      <c r="I36" s="14"/>
      <c r="J36" s="14">
        <v>0</v>
      </c>
      <c r="K36" s="14">
        <v>0</v>
      </c>
      <c r="L36" s="14">
        <v>0</v>
      </c>
      <c r="M36" s="14">
        <v>0</v>
      </c>
    </row>
    <row r="37" spans="1:13" s="15" customFormat="1" ht="11.45" customHeight="1" x14ac:dyDescent="0.25">
      <c r="A37" s="11"/>
      <c r="B37" s="11"/>
      <c r="C37" s="12" t="s">
        <v>63</v>
      </c>
      <c r="D37" s="13">
        <f t="shared" si="20"/>
        <v>276</v>
      </c>
      <c r="E37" s="13">
        <f>I37+G37+K37+M37</f>
        <v>494</v>
      </c>
      <c r="F37" s="14">
        <v>25</v>
      </c>
      <c r="G37" s="14">
        <f>ROUND((G31+G25+G16)*1.19*0.16,0)</f>
        <v>25</v>
      </c>
      <c r="H37" s="14">
        <v>236</v>
      </c>
      <c r="I37" s="14">
        <f>ROUND((I15+I31)*1.19*0.16,0)</f>
        <v>264</v>
      </c>
      <c r="J37" s="14">
        <v>15</v>
      </c>
      <c r="K37" s="14">
        <v>15</v>
      </c>
      <c r="L37" s="14">
        <v>0</v>
      </c>
      <c r="M37" s="14">
        <v>190</v>
      </c>
    </row>
    <row r="38" spans="1:13" s="3" customFormat="1" ht="12.75" customHeight="1" x14ac:dyDescent="0.25">
      <c r="A38" s="20" t="s">
        <v>64</v>
      </c>
      <c r="B38" s="20" t="s">
        <v>65</v>
      </c>
      <c r="C38" s="21" t="s">
        <v>287</v>
      </c>
      <c r="D38" s="22">
        <f>D34+D35+D36+D37</f>
        <v>9097</v>
      </c>
      <c r="E38" s="22">
        <f t="shared" ref="E38:J38" si="22">E34+E35+E36+E37</f>
        <v>10669</v>
      </c>
      <c r="F38" s="22">
        <f t="shared" si="22"/>
        <v>67</v>
      </c>
      <c r="G38" s="22">
        <f t="shared" si="22"/>
        <v>67</v>
      </c>
      <c r="H38" s="22">
        <f t="shared" si="22"/>
        <v>8989</v>
      </c>
      <c r="I38" s="22">
        <f t="shared" si="22"/>
        <v>10050</v>
      </c>
      <c r="J38" s="22">
        <f t="shared" si="22"/>
        <v>41</v>
      </c>
      <c r="K38" s="22">
        <f t="shared" ref="K38:L38" si="23">K34+K35+K36+K37</f>
        <v>41</v>
      </c>
      <c r="L38" s="22">
        <f t="shared" si="23"/>
        <v>0</v>
      </c>
      <c r="M38" s="22">
        <f t="shared" ref="M38" si="24">M34+M35+M36+M37</f>
        <v>511</v>
      </c>
    </row>
    <row r="39" spans="1:13" s="3" customFormat="1" ht="14.1" customHeight="1" x14ac:dyDescent="0.25">
      <c r="A39" s="958" t="s">
        <v>66</v>
      </c>
      <c r="B39" s="959"/>
      <c r="C39" s="960"/>
      <c r="D39" s="30">
        <f>D33+D38</f>
        <v>43568</v>
      </c>
      <c r="E39" s="30">
        <f t="shared" ref="E39:J39" si="25">E33+E38</f>
        <v>49994</v>
      </c>
      <c r="F39" s="30">
        <f t="shared" si="25"/>
        <v>197</v>
      </c>
      <c r="G39" s="30">
        <f t="shared" si="25"/>
        <v>197</v>
      </c>
      <c r="H39" s="30">
        <f t="shared" si="25"/>
        <v>43250</v>
      </c>
      <c r="I39" s="30">
        <f t="shared" si="25"/>
        <v>48165</v>
      </c>
      <c r="J39" s="30">
        <f t="shared" si="25"/>
        <v>121</v>
      </c>
      <c r="K39" s="30">
        <f t="shared" ref="K39:L39" si="26">K33+K38</f>
        <v>121</v>
      </c>
      <c r="L39" s="30">
        <f t="shared" si="26"/>
        <v>0</v>
      </c>
      <c r="M39" s="30">
        <f t="shared" ref="M39" si="27">M33+M38</f>
        <v>1511</v>
      </c>
    </row>
    <row r="40" spans="1:13" s="1" customFormat="1" ht="12.75" customHeight="1" x14ac:dyDescent="0.25">
      <c r="A40" s="975" t="s">
        <v>602</v>
      </c>
      <c r="B40" s="976"/>
      <c r="C40" s="976"/>
      <c r="D40" s="976"/>
      <c r="E40" s="976"/>
      <c r="F40" s="976"/>
      <c r="G40" s="976"/>
      <c r="H40" s="976"/>
      <c r="I40" s="976"/>
      <c r="J40" s="976"/>
      <c r="K40" s="976"/>
      <c r="L40" s="976"/>
      <c r="M40" s="976"/>
    </row>
    <row r="41" spans="1:13" s="1" customFormat="1" ht="14.1" customHeight="1" x14ac:dyDescent="0.25">
      <c r="A41" s="957" t="s">
        <v>0</v>
      </c>
      <c r="B41" s="961" t="s">
        <v>1</v>
      </c>
      <c r="C41" s="957" t="s">
        <v>2</v>
      </c>
      <c r="D41" s="962" t="s">
        <v>260</v>
      </c>
      <c r="E41" s="952" t="s">
        <v>259</v>
      </c>
      <c r="F41" s="954" t="s">
        <v>598</v>
      </c>
      <c r="G41" s="955"/>
      <c r="H41" s="954" t="s">
        <v>599</v>
      </c>
      <c r="I41" s="955"/>
      <c r="J41" s="954" t="s">
        <v>600</v>
      </c>
      <c r="K41" s="955"/>
      <c r="L41" s="986" t="s">
        <v>1178</v>
      </c>
      <c r="M41" s="987"/>
    </row>
    <row r="42" spans="1:13" s="3" customFormat="1" ht="33" customHeight="1" x14ac:dyDescent="0.25">
      <c r="A42" s="957"/>
      <c r="B42" s="961"/>
      <c r="C42" s="957"/>
      <c r="D42" s="962"/>
      <c r="E42" s="953"/>
      <c r="F42" s="97" t="s">
        <v>263</v>
      </c>
      <c r="G42" s="97" t="s">
        <v>259</v>
      </c>
      <c r="H42" s="97" t="s">
        <v>260</v>
      </c>
      <c r="I42" s="97" t="s">
        <v>259</v>
      </c>
      <c r="J42" s="97" t="s">
        <v>260</v>
      </c>
      <c r="K42" s="97" t="s">
        <v>259</v>
      </c>
      <c r="L42" s="269" t="s">
        <v>260</v>
      </c>
      <c r="M42" s="269" t="s">
        <v>259</v>
      </c>
    </row>
    <row r="43" spans="1:13" ht="5.65" customHeight="1" x14ac:dyDescent="0.25"/>
    <row r="44" spans="1:13" ht="14.1" customHeight="1" x14ac:dyDescent="0.25">
      <c r="A44" s="956" t="s">
        <v>288</v>
      </c>
      <c r="B44" s="956"/>
      <c r="C44" s="956"/>
      <c r="D44" s="956"/>
      <c r="E44" s="956"/>
      <c r="F44" s="956"/>
      <c r="G44" s="956"/>
      <c r="H44" s="956"/>
      <c r="I44" s="956"/>
      <c r="J44" s="101"/>
      <c r="K44" s="101"/>
      <c r="L44" s="101"/>
      <c r="M44" s="101"/>
    </row>
    <row r="45" spans="1:13" s="3" customFormat="1" ht="14.1" customHeight="1" x14ac:dyDescent="0.25">
      <c r="A45" s="7" t="s">
        <v>67</v>
      </c>
      <c r="B45" s="7" t="s">
        <v>68</v>
      </c>
      <c r="C45" s="8" t="s">
        <v>69</v>
      </c>
      <c r="D45" s="9">
        <f>F45+H45+J45</f>
        <v>25</v>
      </c>
      <c r="E45" s="9">
        <f>G45+I45+K45</f>
        <v>40</v>
      </c>
      <c r="F45" s="10">
        <f>SUM(F46:F51)</f>
        <v>0</v>
      </c>
      <c r="G45" s="10">
        <f t="shared" ref="G45:K45" si="28">SUM(G46:G51)</f>
        <v>0</v>
      </c>
      <c r="H45" s="10">
        <f t="shared" si="28"/>
        <v>25</v>
      </c>
      <c r="I45" s="10">
        <f t="shared" si="28"/>
        <v>40</v>
      </c>
      <c r="J45" s="10">
        <f t="shared" si="28"/>
        <v>0</v>
      </c>
      <c r="K45" s="10">
        <f t="shared" si="28"/>
        <v>0</v>
      </c>
      <c r="L45" s="10">
        <f t="shared" ref="L45:M45" si="29">SUM(L46:L51)</f>
        <v>0</v>
      </c>
      <c r="M45" s="10">
        <f t="shared" si="29"/>
        <v>0</v>
      </c>
    </row>
    <row r="46" spans="1:13" ht="14.1" customHeight="1" x14ac:dyDescent="0.25">
      <c r="A46" s="24"/>
      <c r="B46" s="24"/>
      <c r="C46" s="25" t="s">
        <v>70</v>
      </c>
      <c r="D46" s="26"/>
      <c r="E46" s="26"/>
      <c r="F46" s="26"/>
      <c r="G46" s="26"/>
      <c r="H46" s="26">
        <v>25</v>
      </c>
      <c r="I46" s="26">
        <v>30</v>
      </c>
      <c r="J46" s="26"/>
      <c r="K46" s="26"/>
      <c r="L46" s="26"/>
      <c r="M46" s="26"/>
    </row>
    <row r="47" spans="1:13" ht="14.1" customHeight="1" x14ac:dyDescent="0.25">
      <c r="A47" s="24"/>
      <c r="B47" s="24"/>
      <c r="C47" s="25" t="s">
        <v>71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ht="14.1" customHeight="1" x14ac:dyDescent="0.25">
      <c r="A48" s="24"/>
      <c r="B48" s="24"/>
      <c r="C48" s="25" t="s">
        <v>72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ht="14.1" customHeight="1" x14ac:dyDescent="0.25">
      <c r="A49" s="24"/>
      <c r="B49" s="24"/>
      <c r="C49" s="25" t="s">
        <v>73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ht="14.1" customHeight="1" x14ac:dyDescent="0.25">
      <c r="A50" s="24"/>
      <c r="B50" s="24"/>
      <c r="C50" s="25" t="s">
        <v>74</v>
      </c>
      <c r="D50" s="26"/>
      <c r="E50" s="26"/>
      <c r="F50" s="26"/>
      <c r="G50" s="26"/>
      <c r="H50" s="26"/>
      <c r="I50" s="26">
        <v>10</v>
      </c>
      <c r="J50" s="26"/>
      <c r="K50" s="26"/>
      <c r="L50" s="26"/>
      <c r="M50" s="26"/>
    </row>
    <row r="51" spans="1:13" ht="14.1" customHeight="1" x14ac:dyDescent="0.25">
      <c r="A51" s="24"/>
      <c r="B51" s="24"/>
      <c r="C51" s="25" t="s">
        <v>75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s="3" customFormat="1" ht="14.1" customHeight="1" x14ac:dyDescent="0.25">
      <c r="A52" s="7" t="s">
        <v>76</v>
      </c>
      <c r="B52" s="7" t="s">
        <v>77</v>
      </c>
      <c r="C52" s="8" t="s">
        <v>78</v>
      </c>
      <c r="D52" s="9">
        <f>F52+H52+J52</f>
        <v>1850</v>
      </c>
      <c r="E52" s="9">
        <f>G52+I52+K52</f>
        <v>1940</v>
      </c>
      <c r="F52" s="10">
        <f>SUM(F53:F58)</f>
        <v>325</v>
      </c>
      <c r="G52" s="10">
        <f>SUM(G53:G58)</f>
        <v>350</v>
      </c>
      <c r="H52" s="10">
        <f>SUM(H53:H58)</f>
        <v>1475</v>
      </c>
      <c r="I52" s="10">
        <f>SUM(I53:I58)</f>
        <v>1540</v>
      </c>
      <c r="J52" s="10">
        <f t="shared" ref="J52:K52" si="30">SUM(J53:J58)</f>
        <v>50</v>
      </c>
      <c r="K52" s="10">
        <f t="shared" si="30"/>
        <v>50</v>
      </c>
      <c r="L52" s="10">
        <f t="shared" ref="L52:M52" si="31">SUM(L53:L58)</f>
        <v>0</v>
      </c>
      <c r="M52" s="10">
        <f t="shared" si="31"/>
        <v>0</v>
      </c>
    </row>
    <row r="53" spans="1:13" ht="14.1" customHeight="1" x14ac:dyDescent="0.25">
      <c r="A53" s="24"/>
      <c r="B53" s="24"/>
      <c r="C53" s="25" t="s">
        <v>79</v>
      </c>
      <c r="D53" s="26"/>
      <c r="E53" s="26"/>
      <c r="F53" s="26">
        <v>150</v>
      </c>
      <c r="G53" s="26">
        <v>200</v>
      </c>
      <c r="H53" s="26"/>
      <c r="I53" s="26"/>
      <c r="J53" s="26"/>
      <c r="K53" s="26"/>
      <c r="L53" s="26"/>
      <c r="M53" s="26"/>
    </row>
    <row r="54" spans="1:13" ht="14.1" customHeight="1" x14ac:dyDescent="0.25">
      <c r="A54" s="24"/>
      <c r="B54" s="24"/>
      <c r="C54" s="25" t="s">
        <v>80</v>
      </c>
      <c r="D54" s="26"/>
      <c r="E54" s="26"/>
      <c r="F54" s="26"/>
      <c r="G54" s="26"/>
      <c r="H54" s="26">
        <v>525</v>
      </c>
      <c r="I54" s="26">
        <v>400</v>
      </c>
      <c r="J54" s="26"/>
      <c r="K54" s="26"/>
      <c r="L54" s="26"/>
      <c r="M54" s="26"/>
    </row>
    <row r="55" spans="1:13" ht="14.1" customHeight="1" x14ac:dyDescent="0.25">
      <c r="A55" s="24"/>
      <c r="B55" s="24"/>
      <c r="C55" s="25" t="s">
        <v>81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14.1" customHeight="1" x14ac:dyDescent="0.25">
      <c r="A56" s="24"/>
      <c r="B56" s="24"/>
      <c r="C56" s="25" t="s">
        <v>82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ht="14.1" customHeight="1" x14ac:dyDescent="0.25">
      <c r="A57" s="24"/>
      <c r="B57" s="24"/>
      <c r="C57" s="25" t="s">
        <v>83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ht="14.1" customHeight="1" x14ac:dyDescent="0.25">
      <c r="A58" s="24"/>
      <c r="B58" s="24"/>
      <c r="C58" s="25" t="s">
        <v>84</v>
      </c>
      <c r="D58" s="26"/>
      <c r="E58" s="26"/>
      <c r="F58" s="26">
        <v>175</v>
      </c>
      <c r="G58" s="26">
        <v>150</v>
      </c>
      <c r="H58" s="26">
        <v>950</v>
      </c>
      <c r="I58" s="26">
        <v>1140</v>
      </c>
      <c r="J58" s="26">
        <v>50</v>
      </c>
      <c r="K58" s="26">
        <v>50</v>
      </c>
      <c r="L58" s="26">
        <v>0</v>
      </c>
      <c r="M58" s="26">
        <v>0</v>
      </c>
    </row>
    <row r="59" spans="1:13" s="3" customFormat="1" ht="14.1" customHeight="1" x14ac:dyDescent="0.25">
      <c r="A59" s="7" t="s">
        <v>85</v>
      </c>
      <c r="B59" s="7" t="s">
        <v>86</v>
      </c>
      <c r="C59" s="8" t="s">
        <v>87</v>
      </c>
      <c r="D59" s="9">
        <f>F59+H59+J59</f>
        <v>0</v>
      </c>
      <c r="E59" s="9">
        <f>G59+I59+K59</f>
        <v>0</v>
      </c>
      <c r="F59" s="10">
        <f>SUM(F60:F61)</f>
        <v>0</v>
      </c>
      <c r="G59" s="10">
        <f t="shared" ref="G59:K59" si="32">SUM(G60:G61)</f>
        <v>0</v>
      </c>
      <c r="H59" s="10">
        <f t="shared" si="32"/>
        <v>0</v>
      </c>
      <c r="I59" s="10">
        <f t="shared" si="32"/>
        <v>0</v>
      </c>
      <c r="J59" s="10">
        <f t="shared" si="32"/>
        <v>0</v>
      </c>
      <c r="K59" s="10">
        <f t="shared" si="32"/>
        <v>0</v>
      </c>
      <c r="L59" s="10">
        <f t="shared" ref="L59:M59" si="33">SUM(L60:L61)</f>
        <v>0</v>
      </c>
      <c r="M59" s="10">
        <f t="shared" si="33"/>
        <v>0</v>
      </c>
    </row>
    <row r="60" spans="1:13" ht="14.1" customHeight="1" x14ac:dyDescent="0.25">
      <c r="A60" s="24"/>
      <c r="B60" s="24"/>
      <c r="C60" s="25" t="s">
        <v>88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ht="14.1" customHeight="1" x14ac:dyDescent="0.25">
      <c r="A61" s="24"/>
      <c r="B61" s="24"/>
      <c r="C61" s="25" t="s">
        <v>89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s="3" customFormat="1" ht="14.1" customHeight="1" x14ac:dyDescent="0.25">
      <c r="A62" s="16" t="s">
        <v>90</v>
      </c>
      <c r="B62" s="16" t="s">
        <v>91</v>
      </c>
      <c r="C62" s="17" t="s">
        <v>92</v>
      </c>
      <c r="D62" s="19">
        <f>D45+D52</f>
        <v>1875</v>
      </c>
      <c r="E62" s="19">
        <f t="shared" ref="E62:K62" si="34">E45+E52</f>
        <v>1980</v>
      </c>
      <c r="F62" s="19">
        <f t="shared" si="34"/>
        <v>325</v>
      </c>
      <c r="G62" s="19">
        <f t="shared" si="34"/>
        <v>350</v>
      </c>
      <c r="H62" s="19">
        <f t="shared" si="34"/>
        <v>1500</v>
      </c>
      <c r="I62" s="19">
        <f t="shared" si="34"/>
        <v>1580</v>
      </c>
      <c r="J62" s="19">
        <f t="shared" si="34"/>
        <v>50</v>
      </c>
      <c r="K62" s="19">
        <f t="shared" si="34"/>
        <v>50</v>
      </c>
      <c r="L62" s="19">
        <f t="shared" ref="L62:M62" si="35">L45+L52</f>
        <v>0</v>
      </c>
      <c r="M62" s="19">
        <f t="shared" si="35"/>
        <v>0</v>
      </c>
    </row>
    <row r="63" spans="1:13" s="3" customFormat="1" ht="14.1" customHeight="1" x14ac:dyDescent="0.25">
      <c r="A63" s="7" t="s">
        <v>93</v>
      </c>
      <c r="B63" s="7" t="s">
        <v>94</v>
      </c>
      <c r="C63" s="8" t="s">
        <v>95</v>
      </c>
      <c r="D63" s="9">
        <f>F63+H63+J63</f>
        <v>1030</v>
      </c>
      <c r="E63" s="9">
        <f>G63+I63+K63</f>
        <v>1260</v>
      </c>
      <c r="F63" s="10">
        <f>SUM(F64:F69)</f>
        <v>190</v>
      </c>
      <c r="G63" s="10">
        <f>SUM(G64:G69)</f>
        <v>300</v>
      </c>
      <c r="H63" s="10">
        <f t="shared" ref="H63:K63" si="36">SUM(H64:H69)</f>
        <v>840</v>
      </c>
      <c r="I63" s="10">
        <f t="shared" si="36"/>
        <v>960</v>
      </c>
      <c r="J63" s="10">
        <f t="shared" si="36"/>
        <v>0</v>
      </c>
      <c r="K63" s="10">
        <f t="shared" si="36"/>
        <v>0</v>
      </c>
      <c r="L63" s="10">
        <f t="shared" ref="L63:M63" si="37">SUM(L64:L69)</f>
        <v>0</v>
      </c>
      <c r="M63" s="10">
        <f t="shared" si="37"/>
        <v>0</v>
      </c>
    </row>
    <row r="64" spans="1:13" ht="14.1" customHeight="1" x14ac:dyDescent="0.25">
      <c r="A64" s="24"/>
      <c r="B64" s="24"/>
      <c r="C64" s="25" t="s">
        <v>96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ht="14.1" customHeight="1" x14ac:dyDescent="0.25">
      <c r="A65" s="24"/>
      <c r="B65" s="24"/>
      <c r="C65" s="25" t="s">
        <v>97</v>
      </c>
      <c r="D65" s="26"/>
      <c r="E65" s="26"/>
      <c r="F65" s="26"/>
      <c r="G65" s="26"/>
      <c r="H65" s="26">
        <v>720</v>
      </c>
      <c r="I65" s="26">
        <v>720</v>
      </c>
      <c r="J65" s="26"/>
      <c r="K65" s="26"/>
      <c r="L65" s="26"/>
      <c r="M65" s="26"/>
    </row>
    <row r="66" spans="1:13" ht="14.1" customHeight="1" x14ac:dyDescent="0.25">
      <c r="A66" s="24"/>
      <c r="B66" s="24"/>
      <c r="C66" s="25" t="s">
        <v>98</v>
      </c>
      <c r="D66" s="26"/>
      <c r="E66" s="26"/>
      <c r="F66" s="26"/>
      <c r="G66" s="26"/>
      <c r="H66" s="26"/>
      <c r="I66" s="26">
        <v>40</v>
      </c>
      <c r="J66" s="26"/>
      <c r="K66" s="26"/>
      <c r="L66" s="26"/>
      <c r="M66" s="26"/>
    </row>
    <row r="67" spans="1:13" ht="14.1" customHeight="1" x14ac:dyDescent="0.25">
      <c r="A67" s="24"/>
      <c r="B67" s="24"/>
      <c r="C67" s="25" t="s">
        <v>99</v>
      </c>
      <c r="D67" s="26"/>
      <c r="E67" s="26"/>
      <c r="F67" s="26"/>
      <c r="G67" s="26"/>
      <c r="H67" s="26"/>
      <c r="I67" s="26">
        <v>100</v>
      </c>
      <c r="J67" s="26"/>
      <c r="K67" s="26"/>
      <c r="L67" s="26"/>
      <c r="M67" s="26"/>
    </row>
    <row r="68" spans="1:13" ht="14.1" customHeight="1" x14ac:dyDescent="0.25">
      <c r="A68" s="24"/>
      <c r="B68" s="24"/>
      <c r="C68" s="25" t="s">
        <v>100</v>
      </c>
      <c r="D68" s="26"/>
      <c r="E68" s="26"/>
      <c r="F68" s="26">
        <v>120</v>
      </c>
      <c r="G68" s="26">
        <v>100</v>
      </c>
      <c r="H68" s="26">
        <v>120</v>
      </c>
      <c r="I68" s="26">
        <v>100</v>
      </c>
      <c r="J68" s="26"/>
      <c r="K68" s="26"/>
      <c r="L68" s="26"/>
      <c r="M68" s="26"/>
    </row>
    <row r="69" spans="1:13" ht="14.1" customHeight="1" x14ac:dyDescent="0.25">
      <c r="A69" s="24"/>
      <c r="B69" s="24"/>
      <c r="C69" s="25" t="s">
        <v>101</v>
      </c>
      <c r="D69" s="26"/>
      <c r="E69" s="26"/>
      <c r="F69" s="26">
        <v>70</v>
      </c>
      <c r="G69" s="26">
        <v>200</v>
      </c>
      <c r="H69" s="26"/>
      <c r="I69" s="26"/>
      <c r="J69" s="26"/>
      <c r="K69" s="26"/>
      <c r="L69" s="26"/>
      <c r="M69" s="26"/>
    </row>
    <row r="70" spans="1:13" s="3" customFormat="1" ht="14.1" customHeight="1" x14ac:dyDescent="0.25">
      <c r="A70" s="7" t="s">
        <v>102</v>
      </c>
      <c r="B70" s="7" t="s">
        <v>103</v>
      </c>
      <c r="C70" s="8" t="s">
        <v>104</v>
      </c>
      <c r="D70" s="9">
        <f>F70+H70+J70</f>
        <v>330</v>
      </c>
      <c r="E70" s="9">
        <f>G70+I70+K70</f>
        <v>290</v>
      </c>
      <c r="F70" s="10">
        <f>SUM(F71:F72)</f>
        <v>147</v>
      </c>
      <c r="G70" s="10">
        <f t="shared" ref="G70:K70" si="38">SUM(G71:G72)</f>
        <v>145</v>
      </c>
      <c r="H70" s="10">
        <f t="shared" si="38"/>
        <v>183</v>
      </c>
      <c r="I70" s="10">
        <f t="shared" si="38"/>
        <v>145</v>
      </c>
      <c r="J70" s="10">
        <f t="shared" si="38"/>
        <v>0</v>
      </c>
      <c r="K70" s="10">
        <f t="shared" si="38"/>
        <v>0</v>
      </c>
      <c r="L70" s="10">
        <f t="shared" ref="L70:M70" si="39">SUM(L71:L72)</f>
        <v>0</v>
      </c>
      <c r="M70" s="10">
        <f t="shared" si="39"/>
        <v>0</v>
      </c>
    </row>
    <row r="71" spans="1:13" ht="14.1" customHeight="1" x14ac:dyDescent="0.25">
      <c r="A71" s="24"/>
      <c r="B71" s="24"/>
      <c r="C71" s="25" t="s">
        <v>105</v>
      </c>
      <c r="D71" s="26"/>
      <c r="E71" s="26"/>
      <c r="F71" s="26">
        <v>147</v>
      </c>
      <c r="G71" s="26">
        <v>145</v>
      </c>
      <c r="H71" s="26">
        <v>183</v>
      </c>
      <c r="I71" s="26">
        <v>145</v>
      </c>
      <c r="J71" s="26"/>
      <c r="K71" s="26"/>
      <c r="L71" s="26"/>
      <c r="M71" s="26"/>
    </row>
    <row r="72" spans="1:13" ht="14.1" customHeight="1" x14ac:dyDescent="0.25">
      <c r="A72" s="24"/>
      <c r="B72" s="24"/>
      <c r="C72" s="25" t="s">
        <v>106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s="3" customFormat="1" ht="14.1" customHeight="1" x14ac:dyDescent="0.25">
      <c r="A73" s="16" t="s">
        <v>107</v>
      </c>
      <c r="B73" s="16" t="s">
        <v>108</v>
      </c>
      <c r="C73" s="17" t="s">
        <v>109</v>
      </c>
      <c r="D73" s="19">
        <f>D63+D70</f>
        <v>1360</v>
      </c>
      <c r="E73" s="19">
        <f t="shared" ref="E73:K73" si="40">E63+E70</f>
        <v>1550</v>
      </c>
      <c r="F73" s="19">
        <f t="shared" si="40"/>
        <v>337</v>
      </c>
      <c r="G73" s="19">
        <f t="shared" si="40"/>
        <v>445</v>
      </c>
      <c r="H73" s="19">
        <f t="shared" si="40"/>
        <v>1023</v>
      </c>
      <c r="I73" s="19">
        <f t="shared" si="40"/>
        <v>1105</v>
      </c>
      <c r="J73" s="19">
        <f t="shared" si="40"/>
        <v>0</v>
      </c>
      <c r="K73" s="19">
        <f t="shared" si="40"/>
        <v>0</v>
      </c>
      <c r="L73" s="19">
        <f t="shared" ref="L73:M73" si="41">L63+L70</f>
        <v>0</v>
      </c>
      <c r="M73" s="19">
        <f t="shared" si="41"/>
        <v>0</v>
      </c>
    </row>
    <row r="74" spans="1:13" s="3" customFormat="1" ht="14.1" customHeight="1" x14ac:dyDescent="0.25">
      <c r="A74" s="7" t="s">
        <v>110</v>
      </c>
      <c r="B74" s="7" t="s">
        <v>111</v>
      </c>
      <c r="C74" s="8" t="s">
        <v>112</v>
      </c>
      <c r="D74" s="9">
        <f>F74+H74+J74</f>
        <v>18425</v>
      </c>
      <c r="E74" s="9">
        <f>G74+I74+K74</f>
        <v>16180</v>
      </c>
      <c r="F74" s="10">
        <f>SUM(F75:F77)</f>
        <v>0</v>
      </c>
      <c r="G74" s="10">
        <f t="shared" ref="G74:K74" si="42">SUM(G75:G77)</f>
        <v>0</v>
      </c>
      <c r="H74" s="10">
        <f t="shared" si="42"/>
        <v>18425</v>
      </c>
      <c r="I74" s="10">
        <f t="shared" si="42"/>
        <v>16180</v>
      </c>
      <c r="J74" s="10">
        <f t="shared" si="42"/>
        <v>0</v>
      </c>
      <c r="K74" s="10">
        <f t="shared" si="42"/>
        <v>0</v>
      </c>
      <c r="L74" s="10">
        <f t="shared" ref="L74:M74" si="43">SUM(L75:L77)</f>
        <v>0</v>
      </c>
      <c r="M74" s="10">
        <f t="shared" si="43"/>
        <v>0</v>
      </c>
    </row>
    <row r="75" spans="1:13" ht="14.1" customHeight="1" x14ac:dyDescent="0.25">
      <c r="A75" s="24"/>
      <c r="B75" s="24"/>
      <c r="C75" s="25" t="s">
        <v>113</v>
      </c>
      <c r="D75" s="26"/>
      <c r="E75" s="26"/>
      <c r="F75" s="26"/>
      <c r="G75" s="26"/>
      <c r="H75" s="26">
        <v>10000</v>
      </c>
      <c r="I75" s="26">
        <v>7020</v>
      </c>
      <c r="J75" s="26"/>
      <c r="K75" s="26"/>
      <c r="L75" s="26"/>
      <c r="M75" s="26"/>
    </row>
    <row r="76" spans="1:13" ht="14.1" customHeight="1" x14ac:dyDescent="0.25">
      <c r="A76" s="24"/>
      <c r="B76" s="24"/>
      <c r="C76" s="25" t="s">
        <v>114</v>
      </c>
      <c r="D76" s="26"/>
      <c r="E76" s="26"/>
      <c r="F76" s="26"/>
      <c r="G76" s="26"/>
      <c r="H76" s="26">
        <v>8000</v>
      </c>
      <c r="I76" s="26">
        <v>8660</v>
      </c>
      <c r="J76" s="26"/>
      <c r="K76" s="26"/>
      <c r="L76" s="26"/>
      <c r="M76" s="26"/>
    </row>
    <row r="77" spans="1:13" ht="14.1" customHeight="1" x14ac:dyDescent="0.25">
      <c r="A77" s="24"/>
      <c r="B77" s="24"/>
      <c r="C77" s="25" t="s">
        <v>115</v>
      </c>
      <c r="D77" s="26"/>
      <c r="E77" s="26"/>
      <c r="F77" s="26"/>
      <c r="G77" s="26"/>
      <c r="H77" s="26">
        <v>425</v>
      </c>
      <c r="I77" s="26">
        <v>500</v>
      </c>
      <c r="J77" s="26"/>
      <c r="K77" s="26"/>
      <c r="L77" s="26"/>
      <c r="M77" s="26"/>
    </row>
    <row r="78" spans="1:13" s="3" customFormat="1" ht="14.1" customHeight="1" x14ac:dyDescent="0.25">
      <c r="A78" s="7" t="s">
        <v>116</v>
      </c>
      <c r="B78" s="7" t="s">
        <v>117</v>
      </c>
      <c r="C78" s="8" t="s">
        <v>118</v>
      </c>
      <c r="D78" s="9">
        <f>F78+H78+J78</f>
        <v>0</v>
      </c>
      <c r="E78" s="9">
        <f>G78+I78+K78</f>
        <v>0</v>
      </c>
      <c r="F78" s="10">
        <v>0</v>
      </c>
      <c r="G78" s="10">
        <f>G79</f>
        <v>0</v>
      </c>
      <c r="H78" s="10">
        <v>0</v>
      </c>
      <c r="I78" s="10">
        <f>I79</f>
        <v>0</v>
      </c>
      <c r="J78" s="10">
        <f t="shared" ref="J78:M78" si="44">J79</f>
        <v>0</v>
      </c>
      <c r="K78" s="10">
        <f t="shared" si="44"/>
        <v>0</v>
      </c>
      <c r="L78" s="10">
        <f t="shared" si="44"/>
        <v>0</v>
      </c>
      <c r="M78" s="10">
        <f t="shared" si="44"/>
        <v>0</v>
      </c>
    </row>
    <row r="79" spans="1:13" s="3" customFormat="1" ht="14.1" customHeight="1" x14ac:dyDescent="0.25">
      <c r="A79" s="24"/>
      <c r="B79" s="24"/>
      <c r="C79" s="25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s="3" customFormat="1" ht="14.1" customHeight="1" x14ac:dyDescent="0.25">
      <c r="A80" s="7" t="s">
        <v>119</v>
      </c>
      <c r="B80" s="7" t="s">
        <v>120</v>
      </c>
      <c r="C80" s="8" t="s">
        <v>121</v>
      </c>
      <c r="D80" s="9">
        <f>F80+H80+J80</f>
        <v>85</v>
      </c>
      <c r="E80" s="9">
        <f>G80+I80+K80</f>
        <v>358</v>
      </c>
      <c r="F80" s="10">
        <f>SUM(F81:F82)</f>
        <v>0</v>
      </c>
      <c r="G80" s="10">
        <f t="shared" ref="G80:K80" si="45">SUM(G81:G82)</f>
        <v>200</v>
      </c>
      <c r="H80" s="10">
        <f t="shared" si="45"/>
        <v>85</v>
      </c>
      <c r="I80" s="10">
        <f t="shared" si="45"/>
        <v>158</v>
      </c>
      <c r="J80" s="10">
        <f t="shared" si="45"/>
        <v>0</v>
      </c>
      <c r="K80" s="10">
        <f t="shared" si="45"/>
        <v>0</v>
      </c>
      <c r="L80" s="10">
        <f t="shared" ref="L80:M80" si="46">SUM(L81:L82)</f>
        <v>0</v>
      </c>
      <c r="M80" s="10">
        <f t="shared" si="46"/>
        <v>0</v>
      </c>
    </row>
    <row r="81" spans="1:13" ht="14.1" customHeight="1" x14ac:dyDescent="0.25">
      <c r="A81" s="24"/>
      <c r="B81" s="24"/>
      <c r="C81" s="25" t="s">
        <v>122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ht="14.1" customHeight="1" x14ac:dyDescent="0.25">
      <c r="A82" s="24"/>
      <c r="B82" s="24"/>
      <c r="C82" s="25" t="s">
        <v>123</v>
      </c>
      <c r="D82" s="26"/>
      <c r="E82" s="26"/>
      <c r="F82" s="26"/>
      <c r="G82" s="26">
        <v>200</v>
      </c>
      <c r="H82" s="26">
        <v>85</v>
      </c>
      <c r="I82" s="26">
        <v>158</v>
      </c>
      <c r="J82" s="26"/>
      <c r="K82" s="26"/>
      <c r="L82" s="26"/>
      <c r="M82" s="26"/>
    </row>
    <row r="83" spans="1:13" s="3" customFormat="1" ht="14.1" customHeight="1" x14ac:dyDescent="0.25">
      <c r="A83" s="7" t="s">
        <v>124</v>
      </c>
      <c r="B83" s="7" t="s">
        <v>125</v>
      </c>
      <c r="C83" s="8" t="s">
        <v>126</v>
      </c>
      <c r="D83" s="9">
        <f>F83+H83+J83</f>
        <v>9892</v>
      </c>
      <c r="E83" s="9">
        <f>G83+I83+K83</f>
        <v>13082</v>
      </c>
      <c r="F83" s="10">
        <v>0</v>
      </c>
      <c r="G83" s="10">
        <v>0</v>
      </c>
      <c r="H83" s="10">
        <v>9892</v>
      </c>
      <c r="I83" s="10">
        <v>13082</v>
      </c>
      <c r="J83" s="10">
        <v>0</v>
      </c>
      <c r="K83" s="10"/>
      <c r="L83" s="10">
        <v>0</v>
      </c>
      <c r="M83" s="10"/>
    </row>
    <row r="84" spans="1:13" s="3" customFormat="1" ht="14.1" customHeight="1" x14ac:dyDescent="0.25">
      <c r="A84" s="7" t="s">
        <v>127</v>
      </c>
      <c r="B84" s="7" t="s">
        <v>128</v>
      </c>
      <c r="C84" s="8" t="s">
        <v>129</v>
      </c>
      <c r="D84" s="9">
        <f>F84+H84+J84</f>
        <v>2570</v>
      </c>
      <c r="E84" s="9">
        <f>G84+I84+K84</f>
        <v>2520</v>
      </c>
      <c r="F84" s="10">
        <f>SUM(F85:F86)</f>
        <v>0</v>
      </c>
      <c r="G84" s="10">
        <f>SUM(G85:G86)</f>
        <v>0</v>
      </c>
      <c r="H84" s="10">
        <f>SUM(H85:H86)</f>
        <v>2570</v>
      </c>
      <c r="I84" s="10">
        <f>SUM(I85:I86)</f>
        <v>2520</v>
      </c>
      <c r="J84" s="10">
        <f t="shared" ref="J84:K84" si="47">SUM(J85:J86)</f>
        <v>0</v>
      </c>
      <c r="K84" s="10">
        <f t="shared" si="47"/>
        <v>0</v>
      </c>
      <c r="L84" s="10">
        <f t="shared" ref="L84:M84" si="48">SUM(L85:L86)</f>
        <v>0</v>
      </c>
      <c r="M84" s="10">
        <f t="shared" si="48"/>
        <v>0</v>
      </c>
    </row>
    <row r="85" spans="1:13" ht="14.1" customHeight="1" x14ac:dyDescent="0.25">
      <c r="A85" s="24"/>
      <c r="B85" s="24"/>
      <c r="C85" s="25" t="s">
        <v>130</v>
      </c>
      <c r="D85" s="26"/>
      <c r="E85" s="26"/>
      <c r="F85" s="26"/>
      <c r="G85" s="26"/>
      <c r="H85" s="26">
        <v>2120</v>
      </c>
      <c r="I85" s="26">
        <v>2120</v>
      </c>
      <c r="J85" s="26"/>
      <c r="K85" s="26"/>
      <c r="L85" s="26"/>
      <c r="M85" s="26"/>
    </row>
    <row r="86" spans="1:13" ht="14.1" customHeight="1" x14ac:dyDescent="0.25">
      <c r="A86" s="24"/>
      <c r="B86" s="24"/>
      <c r="C86" s="25" t="s">
        <v>131</v>
      </c>
      <c r="D86" s="26"/>
      <c r="E86" s="26"/>
      <c r="F86" s="26"/>
      <c r="G86" s="26"/>
      <c r="H86" s="26">
        <v>450</v>
      </c>
      <c r="I86" s="26">
        <v>400</v>
      </c>
      <c r="J86" s="26"/>
      <c r="K86" s="26"/>
      <c r="L86" s="26"/>
      <c r="M86" s="26"/>
    </row>
    <row r="87" spans="1:13" s="3" customFormat="1" ht="14.1" customHeight="1" x14ac:dyDescent="0.25">
      <c r="A87" s="7" t="s">
        <v>132</v>
      </c>
      <c r="B87" s="7" t="s">
        <v>133</v>
      </c>
      <c r="C87" s="8" t="s">
        <v>134</v>
      </c>
      <c r="D87" s="9">
        <f>F87+H87+J87</f>
        <v>14845</v>
      </c>
      <c r="E87" s="9">
        <f>G87+I87+K87+M87</f>
        <v>15845</v>
      </c>
      <c r="F87" s="10">
        <f>SUM(F88:F90)</f>
        <v>11845</v>
      </c>
      <c r="G87" s="10">
        <f t="shared" ref="G87:K87" si="49">SUM(G88:G90)</f>
        <v>11845</v>
      </c>
      <c r="H87" s="10">
        <f t="shared" si="49"/>
        <v>0</v>
      </c>
      <c r="I87" s="10">
        <f t="shared" si="49"/>
        <v>0</v>
      </c>
      <c r="J87" s="10">
        <f t="shared" si="49"/>
        <v>3000</v>
      </c>
      <c r="K87" s="10">
        <f t="shared" si="49"/>
        <v>3000</v>
      </c>
      <c r="L87" s="10">
        <f t="shared" ref="L87:M87" si="50">SUM(L88:L90)</f>
        <v>0</v>
      </c>
      <c r="M87" s="10">
        <f t="shared" si="50"/>
        <v>1000</v>
      </c>
    </row>
    <row r="88" spans="1:13" ht="14.1" customHeight="1" x14ac:dyDescent="0.25">
      <c r="A88" s="24"/>
      <c r="B88" s="24"/>
      <c r="C88" s="25" t="s">
        <v>135</v>
      </c>
      <c r="D88" s="26"/>
      <c r="E88" s="26"/>
      <c r="F88" s="26">
        <v>0</v>
      </c>
      <c r="G88" s="26">
        <v>0</v>
      </c>
      <c r="H88" s="26">
        <v>0</v>
      </c>
      <c r="I88" s="26">
        <v>0</v>
      </c>
      <c r="J88" s="26"/>
      <c r="K88" s="26"/>
      <c r="L88" s="26"/>
      <c r="M88" s="26"/>
    </row>
    <row r="89" spans="1:13" ht="14.1" customHeight="1" x14ac:dyDescent="0.25">
      <c r="A89" s="24"/>
      <c r="B89" s="24"/>
      <c r="C89" s="25" t="s">
        <v>136</v>
      </c>
      <c r="D89" s="26"/>
      <c r="E89" s="26"/>
      <c r="F89" s="26">
        <v>5345</v>
      </c>
      <c r="G89" s="26">
        <v>5345</v>
      </c>
      <c r="H89" s="26">
        <v>0</v>
      </c>
      <c r="I89" s="26">
        <v>0</v>
      </c>
      <c r="J89" s="26">
        <v>1500</v>
      </c>
      <c r="K89" s="26">
        <v>1500</v>
      </c>
      <c r="L89" s="26">
        <v>0</v>
      </c>
      <c r="M89" s="26">
        <v>1000</v>
      </c>
    </row>
    <row r="90" spans="1:13" ht="14.1" customHeight="1" x14ac:dyDescent="0.25">
      <c r="A90" s="24"/>
      <c r="B90" s="24"/>
      <c r="C90" s="25" t="s">
        <v>137</v>
      </c>
      <c r="D90" s="26"/>
      <c r="E90" s="26"/>
      <c r="F90" s="26">
        <v>6500</v>
      </c>
      <c r="G90" s="26">
        <v>6500</v>
      </c>
      <c r="H90" s="26">
        <v>0</v>
      </c>
      <c r="I90" s="26">
        <v>0</v>
      </c>
      <c r="J90" s="26">
        <v>1500</v>
      </c>
      <c r="K90" s="26">
        <v>1500</v>
      </c>
      <c r="L90" s="26">
        <v>0</v>
      </c>
      <c r="M90" s="26">
        <v>0</v>
      </c>
    </row>
    <row r="91" spans="1:13" s="3" customFormat="1" ht="14.1" customHeight="1" x14ac:dyDescent="0.25">
      <c r="A91" s="7" t="s">
        <v>138</v>
      </c>
      <c r="B91" s="7" t="s">
        <v>139</v>
      </c>
      <c r="C91" s="8" t="s">
        <v>140</v>
      </c>
      <c r="D91" s="9">
        <f>F91+H91+J91</f>
        <v>11608</v>
      </c>
      <c r="E91" s="9">
        <f>G91+I91+K91+M91</f>
        <v>15965</v>
      </c>
      <c r="F91" s="10">
        <f>SUM(F92:F95)</f>
        <v>140</v>
      </c>
      <c r="G91" s="10">
        <f t="shared" ref="G91:K91" si="51">SUM(G92:G95)</f>
        <v>100</v>
      </c>
      <c r="H91" s="10">
        <f t="shared" si="51"/>
        <v>11468</v>
      </c>
      <c r="I91" s="10">
        <f t="shared" si="51"/>
        <v>11865</v>
      </c>
      <c r="J91" s="10">
        <f t="shared" si="51"/>
        <v>0</v>
      </c>
      <c r="K91" s="10">
        <f t="shared" si="51"/>
        <v>0</v>
      </c>
      <c r="L91" s="10">
        <f t="shared" ref="L91:M91" si="52">SUM(L92:L95)</f>
        <v>0</v>
      </c>
      <c r="M91" s="10">
        <f t="shared" si="52"/>
        <v>4000</v>
      </c>
    </row>
    <row r="92" spans="1:13" ht="14.1" customHeight="1" x14ac:dyDescent="0.25">
      <c r="A92" s="24"/>
      <c r="B92" s="24"/>
      <c r="C92" s="25" t="s">
        <v>141</v>
      </c>
      <c r="D92" s="26"/>
      <c r="E92" s="26"/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</row>
    <row r="93" spans="1:13" ht="14.1" customHeight="1" x14ac:dyDescent="0.25">
      <c r="A93" s="24"/>
      <c r="B93" s="24"/>
      <c r="C93" s="25" t="s">
        <v>142</v>
      </c>
      <c r="D93" s="26"/>
      <c r="E93" s="26"/>
      <c r="F93" s="26">
        <v>0</v>
      </c>
      <c r="G93" s="26">
        <v>0</v>
      </c>
      <c r="H93" s="26">
        <v>300</v>
      </c>
      <c r="I93" s="26">
        <v>300</v>
      </c>
      <c r="J93" s="26">
        <v>0</v>
      </c>
      <c r="K93" s="26">
        <v>0</v>
      </c>
      <c r="L93" s="26">
        <v>0</v>
      </c>
      <c r="M93" s="26">
        <v>0</v>
      </c>
    </row>
    <row r="94" spans="1:13" ht="14.1" customHeight="1" x14ac:dyDescent="0.25">
      <c r="A94" s="24"/>
      <c r="B94" s="24"/>
      <c r="C94" s="25" t="s">
        <v>143</v>
      </c>
      <c r="D94" s="26"/>
      <c r="E94" s="26"/>
      <c r="F94" s="26">
        <v>140</v>
      </c>
      <c r="G94" s="26">
        <v>100</v>
      </c>
      <c r="H94" s="26">
        <v>30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</row>
    <row r="95" spans="1:13" ht="14.1" customHeight="1" x14ac:dyDescent="0.25">
      <c r="A95" s="24"/>
      <c r="B95" s="24"/>
      <c r="C95" s="25" t="s">
        <v>144</v>
      </c>
      <c r="D95" s="26"/>
      <c r="E95" s="26"/>
      <c r="F95" s="26">
        <v>0</v>
      </c>
      <c r="G95" s="26">
        <v>0</v>
      </c>
      <c r="H95" s="26">
        <v>11138</v>
      </c>
      <c r="I95" s="26">
        <v>11565</v>
      </c>
      <c r="J95" s="26">
        <v>0</v>
      </c>
      <c r="K95" s="26">
        <v>0</v>
      </c>
      <c r="L95" s="26">
        <v>0</v>
      </c>
      <c r="M95" s="26">
        <v>4000</v>
      </c>
    </row>
    <row r="96" spans="1:13" s="3" customFormat="1" ht="14.1" customHeight="1" x14ac:dyDescent="0.25">
      <c r="A96" s="16" t="s">
        <v>145</v>
      </c>
      <c r="B96" s="16" t="s">
        <v>146</v>
      </c>
      <c r="C96" s="17" t="s">
        <v>147</v>
      </c>
      <c r="D96" s="19">
        <f>D74+D78+D80+D83+D84+D87+D91</f>
        <v>57425</v>
      </c>
      <c r="E96" s="19">
        <f t="shared" ref="E96:K96" si="53">E74+E78+E80+E83+E84+E87+E91</f>
        <v>63950</v>
      </c>
      <c r="F96" s="19">
        <f t="shared" si="53"/>
        <v>11985</v>
      </c>
      <c r="G96" s="19">
        <f t="shared" si="53"/>
        <v>12145</v>
      </c>
      <c r="H96" s="19">
        <f t="shared" si="53"/>
        <v>42440</v>
      </c>
      <c r="I96" s="19">
        <f t="shared" si="53"/>
        <v>43805</v>
      </c>
      <c r="J96" s="19">
        <f t="shared" si="53"/>
        <v>3000</v>
      </c>
      <c r="K96" s="19">
        <f t="shared" si="53"/>
        <v>3000</v>
      </c>
      <c r="L96" s="19">
        <f t="shared" ref="L96:M96" si="54">L74+L78+L80+L83+L84+L87+L91</f>
        <v>0</v>
      </c>
      <c r="M96" s="19">
        <f t="shared" si="54"/>
        <v>5000</v>
      </c>
    </row>
    <row r="97" spans="1:13" s="3" customFormat="1" ht="14.1" customHeight="1" x14ac:dyDescent="0.25">
      <c r="A97" s="7" t="s">
        <v>148</v>
      </c>
      <c r="B97" s="7" t="s">
        <v>149</v>
      </c>
      <c r="C97" s="8" t="s">
        <v>150</v>
      </c>
      <c r="D97" s="9">
        <f>F97+H97+J97</f>
        <v>55</v>
      </c>
      <c r="E97" s="9">
        <f>G97+I97+K97</f>
        <v>60</v>
      </c>
      <c r="F97" s="10">
        <f>SUM(F98:F99)</f>
        <v>15</v>
      </c>
      <c r="G97" s="10">
        <f t="shared" ref="G97:K97" si="55">SUM(G98:G99)</f>
        <v>0</v>
      </c>
      <c r="H97" s="10">
        <f t="shared" si="55"/>
        <v>40</v>
      </c>
      <c r="I97" s="10">
        <f t="shared" si="55"/>
        <v>60</v>
      </c>
      <c r="J97" s="10">
        <f t="shared" si="55"/>
        <v>0</v>
      </c>
      <c r="K97" s="10">
        <f t="shared" si="55"/>
        <v>0</v>
      </c>
      <c r="L97" s="10">
        <f t="shared" ref="L97:M97" si="56">SUM(L98:L99)</f>
        <v>0</v>
      </c>
      <c r="M97" s="10">
        <f t="shared" si="56"/>
        <v>0</v>
      </c>
    </row>
    <row r="98" spans="1:13" ht="14.1" customHeight="1" x14ac:dyDescent="0.25">
      <c r="A98" s="24"/>
      <c r="B98" s="24"/>
      <c r="C98" s="25" t="s">
        <v>151</v>
      </c>
      <c r="D98" s="26"/>
      <c r="E98" s="26"/>
      <c r="F98" s="26">
        <v>15</v>
      </c>
      <c r="G98" s="26"/>
      <c r="H98" s="26">
        <v>40</v>
      </c>
      <c r="I98" s="26">
        <v>60</v>
      </c>
      <c r="J98" s="26"/>
      <c r="K98" s="26"/>
      <c r="L98" s="26"/>
      <c r="M98" s="26"/>
    </row>
    <row r="99" spans="1:13" ht="14.1" customHeight="1" x14ac:dyDescent="0.25">
      <c r="A99" s="24"/>
      <c r="B99" s="24"/>
      <c r="C99" s="25" t="s">
        <v>152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s="3" customFormat="1" ht="14.1" customHeight="1" x14ac:dyDescent="0.25">
      <c r="A100" s="7" t="s">
        <v>153</v>
      </c>
      <c r="B100" s="7" t="s">
        <v>154</v>
      </c>
      <c r="C100" s="8" t="s">
        <v>155</v>
      </c>
      <c r="D100" s="9">
        <f>F100+H100+J100</f>
        <v>1500</v>
      </c>
      <c r="E100" s="9">
        <f>G100+I100+K100+M100</f>
        <v>2748</v>
      </c>
      <c r="F100" s="10">
        <v>1500</v>
      </c>
      <c r="G100" s="10">
        <v>2548</v>
      </c>
      <c r="H100" s="10">
        <v>0</v>
      </c>
      <c r="I100" s="10">
        <v>0</v>
      </c>
      <c r="J100" s="10">
        <v>0</v>
      </c>
      <c r="K100" s="10">
        <v>100</v>
      </c>
      <c r="L100" s="10">
        <v>0</v>
      </c>
      <c r="M100" s="10">
        <v>100</v>
      </c>
    </row>
    <row r="101" spans="1:13" s="3" customFormat="1" ht="14.1" customHeight="1" x14ac:dyDescent="0.25">
      <c r="A101" s="16" t="s">
        <v>156</v>
      </c>
      <c r="B101" s="16" t="s">
        <v>157</v>
      </c>
      <c r="C101" s="17" t="s">
        <v>158</v>
      </c>
      <c r="D101" s="19">
        <f>D97+D100</f>
        <v>1555</v>
      </c>
      <c r="E101" s="19">
        <f t="shared" ref="E101:K101" si="57">E97+E100</f>
        <v>2808</v>
      </c>
      <c r="F101" s="19">
        <f t="shared" si="57"/>
        <v>1515</v>
      </c>
      <c r="G101" s="19">
        <f t="shared" si="57"/>
        <v>2548</v>
      </c>
      <c r="H101" s="19">
        <f t="shared" si="57"/>
        <v>40</v>
      </c>
      <c r="I101" s="19">
        <f t="shared" si="57"/>
        <v>60</v>
      </c>
      <c r="J101" s="19">
        <f t="shared" si="57"/>
        <v>0</v>
      </c>
      <c r="K101" s="19">
        <f t="shared" si="57"/>
        <v>100</v>
      </c>
      <c r="L101" s="19">
        <f t="shared" ref="L101:M101" si="58">L97+L100</f>
        <v>0</v>
      </c>
      <c r="M101" s="19">
        <f t="shared" si="58"/>
        <v>100</v>
      </c>
    </row>
    <row r="102" spans="1:13" s="3" customFormat="1" ht="14.1" customHeight="1" x14ac:dyDescent="0.25">
      <c r="A102" s="7" t="s">
        <v>159</v>
      </c>
      <c r="B102" s="7" t="s">
        <v>160</v>
      </c>
      <c r="C102" s="8" t="s">
        <v>161</v>
      </c>
      <c r="D102" s="9">
        <f>F102+H102+J102</f>
        <v>14856</v>
      </c>
      <c r="E102" s="9">
        <f>G102+I102+K102+M102</f>
        <v>16924</v>
      </c>
      <c r="F102" s="10">
        <f>SUM(F103:F104)</f>
        <v>1878</v>
      </c>
      <c r="G102" s="10">
        <f t="shared" ref="G102:K102" si="59">SUM(G103:G104)</f>
        <v>2236</v>
      </c>
      <c r="H102" s="10">
        <f t="shared" si="59"/>
        <v>12141</v>
      </c>
      <c r="I102" s="10">
        <f t="shared" si="59"/>
        <v>12487</v>
      </c>
      <c r="J102" s="10">
        <f t="shared" si="59"/>
        <v>837</v>
      </c>
      <c r="K102" s="10">
        <f t="shared" si="59"/>
        <v>851</v>
      </c>
      <c r="L102" s="10">
        <f t="shared" ref="L102:M102" si="60">SUM(L103:L104)</f>
        <v>0</v>
      </c>
      <c r="M102" s="10">
        <f t="shared" si="60"/>
        <v>1350</v>
      </c>
    </row>
    <row r="103" spans="1:13" ht="14.1" customHeight="1" x14ac:dyDescent="0.25">
      <c r="A103" s="24"/>
      <c r="B103" s="24"/>
      <c r="C103" s="25" t="s">
        <v>162</v>
      </c>
      <c r="D103" s="26"/>
      <c r="E103" s="26"/>
      <c r="F103" s="26">
        <v>1239</v>
      </c>
      <c r="G103" s="26">
        <v>1252</v>
      </c>
      <c r="H103" s="26">
        <v>701</v>
      </c>
      <c r="I103" s="26">
        <v>691</v>
      </c>
      <c r="J103" s="26">
        <v>810</v>
      </c>
      <c r="K103" s="26">
        <v>810</v>
      </c>
      <c r="L103" s="26">
        <v>0</v>
      </c>
      <c r="M103" s="26"/>
    </row>
    <row r="104" spans="1:13" ht="14.1" customHeight="1" x14ac:dyDescent="0.25">
      <c r="A104" s="24"/>
      <c r="B104" s="24"/>
      <c r="C104" s="25" t="s">
        <v>163</v>
      </c>
      <c r="D104" s="26"/>
      <c r="E104" s="26"/>
      <c r="F104" s="26">
        <v>639</v>
      </c>
      <c r="G104" s="26">
        <v>984</v>
      </c>
      <c r="H104" s="26">
        <v>11440</v>
      </c>
      <c r="I104" s="26">
        <v>11796</v>
      </c>
      <c r="J104" s="26">
        <v>27</v>
      </c>
      <c r="K104" s="26">
        <v>41</v>
      </c>
      <c r="L104" s="26">
        <v>0</v>
      </c>
      <c r="M104" s="26">
        <f>ROUND(M96*0.27,0)</f>
        <v>1350</v>
      </c>
    </row>
    <row r="105" spans="1:13" s="3" customFormat="1" ht="14.1" customHeight="1" x14ac:dyDescent="0.25">
      <c r="A105" s="7" t="s">
        <v>164</v>
      </c>
      <c r="B105" s="7" t="s">
        <v>165</v>
      </c>
      <c r="C105" s="8" t="s">
        <v>166</v>
      </c>
      <c r="D105" s="9">
        <f>F105+H105+J105</f>
        <v>4000</v>
      </c>
      <c r="E105" s="9">
        <f>G105+I105+K105</f>
        <v>4500</v>
      </c>
      <c r="F105" s="10">
        <f>SUM(F106:F108)</f>
        <v>2000</v>
      </c>
      <c r="G105" s="10">
        <f t="shared" ref="G105:K105" si="61">SUM(G106:G108)</f>
        <v>0</v>
      </c>
      <c r="H105" s="10">
        <f t="shared" si="61"/>
        <v>2000</v>
      </c>
      <c r="I105" s="10">
        <f t="shared" si="61"/>
        <v>4500</v>
      </c>
      <c r="J105" s="10">
        <f t="shared" si="61"/>
        <v>0</v>
      </c>
      <c r="K105" s="10">
        <f t="shared" si="61"/>
        <v>0</v>
      </c>
      <c r="L105" s="10">
        <f t="shared" ref="L105:M105" si="62">SUM(L106:L108)</f>
        <v>0</v>
      </c>
      <c r="M105" s="10">
        <f t="shared" si="62"/>
        <v>0</v>
      </c>
    </row>
    <row r="106" spans="1:13" ht="14.1" customHeight="1" x14ac:dyDescent="0.25">
      <c r="A106" s="24"/>
      <c r="B106" s="24"/>
      <c r="C106" s="25" t="s">
        <v>167</v>
      </c>
      <c r="D106" s="26"/>
      <c r="E106" s="26"/>
      <c r="F106" s="26">
        <v>2000</v>
      </c>
      <c r="G106" s="26"/>
      <c r="H106" s="26">
        <v>2000</v>
      </c>
      <c r="I106" s="26">
        <v>4500</v>
      </c>
      <c r="J106" s="26"/>
      <c r="K106" s="26"/>
      <c r="L106" s="26"/>
      <c r="M106" s="26"/>
    </row>
    <row r="107" spans="1:13" ht="14.1" customHeight="1" x14ac:dyDescent="0.25">
      <c r="A107" s="24"/>
      <c r="B107" s="24"/>
      <c r="C107" s="25" t="s">
        <v>168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ht="14.1" customHeight="1" x14ac:dyDescent="0.25">
      <c r="A108" s="24"/>
      <c r="B108" s="24"/>
      <c r="C108" s="25" t="s">
        <v>169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s="3" customFormat="1" ht="14.1" customHeight="1" x14ac:dyDescent="0.25">
      <c r="A109" s="7" t="s">
        <v>170</v>
      </c>
      <c r="B109" s="7" t="s">
        <v>171</v>
      </c>
      <c r="C109" s="8" t="s">
        <v>172</v>
      </c>
      <c r="D109" s="9">
        <f>F109+H109+J109</f>
        <v>0</v>
      </c>
      <c r="E109" s="9">
        <f>G109+I109+K109</f>
        <v>0</v>
      </c>
      <c r="F109" s="10">
        <f>SUM(F110:F113)</f>
        <v>0</v>
      </c>
      <c r="G109" s="10">
        <f t="shared" ref="G109:K109" si="63">SUM(G110:G113)</f>
        <v>0</v>
      </c>
      <c r="H109" s="10">
        <f t="shared" si="63"/>
        <v>0</v>
      </c>
      <c r="I109" s="10">
        <f t="shared" si="63"/>
        <v>0</v>
      </c>
      <c r="J109" s="10">
        <f t="shared" si="63"/>
        <v>0</v>
      </c>
      <c r="K109" s="10">
        <f t="shared" si="63"/>
        <v>0</v>
      </c>
      <c r="L109" s="10">
        <f t="shared" ref="L109:M109" si="64">SUM(L110:L113)</f>
        <v>0</v>
      </c>
      <c r="M109" s="10">
        <f t="shared" si="64"/>
        <v>0</v>
      </c>
    </row>
    <row r="110" spans="1:13" ht="14.1" customHeight="1" x14ac:dyDescent="0.25">
      <c r="A110" s="24"/>
      <c r="B110" s="24"/>
      <c r="C110" s="25" t="s">
        <v>173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ht="14.1" customHeight="1" x14ac:dyDescent="0.25">
      <c r="A111" s="24"/>
      <c r="B111" s="24"/>
      <c r="C111" s="25" t="s">
        <v>174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ht="14.1" customHeight="1" x14ac:dyDescent="0.25">
      <c r="A112" s="24"/>
      <c r="B112" s="24"/>
      <c r="C112" s="25" t="s">
        <v>175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254" ht="14.1" customHeight="1" x14ac:dyDescent="0.25">
      <c r="A113" s="24"/>
      <c r="B113" s="24"/>
      <c r="C113" s="25" t="s">
        <v>176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254" s="3" customFormat="1" ht="14.1" customHeight="1" x14ac:dyDescent="0.25">
      <c r="A114" s="7" t="s">
        <v>177</v>
      </c>
      <c r="B114" s="7" t="s">
        <v>178</v>
      </c>
      <c r="C114" s="8" t="s">
        <v>179</v>
      </c>
      <c r="D114" s="9">
        <f>F114+H114+J114</f>
        <v>0</v>
      </c>
      <c r="E114" s="9">
        <f>G114+I114+K114</f>
        <v>0</v>
      </c>
      <c r="F114" s="10">
        <f>SUM(F115:F116)</f>
        <v>0</v>
      </c>
      <c r="G114" s="10">
        <f t="shared" ref="G114:K114" si="65">SUM(G115:G116)</f>
        <v>0</v>
      </c>
      <c r="H114" s="10">
        <f t="shared" si="65"/>
        <v>0</v>
      </c>
      <c r="I114" s="10">
        <f t="shared" si="65"/>
        <v>0</v>
      </c>
      <c r="J114" s="10">
        <f t="shared" si="65"/>
        <v>0</v>
      </c>
      <c r="K114" s="10">
        <f t="shared" si="65"/>
        <v>0</v>
      </c>
      <c r="L114" s="10">
        <f t="shared" ref="L114:M114" si="66">SUM(L115:L116)</f>
        <v>0</v>
      </c>
      <c r="M114" s="10">
        <f t="shared" si="66"/>
        <v>0</v>
      </c>
    </row>
    <row r="115" spans="1:254" ht="14.1" customHeight="1" x14ac:dyDescent="0.25">
      <c r="A115" s="24"/>
      <c r="B115" s="24"/>
      <c r="C115" s="25" t="s">
        <v>180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254" ht="14.1" customHeight="1" x14ac:dyDescent="0.25">
      <c r="A116" s="24"/>
      <c r="B116" s="24"/>
      <c r="C116" s="25" t="s">
        <v>181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254" s="3" customFormat="1" ht="14.1" customHeight="1" x14ac:dyDescent="0.25">
      <c r="A117" s="7" t="s">
        <v>182</v>
      </c>
      <c r="B117" s="7" t="s">
        <v>183</v>
      </c>
      <c r="C117" s="8" t="s">
        <v>184</v>
      </c>
      <c r="D117" s="9">
        <f>F117+H117+J117</f>
        <v>300</v>
      </c>
      <c r="E117" s="9">
        <f>G117+I117+K117+M117</f>
        <v>239</v>
      </c>
      <c r="F117" s="10">
        <f>SUM(F118:F121)</f>
        <v>200</v>
      </c>
      <c r="G117" s="10">
        <f t="shared" ref="G117:K117" si="67">SUM(G118:G121)</f>
        <v>200</v>
      </c>
      <c r="H117" s="10">
        <f t="shared" si="67"/>
        <v>50</v>
      </c>
      <c r="I117" s="10">
        <f t="shared" si="67"/>
        <v>0</v>
      </c>
      <c r="J117" s="10">
        <f t="shared" si="67"/>
        <v>50</v>
      </c>
      <c r="K117" s="10">
        <f t="shared" si="67"/>
        <v>0</v>
      </c>
      <c r="L117" s="10">
        <f t="shared" ref="L117:M117" si="68">SUM(L118:L121)</f>
        <v>0</v>
      </c>
      <c r="M117" s="10">
        <f t="shared" si="68"/>
        <v>39</v>
      </c>
    </row>
    <row r="118" spans="1:254" ht="14.1" customHeight="1" x14ac:dyDescent="0.25">
      <c r="A118" s="24"/>
      <c r="B118" s="24"/>
      <c r="C118" s="25" t="s">
        <v>185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254" ht="14.1" customHeight="1" x14ac:dyDescent="0.25">
      <c r="A119" s="24"/>
      <c r="B119" s="24"/>
      <c r="C119" s="25" t="s">
        <v>186</v>
      </c>
      <c r="D119" s="26"/>
      <c r="E119" s="26"/>
      <c r="F119" s="26">
        <v>200</v>
      </c>
      <c r="G119" s="26">
        <v>200</v>
      </c>
      <c r="H119" s="26">
        <v>50</v>
      </c>
      <c r="I119" s="26"/>
      <c r="J119" s="26">
        <v>50</v>
      </c>
      <c r="K119" s="26"/>
      <c r="L119" s="26">
        <v>0</v>
      </c>
      <c r="M119" s="26"/>
    </row>
    <row r="120" spans="1:254" ht="14.1" customHeight="1" x14ac:dyDescent="0.25">
      <c r="A120" s="24"/>
      <c r="B120" s="24"/>
      <c r="C120" s="25" t="s">
        <v>187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254" ht="14.1" customHeight="1" x14ac:dyDescent="0.25">
      <c r="A121" s="24"/>
      <c r="B121" s="24"/>
      <c r="C121" s="25" t="s">
        <v>188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>
        <v>39</v>
      </c>
    </row>
    <row r="122" spans="1:254" s="3" customFormat="1" ht="14.1" customHeight="1" x14ac:dyDescent="0.25">
      <c r="A122" s="16" t="s">
        <v>189</v>
      </c>
      <c r="B122" s="16" t="s">
        <v>190</v>
      </c>
      <c r="C122" s="17" t="s">
        <v>191</v>
      </c>
      <c r="D122" s="19">
        <f>D102+D105+D109+D114+D117</f>
        <v>19156</v>
      </c>
      <c r="E122" s="19">
        <f t="shared" ref="E122:K122" si="69">E102+E105+E109+E114+E117</f>
        <v>21663</v>
      </c>
      <c r="F122" s="19">
        <f t="shared" si="69"/>
        <v>4078</v>
      </c>
      <c r="G122" s="19">
        <f t="shared" si="69"/>
        <v>2436</v>
      </c>
      <c r="H122" s="19">
        <f t="shared" si="69"/>
        <v>14191</v>
      </c>
      <c r="I122" s="19">
        <f t="shared" si="69"/>
        <v>16987</v>
      </c>
      <c r="J122" s="19">
        <f t="shared" si="69"/>
        <v>887</v>
      </c>
      <c r="K122" s="19">
        <f t="shared" si="69"/>
        <v>851</v>
      </c>
      <c r="L122" s="19">
        <f t="shared" ref="L122:M122" si="70">L102+L105+L109+L114+L117</f>
        <v>0</v>
      </c>
      <c r="M122" s="19">
        <f t="shared" si="70"/>
        <v>1389</v>
      </c>
    </row>
    <row r="123" spans="1:254" s="3" customFormat="1" ht="14.1" customHeight="1" x14ac:dyDescent="0.25">
      <c r="A123" s="20" t="s">
        <v>192</v>
      </c>
      <c r="B123" s="20" t="s">
        <v>193</v>
      </c>
      <c r="C123" s="21" t="s">
        <v>292</v>
      </c>
      <c r="D123" s="23">
        <f>D62+D73+D96+D101+D122</f>
        <v>81371</v>
      </c>
      <c r="E123" s="23">
        <f t="shared" ref="E123:K123" si="71">E62+E73+E96+E101+E122</f>
        <v>91951</v>
      </c>
      <c r="F123" s="23">
        <f t="shared" si="71"/>
        <v>18240</v>
      </c>
      <c r="G123" s="23">
        <f t="shared" si="71"/>
        <v>17924</v>
      </c>
      <c r="H123" s="23">
        <f t="shared" si="71"/>
        <v>59194</v>
      </c>
      <c r="I123" s="23">
        <f t="shared" si="71"/>
        <v>63537</v>
      </c>
      <c r="J123" s="23">
        <f t="shared" si="71"/>
        <v>3937</v>
      </c>
      <c r="K123" s="23">
        <f t="shared" si="71"/>
        <v>4001</v>
      </c>
      <c r="L123" s="23">
        <f t="shared" ref="L123:M123" si="72">L62+L73+L96+L101+L122</f>
        <v>0</v>
      </c>
      <c r="M123" s="23">
        <f t="shared" si="72"/>
        <v>6489</v>
      </c>
    </row>
    <row r="124" spans="1:254" ht="14.1" customHeight="1" x14ac:dyDescent="0.2">
      <c r="A124" s="963" t="s">
        <v>291</v>
      </c>
      <c r="B124" s="964"/>
      <c r="C124" s="965"/>
      <c r="D124" s="28">
        <f>D39+D123</f>
        <v>124939</v>
      </c>
      <c r="E124" s="28">
        <f t="shared" ref="E124:K124" si="73">E39+E123</f>
        <v>141945</v>
      </c>
      <c r="F124" s="28">
        <f t="shared" si="73"/>
        <v>18437</v>
      </c>
      <c r="G124" s="28">
        <f t="shared" si="73"/>
        <v>18121</v>
      </c>
      <c r="H124" s="28">
        <f t="shared" si="73"/>
        <v>102444</v>
      </c>
      <c r="I124" s="28">
        <f t="shared" si="73"/>
        <v>111702</v>
      </c>
      <c r="J124" s="28">
        <f t="shared" si="73"/>
        <v>4058</v>
      </c>
      <c r="K124" s="28">
        <f t="shared" si="73"/>
        <v>4122</v>
      </c>
      <c r="L124" s="28">
        <f t="shared" ref="L124:M124" si="74">L39+L123</f>
        <v>0</v>
      </c>
      <c r="M124" s="28">
        <f t="shared" si="74"/>
        <v>8000</v>
      </c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  <c r="GY124" s="27"/>
      <c r="GZ124" s="27"/>
      <c r="HA124" s="27"/>
      <c r="HB124" s="27"/>
      <c r="HC124" s="27"/>
      <c r="HD124" s="27"/>
      <c r="HE124" s="27"/>
      <c r="HF124" s="27"/>
      <c r="HG124" s="27"/>
      <c r="HH124" s="27"/>
      <c r="HI124" s="27"/>
      <c r="HJ124" s="27"/>
      <c r="HK124" s="27"/>
      <c r="HL124" s="27"/>
      <c r="HM124" s="27"/>
      <c r="HN124" s="27"/>
      <c r="HO124" s="27"/>
      <c r="HP124" s="27"/>
      <c r="HQ124" s="27"/>
      <c r="HR124" s="27"/>
      <c r="HS124" s="27"/>
      <c r="HT124" s="27"/>
      <c r="HU124" s="27"/>
      <c r="HV124" s="27"/>
      <c r="HW124" s="27"/>
      <c r="HX124" s="27"/>
      <c r="HY124" s="27"/>
      <c r="HZ124" s="27"/>
      <c r="IA124" s="27"/>
      <c r="IB124" s="27"/>
      <c r="IC124" s="27"/>
      <c r="ID124" s="27"/>
      <c r="IE124" s="27"/>
      <c r="IF124" s="27"/>
      <c r="IG124" s="27"/>
      <c r="IH124" s="27"/>
      <c r="II124" s="27"/>
      <c r="IJ124" s="27"/>
      <c r="IK124" s="27"/>
      <c r="IL124" s="27"/>
      <c r="IM124" s="27"/>
      <c r="IN124" s="27"/>
      <c r="IO124" s="27"/>
      <c r="IP124" s="27"/>
      <c r="IQ124" s="27"/>
      <c r="IR124" s="27"/>
      <c r="IS124" s="27"/>
      <c r="IT124" s="27"/>
    </row>
    <row r="125" spans="1:254" ht="12.75" customHeight="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  <c r="GY125" s="27"/>
      <c r="GZ125" s="27"/>
      <c r="HA125" s="27"/>
      <c r="HB125" s="27"/>
      <c r="HC125" s="27"/>
      <c r="HD125" s="27"/>
      <c r="HE125" s="27"/>
      <c r="HF125" s="27"/>
      <c r="HG125" s="27"/>
      <c r="HH125" s="27"/>
      <c r="HI125" s="27"/>
      <c r="HJ125" s="27"/>
      <c r="HK125" s="27"/>
      <c r="HL125" s="27"/>
      <c r="HM125" s="27"/>
      <c r="HN125" s="27"/>
      <c r="HO125" s="27"/>
      <c r="HP125" s="27"/>
      <c r="HQ125" s="27"/>
      <c r="HR125" s="27"/>
      <c r="HS125" s="27"/>
      <c r="HT125" s="27"/>
      <c r="HU125" s="27"/>
      <c r="HV125" s="27"/>
      <c r="HW125" s="27"/>
      <c r="HX125" s="27"/>
      <c r="HY125" s="27"/>
      <c r="HZ125" s="27"/>
      <c r="IA125" s="27"/>
      <c r="IB125" s="27"/>
      <c r="IC125" s="27"/>
      <c r="ID125" s="27"/>
      <c r="IE125" s="27"/>
      <c r="IF125" s="27"/>
      <c r="IG125" s="27"/>
      <c r="IH125" s="27"/>
      <c r="II125" s="27"/>
      <c r="IJ125" s="27"/>
      <c r="IK125" s="27"/>
      <c r="IL125" s="27"/>
      <c r="IM125" s="27"/>
      <c r="IN125" s="27"/>
      <c r="IO125" s="27"/>
      <c r="IP125" s="27"/>
      <c r="IQ125" s="27"/>
      <c r="IR125" s="27"/>
      <c r="IS125" s="27"/>
      <c r="IT125" s="27"/>
    </row>
    <row r="126" spans="1:254" ht="14.1" customHeight="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  <c r="HX126" s="27"/>
      <c r="HY126" s="27"/>
      <c r="HZ126" s="27"/>
      <c r="IA126" s="27"/>
      <c r="IB126" s="27"/>
      <c r="IC126" s="27"/>
      <c r="ID126" s="27"/>
      <c r="IE126" s="27"/>
      <c r="IF126" s="27"/>
      <c r="IG126" s="27"/>
      <c r="IH126" s="27"/>
      <c r="II126" s="27"/>
      <c r="IJ126" s="27"/>
      <c r="IK126" s="27"/>
      <c r="IL126" s="27"/>
      <c r="IM126" s="27"/>
      <c r="IN126" s="27"/>
      <c r="IO126" s="27"/>
      <c r="IP126" s="27"/>
      <c r="IQ126" s="27"/>
      <c r="IR126" s="27"/>
      <c r="IS126" s="27"/>
      <c r="IT126" s="27"/>
    </row>
    <row r="128" spans="1:254" s="1" customFormat="1" ht="12.75" customHeight="1" x14ac:dyDescent="0.25">
      <c r="A128" s="988" t="s">
        <v>603</v>
      </c>
      <c r="B128" s="989"/>
      <c r="C128" s="989"/>
      <c r="D128" s="989"/>
      <c r="E128" s="989"/>
      <c r="F128" s="989"/>
      <c r="G128" s="989"/>
      <c r="H128" s="989"/>
      <c r="I128" s="989"/>
      <c r="J128" s="989"/>
      <c r="K128" s="989"/>
      <c r="L128" s="989"/>
      <c r="M128" s="989"/>
    </row>
    <row r="129" spans="1:13" s="1" customFormat="1" ht="14.1" customHeight="1" x14ac:dyDescent="0.25">
      <c r="A129" s="957" t="s">
        <v>0</v>
      </c>
      <c r="B129" s="961" t="s">
        <v>1</v>
      </c>
      <c r="C129" s="957" t="s">
        <v>2</v>
      </c>
      <c r="D129" s="962" t="s">
        <v>260</v>
      </c>
      <c r="E129" s="952" t="s">
        <v>259</v>
      </c>
      <c r="F129" s="954" t="s">
        <v>598</v>
      </c>
      <c r="G129" s="955"/>
      <c r="H129" s="954" t="s">
        <v>599</v>
      </c>
      <c r="I129" s="955"/>
      <c r="J129" s="954" t="s">
        <v>600</v>
      </c>
      <c r="K129" s="955"/>
      <c r="L129" s="986" t="s">
        <v>1178</v>
      </c>
      <c r="M129" s="987"/>
    </row>
    <row r="130" spans="1:13" s="3" customFormat="1" ht="27" customHeight="1" x14ac:dyDescent="0.25">
      <c r="A130" s="957"/>
      <c r="B130" s="961"/>
      <c r="C130" s="957"/>
      <c r="D130" s="962"/>
      <c r="E130" s="953"/>
      <c r="F130" s="97" t="s">
        <v>263</v>
      </c>
      <c r="G130" s="97" t="s">
        <v>259</v>
      </c>
      <c r="H130" s="97" t="s">
        <v>260</v>
      </c>
      <c r="I130" s="97" t="s">
        <v>259</v>
      </c>
      <c r="J130" s="97" t="s">
        <v>260</v>
      </c>
      <c r="K130" s="97" t="s">
        <v>259</v>
      </c>
      <c r="L130" s="269" t="s">
        <v>260</v>
      </c>
      <c r="M130" s="269" t="s">
        <v>259</v>
      </c>
    </row>
    <row r="131" spans="1:13" ht="5.65" customHeight="1" x14ac:dyDescent="0.25"/>
    <row r="132" spans="1:13" ht="14.1" customHeight="1" x14ac:dyDescent="0.25">
      <c r="A132" s="956" t="s">
        <v>194</v>
      </c>
      <c r="B132" s="956"/>
      <c r="C132" s="956"/>
      <c r="D132" s="956"/>
      <c r="E132" s="956"/>
      <c r="F132" s="956"/>
      <c r="G132" s="956"/>
      <c r="H132" s="956"/>
      <c r="I132" s="956"/>
      <c r="J132" s="101"/>
      <c r="K132" s="101"/>
      <c r="L132" s="101"/>
      <c r="M132" s="101"/>
    </row>
    <row r="133" spans="1:13" ht="14.1" customHeight="1" x14ac:dyDescent="0.25">
      <c r="A133" s="24" t="s">
        <v>195</v>
      </c>
      <c r="B133" s="24" t="s">
        <v>196</v>
      </c>
      <c r="C133" s="25" t="s">
        <v>197</v>
      </c>
      <c r="D133" s="26">
        <f>F133+H133+J133</f>
        <v>0</v>
      </c>
      <c r="E133" s="26">
        <f>G133+I133+K133</f>
        <v>380</v>
      </c>
      <c r="F133" s="26"/>
      <c r="G133" s="26"/>
      <c r="H133" s="26"/>
      <c r="I133" s="26">
        <v>380</v>
      </c>
      <c r="J133" s="26"/>
      <c r="K133" s="26"/>
      <c r="L133" s="26"/>
      <c r="M133" s="26"/>
    </row>
    <row r="134" spans="1:13" ht="14.1" customHeight="1" x14ac:dyDescent="0.25">
      <c r="A134" s="24" t="s">
        <v>198</v>
      </c>
      <c r="B134" s="24" t="s">
        <v>199</v>
      </c>
      <c r="C134" s="25" t="s">
        <v>200</v>
      </c>
      <c r="D134" s="26">
        <f t="shared" ref="D134:D146" si="75">F134+H134+J134</f>
        <v>0</v>
      </c>
      <c r="E134" s="26">
        <f t="shared" ref="E134:E145" si="76">G134+I134+K134</f>
        <v>0</v>
      </c>
      <c r="F134" s="26"/>
      <c r="G134" s="26"/>
      <c r="H134" s="26"/>
      <c r="I134" s="26"/>
      <c r="J134" s="26"/>
      <c r="K134" s="26"/>
      <c r="L134" s="26"/>
      <c r="M134" s="26"/>
    </row>
    <row r="135" spans="1:13" ht="14.1" customHeight="1" x14ac:dyDescent="0.25">
      <c r="A135" s="24" t="s">
        <v>201</v>
      </c>
      <c r="B135" s="24" t="s">
        <v>202</v>
      </c>
      <c r="C135" s="25" t="s">
        <v>203</v>
      </c>
      <c r="D135" s="26">
        <f t="shared" si="75"/>
        <v>0</v>
      </c>
      <c r="E135" s="26">
        <f t="shared" si="76"/>
        <v>0</v>
      </c>
      <c r="F135" s="26"/>
      <c r="G135" s="26"/>
      <c r="H135" s="26"/>
      <c r="I135" s="26"/>
      <c r="J135" s="26"/>
      <c r="K135" s="26"/>
      <c r="L135" s="26"/>
      <c r="M135" s="26"/>
    </row>
    <row r="136" spans="1:13" ht="14.1" customHeight="1" x14ac:dyDescent="0.25">
      <c r="A136" s="24" t="s">
        <v>204</v>
      </c>
      <c r="B136" s="24" t="s">
        <v>205</v>
      </c>
      <c r="C136" s="25" t="s">
        <v>206</v>
      </c>
      <c r="D136" s="26">
        <f t="shared" si="75"/>
        <v>1100</v>
      </c>
      <c r="E136" s="26">
        <f t="shared" si="76"/>
        <v>670</v>
      </c>
      <c r="F136" s="26">
        <v>1100</v>
      </c>
      <c r="G136" s="26"/>
      <c r="H136" s="26"/>
      <c r="I136" s="26">
        <v>670</v>
      </c>
      <c r="J136" s="26"/>
      <c r="K136" s="26"/>
      <c r="L136" s="26"/>
      <c r="M136" s="26"/>
    </row>
    <row r="137" spans="1:13" ht="14.1" customHeight="1" x14ac:dyDescent="0.25">
      <c r="A137" s="24"/>
      <c r="B137" s="24" t="s">
        <v>207</v>
      </c>
      <c r="C137" s="25" t="s">
        <v>208</v>
      </c>
      <c r="D137" s="26">
        <f t="shared" si="75"/>
        <v>0</v>
      </c>
      <c r="E137" s="26">
        <f t="shared" si="76"/>
        <v>0</v>
      </c>
      <c r="F137" s="26"/>
      <c r="G137" s="26"/>
      <c r="H137" s="26"/>
      <c r="I137" s="26"/>
      <c r="J137" s="26"/>
      <c r="K137" s="26"/>
      <c r="L137" s="26"/>
      <c r="M137" s="26"/>
    </row>
    <row r="138" spans="1:13" ht="14.1" customHeight="1" x14ac:dyDescent="0.25">
      <c r="A138" s="24" t="s">
        <v>209</v>
      </c>
      <c r="B138" s="24" t="s">
        <v>210</v>
      </c>
      <c r="C138" s="25" t="s">
        <v>211</v>
      </c>
      <c r="D138" s="26">
        <f t="shared" si="75"/>
        <v>0</v>
      </c>
      <c r="E138" s="26">
        <f t="shared" si="76"/>
        <v>0</v>
      </c>
      <c r="F138" s="26"/>
      <c r="G138" s="26"/>
      <c r="H138" s="26"/>
      <c r="I138" s="26"/>
      <c r="J138" s="26"/>
      <c r="K138" s="26"/>
      <c r="L138" s="26"/>
      <c r="M138" s="26"/>
    </row>
    <row r="139" spans="1:13" ht="14.1" customHeight="1" x14ac:dyDescent="0.25">
      <c r="A139" s="24" t="s">
        <v>212</v>
      </c>
      <c r="B139" s="24" t="s">
        <v>213</v>
      </c>
      <c r="C139" s="25" t="s">
        <v>214</v>
      </c>
      <c r="D139" s="26">
        <f t="shared" si="75"/>
        <v>0</v>
      </c>
      <c r="E139" s="26">
        <f t="shared" si="76"/>
        <v>0</v>
      </c>
      <c r="F139" s="26"/>
      <c r="G139" s="26"/>
      <c r="H139" s="26"/>
      <c r="I139" s="26"/>
      <c r="J139" s="26"/>
      <c r="K139" s="26"/>
      <c r="L139" s="26"/>
      <c r="M139" s="26"/>
    </row>
    <row r="140" spans="1:13" ht="14.1" customHeight="1" x14ac:dyDescent="0.25">
      <c r="A140" s="24" t="s">
        <v>215</v>
      </c>
      <c r="B140" s="24" t="s">
        <v>216</v>
      </c>
      <c r="C140" s="25" t="s">
        <v>217</v>
      </c>
      <c r="D140" s="26">
        <f t="shared" si="75"/>
        <v>297</v>
      </c>
      <c r="E140" s="26">
        <f t="shared" si="76"/>
        <v>284</v>
      </c>
      <c r="F140" s="26">
        <v>297</v>
      </c>
      <c r="G140" s="26">
        <f>ROUND((G133+G134+G135+G136+G137)*0.27,0)</f>
        <v>0</v>
      </c>
      <c r="H140" s="26">
        <v>0</v>
      </c>
      <c r="I140" s="26">
        <f>ROUND((I133+I134+I135+I136+I137)*0.27,0)</f>
        <v>284</v>
      </c>
      <c r="J140" s="26"/>
      <c r="K140" s="26"/>
      <c r="L140" s="26"/>
      <c r="M140" s="26"/>
    </row>
    <row r="141" spans="1:13" s="3" customFormat="1" ht="14.1" customHeight="1" x14ac:dyDescent="0.25">
      <c r="A141" s="20" t="s">
        <v>218</v>
      </c>
      <c r="B141" s="21" t="s">
        <v>219</v>
      </c>
      <c r="C141" s="23" t="s">
        <v>220</v>
      </c>
      <c r="D141" s="23">
        <f>SUM(D133:D140)</f>
        <v>1397</v>
      </c>
      <c r="E141" s="23">
        <f t="shared" ref="E141:K141" si="77">SUM(E133:E140)</f>
        <v>1334</v>
      </c>
      <c r="F141" s="23">
        <f t="shared" si="77"/>
        <v>1397</v>
      </c>
      <c r="G141" s="23">
        <f t="shared" si="77"/>
        <v>0</v>
      </c>
      <c r="H141" s="23">
        <f t="shared" si="77"/>
        <v>0</v>
      </c>
      <c r="I141" s="23">
        <f t="shared" si="77"/>
        <v>1334</v>
      </c>
      <c r="J141" s="23">
        <f t="shared" si="77"/>
        <v>0</v>
      </c>
      <c r="K141" s="23">
        <f t="shared" si="77"/>
        <v>0</v>
      </c>
      <c r="L141" s="23">
        <f t="shared" ref="L141:M141" si="78">SUM(L133:L140)</f>
        <v>0</v>
      </c>
      <c r="M141" s="23">
        <f t="shared" si="78"/>
        <v>0</v>
      </c>
    </row>
    <row r="142" spans="1:13" ht="14.1" customHeight="1" x14ac:dyDescent="0.25">
      <c r="A142" s="24" t="s">
        <v>221</v>
      </c>
      <c r="B142" s="24" t="s">
        <v>222</v>
      </c>
      <c r="C142" s="25" t="s">
        <v>223</v>
      </c>
      <c r="D142" s="26">
        <f t="shared" si="75"/>
        <v>0</v>
      </c>
      <c r="E142" s="26">
        <f t="shared" si="76"/>
        <v>0</v>
      </c>
      <c r="F142" s="26"/>
      <c r="G142" s="26"/>
      <c r="H142" s="26"/>
      <c r="I142" s="26"/>
      <c r="J142" s="26"/>
      <c r="K142" s="26"/>
      <c r="L142" s="26"/>
      <c r="M142" s="26"/>
    </row>
    <row r="143" spans="1:13" ht="14.1" customHeight="1" x14ac:dyDescent="0.25">
      <c r="A143" s="24" t="s">
        <v>224</v>
      </c>
      <c r="B143" s="24" t="s">
        <v>225</v>
      </c>
      <c r="C143" s="25" t="s">
        <v>226</v>
      </c>
      <c r="D143" s="26">
        <f t="shared" si="75"/>
        <v>0</v>
      </c>
      <c r="E143" s="26">
        <f t="shared" si="76"/>
        <v>0</v>
      </c>
      <c r="F143" s="26"/>
      <c r="G143" s="26"/>
      <c r="H143" s="26"/>
      <c r="I143" s="26"/>
      <c r="J143" s="26"/>
      <c r="K143" s="26"/>
      <c r="L143" s="26"/>
      <c r="M143" s="26"/>
    </row>
    <row r="144" spans="1:13" ht="14.1" customHeight="1" x14ac:dyDescent="0.25">
      <c r="A144" s="24" t="s">
        <v>227</v>
      </c>
      <c r="B144" s="24" t="s">
        <v>228</v>
      </c>
      <c r="C144" s="25" t="s">
        <v>229</v>
      </c>
      <c r="D144" s="26">
        <f t="shared" si="75"/>
        <v>0</v>
      </c>
      <c r="E144" s="26">
        <f t="shared" si="76"/>
        <v>0</v>
      </c>
      <c r="F144" s="26"/>
      <c r="G144" s="26"/>
      <c r="H144" s="26"/>
      <c r="I144" s="26"/>
      <c r="J144" s="26"/>
      <c r="K144" s="26"/>
      <c r="L144" s="26"/>
      <c r="M144" s="26"/>
    </row>
    <row r="145" spans="1:13" ht="14.1" customHeight="1" x14ac:dyDescent="0.25">
      <c r="A145" s="24"/>
      <c r="B145" s="24" t="s">
        <v>230</v>
      </c>
      <c r="C145" s="25" t="s">
        <v>231</v>
      </c>
      <c r="D145" s="26">
        <f t="shared" si="75"/>
        <v>0</v>
      </c>
      <c r="E145" s="26">
        <f t="shared" si="76"/>
        <v>0</v>
      </c>
      <c r="F145" s="26"/>
      <c r="G145" s="26"/>
      <c r="H145" s="26"/>
      <c r="I145" s="26"/>
      <c r="J145" s="26"/>
      <c r="K145" s="26"/>
      <c r="L145" s="26"/>
      <c r="M145" s="26"/>
    </row>
    <row r="146" spans="1:13" ht="14.1" customHeight="1" x14ac:dyDescent="0.25">
      <c r="A146" s="24" t="s">
        <v>232</v>
      </c>
      <c r="B146" s="24" t="s">
        <v>233</v>
      </c>
      <c r="C146" s="25" t="s">
        <v>234</v>
      </c>
      <c r="D146" s="26">
        <f t="shared" si="75"/>
        <v>0</v>
      </c>
      <c r="E146" s="26">
        <f t="shared" ref="E146" si="79">G146+I146</f>
        <v>0</v>
      </c>
      <c r="F146" s="26">
        <v>0</v>
      </c>
      <c r="G146" s="26">
        <f>ROUND((G142+G143+G144+G145)*0.27,0)</f>
        <v>0</v>
      </c>
      <c r="H146" s="26">
        <v>0</v>
      </c>
      <c r="I146" s="26">
        <f>ROUND((I142+I143+I144+I145)*0.27,0)</f>
        <v>0</v>
      </c>
      <c r="J146" s="26"/>
      <c r="K146" s="26"/>
      <c r="L146" s="26"/>
      <c r="M146" s="26"/>
    </row>
    <row r="147" spans="1:13" s="3" customFormat="1" ht="14.1" customHeight="1" x14ac:dyDescent="0.25">
      <c r="A147" s="20" t="s">
        <v>235</v>
      </c>
      <c r="B147" s="21" t="s">
        <v>236</v>
      </c>
      <c r="C147" s="23" t="s">
        <v>237</v>
      </c>
      <c r="D147" s="23">
        <f>SUM(D142:D146)</f>
        <v>0</v>
      </c>
      <c r="E147" s="23">
        <f t="shared" ref="E147:K147" si="80">SUM(E142:E146)</f>
        <v>0</v>
      </c>
      <c r="F147" s="23">
        <f t="shared" si="80"/>
        <v>0</v>
      </c>
      <c r="G147" s="23">
        <f t="shared" si="80"/>
        <v>0</v>
      </c>
      <c r="H147" s="23">
        <f t="shared" si="80"/>
        <v>0</v>
      </c>
      <c r="I147" s="23">
        <f t="shared" si="80"/>
        <v>0</v>
      </c>
      <c r="J147" s="23">
        <f t="shared" si="80"/>
        <v>0</v>
      </c>
      <c r="K147" s="23">
        <f t="shared" si="80"/>
        <v>0</v>
      </c>
      <c r="L147" s="23">
        <f t="shared" ref="L147:M147" si="81">SUM(L142:L146)</f>
        <v>0</v>
      </c>
      <c r="M147" s="23">
        <f t="shared" si="81"/>
        <v>0</v>
      </c>
    </row>
    <row r="148" spans="1:13" s="3" customFormat="1" ht="14.1" customHeight="1" x14ac:dyDescent="0.25">
      <c r="A148" s="963" t="s">
        <v>293</v>
      </c>
      <c r="B148" s="964"/>
      <c r="C148" s="965" t="s">
        <v>238</v>
      </c>
      <c r="D148" s="28">
        <f>D141+D147</f>
        <v>1397</v>
      </c>
      <c r="E148" s="28">
        <f t="shared" ref="E148:K148" si="82">E141+E147</f>
        <v>1334</v>
      </c>
      <c r="F148" s="28">
        <f t="shared" si="82"/>
        <v>1397</v>
      </c>
      <c r="G148" s="28">
        <f t="shared" si="82"/>
        <v>0</v>
      </c>
      <c r="H148" s="28">
        <f t="shared" si="82"/>
        <v>0</v>
      </c>
      <c r="I148" s="28">
        <f t="shared" si="82"/>
        <v>1334</v>
      </c>
      <c r="J148" s="28">
        <f t="shared" si="82"/>
        <v>0</v>
      </c>
      <c r="K148" s="28">
        <f t="shared" si="82"/>
        <v>0</v>
      </c>
      <c r="L148" s="28">
        <f t="shared" ref="L148:M148" si="83">L141+L147</f>
        <v>0</v>
      </c>
      <c r="M148" s="28">
        <f t="shared" si="83"/>
        <v>0</v>
      </c>
    </row>
    <row r="149" spans="1:13" ht="6.75" customHeight="1" x14ac:dyDescent="0.25"/>
    <row r="150" spans="1:13" ht="14.1" customHeight="1" x14ac:dyDescent="0.25">
      <c r="A150" s="958" t="s">
        <v>294</v>
      </c>
      <c r="B150" s="959"/>
      <c r="C150" s="960"/>
      <c r="D150" s="30">
        <f>D148+D124</f>
        <v>126336</v>
      </c>
      <c r="E150" s="30">
        <f t="shared" ref="E150:K150" si="84">E148+E124</f>
        <v>143279</v>
      </c>
      <c r="F150" s="30">
        <f t="shared" si="84"/>
        <v>19834</v>
      </c>
      <c r="G150" s="30">
        <f t="shared" si="84"/>
        <v>18121</v>
      </c>
      <c r="H150" s="30">
        <f t="shared" si="84"/>
        <v>102444</v>
      </c>
      <c r="I150" s="30">
        <f t="shared" si="84"/>
        <v>113036</v>
      </c>
      <c r="J150" s="30">
        <f t="shared" si="84"/>
        <v>4058</v>
      </c>
      <c r="K150" s="30">
        <f t="shared" si="84"/>
        <v>4122</v>
      </c>
      <c r="L150" s="30">
        <f t="shared" ref="L150:M150" si="85">L148+L124</f>
        <v>0</v>
      </c>
      <c r="M150" s="30">
        <f t="shared" si="85"/>
        <v>8000</v>
      </c>
    </row>
    <row r="155" spans="1:13" s="1" customFormat="1" ht="12.75" customHeight="1" x14ac:dyDescent="0.25">
      <c r="A155" s="988" t="s">
        <v>602</v>
      </c>
      <c r="B155" s="989"/>
      <c r="C155" s="989"/>
      <c r="D155" s="989"/>
      <c r="E155" s="989"/>
      <c r="F155" s="989"/>
      <c r="G155" s="989"/>
      <c r="H155" s="989"/>
      <c r="I155" s="989"/>
      <c r="J155" s="989"/>
      <c r="K155" s="989"/>
      <c r="L155" s="989"/>
      <c r="M155" s="989"/>
    </row>
    <row r="156" spans="1:13" s="1" customFormat="1" ht="14.1" customHeight="1" x14ac:dyDescent="0.25">
      <c r="A156" s="957" t="s">
        <v>0</v>
      </c>
      <c r="B156" s="961" t="s">
        <v>1</v>
      </c>
      <c r="C156" s="957" t="s">
        <v>2</v>
      </c>
      <c r="D156" s="962" t="s">
        <v>260</v>
      </c>
      <c r="E156" s="952" t="s">
        <v>259</v>
      </c>
      <c r="F156" s="954" t="s">
        <v>598</v>
      </c>
      <c r="G156" s="955"/>
      <c r="H156" s="954" t="s">
        <v>599</v>
      </c>
      <c r="I156" s="955"/>
      <c r="J156" s="954" t="s">
        <v>600</v>
      </c>
      <c r="K156" s="955"/>
      <c r="L156" s="986" t="s">
        <v>1178</v>
      </c>
      <c r="M156" s="987"/>
    </row>
    <row r="157" spans="1:13" s="3" customFormat="1" ht="23.25" customHeight="1" x14ac:dyDescent="0.25">
      <c r="A157" s="957"/>
      <c r="B157" s="961"/>
      <c r="C157" s="957"/>
      <c r="D157" s="962"/>
      <c r="E157" s="953"/>
      <c r="F157" s="97" t="s">
        <v>263</v>
      </c>
      <c r="G157" s="97" t="s">
        <v>259</v>
      </c>
      <c r="H157" s="97" t="s">
        <v>260</v>
      </c>
      <c r="I157" s="97" t="s">
        <v>259</v>
      </c>
      <c r="J157" s="97" t="s">
        <v>260</v>
      </c>
      <c r="K157" s="97" t="s">
        <v>259</v>
      </c>
      <c r="L157" s="269" t="s">
        <v>260</v>
      </c>
      <c r="M157" s="269" t="s">
        <v>259</v>
      </c>
    </row>
    <row r="158" spans="1:13" ht="5.65" customHeight="1" x14ac:dyDescent="0.25"/>
    <row r="159" spans="1:13" ht="14.1" customHeight="1" x14ac:dyDescent="0.25">
      <c r="A159" s="956" t="s">
        <v>239</v>
      </c>
      <c r="B159" s="956"/>
      <c r="C159" s="956"/>
      <c r="D159" s="956"/>
      <c r="E159" s="956"/>
      <c r="F159" s="956"/>
      <c r="G159" s="956"/>
      <c r="H159" s="956"/>
      <c r="I159" s="956"/>
      <c r="J159" s="101"/>
      <c r="K159" s="101"/>
      <c r="L159" s="101"/>
      <c r="M159" s="101"/>
    </row>
    <row r="160" spans="1:13" s="3" customFormat="1" ht="14.1" customHeight="1" x14ac:dyDescent="0.25">
      <c r="A160" s="20" t="s">
        <v>240</v>
      </c>
      <c r="B160" s="20"/>
      <c r="C160" s="21" t="s">
        <v>241</v>
      </c>
      <c r="D160" s="23">
        <f>SUM(D161:D170)</f>
        <v>34002</v>
      </c>
      <c r="E160" s="23">
        <f t="shared" ref="E160:K160" si="86">SUM(E161:E170)</f>
        <v>34002</v>
      </c>
      <c r="F160" s="23">
        <f t="shared" si="86"/>
        <v>14991</v>
      </c>
      <c r="G160" s="23">
        <f t="shared" si="86"/>
        <v>14991</v>
      </c>
      <c r="H160" s="23">
        <f t="shared" si="86"/>
        <v>19011</v>
      </c>
      <c r="I160" s="23">
        <f t="shared" si="86"/>
        <v>19011</v>
      </c>
      <c r="J160" s="23">
        <f t="shared" si="86"/>
        <v>0</v>
      </c>
      <c r="K160" s="23">
        <f t="shared" si="86"/>
        <v>0</v>
      </c>
      <c r="L160" s="23">
        <f t="shared" ref="L160:M160" si="87">SUM(L161:L170)</f>
        <v>0</v>
      </c>
      <c r="M160" s="23">
        <f t="shared" si="87"/>
        <v>0</v>
      </c>
    </row>
    <row r="161" spans="1:13" ht="14.1" customHeight="1" x14ac:dyDescent="0.25">
      <c r="A161" s="24" t="s">
        <v>242</v>
      </c>
      <c r="B161" s="24"/>
      <c r="C161" s="25" t="s">
        <v>243</v>
      </c>
      <c r="D161" s="26">
        <f t="shared" ref="D161:D170" si="88">F161+H161+J161</f>
        <v>0</v>
      </c>
      <c r="E161" s="26">
        <f>G161+I161+K161</f>
        <v>0</v>
      </c>
      <c r="F161" s="26"/>
      <c r="G161" s="26"/>
      <c r="H161" s="26"/>
      <c r="I161" s="26"/>
      <c r="J161" s="26"/>
      <c r="K161" s="26"/>
      <c r="L161" s="26"/>
      <c r="M161" s="26"/>
    </row>
    <row r="162" spans="1:13" ht="14.1" customHeight="1" x14ac:dyDescent="0.25">
      <c r="A162" s="24" t="s">
        <v>244</v>
      </c>
      <c r="B162" s="24"/>
      <c r="C162" s="25" t="s">
        <v>245</v>
      </c>
      <c r="D162" s="26">
        <f t="shared" si="88"/>
        <v>22340</v>
      </c>
      <c r="E162" s="26">
        <f t="shared" ref="E162:E170" si="89">G162+I162+K162</f>
        <v>22340</v>
      </c>
      <c r="F162" s="26">
        <v>11410</v>
      </c>
      <c r="G162" s="26">
        <v>11410</v>
      </c>
      <c r="H162" s="26">
        <v>10930</v>
      </c>
      <c r="I162" s="26">
        <v>10930</v>
      </c>
      <c r="J162" s="26"/>
      <c r="K162" s="26"/>
      <c r="L162" s="26"/>
      <c r="M162" s="26"/>
    </row>
    <row r="163" spans="1:13" ht="14.1" customHeight="1" x14ac:dyDescent="0.25">
      <c r="A163" s="24" t="s">
        <v>246</v>
      </c>
      <c r="B163" s="24"/>
      <c r="C163" s="25" t="s">
        <v>247</v>
      </c>
      <c r="D163" s="26">
        <f t="shared" si="88"/>
        <v>4000</v>
      </c>
      <c r="E163" s="26">
        <f t="shared" si="89"/>
        <v>4000</v>
      </c>
      <c r="F163" s="26"/>
      <c r="G163" s="26"/>
      <c r="H163" s="26">
        <v>4000</v>
      </c>
      <c r="I163" s="26">
        <v>4000</v>
      </c>
      <c r="J163" s="26"/>
      <c r="K163" s="26"/>
      <c r="L163" s="26"/>
      <c r="M163" s="26"/>
    </row>
    <row r="164" spans="1:13" ht="14.1" customHeight="1" x14ac:dyDescent="0.25">
      <c r="A164" s="24" t="s">
        <v>248</v>
      </c>
      <c r="B164" s="24"/>
      <c r="C164" s="25" t="s">
        <v>249</v>
      </c>
      <c r="D164" s="26">
        <f t="shared" si="88"/>
        <v>0</v>
      </c>
      <c r="E164" s="26">
        <f t="shared" si="89"/>
        <v>0</v>
      </c>
      <c r="F164" s="26"/>
      <c r="G164" s="26"/>
      <c r="H164" s="26"/>
      <c r="I164" s="26"/>
      <c r="J164" s="26"/>
      <c r="K164" s="26"/>
      <c r="L164" s="26"/>
      <c r="M164" s="26"/>
    </row>
    <row r="165" spans="1:13" ht="14.1" customHeight="1" x14ac:dyDescent="0.25">
      <c r="A165" s="24" t="s">
        <v>296</v>
      </c>
      <c r="B165" s="24"/>
      <c r="C165" s="25" t="s">
        <v>297</v>
      </c>
      <c r="D165" s="26">
        <f t="shared" si="88"/>
        <v>0</v>
      </c>
      <c r="E165" s="26">
        <f t="shared" si="89"/>
        <v>0</v>
      </c>
      <c r="F165" s="26"/>
      <c r="G165" s="26"/>
      <c r="H165" s="26"/>
      <c r="I165" s="26"/>
      <c r="J165" s="26"/>
      <c r="K165" s="26"/>
      <c r="L165" s="26"/>
      <c r="M165" s="26"/>
    </row>
    <row r="166" spans="1:13" ht="14.1" customHeight="1" x14ac:dyDescent="0.25">
      <c r="A166" s="24" t="s">
        <v>250</v>
      </c>
      <c r="B166" s="24"/>
      <c r="C166" s="25" t="s">
        <v>251</v>
      </c>
      <c r="D166" s="26">
        <f t="shared" si="88"/>
        <v>7112</v>
      </c>
      <c r="E166" s="26">
        <f t="shared" si="89"/>
        <v>7112</v>
      </c>
      <c r="F166" s="26">
        <v>3081</v>
      </c>
      <c r="G166" s="26">
        <f>ROUND((G161+G162+G163+G164+G165)*0.27,0)</f>
        <v>3081</v>
      </c>
      <c r="H166" s="26">
        <v>4031</v>
      </c>
      <c r="I166" s="26">
        <f>ROUND((I161+I162+I163+I164+I165)*0.27,0)</f>
        <v>4031</v>
      </c>
      <c r="J166" s="26"/>
      <c r="K166" s="26"/>
      <c r="L166" s="26"/>
      <c r="M166" s="26"/>
    </row>
    <row r="167" spans="1:13" ht="14.1" customHeight="1" x14ac:dyDescent="0.25">
      <c r="A167" s="24" t="s">
        <v>298</v>
      </c>
      <c r="B167" s="24"/>
      <c r="C167" s="25" t="s">
        <v>299</v>
      </c>
      <c r="D167" s="26">
        <f t="shared" si="88"/>
        <v>0</v>
      </c>
      <c r="E167" s="26">
        <f t="shared" si="89"/>
        <v>0</v>
      </c>
      <c r="F167" s="26"/>
      <c r="G167" s="26"/>
      <c r="H167" s="26"/>
      <c r="I167" s="26"/>
      <c r="J167" s="26"/>
      <c r="K167" s="26"/>
      <c r="L167" s="26"/>
      <c r="M167" s="26"/>
    </row>
    <row r="168" spans="1:13" ht="14.1" customHeight="1" x14ac:dyDescent="0.25">
      <c r="A168" s="24" t="s">
        <v>252</v>
      </c>
      <c r="B168" s="24"/>
      <c r="C168" s="25" t="s">
        <v>253</v>
      </c>
      <c r="D168" s="26">
        <f t="shared" si="88"/>
        <v>50</v>
      </c>
      <c r="E168" s="26">
        <f t="shared" si="89"/>
        <v>50</v>
      </c>
      <c r="F168" s="26"/>
      <c r="G168" s="26"/>
      <c r="H168" s="26">
        <v>50</v>
      </c>
      <c r="I168" s="26">
        <v>50</v>
      </c>
      <c r="J168" s="26"/>
      <c r="K168" s="26"/>
      <c r="L168" s="26"/>
      <c r="M168" s="26"/>
    </row>
    <row r="169" spans="1:13" ht="14.1" customHeight="1" x14ac:dyDescent="0.25">
      <c r="A169" s="24" t="s">
        <v>300</v>
      </c>
      <c r="B169" s="24"/>
      <c r="C169" s="25" t="s">
        <v>301</v>
      </c>
      <c r="D169" s="26">
        <f t="shared" si="88"/>
        <v>0</v>
      </c>
      <c r="E169" s="26">
        <f t="shared" si="89"/>
        <v>0</v>
      </c>
      <c r="F169" s="26"/>
      <c r="G169" s="26"/>
      <c r="H169" s="26"/>
      <c r="I169" s="26"/>
      <c r="J169" s="26"/>
      <c r="K169" s="26"/>
      <c r="L169" s="26"/>
      <c r="M169" s="26"/>
    </row>
    <row r="170" spans="1:13" ht="14.1" customHeight="1" x14ac:dyDescent="0.25">
      <c r="A170" s="24" t="s">
        <v>254</v>
      </c>
      <c r="B170" s="24"/>
      <c r="C170" s="25" t="s">
        <v>255</v>
      </c>
      <c r="D170" s="26">
        <f t="shared" si="88"/>
        <v>500</v>
      </c>
      <c r="E170" s="26">
        <f t="shared" si="89"/>
        <v>500</v>
      </c>
      <c r="F170" s="26">
        <v>500</v>
      </c>
      <c r="G170" s="26">
        <v>500</v>
      </c>
      <c r="H170" s="26"/>
      <c r="I170" s="26"/>
      <c r="J170" s="26"/>
      <c r="K170" s="26"/>
      <c r="L170" s="26"/>
      <c r="M170" s="26"/>
    </row>
    <row r="171" spans="1:13" s="3" customFormat="1" ht="14.1" customHeight="1" x14ac:dyDescent="0.25">
      <c r="A171" s="20" t="s">
        <v>256</v>
      </c>
      <c r="B171" s="20"/>
      <c r="C171" s="21" t="s">
        <v>257</v>
      </c>
      <c r="D171" s="23">
        <f>F171+H171</f>
        <v>0</v>
      </c>
      <c r="E171" s="23">
        <f>G171+I171</f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</row>
    <row r="172" spans="1:13" s="3" customFormat="1" ht="14.1" customHeight="1" x14ac:dyDescent="0.25">
      <c r="A172" s="958" t="s">
        <v>295</v>
      </c>
      <c r="B172" s="959"/>
      <c r="C172" s="960"/>
      <c r="D172" s="30">
        <f>D160+D171</f>
        <v>34002</v>
      </c>
      <c r="E172" s="30">
        <f t="shared" ref="E172:K172" si="90">E160+E171</f>
        <v>34002</v>
      </c>
      <c r="F172" s="30">
        <f t="shared" si="90"/>
        <v>14991</v>
      </c>
      <c r="G172" s="30">
        <f t="shared" si="90"/>
        <v>14991</v>
      </c>
      <c r="H172" s="30">
        <f t="shared" si="90"/>
        <v>19011</v>
      </c>
      <c r="I172" s="30">
        <f t="shared" si="90"/>
        <v>19011</v>
      </c>
      <c r="J172" s="30">
        <f t="shared" si="90"/>
        <v>0</v>
      </c>
      <c r="K172" s="30">
        <f t="shared" si="90"/>
        <v>0</v>
      </c>
      <c r="L172" s="30">
        <f t="shared" ref="L172:M172" si="91">L160+L171</f>
        <v>0</v>
      </c>
      <c r="M172" s="30">
        <f t="shared" si="91"/>
        <v>0</v>
      </c>
    </row>
  </sheetData>
  <sheetProtection selectLockedCells="1" selectUnlockedCells="1"/>
  <customSheetViews>
    <customSheetView guid="{7F1DC213-A29D-4C8C-BAC3-F1BD898020FD}" scale="150" fitToPage="1" state="hidden" topLeftCell="B1">
      <pane xSplit="2" ySplit="3" topLeftCell="D142" activePane="bottomRight" state="frozen"/>
      <selection pane="bottomRight" activeCell="M120" sqref="M120"/>
      <rowBreaks count="1" manualBreakCount="1">
        <brk id="154" max="16383" man="1"/>
      </rowBreaks>
      <pageMargins left="0.15748031496062992" right="0.15748031496062992" top="0.19685039370078741" bottom="0.15748031496062992" header="0.31496062992125984" footer="0.31496062992125984"/>
      <printOptions horizontalCentered="1"/>
      <pageSetup paperSize="8" fitToHeight="0" orientation="portrait" useFirstPageNumber="1" copies="2" r:id="rId1"/>
      <headerFooter alignWithMargins="0"/>
    </customSheetView>
    <customSheetView guid="{4DCB1349-1166-4B69-AE14-D6B08F9FCE74}" scale="150" fitToPage="1" state="hidden" topLeftCell="B1">
      <pane xSplit="2" ySplit="3" topLeftCell="D142" activePane="bottomRight" state="frozen"/>
      <selection pane="bottomRight" activeCell="M120" sqref="M120"/>
      <rowBreaks count="1" manualBreakCount="1">
        <brk id="154" max="16383" man="1"/>
      </rowBreaks>
      <pageMargins left="0.15748031496062992" right="0.15748031496062992" top="0.19685039370078741" bottom="0.15748031496062992" header="0.31496062992125984" footer="0.31496062992125984"/>
      <printOptions horizontalCentered="1"/>
      <pageSetup paperSize="8" fitToHeight="0" orientation="portrait" useFirstPageNumber="1" copies="2" r:id="rId2"/>
      <headerFooter alignWithMargins="0"/>
    </customSheetView>
  </customSheetViews>
  <mergeCells count="49">
    <mergeCell ref="L2:M2"/>
    <mergeCell ref="L41:M41"/>
    <mergeCell ref="L129:M129"/>
    <mergeCell ref="L156:M156"/>
    <mergeCell ref="A1:M1"/>
    <mergeCell ref="A40:M40"/>
    <mergeCell ref="A128:M128"/>
    <mergeCell ref="A155:M155"/>
    <mergeCell ref="A2:A3"/>
    <mergeCell ref="B2:B3"/>
    <mergeCell ref="C2:C3"/>
    <mergeCell ref="D2:D3"/>
    <mergeCell ref="E2:E3"/>
    <mergeCell ref="F2:G2"/>
    <mergeCell ref="H2:I2"/>
    <mergeCell ref="J2:K2"/>
    <mergeCell ref="A5:I5"/>
    <mergeCell ref="A39:C39"/>
    <mergeCell ref="A41:A42"/>
    <mergeCell ref="B41:B42"/>
    <mergeCell ref="C41:C42"/>
    <mergeCell ref="D41:D42"/>
    <mergeCell ref="E41:E42"/>
    <mergeCell ref="F41:G41"/>
    <mergeCell ref="H41:I41"/>
    <mergeCell ref="J41:K41"/>
    <mergeCell ref="A44:I44"/>
    <mergeCell ref="A124:C124"/>
    <mergeCell ref="A129:A130"/>
    <mergeCell ref="B129:B130"/>
    <mergeCell ref="C129:C130"/>
    <mergeCell ref="D129:D130"/>
    <mergeCell ref="E129:E130"/>
    <mergeCell ref="F129:G129"/>
    <mergeCell ref="H129:I129"/>
    <mergeCell ref="J129:K129"/>
    <mergeCell ref="A132:I132"/>
    <mergeCell ref="A148:C148"/>
    <mergeCell ref="A150:C150"/>
    <mergeCell ref="H156:I156"/>
    <mergeCell ref="J156:K156"/>
    <mergeCell ref="A159:I159"/>
    <mergeCell ref="A172:C172"/>
    <mergeCell ref="A156:A157"/>
    <mergeCell ref="B156:B157"/>
    <mergeCell ref="C156:C157"/>
    <mergeCell ref="D156:D157"/>
    <mergeCell ref="E156:E157"/>
    <mergeCell ref="F156:G156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3"/>
  <headerFooter alignWithMargins="0"/>
  <rowBreaks count="1" manualBreakCount="1">
    <brk id="154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IR211"/>
  <sheetViews>
    <sheetView view="pageBreakPreview" topLeftCell="B1" zoomScale="150" zoomScaleSheetLayoutView="150" workbookViewId="0">
      <pane ySplit="4" topLeftCell="A26" activePane="bottomLeft" state="frozen"/>
      <selection pane="bottomLeft" activeCell="G70" sqref="G70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957" t="s">
        <v>372</v>
      </c>
      <c r="B1" s="957"/>
      <c r="C1" s="957"/>
      <c r="D1" s="957"/>
      <c r="E1" s="957"/>
      <c r="F1" s="957"/>
      <c r="G1" s="957"/>
      <c r="H1" s="957"/>
      <c r="I1" s="957"/>
    </row>
    <row r="2" spans="1:9" s="1" customFormat="1" ht="14.1" customHeight="1" x14ac:dyDescent="0.25">
      <c r="A2" s="957" t="s">
        <v>0</v>
      </c>
      <c r="B2" s="961" t="s">
        <v>1</v>
      </c>
      <c r="C2" s="957" t="s">
        <v>2</v>
      </c>
      <c r="D2" s="962" t="s">
        <v>260</v>
      </c>
      <c r="E2" s="952" t="s">
        <v>259</v>
      </c>
      <c r="F2" s="954" t="s">
        <v>261</v>
      </c>
      <c r="G2" s="955"/>
      <c r="H2" s="954" t="s">
        <v>262</v>
      </c>
      <c r="I2" s="955"/>
    </row>
    <row r="3" spans="1:9" s="3" customFormat="1" ht="25.5" customHeight="1" x14ac:dyDescent="0.25">
      <c r="A3" s="957"/>
      <c r="B3" s="961"/>
      <c r="C3" s="957"/>
      <c r="D3" s="962"/>
      <c r="E3" s="953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956" t="s">
        <v>3</v>
      </c>
      <c r="B5" s="956"/>
      <c r="C5" s="956"/>
      <c r="D5" s="956"/>
      <c r="E5" s="956"/>
      <c r="F5" s="956"/>
      <c r="G5" s="956"/>
      <c r="H5" s="956"/>
      <c r="I5" s="956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84832</v>
      </c>
      <c r="E6" s="9">
        <f>G6+I6</f>
        <v>83501</v>
      </c>
      <c r="F6" s="10">
        <v>84832</v>
      </c>
      <c r="G6" s="10">
        <f>SUM(G7:G39)</f>
        <v>83501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375</v>
      </c>
      <c r="D7" s="13"/>
      <c r="E7" s="13"/>
      <c r="F7" s="14"/>
      <c r="G7" s="14">
        <v>3996</v>
      </c>
      <c r="H7" s="14"/>
      <c r="I7" s="14"/>
    </row>
    <row r="8" spans="1:9" s="15" customFormat="1" ht="11.45" customHeight="1" x14ac:dyDescent="0.25">
      <c r="A8" s="11"/>
      <c r="B8" s="11"/>
      <c r="C8" s="12" t="s">
        <v>376</v>
      </c>
      <c r="D8" s="13"/>
      <c r="E8" s="13"/>
      <c r="F8" s="14"/>
      <c r="G8" s="14">
        <v>4012</v>
      </c>
      <c r="H8" s="14"/>
      <c r="I8" s="14"/>
    </row>
    <row r="9" spans="1:9" s="15" customFormat="1" ht="11.45" customHeight="1" x14ac:dyDescent="0.25">
      <c r="A9" s="11"/>
      <c r="B9" s="11"/>
      <c r="C9" s="12" t="s">
        <v>377</v>
      </c>
      <c r="D9" s="13"/>
      <c r="E9" s="13"/>
      <c r="F9" s="14"/>
      <c r="G9" s="14">
        <v>3180</v>
      </c>
      <c r="H9" s="14"/>
      <c r="I9" s="14"/>
    </row>
    <row r="10" spans="1:9" s="15" customFormat="1" ht="11.45" customHeight="1" x14ac:dyDescent="0.25">
      <c r="A10" s="11"/>
      <c r="B10" s="11"/>
      <c r="C10" s="12" t="s">
        <v>378</v>
      </c>
      <c r="D10" s="13"/>
      <c r="E10" s="13"/>
      <c r="F10" s="14"/>
      <c r="G10" s="14">
        <v>1541</v>
      </c>
      <c r="H10" s="14"/>
      <c r="I10" s="14"/>
    </row>
    <row r="11" spans="1:9" s="15" customFormat="1" ht="11.45" customHeight="1" x14ac:dyDescent="0.25">
      <c r="A11" s="11"/>
      <c r="B11" s="11"/>
      <c r="C11" s="12" t="s">
        <v>379</v>
      </c>
      <c r="D11" s="13"/>
      <c r="E11" s="13"/>
      <c r="F11" s="14"/>
      <c r="G11" s="14">
        <v>2865</v>
      </c>
      <c r="H11" s="14"/>
      <c r="I11" s="14"/>
    </row>
    <row r="12" spans="1:9" s="15" customFormat="1" ht="11.45" customHeight="1" x14ac:dyDescent="0.25">
      <c r="A12" s="11"/>
      <c r="B12" s="11"/>
      <c r="C12" s="12" t="s">
        <v>380</v>
      </c>
      <c r="D12" s="13"/>
      <c r="E12" s="13"/>
      <c r="F12" s="14"/>
      <c r="G12" s="14">
        <v>4937</v>
      </c>
      <c r="H12" s="14"/>
      <c r="I12" s="14"/>
    </row>
    <row r="13" spans="1:9" s="15" customFormat="1" ht="11.45" customHeight="1" x14ac:dyDescent="0.25">
      <c r="A13" s="11"/>
      <c r="B13" s="11"/>
      <c r="C13" s="12" t="s">
        <v>381</v>
      </c>
      <c r="D13" s="13"/>
      <c r="E13" s="13"/>
      <c r="F13" s="14"/>
      <c r="G13" s="14">
        <f>1615+7*12</f>
        <v>1699</v>
      </c>
      <c r="H13" s="14"/>
      <c r="I13" s="14"/>
    </row>
    <row r="14" spans="1:9" s="15" customFormat="1" ht="11.45" customHeight="1" x14ac:dyDescent="0.25">
      <c r="A14" s="11"/>
      <c r="B14" s="11"/>
      <c r="C14" s="12" t="s">
        <v>382</v>
      </c>
      <c r="D14" s="13"/>
      <c r="E14" s="13"/>
      <c r="F14" s="14"/>
      <c r="G14" s="14">
        <v>3188</v>
      </c>
      <c r="H14" s="14"/>
      <c r="I14" s="14"/>
    </row>
    <row r="15" spans="1:9" s="15" customFormat="1" ht="11.45" customHeight="1" x14ac:dyDescent="0.25">
      <c r="A15" s="11"/>
      <c r="B15" s="11"/>
      <c r="C15" s="12" t="s">
        <v>383</v>
      </c>
      <c r="D15" s="13"/>
      <c r="E15" s="13"/>
      <c r="F15" s="14"/>
      <c r="G15" s="14">
        <v>3901</v>
      </c>
      <c r="H15" s="14"/>
      <c r="I15" s="14"/>
    </row>
    <row r="16" spans="1:9" s="15" customFormat="1" ht="11.45" customHeight="1" x14ac:dyDescent="0.25">
      <c r="A16" s="11"/>
      <c r="B16" s="11"/>
      <c r="C16" s="12" t="s">
        <v>384</v>
      </c>
      <c r="D16" s="13"/>
      <c r="E16" s="13"/>
      <c r="F16" s="14"/>
      <c r="G16" s="14">
        <v>4115</v>
      </c>
      <c r="H16" s="14"/>
      <c r="I16" s="14"/>
    </row>
    <row r="17" spans="1:9" s="15" customFormat="1" ht="11.45" customHeight="1" x14ac:dyDescent="0.25">
      <c r="A17" s="11"/>
      <c r="B17" s="11"/>
      <c r="C17" s="12" t="s">
        <v>385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386</v>
      </c>
      <c r="D18" s="13"/>
      <c r="E18" s="13"/>
      <c r="F18" s="14"/>
      <c r="G18" s="14">
        <v>1541</v>
      </c>
      <c r="H18" s="14"/>
      <c r="I18" s="14"/>
    </row>
    <row r="19" spans="1:9" s="15" customFormat="1" ht="11.45" customHeight="1" x14ac:dyDescent="0.25">
      <c r="A19" s="11"/>
      <c r="B19" s="11"/>
      <c r="C19" s="12" t="s">
        <v>387</v>
      </c>
      <c r="D19" s="13"/>
      <c r="E19" s="13"/>
      <c r="F19" s="14"/>
      <c r="G19" s="14">
        <f>1624+7*12</f>
        <v>1708</v>
      </c>
      <c r="H19" s="14"/>
      <c r="I19" s="14"/>
    </row>
    <row r="20" spans="1:9" s="15" customFormat="1" ht="11.45" customHeight="1" x14ac:dyDescent="0.25">
      <c r="A20" s="11"/>
      <c r="B20" s="11"/>
      <c r="C20" s="12" t="s">
        <v>388</v>
      </c>
      <c r="D20" s="13"/>
      <c r="E20" s="13"/>
      <c r="F20" s="14"/>
      <c r="G20" s="14">
        <v>3900</v>
      </c>
      <c r="H20" s="14"/>
      <c r="I20" s="14"/>
    </row>
    <row r="21" spans="1:9" s="15" customFormat="1" ht="11.45" customHeight="1" x14ac:dyDescent="0.25">
      <c r="A21" s="11"/>
      <c r="B21" s="11"/>
      <c r="C21" s="12" t="s">
        <v>389</v>
      </c>
      <c r="D21" s="13"/>
      <c r="E21" s="13"/>
      <c r="F21" s="14"/>
      <c r="G21" s="14">
        <v>1541</v>
      </c>
      <c r="H21" s="14"/>
      <c r="I21" s="14"/>
    </row>
    <row r="22" spans="1:9" s="15" customFormat="1" ht="11.45" customHeight="1" x14ac:dyDescent="0.25">
      <c r="A22" s="11"/>
      <c r="B22" s="11"/>
      <c r="C22" s="12" t="s">
        <v>390</v>
      </c>
      <c r="D22" s="13"/>
      <c r="E22" s="13"/>
      <c r="F22" s="14"/>
      <c r="G22" s="14">
        <v>2769</v>
      </c>
      <c r="H22" s="14"/>
      <c r="I22" s="14"/>
    </row>
    <row r="23" spans="1:9" s="15" customFormat="1" ht="11.45" customHeight="1" x14ac:dyDescent="0.25">
      <c r="A23" s="11"/>
      <c r="B23" s="11"/>
      <c r="C23" s="12" t="s">
        <v>391</v>
      </c>
      <c r="D23" s="13"/>
      <c r="E23" s="13"/>
      <c r="F23" s="14"/>
      <c r="G23" s="14">
        <f>1572+7*12</f>
        <v>1656</v>
      </c>
      <c r="H23" s="14"/>
      <c r="I23" s="14"/>
    </row>
    <row r="24" spans="1:9" s="15" customFormat="1" ht="11.45" customHeight="1" x14ac:dyDescent="0.25">
      <c r="A24" s="11"/>
      <c r="B24" s="11"/>
      <c r="C24" s="12" t="s">
        <v>392</v>
      </c>
      <c r="D24" s="13"/>
      <c r="E24" s="13"/>
      <c r="F24" s="14"/>
      <c r="G24" s="14">
        <f>1592+7*12</f>
        <v>1676</v>
      </c>
      <c r="H24" s="14"/>
      <c r="I24" s="14"/>
    </row>
    <row r="25" spans="1:9" s="15" customFormat="1" ht="11.45" customHeight="1" x14ac:dyDescent="0.25">
      <c r="A25" s="11"/>
      <c r="B25" s="11"/>
      <c r="C25" s="12" t="s">
        <v>393</v>
      </c>
      <c r="D25" s="13"/>
      <c r="E25" s="13"/>
      <c r="F25" s="14"/>
      <c r="G25" s="14">
        <v>3695</v>
      </c>
      <c r="H25" s="14"/>
      <c r="I25" s="14"/>
    </row>
    <row r="26" spans="1:9" s="15" customFormat="1" ht="11.45" customHeight="1" x14ac:dyDescent="0.25">
      <c r="A26" s="11"/>
      <c r="B26" s="11"/>
      <c r="C26" s="12" t="s">
        <v>394</v>
      </c>
      <c r="D26" s="13"/>
      <c r="E26" s="13"/>
      <c r="F26" s="14"/>
      <c r="G26" s="14">
        <f>1572+7*12</f>
        <v>1656</v>
      </c>
      <c r="H26" s="14"/>
      <c r="I26" s="14"/>
    </row>
    <row r="27" spans="1:9" s="15" customFormat="1" ht="11.45" customHeight="1" x14ac:dyDescent="0.25">
      <c r="A27" s="11"/>
      <c r="B27" s="11"/>
      <c r="C27" s="12" t="s">
        <v>395</v>
      </c>
      <c r="D27" s="13"/>
      <c r="E27" s="13"/>
      <c r="F27" s="14"/>
      <c r="G27" s="14">
        <v>2057</v>
      </c>
      <c r="H27" s="14"/>
      <c r="I27" s="14"/>
    </row>
    <row r="28" spans="1:9" s="15" customFormat="1" ht="11.45" customHeight="1" x14ac:dyDescent="0.25">
      <c r="A28" s="11"/>
      <c r="B28" s="11"/>
      <c r="C28" s="12" t="s">
        <v>396</v>
      </c>
      <c r="D28" s="13"/>
      <c r="E28" s="13"/>
      <c r="F28" s="14"/>
      <c r="G28" s="14">
        <v>3292</v>
      </c>
      <c r="H28" s="14"/>
      <c r="I28" s="14"/>
    </row>
    <row r="29" spans="1:9" s="15" customFormat="1" ht="11.45" customHeight="1" x14ac:dyDescent="0.25">
      <c r="A29" s="11"/>
      <c r="B29" s="11"/>
      <c r="C29" s="12" t="s">
        <v>397</v>
      </c>
      <c r="D29" s="13"/>
      <c r="E29" s="13"/>
      <c r="F29" s="14"/>
      <c r="G29" s="14">
        <v>1541</v>
      </c>
      <c r="H29" s="14"/>
      <c r="I29" s="14"/>
    </row>
    <row r="30" spans="1:9" s="15" customFormat="1" ht="11.45" customHeight="1" x14ac:dyDescent="0.25">
      <c r="A30" s="11"/>
      <c r="B30" s="11"/>
      <c r="C30" s="12" t="s">
        <v>398</v>
      </c>
      <c r="D30" s="13"/>
      <c r="E30" s="13"/>
      <c r="F30" s="14"/>
      <c r="G30" s="14">
        <v>771</v>
      </c>
      <c r="H30" s="14"/>
      <c r="I30" s="14"/>
    </row>
    <row r="31" spans="1:9" s="15" customFormat="1" ht="11.45" customHeight="1" x14ac:dyDescent="0.25">
      <c r="A31" s="11"/>
      <c r="B31" s="11"/>
      <c r="C31" s="12" t="s">
        <v>399</v>
      </c>
      <c r="D31" s="13"/>
      <c r="E31" s="13"/>
      <c r="F31" s="14"/>
      <c r="G31" s="14">
        <v>4620</v>
      </c>
      <c r="H31" s="14"/>
      <c r="I31" s="14"/>
    </row>
    <row r="32" spans="1:9" s="15" customFormat="1" ht="11.45" customHeight="1" x14ac:dyDescent="0.25">
      <c r="A32" s="11"/>
      <c r="B32" s="11"/>
      <c r="C32" s="12" t="s">
        <v>400</v>
      </c>
      <c r="D32" s="13"/>
      <c r="E32" s="13"/>
      <c r="F32" s="14"/>
      <c r="G32" s="14">
        <f>1572+7*12</f>
        <v>1656</v>
      </c>
      <c r="H32" s="14"/>
      <c r="I32" s="14"/>
    </row>
    <row r="33" spans="1:9" s="15" customFormat="1" ht="11.45" customHeight="1" x14ac:dyDescent="0.25">
      <c r="A33" s="11"/>
      <c r="B33" s="11"/>
      <c r="C33" s="12" t="s">
        <v>401</v>
      </c>
      <c r="D33" s="13"/>
      <c r="E33" s="13"/>
      <c r="F33" s="14"/>
      <c r="G33" s="14">
        <f>1632+7*12</f>
        <v>1716</v>
      </c>
      <c r="H33" s="14"/>
      <c r="I33" s="14"/>
    </row>
    <row r="34" spans="1:9" s="15" customFormat="1" ht="11.45" customHeight="1" x14ac:dyDescent="0.25">
      <c r="A34" s="11"/>
      <c r="B34" s="11"/>
      <c r="C34" s="12" t="s">
        <v>402</v>
      </c>
      <c r="D34" s="13"/>
      <c r="E34" s="13"/>
      <c r="F34" s="14"/>
      <c r="G34" s="14">
        <v>1541</v>
      </c>
      <c r="H34" s="14"/>
      <c r="I34" s="14"/>
    </row>
    <row r="35" spans="1:9" s="15" customFormat="1" ht="11.45" customHeight="1" x14ac:dyDescent="0.25">
      <c r="A35" s="11"/>
      <c r="B35" s="11"/>
      <c r="C35" s="12" t="s">
        <v>403</v>
      </c>
      <c r="D35" s="13"/>
      <c r="E35" s="13"/>
      <c r="F35" s="14"/>
      <c r="G35" s="14">
        <v>3789</v>
      </c>
      <c r="H35" s="14"/>
      <c r="I35" s="14"/>
    </row>
    <row r="36" spans="1:9" s="15" customFormat="1" ht="11.45" customHeight="1" x14ac:dyDescent="0.25">
      <c r="A36" s="11"/>
      <c r="B36" s="11"/>
      <c r="C36" s="12" t="s">
        <v>404</v>
      </c>
      <c r="D36" s="13"/>
      <c r="E36" s="13"/>
      <c r="F36" s="14"/>
      <c r="G36" s="14">
        <v>1632</v>
      </c>
      <c r="H36" s="14"/>
      <c r="I36" s="14"/>
    </row>
    <row r="37" spans="1:9" s="15" customFormat="1" ht="11.45" customHeight="1" x14ac:dyDescent="0.25">
      <c r="A37" s="11"/>
      <c r="B37" s="11"/>
      <c r="C37" s="12" t="s">
        <v>405</v>
      </c>
      <c r="D37" s="13"/>
      <c r="E37" s="13"/>
      <c r="F37" s="14"/>
      <c r="G37" s="14">
        <v>3511</v>
      </c>
      <c r="H37" s="14"/>
      <c r="I37" s="14"/>
    </row>
    <row r="38" spans="1:9" s="15" customFormat="1" ht="11.45" customHeight="1" x14ac:dyDescent="0.25">
      <c r="A38" s="11"/>
      <c r="B38" s="11"/>
      <c r="C38" s="12" t="s">
        <v>1069</v>
      </c>
      <c r="D38" s="13"/>
      <c r="E38" s="13"/>
      <c r="F38" s="14"/>
      <c r="G38" s="14">
        <v>710</v>
      </c>
      <c r="H38" s="14"/>
      <c r="I38" s="14"/>
    </row>
    <row r="39" spans="1:9" s="15" customFormat="1" ht="11.45" customHeight="1" x14ac:dyDescent="0.25">
      <c r="A39" s="11"/>
      <c r="B39" s="11"/>
      <c r="C39" s="12" t="s">
        <v>1162</v>
      </c>
      <c r="D39" s="13"/>
      <c r="E39" s="13"/>
      <c r="F39" s="14"/>
      <c r="G39" s="14">
        <f>129*12</f>
        <v>1548</v>
      </c>
      <c r="H39" s="14"/>
      <c r="I39" s="14"/>
    </row>
    <row r="40" spans="1:9" s="3" customFormat="1" ht="12.75" customHeight="1" x14ac:dyDescent="0.25">
      <c r="A40" s="7" t="s">
        <v>7</v>
      </c>
      <c r="B40" s="7" t="s">
        <v>8</v>
      </c>
      <c r="C40" s="8" t="s">
        <v>9</v>
      </c>
      <c r="D40" s="9">
        <f t="shared" ref="D40:E42" si="0">F40+H40</f>
        <v>0</v>
      </c>
      <c r="E40" s="9">
        <f t="shared" si="0"/>
        <v>0</v>
      </c>
      <c r="F40" s="10">
        <v>0</v>
      </c>
      <c r="G40" s="10">
        <v>0</v>
      </c>
      <c r="H40" s="10">
        <v>0</v>
      </c>
      <c r="I40" s="10">
        <v>0</v>
      </c>
    </row>
    <row r="41" spans="1:9" s="3" customFormat="1" ht="12.75" customHeight="1" x14ac:dyDescent="0.25">
      <c r="A41" s="7" t="s">
        <v>10</v>
      </c>
      <c r="B41" s="7" t="s">
        <v>11</v>
      </c>
      <c r="C41" s="8" t="s">
        <v>12</v>
      </c>
      <c r="D41" s="9">
        <f t="shared" si="0"/>
        <v>0</v>
      </c>
      <c r="E41" s="9">
        <f t="shared" si="0"/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13</v>
      </c>
      <c r="B42" s="7" t="s">
        <v>14</v>
      </c>
      <c r="C42" s="8" t="s">
        <v>15</v>
      </c>
      <c r="D42" s="9">
        <f t="shared" si="0"/>
        <v>700</v>
      </c>
      <c r="E42" s="9">
        <f t="shared" si="0"/>
        <v>1500</v>
      </c>
      <c r="F42" s="10">
        <f>SUM(F43:F44)</f>
        <v>700</v>
      </c>
      <c r="G42" s="10">
        <f>SUM(G43:G44)</f>
        <v>1500</v>
      </c>
      <c r="H42" s="10">
        <v>0</v>
      </c>
      <c r="I42" s="10">
        <f t="shared" ref="I42" si="1">SUM(I43:I44)</f>
        <v>0</v>
      </c>
    </row>
    <row r="43" spans="1:9" s="15" customFormat="1" ht="11.45" customHeight="1" x14ac:dyDescent="0.25">
      <c r="A43" s="11"/>
      <c r="B43" s="11"/>
      <c r="C43" s="12" t="s">
        <v>16</v>
      </c>
      <c r="D43" s="13"/>
      <c r="E43" s="13"/>
      <c r="F43" s="14">
        <v>700</v>
      </c>
      <c r="G43" s="14">
        <v>1500</v>
      </c>
      <c r="H43" s="14"/>
      <c r="I43" s="14"/>
    </row>
    <row r="44" spans="1:9" s="15" customFormat="1" ht="11.45" customHeight="1" x14ac:dyDescent="0.25">
      <c r="A44" s="11"/>
      <c r="B44" s="11"/>
      <c r="C44" s="12" t="s">
        <v>17</v>
      </c>
      <c r="D44" s="13"/>
      <c r="E44" s="13"/>
      <c r="F44" s="14"/>
      <c r="G44" s="14"/>
      <c r="H44" s="14"/>
      <c r="I44" s="14"/>
    </row>
    <row r="45" spans="1:9" s="3" customFormat="1" ht="12.75" customHeight="1" x14ac:dyDescent="0.25">
      <c r="A45" s="7" t="s">
        <v>18</v>
      </c>
      <c r="B45" s="7" t="s">
        <v>19</v>
      </c>
      <c r="C45" s="8" t="s">
        <v>20</v>
      </c>
      <c r="D45" s="9">
        <f t="shared" ref="D45:E49" si="2">F45+H45</f>
        <v>0</v>
      </c>
      <c r="E45" s="9">
        <f t="shared" si="2"/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s="3" customFormat="1" ht="12.75" customHeight="1" x14ac:dyDescent="0.25">
      <c r="A46" s="7" t="s">
        <v>21</v>
      </c>
      <c r="B46" s="7" t="s">
        <v>22</v>
      </c>
      <c r="C46" s="8" t="s">
        <v>23</v>
      </c>
      <c r="D46" s="9">
        <f t="shared" si="2"/>
        <v>4038</v>
      </c>
      <c r="E46" s="9">
        <f t="shared" si="2"/>
        <v>1683</v>
      </c>
      <c r="F46" s="10">
        <v>4038</v>
      </c>
      <c r="G46" s="10">
        <f>SUM(G47:G48)</f>
        <v>1683</v>
      </c>
      <c r="H46" s="10">
        <v>0</v>
      </c>
      <c r="I46" s="10">
        <v>0</v>
      </c>
    </row>
    <row r="47" spans="1:9" s="3" customFormat="1" ht="12.75" customHeight="1" x14ac:dyDescent="0.25">
      <c r="A47" s="11"/>
      <c r="B47" s="11"/>
      <c r="C47" s="12" t="s">
        <v>1164</v>
      </c>
      <c r="D47" s="13"/>
      <c r="E47" s="13"/>
      <c r="F47" s="14"/>
      <c r="G47" s="14">
        <f>ROUND(5*336500/1000,0)</f>
        <v>1683</v>
      </c>
      <c r="H47" s="14"/>
      <c r="I47" s="14"/>
    </row>
    <row r="48" spans="1:9" s="3" customFormat="1" ht="12.75" customHeight="1" x14ac:dyDescent="0.25">
      <c r="A48" s="11"/>
      <c r="B48" s="11"/>
      <c r="C48" s="12"/>
      <c r="D48" s="13"/>
      <c r="E48" s="13"/>
      <c r="F48" s="14"/>
      <c r="G48" s="14"/>
      <c r="H48" s="14"/>
      <c r="I48" s="14"/>
    </row>
    <row r="49" spans="1:9" s="3" customFormat="1" ht="12.75" customHeight="1" x14ac:dyDescent="0.25">
      <c r="A49" s="7" t="s">
        <v>24</v>
      </c>
      <c r="B49" s="7" t="s">
        <v>25</v>
      </c>
      <c r="C49" s="8" t="s">
        <v>26</v>
      </c>
      <c r="D49" s="9">
        <f t="shared" si="2"/>
        <v>2976</v>
      </c>
      <c r="E49" s="9">
        <f t="shared" si="2"/>
        <v>2976</v>
      </c>
      <c r="F49" s="10">
        <v>2976</v>
      </c>
      <c r="G49" s="10">
        <f>G50</f>
        <v>2976</v>
      </c>
      <c r="H49" s="10">
        <v>0</v>
      </c>
      <c r="I49" s="10">
        <f t="shared" ref="I49" si="3">I50</f>
        <v>0</v>
      </c>
    </row>
    <row r="50" spans="1:9" s="15" customFormat="1" ht="11.45" customHeight="1" x14ac:dyDescent="0.25">
      <c r="A50" s="11"/>
      <c r="B50" s="11"/>
      <c r="C50" s="12" t="s">
        <v>406</v>
      </c>
      <c r="D50" s="13"/>
      <c r="E50" s="13"/>
      <c r="F50" s="14">
        <v>2976</v>
      </c>
      <c r="G50" s="14">
        <v>2976</v>
      </c>
      <c r="H50" s="14"/>
      <c r="I50" s="14"/>
    </row>
    <row r="51" spans="1:9" s="3" customFormat="1" ht="12.75" customHeight="1" x14ac:dyDescent="0.25">
      <c r="A51" s="7" t="s">
        <v>27</v>
      </c>
      <c r="B51" s="7" t="s">
        <v>28</v>
      </c>
      <c r="C51" s="8" t="s">
        <v>29</v>
      </c>
      <c r="D51" s="9">
        <f t="shared" ref="D51:E53" si="4">F51+H51</f>
        <v>0</v>
      </c>
      <c r="E51" s="9">
        <f t="shared" si="4"/>
        <v>0</v>
      </c>
      <c r="F51" s="10">
        <v>0</v>
      </c>
      <c r="G51" s="10">
        <v>0</v>
      </c>
      <c r="H51" s="10">
        <v>0</v>
      </c>
      <c r="I51" s="10">
        <v>0</v>
      </c>
    </row>
    <row r="52" spans="1:9" s="3" customFormat="1" ht="12.75" customHeight="1" x14ac:dyDescent="0.25">
      <c r="A52" s="7" t="s">
        <v>30</v>
      </c>
      <c r="B52" s="7" t="s">
        <v>31</v>
      </c>
      <c r="C52" s="8" t="s">
        <v>32</v>
      </c>
      <c r="D52" s="9">
        <f t="shared" si="4"/>
        <v>400</v>
      </c>
      <c r="E52" s="9">
        <f t="shared" si="4"/>
        <v>440</v>
      </c>
      <c r="F52" s="10">
        <v>400</v>
      </c>
      <c r="G52" s="10">
        <v>440</v>
      </c>
      <c r="H52" s="10">
        <v>0</v>
      </c>
      <c r="I52" s="10">
        <v>0</v>
      </c>
    </row>
    <row r="53" spans="1:9" s="3" customFormat="1" ht="12.75" customHeight="1" x14ac:dyDescent="0.25">
      <c r="A53" s="7" t="s">
        <v>33</v>
      </c>
      <c r="B53" s="7" t="s">
        <v>34</v>
      </c>
      <c r="C53" s="8" t="s">
        <v>35</v>
      </c>
      <c r="D53" s="9">
        <f t="shared" si="4"/>
        <v>0</v>
      </c>
      <c r="E53" s="9">
        <f t="shared" si="4"/>
        <v>492</v>
      </c>
      <c r="F53" s="10">
        <v>0</v>
      </c>
      <c r="G53" s="10">
        <f>G54+G55</f>
        <v>492</v>
      </c>
      <c r="H53" s="10">
        <v>0</v>
      </c>
      <c r="I53" s="10">
        <f>I54</f>
        <v>0</v>
      </c>
    </row>
    <row r="54" spans="1:9" s="3" customFormat="1" ht="12.75" customHeight="1" x14ac:dyDescent="0.25">
      <c r="A54" s="11"/>
      <c r="B54" s="11"/>
      <c r="C54" s="12" t="s">
        <v>279</v>
      </c>
      <c r="D54" s="13"/>
      <c r="E54" s="13"/>
      <c r="F54" s="14"/>
      <c r="G54" s="14">
        <v>120</v>
      </c>
      <c r="H54" s="14"/>
      <c r="I54" s="14"/>
    </row>
    <row r="55" spans="1:9" s="3" customFormat="1" ht="12.75" customHeight="1" x14ac:dyDescent="0.25">
      <c r="A55" s="11"/>
      <c r="B55" s="11"/>
      <c r="C55" s="12" t="s">
        <v>1179</v>
      </c>
      <c r="D55" s="13"/>
      <c r="E55" s="13"/>
      <c r="F55" s="14"/>
      <c r="G55" s="14">
        <v>372</v>
      </c>
      <c r="H55" s="14"/>
      <c r="I55" s="14"/>
    </row>
    <row r="56" spans="1:9" s="3" customFormat="1" ht="12.75" customHeight="1" x14ac:dyDescent="0.25">
      <c r="A56" s="7" t="s">
        <v>36</v>
      </c>
      <c r="B56" s="7" t="s">
        <v>37</v>
      </c>
      <c r="C56" s="8" t="s">
        <v>38</v>
      </c>
      <c r="D56" s="9">
        <f>F56+H56</f>
        <v>0</v>
      </c>
      <c r="E56" s="9">
        <f>G56+I56</f>
        <v>0</v>
      </c>
      <c r="F56" s="10">
        <v>0</v>
      </c>
      <c r="G56" s="10">
        <v>0</v>
      </c>
      <c r="H56" s="10">
        <v>0</v>
      </c>
      <c r="I56" s="10">
        <v>0</v>
      </c>
    </row>
    <row r="57" spans="1:9" s="3" customFormat="1" ht="12.75" customHeight="1" x14ac:dyDescent="0.25">
      <c r="A57" s="7" t="s">
        <v>39</v>
      </c>
      <c r="B57" s="7" t="s">
        <v>40</v>
      </c>
      <c r="C57" s="8" t="s">
        <v>41</v>
      </c>
      <c r="D57" s="9">
        <f>F57+H57</f>
        <v>380</v>
      </c>
      <c r="E57" s="9">
        <f>G57+I57</f>
        <v>334</v>
      </c>
      <c r="F57" s="10">
        <f>F58</f>
        <v>380</v>
      </c>
      <c r="G57" s="10">
        <f t="shared" ref="G57:I57" si="5">G58</f>
        <v>334</v>
      </c>
      <c r="H57" s="10">
        <f t="shared" si="5"/>
        <v>0</v>
      </c>
      <c r="I57" s="10">
        <f t="shared" si="5"/>
        <v>0</v>
      </c>
    </row>
    <row r="58" spans="1:9" s="3" customFormat="1" ht="12.75" customHeight="1" x14ac:dyDescent="0.25">
      <c r="A58" s="11"/>
      <c r="B58" s="11"/>
      <c r="C58" s="12" t="s">
        <v>280</v>
      </c>
      <c r="D58" s="13"/>
      <c r="E58" s="13"/>
      <c r="F58" s="14">
        <v>380</v>
      </c>
      <c r="G58" s="14">
        <f>ROUND(G6*0.004,0)</f>
        <v>334</v>
      </c>
      <c r="H58" s="14"/>
      <c r="I58" s="14"/>
    </row>
    <row r="59" spans="1:9" s="3" customFormat="1" ht="12.75" customHeight="1" x14ac:dyDescent="0.25">
      <c r="A59" s="7" t="s">
        <v>42</v>
      </c>
      <c r="B59" s="7" t="s">
        <v>43</v>
      </c>
      <c r="C59" s="8" t="s">
        <v>44</v>
      </c>
      <c r="D59" s="9">
        <f>F59+H59</f>
        <v>340</v>
      </c>
      <c r="E59" s="9">
        <f>G59+I59</f>
        <v>2707</v>
      </c>
      <c r="F59" s="10">
        <v>340</v>
      </c>
      <c r="G59" s="10">
        <f>G60+G61</f>
        <v>2707</v>
      </c>
      <c r="H59" s="10">
        <v>0</v>
      </c>
      <c r="I59" s="10">
        <f>I60</f>
        <v>0</v>
      </c>
    </row>
    <row r="60" spans="1:9" s="15" customFormat="1" ht="11.45" customHeight="1" x14ac:dyDescent="0.25">
      <c r="A60" s="11"/>
      <c r="B60" s="11"/>
      <c r="C60" s="12" t="s">
        <v>1070</v>
      </c>
      <c r="D60" s="13"/>
      <c r="E60" s="13"/>
      <c r="F60" s="14"/>
      <c r="G60" s="14">
        <v>220</v>
      </c>
      <c r="H60" s="14"/>
      <c r="I60" s="14"/>
    </row>
    <row r="61" spans="1:9" s="15" customFormat="1" ht="11.45" customHeight="1" x14ac:dyDescent="0.25">
      <c r="A61" s="11"/>
      <c r="B61" s="11"/>
      <c r="C61" s="12" t="s">
        <v>1181</v>
      </c>
      <c r="D61" s="13"/>
      <c r="E61" s="13"/>
      <c r="F61" s="14"/>
      <c r="G61" s="14">
        <v>2487</v>
      </c>
      <c r="H61" s="14"/>
      <c r="I61" s="14"/>
    </row>
    <row r="62" spans="1:9" s="3" customFormat="1" ht="12.75" customHeight="1" x14ac:dyDescent="0.25">
      <c r="A62" s="16" t="s">
        <v>45</v>
      </c>
      <c r="B62" s="16" t="s">
        <v>46</v>
      </c>
      <c r="C62" s="17" t="s">
        <v>47</v>
      </c>
      <c r="D62" s="18">
        <f t="shared" ref="D62:I62" si="6">D6+D40+D41+D42+D45+D46+D49+D51+D52+D53+D56+D57+D59</f>
        <v>93666</v>
      </c>
      <c r="E62" s="18">
        <f t="shared" si="6"/>
        <v>93633</v>
      </c>
      <c r="F62" s="18">
        <f t="shared" si="6"/>
        <v>93666</v>
      </c>
      <c r="G62" s="18">
        <f t="shared" si="6"/>
        <v>93633</v>
      </c>
      <c r="H62" s="18">
        <f t="shared" si="6"/>
        <v>0</v>
      </c>
      <c r="I62" s="18">
        <f t="shared" si="6"/>
        <v>0</v>
      </c>
    </row>
    <row r="63" spans="1:9" s="3" customFormat="1" ht="12.75" customHeight="1" x14ac:dyDescent="0.25">
      <c r="A63" s="7" t="s">
        <v>48</v>
      </c>
      <c r="B63" s="7" t="s">
        <v>49</v>
      </c>
      <c r="C63" s="8" t="s">
        <v>50</v>
      </c>
      <c r="D63" s="9">
        <f>F63+H63</f>
        <v>0</v>
      </c>
      <c r="E63" s="9">
        <f>G63+I63</f>
        <v>0</v>
      </c>
      <c r="F63" s="10">
        <v>0</v>
      </c>
      <c r="G63" s="10">
        <v>0</v>
      </c>
      <c r="H63" s="10">
        <v>0</v>
      </c>
      <c r="I63" s="10">
        <v>0</v>
      </c>
    </row>
    <row r="64" spans="1:9" s="3" customFormat="1" ht="12.75" customHeight="1" x14ac:dyDescent="0.25">
      <c r="A64" s="7" t="s">
        <v>51</v>
      </c>
      <c r="B64" s="7" t="s">
        <v>52</v>
      </c>
      <c r="C64" s="8" t="s">
        <v>53</v>
      </c>
      <c r="D64" s="9">
        <f>F64+H64</f>
        <v>0</v>
      </c>
      <c r="E64" s="9">
        <f>G64+I64</f>
        <v>120</v>
      </c>
      <c r="F64" s="10">
        <f>F65</f>
        <v>0</v>
      </c>
      <c r="G64" s="10">
        <f t="shared" ref="G64:I64" si="7">G65</f>
        <v>120</v>
      </c>
      <c r="H64" s="10">
        <f t="shared" si="7"/>
        <v>0</v>
      </c>
      <c r="I64" s="10">
        <f t="shared" si="7"/>
        <v>0</v>
      </c>
    </row>
    <row r="65" spans="1:9" s="15" customFormat="1" ht="11.45" customHeight="1" x14ac:dyDescent="0.25">
      <c r="A65" s="11"/>
      <c r="B65" s="11"/>
      <c r="C65" s="12" t="s">
        <v>282</v>
      </c>
      <c r="D65" s="13"/>
      <c r="E65" s="13"/>
      <c r="F65" s="14">
        <v>0</v>
      </c>
      <c r="G65" s="14">
        <v>120</v>
      </c>
      <c r="H65" s="14"/>
      <c r="I65" s="14"/>
    </row>
    <row r="66" spans="1:9" s="3" customFormat="1" ht="12.75" customHeight="1" x14ac:dyDescent="0.25">
      <c r="A66" s="7" t="s">
        <v>54</v>
      </c>
      <c r="B66" s="7" t="s">
        <v>55</v>
      </c>
      <c r="C66" s="8" t="s">
        <v>285</v>
      </c>
      <c r="D66" s="9">
        <f>F66+H66</f>
        <v>70</v>
      </c>
      <c r="E66" s="9">
        <f>G66+I66</f>
        <v>60</v>
      </c>
      <c r="F66" s="10">
        <f>F67</f>
        <v>70</v>
      </c>
      <c r="G66" s="10">
        <f t="shared" ref="G66:I66" si="8">G67</f>
        <v>60</v>
      </c>
      <c r="H66" s="10">
        <f t="shared" si="8"/>
        <v>0</v>
      </c>
      <c r="I66" s="10">
        <f t="shared" si="8"/>
        <v>0</v>
      </c>
    </row>
    <row r="67" spans="1:9" s="15" customFormat="1" ht="11.45" customHeight="1" x14ac:dyDescent="0.25">
      <c r="A67" s="11"/>
      <c r="B67" s="11"/>
      <c r="C67" s="12" t="s">
        <v>283</v>
      </c>
      <c r="D67" s="13"/>
      <c r="E67" s="13"/>
      <c r="F67" s="14">
        <v>70</v>
      </c>
      <c r="G67" s="14">
        <v>60</v>
      </c>
      <c r="H67" s="14"/>
      <c r="I67" s="14"/>
    </row>
    <row r="68" spans="1:9" s="3" customFormat="1" ht="12.75" customHeight="1" x14ac:dyDescent="0.25">
      <c r="A68" s="16" t="s">
        <v>56</v>
      </c>
      <c r="B68" s="16" t="s">
        <v>57</v>
      </c>
      <c r="C68" s="17" t="s">
        <v>58</v>
      </c>
      <c r="D68" s="18">
        <f>D63+D64+D66</f>
        <v>70</v>
      </c>
      <c r="E68" s="18">
        <f t="shared" ref="E68:I68" si="9">E63+E64+E66</f>
        <v>180</v>
      </c>
      <c r="F68" s="18">
        <f t="shared" si="9"/>
        <v>70</v>
      </c>
      <c r="G68" s="18">
        <f t="shared" si="9"/>
        <v>180</v>
      </c>
      <c r="H68" s="18">
        <f t="shared" si="9"/>
        <v>0</v>
      </c>
      <c r="I68" s="18">
        <f t="shared" si="9"/>
        <v>0</v>
      </c>
    </row>
    <row r="69" spans="1:9" s="3" customFormat="1" ht="12.75" customHeight="1" x14ac:dyDescent="0.25">
      <c r="A69" s="20" t="s">
        <v>59</v>
      </c>
      <c r="B69" s="20" t="s">
        <v>60</v>
      </c>
      <c r="C69" s="21" t="s">
        <v>286</v>
      </c>
      <c r="D69" s="22">
        <f>D62+D68</f>
        <v>93736</v>
      </c>
      <c r="E69" s="22">
        <f t="shared" ref="E69:I69" si="10">E62+E68</f>
        <v>93813</v>
      </c>
      <c r="F69" s="22">
        <f t="shared" si="10"/>
        <v>93736</v>
      </c>
      <c r="G69" s="22">
        <f t="shared" si="10"/>
        <v>93813</v>
      </c>
      <c r="H69" s="22">
        <f t="shared" si="10"/>
        <v>0</v>
      </c>
      <c r="I69" s="22">
        <f t="shared" si="10"/>
        <v>0</v>
      </c>
    </row>
    <row r="70" spans="1:9" s="15" customFormat="1" ht="11.45" customHeight="1" x14ac:dyDescent="0.25">
      <c r="A70" s="11"/>
      <c r="B70" s="11"/>
      <c r="C70" s="12" t="s">
        <v>284</v>
      </c>
      <c r="D70" s="13">
        <f>H70+F70</f>
        <v>24276</v>
      </c>
      <c r="E70" s="13">
        <f>I70+G70</f>
        <v>23527</v>
      </c>
      <c r="F70" s="13">
        <v>24276</v>
      </c>
      <c r="G70" s="13">
        <f>ROUND((G6+G40+G41+G42+G45+G46+G57+G64)*0.27,0)</f>
        <v>23527</v>
      </c>
      <c r="H70" s="13">
        <f>ROUND((H6+H40+H41+H42+H45+H46+H64)*0.27,0)</f>
        <v>0</v>
      </c>
      <c r="I70" s="13">
        <f>ROUND((I6+I40+I41+I42+I45+I46+I64)*0.27,0)</f>
        <v>0</v>
      </c>
    </row>
    <row r="71" spans="1:9" s="15" customFormat="1" ht="11.45" customHeight="1" x14ac:dyDescent="0.25">
      <c r="A71" s="11"/>
      <c r="B71" s="11"/>
      <c r="C71" s="12" t="s">
        <v>61</v>
      </c>
      <c r="D71" s="13">
        <f t="shared" ref="D71:E73" si="11">H71+F71</f>
        <v>518</v>
      </c>
      <c r="E71" s="13">
        <f t="shared" si="11"/>
        <v>1385</v>
      </c>
      <c r="F71" s="14">
        <v>518</v>
      </c>
      <c r="G71" s="13">
        <f>ROUND(G49*1.19*0.14+(G66+G59)*1.19*0.27,0)</f>
        <v>1385</v>
      </c>
      <c r="H71" s="14"/>
      <c r="I71" s="14"/>
    </row>
    <row r="72" spans="1:9" s="15" customFormat="1" ht="11.45" customHeight="1" x14ac:dyDescent="0.25">
      <c r="A72" s="11"/>
      <c r="B72" s="11"/>
      <c r="C72" s="12" t="s">
        <v>62</v>
      </c>
      <c r="D72" s="13">
        <f t="shared" si="11"/>
        <v>1475</v>
      </c>
      <c r="E72" s="13">
        <f t="shared" si="11"/>
        <v>1475</v>
      </c>
      <c r="F72" s="14">
        <v>1475</v>
      </c>
      <c r="G72" s="14">
        <v>1475</v>
      </c>
      <c r="H72" s="14"/>
      <c r="I72" s="14"/>
    </row>
    <row r="73" spans="1:9" s="15" customFormat="1" ht="11.45" customHeight="1" x14ac:dyDescent="0.25">
      <c r="A73" s="11"/>
      <c r="B73" s="11"/>
      <c r="C73" s="12" t="s">
        <v>63</v>
      </c>
      <c r="D73" s="13">
        <f t="shared" si="11"/>
        <v>580</v>
      </c>
      <c r="E73" s="13">
        <f t="shared" si="11"/>
        <v>620</v>
      </c>
      <c r="F73" s="14">
        <v>580</v>
      </c>
      <c r="G73" s="14">
        <f>ROUND((G67+G60+G50)*1.19*0.16,0)</f>
        <v>620</v>
      </c>
      <c r="H73" s="14"/>
      <c r="I73" s="14"/>
    </row>
    <row r="74" spans="1:9" s="3" customFormat="1" ht="12.75" customHeight="1" x14ac:dyDescent="0.25">
      <c r="A74" s="20" t="s">
        <v>64</v>
      </c>
      <c r="B74" s="20" t="s">
        <v>65</v>
      </c>
      <c r="C74" s="21" t="s">
        <v>287</v>
      </c>
      <c r="D74" s="22">
        <f>D70+D71+D72+D73</f>
        <v>26849</v>
      </c>
      <c r="E74" s="22">
        <f t="shared" ref="E74:I74" si="12">E70+E71+E72+E73</f>
        <v>27007</v>
      </c>
      <c r="F74" s="22">
        <f t="shared" si="12"/>
        <v>26849</v>
      </c>
      <c r="G74" s="22">
        <f t="shared" si="12"/>
        <v>27007</v>
      </c>
      <c r="H74" s="22">
        <f t="shared" si="12"/>
        <v>0</v>
      </c>
      <c r="I74" s="22">
        <f t="shared" si="12"/>
        <v>0</v>
      </c>
    </row>
    <row r="75" spans="1:9" s="3" customFormat="1" ht="14.1" customHeight="1" x14ac:dyDescent="0.25">
      <c r="A75" s="958" t="s">
        <v>66</v>
      </c>
      <c r="B75" s="959"/>
      <c r="C75" s="960"/>
      <c r="D75" s="30">
        <f>D69+D74</f>
        <v>120585</v>
      </c>
      <c r="E75" s="30">
        <f t="shared" ref="E75:I75" si="13">E69+E74</f>
        <v>120820</v>
      </c>
      <c r="F75" s="30">
        <f t="shared" si="13"/>
        <v>120585</v>
      </c>
      <c r="G75" s="30">
        <f t="shared" si="13"/>
        <v>120820</v>
      </c>
      <c r="H75" s="30">
        <f t="shared" si="13"/>
        <v>0</v>
      </c>
      <c r="I75" s="30">
        <f t="shared" si="13"/>
        <v>0</v>
      </c>
    </row>
    <row r="76" spans="1:9" s="3" customFormat="1" ht="14.1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</row>
    <row r="77" spans="1:9" s="3" customFormat="1" ht="14.1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</row>
    <row r="78" spans="1:9" s="3" customFormat="1" ht="14.1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</row>
    <row r="79" spans="1:9" s="1" customFormat="1" ht="12.75" customHeight="1" x14ac:dyDescent="0.25">
      <c r="A79" s="957" t="s">
        <v>373</v>
      </c>
      <c r="B79" s="957"/>
      <c r="C79" s="957"/>
      <c r="D79" s="957"/>
      <c r="E79" s="957"/>
      <c r="F79" s="957"/>
      <c r="G79" s="957"/>
      <c r="H79" s="957"/>
      <c r="I79" s="957"/>
    </row>
    <row r="80" spans="1:9" s="1" customFormat="1" ht="14.1" customHeight="1" x14ac:dyDescent="0.25">
      <c r="A80" s="957" t="s">
        <v>0</v>
      </c>
      <c r="B80" s="961" t="s">
        <v>1</v>
      </c>
      <c r="C80" s="957" t="s">
        <v>2</v>
      </c>
      <c r="D80" s="962" t="s">
        <v>260</v>
      </c>
      <c r="E80" s="952" t="s">
        <v>259</v>
      </c>
      <c r="F80" s="954" t="s">
        <v>261</v>
      </c>
      <c r="G80" s="955"/>
      <c r="H80" s="954" t="s">
        <v>262</v>
      </c>
      <c r="I80" s="955"/>
    </row>
    <row r="81" spans="1:9" s="3" customFormat="1" ht="33" customHeight="1" x14ac:dyDescent="0.25">
      <c r="A81" s="957"/>
      <c r="B81" s="961"/>
      <c r="C81" s="957"/>
      <c r="D81" s="962"/>
      <c r="E81" s="953"/>
      <c r="F81" s="2" t="s">
        <v>260</v>
      </c>
      <c r="G81" s="2" t="s">
        <v>259</v>
      </c>
      <c r="H81" s="2" t="s">
        <v>260</v>
      </c>
      <c r="I81" s="2" t="s">
        <v>259</v>
      </c>
    </row>
    <row r="82" spans="1:9" ht="5.65" customHeight="1" x14ac:dyDescent="0.25"/>
    <row r="83" spans="1:9" ht="14.1" customHeight="1" x14ac:dyDescent="0.25">
      <c r="A83" s="956" t="s">
        <v>288</v>
      </c>
      <c r="B83" s="956"/>
      <c r="C83" s="956"/>
      <c r="D83" s="956"/>
      <c r="E83" s="956"/>
      <c r="F83" s="956"/>
      <c r="G83" s="956"/>
      <c r="H83" s="956"/>
      <c r="I83" s="956"/>
    </row>
    <row r="84" spans="1:9" s="3" customFormat="1" ht="14.1" customHeight="1" x14ac:dyDescent="0.25">
      <c r="A84" s="7" t="s">
        <v>67</v>
      </c>
      <c r="B84" s="7" t="s">
        <v>68</v>
      </c>
      <c r="C84" s="8" t="s">
        <v>69</v>
      </c>
      <c r="D84" s="9">
        <f>F84+H84</f>
        <v>235</v>
      </c>
      <c r="E84" s="9">
        <f>G84+I84</f>
        <v>320</v>
      </c>
      <c r="F84" s="10">
        <f>SUM(F85:F90)</f>
        <v>235</v>
      </c>
      <c r="G84" s="10">
        <f t="shared" ref="G84:I84" si="14">SUM(G85:G90)</f>
        <v>320</v>
      </c>
      <c r="H84" s="10">
        <f t="shared" si="14"/>
        <v>0</v>
      </c>
      <c r="I84" s="10">
        <f t="shared" si="14"/>
        <v>0</v>
      </c>
    </row>
    <row r="85" spans="1:9" ht="14.1" customHeight="1" x14ac:dyDescent="0.25">
      <c r="A85" s="24"/>
      <c r="B85" s="24"/>
      <c r="C85" s="25" t="s">
        <v>70</v>
      </c>
      <c r="D85" s="26"/>
      <c r="E85" s="26"/>
      <c r="F85" s="26">
        <v>10</v>
      </c>
      <c r="G85" s="26"/>
      <c r="H85" s="26"/>
      <c r="I85" s="26"/>
    </row>
    <row r="86" spans="1:9" ht="14.1" customHeight="1" x14ac:dyDescent="0.25">
      <c r="A86" s="24"/>
      <c r="B86" s="24"/>
      <c r="C86" s="25" t="s">
        <v>71</v>
      </c>
      <c r="D86" s="26"/>
      <c r="E86" s="26"/>
      <c r="F86" s="26"/>
      <c r="G86" s="26"/>
      <c r="H86" s="26"/>
      <c r="I86" s="26"/>
    </row>
    <row r="87" spans="1:9" ht="14.1" customHeight="1" x14ac:dyDescent="0.25">
      <c r="A87" s="24"/>
      <c r="B87" s="24"/>
      <c r="C87" s="25" t="s">
        <v>72</v>
      </c>
      <c r="D87" s="26"/>
      <c r="E87" s="26"/>
      <c r="F87" s="26">
        <v>100</v>
      </c>
      <c r="G87" s="26">
        <v>180</v>
      </c>
      <c r="H87" s="26"/>
      <c r="I87" s="26"/>
    </row>
    <row r="88" spans="1:9" ht="14.1" customHeight="1" x14ac:dyDescent="0.25">
      <c r="A88" s="24"/>
      <c r="B88" s="24"/>
      <c r="C88" s="25" t="s">
        <v>73</v>
      </c>
      <c r="D88" s="26"/>
      <c r="E88" s="26"/>
      <c r="F88" s="26">
        <v>55</v>
      </c>
      <c r="G88" s="26">
        <v>40</v>
      </c>
      <c r="H88" s="26"/>
      <c r="I88" s="26"/>
    </row>
    <row r="89" spans="1:9" ht="14.1" customHeight="1" x14ac:dyDescent="0.25">
      <c r="A89" s="24"/>
      <c r="B89" s="24"/>
      <c r="C89" s="25" t="s">
        <v>74</v>
      </c>
      <c r="D89" s="26"/>
      <c r="E89" s="26"/>
      <c r="F89" s="26">
        <v>10</v>
      </c>
      <c r="G89" s="26"/>
      <c r="H89" s="26"/>
      <c r="I89" s="26"/>
    </row>
    <row r="90" spans="1:9" ht="14.1" customHeight="1" x14ac:dyDescent="0.25">
      <c r="A90" s="24"/>
      <c r="B90" s="24"/>
      <c r="C90" s="25" t="s">
        <v>75</v>
      </c>
      <c r="D90" s="26"/>
      <c r="E90" s="26"/>
      <c r="F90" s="26">
        <v>60</v>
      </c>
      <c r="G90" s="26">
        <v>100</v>
      </c>
      <c r="H90" s="26"/>
      <c r="I90" s="26"/>
    </row>
    <row r="91" spans="1:9" s="3" customFormat="1" ht="14.1" customHeight="1" x14ac:dyDescent="0.25">
      <c r="A91" s="7" t="s">
        <v>76</v>
      </c>
      <c r="B91" s="7" t="s">
        <v>77</v>
      </c>
      <c r="C91" s="8" t="s">
        <v>78</v>
      </c>
      <c r="D91" s="9">
        <f>F91+H91</f>
        <v>3195</v>
      </c>
      <c r="E91" s="9">
        <f>G91+I91</f>
        <v>3375</v>
      </c>
      <c r="F91" s="10">
        <f>SUM(F92:F97)</f>
        <v>3195</v>
      </c>
      <c r="G91" s="10">
        <f>SUM(G92:G97)</f>
        <v>3375</v>
      </c>
      <c r="H91" s="10">
        <f>SUM(H92:H97)</f>
        <v>0</v>
      </c>
      <c r="I91" s="10">
        <f>SUM(I92:I97)</f>
        <v>0</v>
      </c>
    </row>
    <row r="92" spans="1:9" ht="14.1" customHeight="1" x14ac:dyDescent="0.25">
      <c r="A92" s="24"/>
      <c r="B92" s="24"/>
      <c r="C92" s="25" t="s">
        <v>79</v>
      </c>
      <c r="D92" s="26"/>
      <c r="E92" s="26"/>
      <c r="F92" s="26"/>
      <c r="G92" s="26"/>
      <c r="H92" s="26"/>
      <c r="I92" s="26"/>
    </row>
    <row r="93" spans="1:9" ht="14.1" customHeight="1" x14ac:dyDescent="0.25">
      <c r="A93" s="24"/>
      <c r="B93" s="24"/>
      <c r="C93" s="25" t="s">
        <v>80</v>
      </c>
      <c r="D93" s="26"/>
      <c r="E93" s="26"/>
      <c r="F93" s="26">
        <v>185</v>
      </c>
      <c r="G93" s="26">
        <v>120</v>
      </c>
      <c r="H93" s="26"/>
      <c r="I93" s="26"/>
    </row>
    <row r="94" spans="1:9" ht="14.1" customHeight="1" x14ac:dyDescent="0.25">
      <c r="A94" s="24"/>
      <c r="B94" s="24"/>
      <c r="C94" s="25" t="s">
        <v>81</v>
      </c>
      <c r="D94" s="26"/>
      <c r="E94" s="26"/>
      <c r="F94" s="26"/>
      <c r="G94" s="26"/>
      <c r="H94" s="26"/>
      <c r="I94" s="26"/>
    </row>
    <row r="95" spans="1:9" ht="14.1" customHeight="1" x14ac:dyDescent="0.25">
      <c r="A95" s="24"/>
      <c r="B95" s="24"/>
      <c r="C95" s="25" t="s">
        <v>82</v>
      </c>
      <c r="D95" s="26"/>
      <c r="E95" s="26"/>
      <c r="F95" s="26">
        <v>45</v>
      </c>
      <c r="G95" s="26">
        <v>40</v>
      </c>
      <c r="H95" s="26"/>
      <c r="I95" s="26"/>
    </row>
    <row r="96" spans="1:9" ht="14.1" customHeight="1" x14ac:dyDescent="0.25">
      <c r="A96" s="24"/>
      <c r="B96" s="24"/>
      <c r="C96" s="25" t="s">
        <v>83</v>
      </c>
      <c r="D96" s="26"/>
      <c r="E96" s="26"/>
      <c r="F96" s="26">
        <v>465</v>
      </c>
      <c r="G96" s="26">
        <v>465</v>
      </c>
      <c r="H96" s="26"/>
      <c r="I96" s="26"/>
    </row>
    <row r="97" spans="1:9" ht="14.1" customHeight="1" x14ac:dyDescent="0.25">
      <c r="A97" s="24"/>
      <c r="B97" s="24"/>
      <c r="C97" s="25" t="s">
        <v>84</v>
      </c>
      <c r="D97" s="26"/>
      <c r="E97" s="26"/>
      <c r="F97" s="26">
        <v>2500</v>
      </c>
      <c r="G97" s="26">
        <v>2750</v>
      </c>
      <c r="H97" s="26"/>
      <c r="I97" s="26"/>
    </row>
    <row r="98" spans="1:9" s="3" customFormat="1" ht="14.1" customHeight="1" x14ac:dyDescent="0.25">
      <c r="A98" s="7" t="s">
        <v>85</v>
      </c>
      <c r="B98" s="7" t="s">
        <v>86</v>
      </c>
      <c r="C98" s="8" t="s">
        <v>87</v>
      </c>
      <c r="D98" s="9">
        <f>F98+H98</f>
        <v>0</v>
      </c>
      <c r="E98" s="9">
        <f>G98+I98</f>
        <v>0</v>
      </c>
      <c r="F98" s="10">
        <f>SUM(F99:F100)</f>
        <v>0</v>
      </c>
      <c r="G98" s="10">
        <f t="shared" ref="G98:I98" si="15">SUM(G99:G100)</f>
        <v>0</v>
      </c>
      <c r="H98" s="10">
        <f t="shared" si="15"/>
        <v>0</v>
      </c>
      <c r="I98" s="10">
        <f t="shared" si="15"/>
        <v>0</v>
      </c>
    </row>
    <row r="99" spans="1:9" ht="14.1" customHeight="1" x14ac:dyDescent="0.25">
      <c r="A99" s="24"/>
      <c r="B99" s="24"/>
      <c r="C99" s="25" t="s">
        <v>88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89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16" t="s">
        <v>90</v>
      </c>
      <c r="B101" s="16" t="s">
        <v>91</v>
      </c>
      <c r="C101" s="17" t="s">
        <v>92</v>
      </c>
      <c r="D101" s="19">
        <f>D84+D91</f>
        <v>3430</v>
      </c>
      <c r="E101" s="19">
        <f t="shared" ref="E101:I101" si="16">E84+E91</f>
        <v>3695</v>
      </c>
      <c r="F101" s="19">
        <f t="shared" si="16"/>
        <v>3430</v>
      </c>
      <c r="G101" s="19">
        <f t="shared" si="16"/>
        <v>3695</v>
      </c>
      <c r="H101" s="19">
        <f t="shared" si="16"/>
        <v>0</v>
      </c>
      <c r="I101" s="19">
        <f t="shared" si="16"/>
        <v>0</v>
      </c>
    </row>
    <row r="102" spans="1:9" s="3" customFormat="1" ht="14.1" customHeight="1" x14ac:dyDescent="0.25">
      <c r="A102" s="7" t="s">
        <v>93</v>
      </c>
      <c r="B102" s="7" t="s">
        <v>94</v>
      </c>
      <c r="C102" s="8" t="s">
        <v>95</v>
      </c>
      <c r="D102" s="9">
        <f>F102+H102</f>
        <v>192</v>
      </c>
      <c r="E102" s="9">
        <f>G102+I102</f>
        <v>257</v>
      </c>
      <c r="F102" s="10">
        <f>SUM(F103:F108)</f>
        <v>192</v>
      </c>
      <c r="G102" s="10">
        <f>SUM(G103:G108)</f>
        <v>257</v>
      </c>
      <c r="H102" s="10">
        <f t="shared" ref="H102:I102" si="17">SUM(H103:H108)</f>
        <v>0</v>
      </c>
      <c r="I102" s="10">
        <f t="shared" si="17"/>
        <v>0</v>
      </c>
    </row>
    <row r="103" spans="1:9" ht="14.1" customHeight="1" x14ac:dyDescent="0.25">
      <c r="A103" s="24"/>
      <c r="B103" s="24"/>
      <c r="C103" s="25" t="s">
        <v>96</v>
      </c>
      <c r="D103" s="26"/>
      <c r="E103" s="26"/>
      <c r="F103" s="26"/>
      <c r="G103" s="26"/>
      <c r="H103" s="26"/>
      <c r="I103" s="26"/>
    </row>
    <row r="104" spans="1:9" ht="14.1" customHeight="1" x14ac:dyDescent="0.25">
      <c r="A104" s="24"/>
      <c r="B104" s="24"/>
      <c r="C104" s="25" t="s">
        <v>97</v>
      </c>
      <c r="D104" s="26"/>
      <c r="E104" s="26"/>
      <c r="F104" s="26">
        <v>192</v>
      </c>
      <c r="G104" s="26">
        <v>192</v>
      </c>
      <c r="H104" s="26"/>
      <c r="I104" s="26"/>
    </row>
    <row r="105" spans="1:9" ht="14.1" customHeight="1" x14ac:dyDescent="0.25">
      <c r="A105" s="24"/>
      <c r="B105" s="24"/>
      <c r="C105" s="25" t="s">
        <v>98</v>
      </c>
      <c r="D105" s="26"/>
      <c r="E105" s="26"/>
      <c r="F105" s="26"/>
      <c r="G105" s="26"/>
      <c r="H105" s="26"/>
      <c r="I105" s="26"/>
    </row>
    <row r="106" spans="1:9" ht="14.1" customHeight="1" x14ac:dyDescent="0.25">
      <c r="A106" s="24"/>
      <c r="B106" s="24"/>
      <c r="C106" s="25" t="s">
        <v>99</v>
      </c>
      <c r="D106" s="26"/>
      <c r="E106" s="26"/>
      <c r="F106" s="26"/>
      <c r="G106" s="26">
        <v>65</v>
      </c>
      <c r="H106" s="26"/>
      <c r="I106" s="26"/>
    </row>
    <row r="107" spans="1:9" ht="14.1" customHeight="1" x14ac:dyDescent="0.25">
      <c r="A107" s="24"/>
      <c r="B107" s="24"/>
      <c r="C107" s="25" t="s">
        <v>100</v>
      </c>
      <c r="D107" s="26"/>
      <c r="E107" s="26"/>
      <c r="F107" s="26"/>
      <c r="G107" s="26"/>
      <c r="H107" s="26"/>
      <c r="I107" s="26"/>
    </row>
    <row r="108" spans="1:9" ht="14.1" customHeight="1" x14ac:dyDescent="0.25">
      <c r="A108" s="24"/>
      <c r="B108" s="24"/>
      <c r="C108" s="25" t="s">
        <v>101</v>
      </c>
      <c r="D108" s="26"/>
      <c r="E108" s="26"/>
      <c r="F108" s="26"/>
      <c r="G108" s="26"/>
      <c r="H108" s="26"/>
      <c r="I108" s="26"/>
    </row>
    <row r="109" spans="1:9" s="3" customFormat="1" ht="14.1" customHeight="1" x14ac:dyDescent="0.25">
      <c r="A109" s="7" t="s">
        <v>102</v>
      </c>
      <c r="B109" s="7" t="s">
        <v>103</v>
      </c>
      <c r="C109" s="8" t="s">
        <v>104</v>
      </c>
      <c r="D109" s="9">
        <f>F109+H109</f>
        <v>230</v>
      </c>
      <c r="E109" s="9">
        <f>G109+I109</f>
        <v>275</v>
      </c>
      <c r="F109" s="10">
        <f>SUM(F110:F111)</f>
        <v>230</v>
      </c>
      <c r="G109" s="10">
        <f t="shared" ref="G109:I109" si="18">SUM(G110:G111)</f>
        <v>275</v>
      </c>
      <c r="H109" s="10">
        <f t="shared" si="18"/>
        <v>0</v>
      </c>
      <c r="I109" s="10">
        <f t="shared" si="18"/>
        <v>0</v>
      </c>
    </row>
    <row r="110" spans="1:9" ht="14.1" customHeight="1" x14ac:dyDescent="0.25">
      <c r="A110" s="24"/>
      <c r="B110" s="24"/>
      <c r="C110" s="25" t="s">
        <v>105</v>
      </c>
      <c r="D110" s="26"/>
      <c r="E110" s="26"/>
      <c r="F110" s="26">
        <v>200</v>
      </c>
      <c r="G110" s="26">
        <v>275</v>
      </c>
      <c r="H110" s="26"/>
      <c r="I110" s="26"/>
    </row>
    <row r="111" spans="1:9" ht="14.1" customHeight="1" x14ac:dyDescent="0.25">
      <c r="A111" s="24"/>
      <c r="B111" s="24"/>
      <c r="C111" s="25" t="s">
        <v>106</v>
      </c>
      <c r="D111" s="26"/>
      <c r="E111" s="26"/>
      <c r="F111" s="26">
        <v>30</v>
      </c>
      <c r="G111" s="26"/>
      <c r="H111" s="26"/>
      <c r="I111" s="26"/>
    </row>
    <row r="112" spans="1:9" s="3" customFormat="1" ht="14.1" customHeight="1" x14ac:dyDescent="0.25">
      <c r="A112" s="16" t="s">
        <v>107</v>
      </c>
      <c r="B112" s="16" t="s">
        <v>108</v>
      </c>
      <c r="C112" s="17" t="s">
        <v>109</v>
      </c>
      <c r="D112" s="19">
        <f>D102+D109</f>
        <v>422</v>
      </c>
      <c r="E112" s="19">
        <f t="shared" ref="E112:I112" si="19">E102+E109</f>
        <v>532</v>
      </c>
      <c r="F112" s="19">
        <f t="shared" si="19"/>
        <v>422</v>
      </c>
      <c r="G112" s="19">
        <f t="shared" si="19"/>
        <v>532</v>
      </c>
      <c r="H112" s="19">
        <f t="shared" si="19"/>
        <v>0</v>
      </c>
      <c r="I112" s="19">
        <f t="shared" si="19"/>
        <v>0</v>
      </c>
    </row>
    <row r="113" spans="1:9" s="3" customFormat="1" ht="14.1" customHeight="1" x14ac:dyDescent="0.25">
      <c r="A113" s="7" t="s">
        <v>110</v>
      </c>
      <c r="B113" s="7" t="s">
        <v>111</v>
      </c>
      <c r="C113" s="8" t="s">
        <v>112</v>
      </c>
      <c r="D113" s="9">
        <f>F113+H113</f>
        <v>4700</v>
      </c>
      <c r="E113" s="9">
        <f>G113+I113</f>
        <v>5450</v>
      </c>
      <c r="F113" s="10">
        <f>SUM(F114:F116)</f>
        <v>4700</v>
      </c>
      <c r="G113" s="10">
        <f t="shared" ref="G113:I113" si="20">SUM(G114:G116)</f>
        <v>5450</v>
      </c>
      <c r="H113" s="10">
        <f t="shared" si="20"/>
        <v>0</v>
      </c>
      <c r="I113" s="10">
        <f t="shared" si="20"/>
        <v>0</v>
      </c>
    </row>
    <row r="114" spans="1:9" ht="14.1" customHeight="1" x14ac:dyDescent="0.25">
      <c r="A114" s="24"/>
      <c r="B114" s="24"/>
      <c r="C114" s="25" t="s">
        <v>113</v>
      </c>
      <c r="D114" s="26"/>
      <c r="E114" s="26"/>
      <c r="F114" s="26">
        <v>900</v>
      </c>
      <c r="G114" s="26">
        <v>900</v>
      </c>
      <c r="H114" s="26"/>
      <c r="I114" s="26"/>
    </row>
    <row r="115" spans="1:9" ht="14.1" customHeight="1" x14ac:dyDescent="0.25">
      <c r="A115" s="24"/>
      <c r="B115" s="24"/>
      <c r="C115" s="25" t="s">
        <v>114</v>
      </c>
      <c r="D115" s="26"/>
      <c r="E115" s="26"/>
      <c r="F115" s="26">
        <v>3100</v>
      </c>
      <c r="G115" s="26">
        <v>3600</v>
      </c>
      <c r="H115" s="26"/>
      <c r="I115" s="26"/>
    </row>
    <row r="116" spans="1:9" ht="14.1" customHeight="1" x14ac:dyDescent="0.25">
      <c r="A116" s="24"/>
      <c r="B116" s="24"/>
      <c r="C116" s="25" t="s">
        <v>115</v>
      </c>
      <c r="D116" s="26"/>
      <c r="E116" s="26"/>
      <c r="F116" s="26">
        <v>700</v>
      </c>
      <c r="G116" s="26">
        <v>950</v>
      </c>
      <c r="H116" s="26"/>
      <c r="I116" s="26"/>
    </row>
    <row r="117" spans="1:9" s="3" customFormat="1" ht="14.1" customHeight="1" x14ac:dyDescent="0.25">
      <c r="A117" s="7" t="s">
        <v>116</v>
      </c>
      <c r="B117" s="7" t="s">
        <v>117</v>
      </c>
      <c r="C117" s="8" t="s">
        <v>118</v>
      </c>
      <c r="D117" s="9">
        <f>F117+H117</f>
        <v>12440</v>
      </c>
      <c r="E117" s="9">
        <f>G117+I117</f>
        <v>12440</v>
      </c>
      <c r="F117" s="10">
        <v>0</v>
      </c>
      <c r="G117" s="10">
        <f>G118</f>
        <v>0</v>
      </c>
      <c r="H117" s="10">
        <v>12440</v>
      </c>
      <c r="I117" s="10">
        <f>I118</f>
        <v>12440</v>
      </c>
    </row>
    <row r="118" spans="1:9" s="3" customFormat="1" ht="14.1" customHeight="1" x14ac:dyDescent="0.25">
      <c r="A118" s="24"/>
      <c r="B118" s="24"/>
      <c r="C118" s="25" t="s">
        <v>289</v>
      </c>
      <c r="D118" s="26"/>
      <c r="E118" s="26"/>
      <c r="F118" s="26"/>
      <c r="G118" s="26"/>
      <c r="H118" s="26"/>
      <c r="I118" s="26">
        <v>12440</v>
      </c>
    </row>
    <row r="119" spans="1:9" s="3" customFormat="1" ht="14.1" customHeight="1" x14ac:dyDescent="0.25">
      <c r="A119" s="7" t="s">
        <v>119</v>
      </c>
      <c r="B119" s="7" t="s">
        <v>120</v>
      </c>
      <c r="C119" s="8" t="s">
        <v>121</v>
      </c>
      <c r="D119" s="9">
        <f>F119+H119</f>
        <v>0</v>
      </c>
      <c r="E119" s="9">
        <f>G119+I119</f>
        <v>0</v>
      </c>
      <c r="F119" s="10">
        <f>SUM(F120:F121)</f>
        <v>0</v>
      </c>
      <c r="G119" s="10">
        <f t="shared" ref="G119:I119" si="21">SUM(G120:G121)</f>
        <v>0</v>
      </c>
      <c r="H119" s="10">
        <f t="shared" si="21"/>
        <v>0</v>
      </c>
      <c r="I119" s="10">
        <f t="shared" si="21"/>
        <v>0</v>
      </c>
    </row>
    <row r="120" spans="1:9" ht="14.1" customHeight="1" x14ac:dyDescent="0.25">
      <c r="A120" s="24"/>
      <c r="B120" s="24"/>
      <c r="C120" s="25" t="s">
        <v>122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123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124</v>
      </c>
      <c r="B122" s="7" t="s">
        <v>125</v>
      </c>
      <c r="C122" s="8" t="s">
        <v>126</v>
      </c>
      <c r="D122" s="9">
        <f>F122+H122</f>
        <v>4340</v>
      </c>
      <c r="E122" s="9">
        <f>G122+I122</f>
        <v>1500</v>
      </c>
      <c r="F122" s="10">
        <v>4340</v>
      </c>
      <c r="G122" s="10">
        <v>1500</v>
      </c>
      <c r="H122" s="10">
        <v>0</v>
      </c>
      <c r="I122" s="10">
        <v>0</v>
      </c>
    </row>
    <row r="123" spans="1:9" s="3" customFormat="1" ht="14.1" customHeight="1" x14ac:dyDescent="0.25">
      <c r="A123" s="7" t="s">
        <v>127</v>
      </c>
      <c r="B123" s="7" t="s">
        <v>128</v>
      </c>
      <c r="C123" s="8" t="s">
        <v>129</v>
      </c>
      <c r="D123" s="9">
        <f>F123+H123</f>
        <v>0</v>
      </c>
      <c r="E123" s="9">
        <f>G123+I123</f>
        <v>0</v>
      </c>
      <c r="F123" s="10">
        <v>0</v>
      </c>
      <c r="G123" s="10">
        <f>SUM(G124:G125)</f>
        <v>0</v>
      </c>
      <c r="H123" s="10">
        <v>0</v>
      </c>
      <c r="I123" s="10">
        <f>SUM(I124:I125)</f>
        <v>0</v>
      </c>
    </row>
    <row r="124" spans="1:9" ht="14.1" customHeight="1" x14ac:dyDescent="0.25">
      <c r="A124" s="24"/>
      <c r="B124" s="24"/>
      <c r="C124" s="25" t="s">
        <v>130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131</v>
      </c>
      <c r="D125" s="26"/>
      <c r="E125" s="26"/>
      <c r="F125" s="26"/>
      <c r="G125" s="26"/>
      <c r="H125" s="26"/>
      <c r="I125" s="26"/>
    </row>
    <row r="126" spans="1:9" s="3" customFormat="1" ht="14.1" customHeight="1" x14ac:dyDescent="0.25">
      <c r="A126" s="7" t="s">
        <v>132</v>
      </c>
      <c r="B126" s="7" t="s">
        <v>133</v>
      </c>
      <c r="C126" s="8" t="s">
        <v>134</v>
      </c>
      <c r="D126" s="9">
        <f>F126+H126</f>
        <v>250</v>
      </c>
      <c r="E126" s="9">
        <f>G126+I126</f>
        <v>50</v>
      </c>
      <c r="F126" s="10">
        <f>SUM(F127:F129)</f>
        <v>250</v>
      </c>
      <c r="G126" s="10">
        <f t="shared" ref="G126:I126" si="22">SUM(G127:G129)</f>
        <v>50</v>
      </c>
      <c r="H126" s="10">
        <f t="shared" si="22"/>
        <v>0</v>
      </c>
      <c r="I126" s="10">
        <f t="shared" si="22"/>
        <v>0</v>
      </c>
    </row>
    <row r="127" spans="1:9" ht="14.1" customHeight="1" x14ac:dyDescent="0.25">
      <c r="A127" s="24"/>
      <c r="B127" s="24"/>
      <c r="C127" s="25" t="s">
        <v>135</v>
      </c>
      <c r="D127" s="26"/>
      <c r="E127" s="26"/>
      <c r="F127" s="26">
        <v>0</v>
      </c>
      <c r="G127" s="26">
        <v>0</v>
      </c>
      <c r="H127" s="26">
        <v>0</v>
      </c>
      <c r="I127" s="26">
        <v>0</v>
      </c>
    </row>
    <row r="128" spans="1:9" ht="14.1" customHeight="1" x14ac:dyDescent="0.25">
      <c r="A128" s="24"/>
      <c r="B128" s="24"/>
      <c r="C128" s="25" t="s">
        <v>136</v>
      </c>
      <c r="D128" s="26"/>
      <c r="E128" s="26"/>
      <c r="F128" s="26">
        <v>50</v>
      </c>
      <c r="G128" s="26">
        <v>0</v>
      </c>
      <c r="H128" s="26">
        <v>0</v>
      </c>
      <c r="I128" s="26">
        <v>0</v>
      </c>
    </row>
    <row r="129" spans="1:9" ht="14.1" customHeight="1" x14ac:dyDescent="0.25">
      <c r="A129" s="24"/>
      <c r="B129" s="24"/>
      <c r="C129" s="25" t="s">
        <v>137</v>
      </c>
      <c r="D129" s="26"/>
      <c r="E129" s="26"/>
      <c r="F129" s="26">
        <v>200</v>
      </c>
      <c r="G129" s="26">
        <v>50</v>
      </c>
      <c r="H129" s="26">
        <v>0</v>
      </c>
      <c r="I129" s="26">
        <v>0</v>
      </c>
    </row>
    <row r="130" spans="1:9" s="3" customFormat="1" ht="14.1" customHeight="1" x14ac:dyDescent="0.25">
      <c r="A130" s="7" t="s">
        <v>138</v>
      </c>
      <c r="B130" s="7" t="s">
        <v>139</v>
      </c>
      <c r="C130" s="8" t="s">
        <v>140</v>
      </c>
      <c r="D130" s="9">
        <f>F130+H130</f>
        <v>1200</v>
      </c>
      <c r="E130" s="9">
        <f>G130+I130</f>
        <v>1400</v>
      </c>
      <c r="F130" s="10">
        <f>SUM(F131:F134)</f>
        <v>1200</v>
      </c>
      <c r="G130" s="10">
        <f t="shared" ref="G130:I130" si="23">SUM(G131:G134)</f>
        <v>1400</v>
      </c>
      <c r="H130" s="10">
        <f t="shared" si="23"/>
        <v>0</v>
      </c>
      <c r="I130" s="10">
        <f t="shared" si="23"/>
        <v>0</v>
      </c>
    </row>
    <row r="131" spans="1:9" ht="14.1" customHeight="1" x14ac:dyDescent="0.25">
      <c r="A131" s="24"/>
      <c r="B131" s="24"/>
      <c r="C131" s="25" t="s">
        <v>141</v>
      </c>
      <c r="D131" s="26"/>
      <c r="E131" s="26"/>
      <c r="F131" s="26">
        <v>0</v>
      </c>
      <c r="G131" s="26"/>
      <c r="H131" s="26"/>
      <c r="I131" s="26"/>
    </row>
    <row r="132" spans="1:9" ht="14.1" customHeight="1" x14ac:dyDescent="0.25">
      <c r="A132" s="24"/>
      <c r="B132" s="24"/>
      <c r="C132" s="25" t="s">
        <v>142</v>
      </c>
      <c r="D132" s="26"/>
      <c r="E132" s="26"/>
      <c r="F132" s="26">
        <v>150</v>
      </c>
      <c r="G132" s="26">
        <v>200</v>
      </c>
      <c r="H132" s="26"/>
      <c r="I132" s="26"/>
    </row>
    <row r="133" spans="1:9" ht="14.1" customHeight="1" x14ac:dyDescent="0.25">
      <c r="A133" s="24"/>
      <c r="B133" s="24"/>
      <c r="C133" s="25" t="s">
        <v>143</v>
      </c>
      <c r="D133" s="26"/>
      <c r="E133" s="26"/>
      <c r="F133" s="26">
        <v>50</v>
      </c>
      <c r="G133" s="26"/>
      <c r="H133" s="26"/>
      <c r="I133" s="26"/>
    </row>
    <row r="134" spans="1:9" ht="14.1" customHeight="1" x14ac:dyDescent="0.25">
      <c r="A134" s="24"/>
      <c r="B134" s="24"/>
      <c r="C134" s="25" t="s">
        <v>144</v>
      </c>
      <c r="D134" s="26"/>
      <c r="E134" s="26"/>
      <c r="F134" s="26">
        <v>1000</v>
      </c>
      <c r="G134" s="26">
        <v>1200</v>
      </c>
      <c r="H134" s="26"/>
      <c r="I134" s="26"/>
    </row>
    <row r="135" spans="1:9" s="3" customFormat="1" ht="14.1" customHeight="1" x14ac:dyDescent="0.25">
      <c r="A135" s="16" t="s">
        <v>145</v>
      </c>
      <c r="B135" s="16" t="s">
        <v>146</v>
      </c>
      <c r="C135" s="17" t="s">
        <v>147</v>
      </c>
      <c r="D135" s="19">
        <f>D113+D117+D119+D122+D123+D126+D130</f>
        <v>22930</v>
      </c>
      <c r="E135" s="19">
        <f t="shared" ref="E135:I135" si="24">E113+E117+E119+E122+E123+E126+E130</f>
        <v>20840</v>
      </c>
      <c r="F135" s="19">
        <f t="shared" si="24"/>
        <v>10490</v>
      </c>
      <c r="G135" s="19">
        <f t="shared" si="24"/>
        <v>8400</v>
      </c>
      <c r="H135" s="19">
        <f t="shared" si="24"/>
        <v>12440</v>
      </c>
      <c r="I135" s="19">
        <f t="shared" si="24"/>
        <v>12440</v>
      </c>
    </row>
    <row r="136" spans="1:9" s="3" customFormat="1" ht="14.1" customHeight="1" x14ac:dyDescent="0.25">
      <c r="A136" s="7" t="s">
        <v>148</v>
      </c>
      <c r="B136" s="7" t="s">
        <v>149</v>
      </c>
      <c r="C136" s="8" t="s">
        <v>150</v>
      </c>
      <c r="D136" s="9">
        <f>F136+H136</f>
        <v>50</v>
      </c>
      <c r="E136" s="9">
        <f>G136+I136</f>
        <v>50</v>
      </c>
      <c r="F136" s="10">
        <f>SUM(F137:F138)</f>
        <v>50</v>
      </c>
      <c r="G136" s="10">
        <f t="shared" ref="G136:I136" si="25">SUM(G137:G138)</f>
        <v>50</v>
      </c>
      <c r="H136" s="10">
        <f t="shared" si="25"/>
        <v>0</v>
      </c>
      <c r="I136" s="10">
        <f t="shared" si="25"/>
        <v>0</v>
      </c>
    </row>
    <row r="137" spans="1:9" ht="14.1" customHeight="1" x14ac:dyDescent="0.25">
      <c r="A137" s="24"/>
      <c r="B137" s="24"/>
      <c r="C137" s="25" t="s">
        <v>151</v>
      </c>
      <c r="D137" s="26"/>
      <c r="E137" s="26"/>
      <c r="F137" s="26">
        <v>50</v>
      </c>
      <c r="G137" s="26">
        <v>50</v>
      </c>
      <c r="H137" s="26"/>
      <c r="I137" s="26"/>
    </row>
    <row r="138" spans="1:9" ht="14.1" customHeight="1" x14ac:dyDescent="0.25">
      <c r="A138" s="24"/>
      <c r="B138" s="24"/>
      <c r="C138" s="25" t="s">
        <v>152</v>
      </c>
      <c r="D138" s="26"/>
      <c r="E138" s="26"/>
      <c r="F138" s="26"/>
      <c r="G138" s="26"/>
      <c r="H138" s="26"/>
      <c r="I138" s="26"/>
    </row>
    <row r="139" spans="1:9" s="3" customFormat="1" ht="14.1" customHeight="1" x14ac:dyDescent="0.25">
      <c r="A139" s="7" t="s">
        <v>153</v>
      </c>
      <c r="B139" s="7" t="s">
        <v>154</v>
      </c>
      <c r="C139" s="8" t="s">
        <v>155</v>
      </c>
      <c r="D139" s="9">
        <f>F139+H139</f>
        <v>0</v>
      </c>
      <c r="E139" s="9">
        <f>G139+I139</f>
        <v>0</v>
      </c>
      <c r="F139" s="10">
        <v>0</v>
      </c>
      <c r="G139" s="10">
        <v>0</v>
      </c>
      <c r="H139" s="10">
        <v>0</v>
      </c>
      <c r="I139" s="10">
        <v>0</v>
      </c>
    </row>
    <row r="140" spans="1:9" s="3" customFormat="1" ht="14.1" customHeight="1" x14ac:dyDescent="0.25">
      <c r="A140" s="16" t="s">
        <v>156</v>
      </c>
      <c r="B140" s="16" t="s">
        <v>157</v>
      </c>
      <c r="C140" s="17" t="s">
        <v>158</v>
      </c>
      <c r="D140" s="19">
        <f>D136+D139</f>
        <v>50</v>
      </c>
      <c r="E140" s="19">
        <f t="shared" ref="E140:I140" si="26">E136+E139</f>
        <v>50</v>
      </c>
      <c r="F140" s="19">
        <f t="shared" si="26"/>
        <v>50</v>
      </c>
      <c r="G140" s="19">
        <f t="shared" si="26"/>
        <v>50</v>
      </c>
      <c r="H140" s="19">
        <f t="shared" si="26"/>
        <v>0</v>
      </c>
      <c r="I140" s="19">
        <f t="shared" si="26"/>
        <v>0</v>
      </c>
    </row>
    <row r="141" spans="1:9" s="3" customFormat="1" ht="14.1" customHeight="1" x14ac:dyDescent="0.25">
      <c r="A141" s="7" t="s">
        <v>159</v>
      </c>
      <c r="B141" s="7" t="s">
        <v>160</v>
      </c>
      <c r="C141" s="8" t="s">
        <v>161</v>
      </c>
      <c r="D141" s="9">
        <f>F141+H141</f>
        <v>7231</v>
      </c>
      <c r="E141" s="9">
        <f>G141+I141</f>
        <v>6768</v>
      </c>
      <c r="F141" s="10">
        <f>SUM(F142:F143)</f>
        <v>3872</v>
      </c>
      <c r="G141" s="10">
        <f t="shared" ref="G141:I141" si="27">SUM(G142:G143)</f>
        <v>3409</v>
      </c>
      <c r="H141" s="10">
        <f t="shared" si="27"/>
        <v>3359</v>
      </c>
      <c r="I141" s="10">
        <f t="shared" si="27"/>
        <v>3359</v>
      </c>
    </row>
    <row r="142" spans="1:9" ht="14.1" customHeight="1" x14ac:dyDescent="0.25">
      <c r="A142" s="24"/>
      <c r="B142" s="24"/>
      <c r="C142" s="25" t="s">
        <v>162</v>
      </c>
      <c r="D142" s="26"/>
      <c r="E142" s="26"/>
      <c r="F142" s="26"/>
      <c r="G142" s="26"/>
      <c r="H142" s="26"/>
      <c r="I142" s="26"/>
    </row>
    <row r="143" spans="1:9" ht="14.1" customHeight="1" x14ac:dyDescent="0.25">
      <c r="A143" s="24"/>
      <c r="B143" s="24"/>
      <c r="C143" s="25" t="s">
        <v>163</v>
      </c>
      <c r="D143" s="26"/>
      <c r="E143" s="26"/>
      <c r="F143" s="26">
        <v>3872</v>
      </c>
      <c r="G143" s="26">
        <f>ROUND((G101+G112+G135+G139)*0.27,0)</f>
        <v>3409</v>
      </c>
      <c r="H143" s="26">
        <v>3359</v>
      </c>
      <c r="I143" s="26">
        <f>ROUND((I101+I112+I135+I139)*0.27,0)</f>
        <v>3359</v>
      </c>
    </row>
    <row r="144" spans="1:9" s="3" customFormat="1" ht="14.1" customHeight="1" x14ac:dyDescent="0.25">
      <c r="A144" s="7" t="s">
        <v>164</v>
      </c>
      <c r="B144" s="7" t="s">
        <v>165</v>
      </c>
      <c r="C144" s="8" t="s">
        <v>166</v>
      </c>
      <c r="D144" s="9">
        <f>F144+H144</f>
        <v>0</v>
      </c>
      <c r="E144" s="9">
        <f>G144+I144</f>
        <v>0</v>
      </c>
      <c r="F144" s="10">
        <f>SUM(F145:F147)</f>
        <v>0</v>
      </c>
      <c r="G144" s="10">
        <f t="shared" ref="G144:I144" si="28">SUM(G145:G147)</f>
        <v>0</v>
      </c>
      <c r="H144" s="10">
        <f t="shared" si="28"/>
        <v>0</v>
      </c>
      <c r="I144" s="10">
        <f t="shared" si="28"/>
        <v>0</v>
      </c>
    </row>
    <row r="145" spans="1:9" ht="14.1" customHeight="1" x14ac:dyDescent="0.25">
      <c r="A145" s="24"/>
      <c r="B145" s="24"/>
      <c r="C145" s="25" t="s">
        <v>167</v>
      </c>
      <c r="D145" s="26"/>
      <c r="E145" s="26"/>
      <c r="F145" s="26"/>
      <c r="G145" s="26"/>
      <c r="H145" s="26"/>
      <c r="I145" s="26"/>
    </row>
    <row r="146" spans="1:9" ht="14.1" customHeight="1" x14ac:dyDescent="0.25">
      <c r="A146" s="24"/>
      <c r="B146" s="24"/>
      <c r="C146" s="25" t="s">
        <v>168</v>
      </c>
      <c r="D146" s="26"/>
      <c r="E146" s="26"/>
      <c r="F146" s="26"/>
      <c r="G146" s="26"/>
      <c r="H146" s="26"/>
      <c r="I146" s="26"/>
    </row>
    <row r="147" spans="1:9" ht="14.1" customHeight="1" x14ac:dyDescent="0.25">
      <c r="A147" s="24"/>
      <c r="B147" s="24"/>
      <c r="C147" s="25" t="s">
        <v>169</v>
      </c>
      <c r="D147" s="26"/>
      <c r="E147" s="26"/>
      <c r="F147" s="26"/>
      <c r="G147" s="26"/>
      <c r="H147" s="26"/>
      <c r="I147" s="26"/>
    </row>
    <row r="148" spans="1:9" s="3" customFormat="1" ht="14.1" customHeight="1" x14ac:dyDescent="0.25">
      <c r="A148" s="7" t="s">
        <v>170</v>
      </c>
      <c r="B148" s="7" t="s">
        <v>171</v>
      </c>
      <c r="C148" s="8" t="s">
        <v>172</v>
      </c>
      <c r="D148" s="9">
        <f>F148+H148</f>
        <v>0</v>
      </c>
      <c r="E148" s="9">
        <f>G148+I148</f>
        <v>0</v>
      </c>
      <c r="F148" s="10">
        <f>SUM(F149:F152)</f>
        <v>0</v>
      </c>
      <c r="G148" s="10">
        <f t="shared" ref="G148:I148" si="29">SUM(G149:G152)</f>
        <v>0</v>
      </c>
      <c r="H148" s="10">
        <f t="shared" si="29"/>
        <v>0</v>
      </c>
      <c r="I148" s="10">
        <f t="shared" si="29"/>
        <v>0</v>
      </c>
    </row>
    <row r="149" spans="1:9" ht="14.1" customHeight="1" x14ac:dyDescent="0.25">
      <c r="A149" s="24"/>
      <c r="B149" s="24"/>
      <c r="C149" s="25" t="s">
        <v>173</v>
      </c>
      <c r="D149" s="26"/>
      <c r="E149" s="26"/>
      <c r="F149" s="26"/>
      <c r="G149" s="26"/>
      <c r="H149" s="26"/>
      <c r="I149" s="26"/>
    </row>
    <row r="150" spans="1:9" ht="14.1" customHeight="1" x14ac:dyDescent="0.25">
      <c r="A150" s="24"/>
      <c r="B150" s="24"/>
      <c r="C150" s="25" t="s">
        <v>174</v>
      </c>
      <c r="D150" s="26"/>
      <c r="E150" s="26"/>
      <c r="F150" s="26"/>
      <c r="G150" s="26"/>
      <c r="H150" s="26"/>
      <c r="I150" s="26"/>
    </row>
    <row r="151" spans="1:9" ht="14.1" customHeight="1" x14ac:dyDescent="0.25">
      <c r="A151" s="24"/>
      <c r="B151" s="24"/>
      <c r="C151" s="25" t="s">
        <v>175</v>
      </c>
      <c r="D151" s="26"/>
      <c r="E151" s="26"/>
      <c r="F151" s="26"/>
      <c r="G151" s="26"/>
      <c r="H151" s="26"/>
      <c r="I151" s="26"/>
    </row>
    <row r="152" spans="1:9" ht="14.1" customHeight="1" x14ac:dyDescent="0.25">
      <c r="A152" s="24"/>
      <c r="B152" s="24"/>
      <c r="C152" s="25" t="s">
        <v>176</v>
      </c>
      <c r="D152" s="26"/>
      <c r="E152" s="26"/>
      <c r="F152" s="26"/>
      <c r="G152" s="26"/>
      <c r="H152" s="26"/>
      <c r="I152" s="26"/>
    </row>
    <row r="153" spans="1:9" s="3" customFormat="1" ht="14.1" customHeight="1" x14ac:dyDescent="0.25">
      <c r="A153" s="7" t="s">
        <v>177</v>
      </c>
      <c r="B153" s="7" t="s">
        <v>178</v>
      </c>
      <c r="C153" s="8" t="s">
        <v>179</v>
      </c>
      <c r="D153" s="9">
        <f>F153+H153</f>
        <v>0</v>
      </c>
      <c r="E153" s="9">
        <f>G153+I153</f>
        <v>0</v>
      </c>
      <c r="F153" s="10">
        <f>SUM(F154:F155)</f>
        <v>0</v>
      </c>
      <c r="G153" s="10">
        <f t="shared" ref="G153:I153" si="30">SUM(G154:G155)</f>
        <v>0</v>
      </c>
      <c r="H153" s="10">
        <f t="shared" si="30"/>
        <v>0</v>
      </c>
      <c r="I153" s="10">
        <f t="shared" si="30"/>
        <v>0</v>
      </c>
    </row>
    <row r="154" spans="1:9" ht="14.1" customHeight="1" x14ac:dyDescent="0.25">
      <c r="A154" s="24"/>
      <c r="B154" s="24"/>
      <c r="C154" s="25" t="s">
        <v>180</v>
      </c>
      <c r="D154" s="26"/>
      <c r="E154" s="26"/>
      <c r="F154" s="26"/>
      <c r="G154" s="26"/>
      <c r="H154" s="26"/>
      <c r="I154" s="26"/>
    </row>
    <row r="155" spans="1:9" ht="14.1" customHeight="1" x14ac:dyDescent="0.25">
      <c r="A155" s="24"/>
      <c r="B155" s="24"/>
      <c r="C155" s="25" t="s">
        <v>181</v>
      </c>
      <c r="D155" s="26"/>
      <c r="E155" s="26"/>
      <c r="F155" s="26"/>
      <c r="G155" s="26"/>
      <c r="H155" s="26"/>
      <c r="I155" s="26"/>
    </row>
    <row r="156" spans="1:9" s="3" customFormat="1" ht="14.1" customHeight="1" x14ac:dyDescent="0.25">
      <c r="A156" s="7" t="s">
        <v>182</v>
      </c>
      <c r="B156" s="7" t="s">
        <v>183</v>
      </c>
      <c r="C156" s="8" t="s">
        <v>184</v>
      </c>
      <c r="D156" s="9">
        <f>F156+H156</f>
        <v>10</v>
      </c>
      <c r="E156" s="9">
        <f>G156+I156</f>
        <v>300</v>
      </c>
      <c r="F156" s="10">
        <f>SUM(F157:F160)</f>
        <v>10</v>
      </c>
      <c r="G156" s="10">
        <f t="shared" ref="G156:I156" si="31">SUM(G157:G160)</f>
        <v>300</v>
      </c>
      <c r="H156" s="10">
        <f t="shared" si="31"/>
        <v>0</v>
      </c>
      <c r="I156" s="10">
        <f t="shared" si="31"/>
        <v>0</v>
      </c>
    </row>
    <row r="157" spans="1:9" ht="14.1" customHeight="1" x14ac:dyDescent="0.25">
      <c r="A157" s="24"/>
      <c r="B157" s="24"/>
      <c r="C157" s="25" t="s">
        <v>185</v>
      </c>
      <c r="D157" s="26"/>
      <c r="E157" s="26"/>
      <c r="F157" s="26"/>
      <c r="G157" s="26"/>
      <c r="H157" s="26"/>
      <c r="I157" s="26"/>
    </row>
    <row r="158" spans="1:9" ht="14.1" customHeight="1" x14ac:dyDescent="0.25">
      <c r="A158" s="24"/>
      <c r="B158" s="24"/>
      <c r="C158" s="25" t="s">
        <v>186</v>
      </c>
      <c r="D158" s="26"/>
      <c r="E158" s="26"/>
      <c r="F158" s="26"/>
      <c r="G158" s="26"/>
      <c r="H158" s="26"/>
      <c r="I158" s="26"/>
    </row>
    <row r="159" spans="1:9" ht="14.1" customHeight="1" x14ac:dyDescent="0.25">
      <c r="A159" s="24"/>
      <c r="B159" s="24"/>
      <c r="C159" s="25" t="s">
        <v>187</v>
      </c>
      <c r="D159" s="26"/>
      <c r="E159" s="26"/>
      <c r="F159" s="26"/>
      <c r="G159" s="26"/>
      <c r="H159" s="26"/>
      <c r="I159" s="26"/>
    </row>
    <row r="160" spans="1:9" ht="14.1" customHeight="1" x14ac:dyDescent="0.25">
      <c r="A160" s="24"/>
      <c r="B160" s="24"/>
      <c r="C160" s="25" t="s">
        <v>188</v>
      </c>
      <c r="D160" s="26"/>
      <c r="E160" s="26"/>
      <c r="F160" s="26">
        <v>10</v>
      </c>
      <c r="G160" s="26">
        <v>300</v>
      </c>
      <c r="H160" s="26"/>
      <c r="I160" s="26"/>
    </row>
    <row r="161" spans="1:252" s="3" customFormat="1" ht="14.1" customHeight="1" x14ac:dyDescent="0.25">
      <c r="A161" s="16" t="s">
        <v>189</v>
      </c>
      <c r="B161" s="16" t="s">
        <v>190</v>
      </c>
      <c r="C161" s="17" t="s">
        <v>191</v>
      </c>
      <c r="D161" s="19">
        <f>D141+D144+D148+D153+D156</f>
        <v>7241</v>
      </c>
      <c r="E161" s="19">
        <f t="shared" ref="E161:I161" si="32">E141+E144+E148+E153+E156</f>
        <v>7068</v>
      </c>
      <c r="F161" s="19">
        <f t="shared" si="32"/>
        <v>3882</v>
      </c>
      <c r="G161" s="19">
        <f t="shared" si="32"/>
        <v>3709</v>
      </c>
      <c r="H161" s="19">
        <f t="shared" si="32"/>
        <v>3359</v>
      </c>
      <c r="I161" s="19">
        <f t="shared" si="32"/>
        <v>3359</v>
      </c>
    </row>
    <row r="162" spans="1:252" s="3" customFormat="1" ht="14.1" customHeight="1" x14ac:dyDescent="0.25">
      <c r="A162" s="20" t="s">
        <v>192</v>
      </c>
      <c r="B162" s="20" t="s">
        <v>193</v>
      </c>
      <c r="C162" s="21" t="s">
        <v>292</v>
      </c>
      <c r="D162" s="23">
        <f>D101+D112+D135+D140+D161</f>
        <v>34073</v>
      </c>
      <c r="E162" s="23">
        <f t="shared" ref="E162:I162" si="33">E101+E112+E135+E140+E161</f>
        <v>32185</v>
      </c>
      <c r="F162" s="23">
        <f t="shared" si="33"/>
        <v>18274</v>
      </c>
      <c r="G162" s="23">
        <f t="shared" si="33"/>
        <v>16386</v>
      </c>
      <c r="H162" s="23">
        <f t="shared" si="33"/>
        <v>15799</v>
      </c>
      <c r="I162" s="23">
        <f t="shared" si="33"/>
        <v>15799</v>
      </c>
    </row>
    <row r="163" spans="1:252" ht="14.1" customHeight="1" x14ac:dyDescent="0.2">
      <c r="A163" s="963" t="s">
        <v>291</v>
      </c>
      <c r="B163" s="964"/>
      <c r="C163" s="965"/>
      <c r="D163" s="28">
        <f>D75+D162</f>
        <v>154658</v>
      </c>
      <c r="E163" s="28">
        <f t="shared" ref="E163:I163" si="34">E75+E162</f>
        <v>153005</v>
      </c>
      <c r="F163" s="28">
        <f t="shared" si="34"/>
        <v>138859</v>
      </c>
      <c r="G163" s="28">
        <f t="shared" si="34"/>
        <v>137206</v>
      </c>
      <c r="H163" s="28">
        <f t="shared" si="34"/>
        <v>15799</v>
      </c>
      <c r="I163" s="28">
        <f t="shared" si="34"/>
        <v>15799</v>
      </c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27"/>
      <c r="HZ163" s="27"/>
      <c r="IA163" s="27"/>
      <c r="IB163" s="27"/>
      <c r="IC163" s="27"/>
      <c r="ID163" s="27"/>
      <c r="IE163" s="27"/>
      <c r="IF163" s="27"/>
      <c r="IG163" s="27"/>
      <c r="IH163" s="27"/>
      <c r="II163" s="27"/>
      <c r="IJ163" s="27"/>
      <c r="IK163" s="27"/>
      <c r="IL163" s="27"/>
      <c r="IM163" s="27"/>
      <c r="IN163" s="27"/>
      <c r="IO163" s="27"/>
      <c r="IP163" s="27"/>
      <c r="IQ163" s="27"/>
      <c r="IR163" s="27"/>
    </row>
    <row r="164" spans="1:252" ht="12.75" customHeight="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  <c r="HP164" s="27"/>
      <c r="HQ164" s="27"/>
      <c r="HR164" s="27"/>
      <c r="HS164" s="27"/>
      <c r="HT164" s="27"/>
      <c r="HU164" s="27"/>
      <c r="HV164" s="27"/>
      <c r="HW164" s="27"/>
      <c r="HX164" s="27"/>
      <c r="HY164" s="27"/>
      <c r="HZ164" s="27"/>
      <c r="IA164" s="27"/>
      <c r="IB164" s="27"/>
      <c r="IC164" s="27"/>
      <c r="ID164" s="27"/>
      <c r="IE164" s="27"/>
      <c r="IF164" s="27"/>
      <c r="IG164" s="27"/>
      <c r="IH164" s="27"/>
      <c r="II164" s="27"/>
      <c r="IJ164" s="27"/>
      <c r="IK164" s="27"/>
      <c r="IL164" s="27"/>
      <c r="IM164" s="27"/>
      <c r="IN164" s="27"/>
      <c r="IO164" s="27"/>
      <c r="IP164" s="27"/>
      <c r="IQ164" s="27"/>
      <c r="IR164" s="27"/>
    </row>
    <row r="165" spans="1:252" ht="14.1" customHeight="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  <c r="HX165" s="27"/>
      <c r="HY165" s="27"/>
      <c r="HZ165" s="27"/>
      <c r="IA165" s="27"/>
      <c r="IB165" s="27"/>
      <c r="IC165" s="27"/>
      <c r="ID165" s="27"/>
      <c r="IE165" s="27"/>
      <c r="IF165" s="27"/>
      <c r="IG165" s="27"/>
      <c r="IH165" s="27"/>
      <c r="II165" s="27"/>
      <c r="IJ165" s="27"/>
      <c r="IK165" s="27"/>
      <c r="IL165" s="27"/>
      <c r="IM165" s="27"/>
      <c r="IN165" s="27"/>
      <c r="IO165" s="27"/>
      <c r="IP165" s="27"/>
      <c r="IQ165" s="27"/>
      <c r="IR165" s="27"/>
    </row>
    <row r="167" spans="1:252" s="1" customFormat="1" ht="12.75" customHeight="1" x14ac:dyDescent="0.25">
      <c r="A167" s="957" t="s">
        <v>374</v>
      </c>
      <c r="B167" s="957"/>
      <c r="C167" s="957"/>
      <c r="D167" s="957"/>
      <c r="E167" s="957"/>
      <c r="F167" s="957"/>
      <c r="G167" s="957"/>
      <c r="H167" s="957"/>
      <c r="I167" s="957"/>
    </row>
    <row r="168" spans="1:252" s="1" customFormat="1" ht="14.1" customHeight="1" x14ac:dyDescent="0.25">
      <c r="A168" s="957" t="s">
        <v>0</v>
      </c>
      <c r="B168" s="961" t="s">
        <v>1</v>
      </c>
      <c r="C168" s="957" t="s">
        <v>2</v>
      </c>
      <c r="D168" s="962" t="s">
        <v>260</v>
      </c>
      <c r="E168" s="952" t="s">
        <v>259</v>
      </c>
      <c r="F168" s="954" t="s">
        <v>261</v>
      </c>
      <c r="G168" s="955"/>
      <c r="H168" s="954" t="s">
        <v>262</v>
      </c>
      <c r="I168" s="955"/>
    </row>
    <row r="169" spans="1:252" s="3" customFormat="1" ht="27" customHeight="1" x14ac:dyDescent="0.25">
      <c r="A169" s="957"/>
      <c r="B169" s="961"/>
      <c r="C169" s="957"/>
      <c r="D169" s="962"/>
      <c r="E169" s="953"/>
      <c r="F169" s="2" t="s">
        <v>260</v>
      </c>
      <c r="G169" s="2" t="s">
        <v>259</v>
      </c>
      <c r="H169" s="2" t="s">
        <v>260</v>
      </c>
      <c r="I169" s="2" t="s">
        <v>259</v>
      </c>
    </row>
    <row r="170" spans="1:252" ht="5.65" customHeight="1" x14ac:dyDescent="0.25"/>
    <row r="171" spans="1:252" ht="14.1" customHeight="1" x14ac:dyDescent="0.25">
      <c r="A171" s="956" t="s">
        <v>194</v>
      </c>
      <c r="B171" s="956"/>
      <c r="C171" s="956"/>
      <c r="D171" s="956"/>
      <c r="E171" s="956"/>
      <c r="F171" s="956"/>
      <c r="G171" s="956"/>
      <c r="H171" s="956"/>
      <c r="I171" s="956"/>
    </row>
    <row r="172" spans="1:252" ht="14.1" customHeight="1" x14ac:dyDescent="0.25">
      <c r="A172" s="24" t="s">
        <v>195</v>
      </c>
      <c r="B172" s="24" t="s">
        <v>196</v>
      </c>
      <c r="C172" s="25" t="s">
        <v>197</v>
      </c>
      <c r="D172" s="26">
        <f>F172+H172</f>
        <v>0</v>
      </c>
      <c r="E172" s="26">
        <f>G172+I172</f>
        <v>0</v>
      </c>
      <c r="F172" s="26"/>
      <c r="G172" s="26"/>
      <c r="H172" s="26"/>
      <c r="I172" s="26"/>
    </row>
    <row r="173" spans="1:252" ht="14.1" customHeight="1" x14ac:dyDescent="0.25">
      <c r="A173" s="24" t="s">
        <v>198</v>
      </c>
      <c r="B173" s="24" t="s">
        <v>199</v>
      </c>
      <c r="C173" s="25" t="s">
        <v>200</v>
      </c>
      <c r="D173" s="26">
        <f t="shared" ref="D173:E179" si="35">F173+H173</f>
        <v>0</v>
      </c>
      <c r="E173" s="26">
        <f t="shared" si="35"/>
        <v>0</v>
      </c>
      <c r="F173" s="26"/>
      <c r="G173" s="26"/>
      <c r="H173" s="26"/>
      <c r="I173" s="26"/>
    </row>
    <row r="174" spans="1:252" ht="14.1" customHeight="1" x14ac:dyDescent="0.25">
      <c r="A174" s="24" t="s">
        <v>201</v>
      </c>
      <c r="B174" s="24" t="s">
        <v>202</v>
      </c>
      <c r="C174" s="25" t="s">
        <v>203</v>
      </c>
      <c r="D174" s="26">
        <f t="shared" si="35"/>
        <v>150</v>
      </c>
      <c r="E174" s="26">
        <f t="shared" si="35"/>
        <v>0</v>
      </c>
      <c r="F174" s="26">
        <v>150</v>
      </c>
      <c r="G174" s="26"/>
      <c r="H174" s="26"/>
      <c r="I174" s="26"/>
    </row>
    <row r="175" spans="1:252" ht="14.1" customHeight="1" x14ac:dyDescent="0.25">
      <c r="A175" s="24" t="s">
        <v>204</v>
      </c>
      <c r="B175" s="24" t="s">
        <v>205</v>
      </c>
      <c r="C175" s="25" t="s">
        <v>206</v>
      </c>
      <c r="D175" s="26">
        <f t="shared" si="35"/>
        <v>200</v>
      </c>
      <c r="E175" s="26">
        <f t="shared" si="35"/>
        <v>320</v>
      </c>
      <c r="F175" s="26">
        <v>200</v>
      </c>
      <c r="G175" s="26">
        <v>320</v>
      </c>
      <c r="H175" s="26"/>
      <c r="I175" s="26"/>
    </row>
    <row r="176" spans="1:252" ht="14.1" customHeight="1" x14ac:dyDescent="0.25">
      <c r="A176" s="24"/>
      <c r="B176" s="24" t="s">
        <v>207</v>
      </c>
      <c r="C176" s="25" t="s">
        <v>208</v>
      </c>
      <c r="D176" s="26">
        <f t="shared" si="35"/>
        <v>0</v>
      </c>
      <c r="E176" s="26">
        <f t="shared" si="35"/>
        <v>0</v>
      </c>
      <c r="F176" s="26"/>
      <c r="G176" s="26"/>
      <c r="H176" s="26"/>
      <c r="I176" s="26"/>
    </row>
    <row r="177" spans="1:9" ht="14.1" customHeight="1" x14ac:dyDescent="0.25">
      <c r="A177" s="24" t="s">
        <v>209</v>
      </c>
      <c r="B177" s="24" t="s">
        <v>210</v>
      </c>
      <c r="C177" s="25" t="s">
        <v>211</v>
      </c>
      <c r="D177" s="26">
        <f t="shared" si="35"/>
        <v>0</v>
      </c>
      <c r="E177" s="26">
        <f t="shared" si="35"/>
        <v>0</v>
      </c>
      <c r="F177" s="26"/>
      <c r="G177" s="26"/>
      <c r="H177" s="26"/>
      <c r="I177" s="26"/>
    </row>
    <row r="178" spans="1:9" ht="14.1" customHeight="1" x14ac:dyDescent="0.25">
      <c r="A178" s="24" t="s">
        <v>212</v>
      </c>
      <c r="B178" s="24" t="s">
        <v>213</v>
      </c>
      <c r="C178" s="25" t="s">
        <v>214</v>
      </c>
      <c r="D178" s="26">
        <f t="shared" si="35"/>
        <v>0</v>
      </c>
      <c r="E178" s="26">
        <f t="shared" si="35"/>
        <v>0</v>
      </c>
      <c r="F178" s="26"/>
      <c r="G178" s="26"/>
      <c r="H178" s="26"/>
      <c r="I178" s="26"/>
    </row>
    <row r="179" spans="1:9" ht="14.1" customHeight="1" x14ac:dyDescent="0.25">
      <c r="A179" s="24" t="s">
        <v>215</v>
      </c>
      <c r="B179" s="24" t="s">
        <v>216</v>
      </c>
      <c r="C179" s="25" t="s">
        <v>217</v>
      </c>
      <c r="D179" s="26">
        <f t="shared" si="35"/>
        <v>95</v>
      </c>
      <c r="E179" s="26">
        <f t="shared" si="35"/>
        <v>86</v>
      </c>
      <c r="F179" s="26">
        <v>95</v>
      </c>
      <c r="G179" s="26">
        <f>ROUND((G172+G173+G174+G175+G176)*0.27,0)</f>
        <v>86</v>
      </c>
      <c r="H179" s="26">
        <v>0</v>
      </c>
      <c r="I179" s="26">
        <f>ROUND((I172+I173+I174+I175+I176)*0.27,0)</f>
        <v>0</v>
      </c>
    </row>
    <row r="180" spans="1:9" s="3" customFormat="1" ht="14.1" customHeight="1" x14ac:dyDescent="0.25">
      <c r="A180" s="20" t="s">
        <v>218</v>
      </c>
      <c r="B180" s="20" t="s">
        <v>219</v>
      </c>
      <c r="C180" s="21" t="s">
        <v>220</v>
      </c>
      <c r="D180" s="23">
        <f>SUM(D172:D179)</f>
        <v>445</v>
      </c>
      <c r="E180" s="23">
        <f t="shared" ref="E180:I180" si="36">SUM(E172:E179)</f>
        <v>406</v>
      </c>
      <c r="F180" s="23">
        <f t="shared" si="36"/>
        <v>445</v>
      </c>
      <c r="G180" s="23">
        <f t="shared" si="36"/>
        <v>406</v>
      </c>
      <c r="H180" s="23">
        <f t="shared" si="36"/>
        <v>0</v>
      </c>
      <c r="I180" s="23">
        <f t="shared" si="36"/>
        <v>0</v>
      </c>
    </row>
    <row r="181" spans="1:9" ht="14.1" customHeight="1" x14ac:dyDescent="0.25">
      <c r="A181" s="24" t="s">
        <v>221</v>
      </c>
      <c r="B181" s="24" t="s">
        <v>222</v>
      </c>
      <c r="C181" s="25" t="s">
        <v>223</v>
      </c>
      <c r="D181" s="26">
        <f>F181+H181</f>
        <v>0</v>
      </c>
      <c r="E181" s="26">
        <f t="shared" ref="E181:E185" si="37">G181+I181</f>
        <v>0</v>
      </c>
      <c r="F181" s="26"/>
      <c r="G181" s="26"/>
      <c r="H181" s="26"/>
      <c r="I181" s="26"/>
    </row>
    <row r="182" spans="1:9" ht="14.1" customHeight="1" x14ac:dyDescent="0.25">
      <c r="A182" s="24" t="s">
        <v>224</v>
      </c>
      <c r="B182" s="24" t="s">
        <v>225</v>
      </c>
      <c r="C182" s="25" t="s">
        <v>226</v>
      </c>
      <c r="D182" s="26">
        <f t="shared" ref="D182:D185" si="38">F182+H182</f>
        <v>0</v>
      </c>
      <c r="E182" s="26">
        <f t="shared" si="37"/>
        <v>0</v>
      </c>
      <c r="F182" s="26"/>
      <c r="G182" s="26"/>
      <c r="H182" s="26"/>
      <c r="I182" s="26"/>
    </row>
    <row r="183" spans="1:9" ht="14.1" customHeight="1" x14ac:dyDescent="0.25">
      <c r="A183" s="24" t="s">
        <v>227</v>
      </c>
      <c r="B183" s="24" t="s">
        <v>228</v>
      </c>
      <c r="C183" s="25" t="s">
        <v>229</v>
      </c>
      <c r="D183" s="26">
        <f t="shared" si="38"/>
        <v>0</v>
      </c>
      <c r="E183" s="26">
        <f>G183+I183</f>
        <v>0</v>
      </c>
      <c r="F183" s="26"/>
      <c r="G183" s="26"/>
      <c r="H183" s="26"/>
      <c r="I183" s="26"/>
    </row>
    <row r="184" spans="1:9" ht="14.1" customHeight="1" x14ac:dyDescent="0.25">
      <c r="A184" s="24"/>
      <c r="B184" s="24" t="s">
        <v>230</v>
      </c>
      <c r="C184" s="25" t="s">
        <v>231</v>
      </c>
      <c r="D184" s="26">
        <f t="shared" si="38"/>
        <v>0</v>
      </c>
      <c r="E184" s="26">
        <f t="shared" si="37"/>
        <v>0</v>
      </c>
      <c r="F184" s="26"/>
      <c r="G184" s="26"/>
      <c r="H184" s="26"/>
      <c r="I184" s="26"/>
    </row>
    <row r="185" spans="1:9" ht="14.1" customHeight="1" x14ac:dyDescent="0.25">
      <c r="A185" s="24" t="s">
        <v>232</v>
      </c>
      <c r="B185" s="24" t="s">
        <v>233</v>
      </c>
      <c r="C185" s="25" t="s">
        <v>234</v>
      </c>
      <c r="D185" s="26">
        <f t="shared" si="38"/>
        <v>0</v>
      </c>
      <c r="E185" s="26">
        <f t="shared" si="37"/>
        <v>0</v>
      </c>
      <c r="F185" s="26">
        <v>0</v>
      </c>
      <c r="G185" s="26">
        <f>ROUND((G181+G182+G183+G184)*0.27,0)</f>
        <v>0</v>
      </c>
      <c r="H185" s="26">
        <v>0</v>
      </c>
      <c r="I185" s="26">
        <f>ROUND((I181+I182+I183+I184)*0.27,0)</f>
        <v>0</v>
      </c>
    </row>
    <row r="186" spans="1:9" s="3" customFormat="1" ht="14.1" customHeight="1" x14ac:dyDescent="0.25">
      <c r="A186" s="20" t="s">
        <v>235</v>
      </c>
      <c r="B186" s="20" t="s">
        <v>236</v>
      </c>
      <c r="C186" s="21" t="s">
        <v>237</v>
      </c>
      <c r="D186" s="23">
        <f>SUM(D181:D185)</f>
        <v>0</v>
      </c>
      <c r="E186" s="23">
        <f t="shared" ref="E186:I186" si="39">SUM(E181:E185)</f>
        <v>0</v>
      </c>
      <c r="F186" s="23">
        <f t="shared" si="39"/>
        <v>0</v>
      </c>
      <c r="G186" s="23">
        <f t="shared" si="39"/>
        <v>0</v>
      </c>
      <c r="H186" s="23">
        <f t="shared" si="39"/>
        <v>0</v>
      </c>
      <c r="I186" s="23">
        <f t="shared" si="39"/>
        <v>0</v>
      </c>
    </row>
    <row r="187" spans="1:9" s="3" customFormat="1" ht="14.1" customHeight="1" x14ac:dyDescent="0.25">
      <c r="A187" s="963" t="s">
        <v>293</v>
      </c>
      <c r="B187" s="964"/>
      <c r="C187" s="965" t="s">
        <v>238</v>
      </c>
      <c r="D187" s="28">
        <f>D180+D186</f>
        <v>445</v>
      </c>
      <c r="E187" s="28">
        <f t="shared" ref="E187:I187" si="40">E180+E186</f>
        <v>406</v>
      </c>
      <c r="F187" s="28">
        <f t="shared" si="40"/>
        <v>445</v>
      </c>
      <c r="G187" s="28">
        <f t="shared" si="40"/>
        <v>406</v>
      </c>
      <c r="H187" s="28">
        <f t="shared" si="40"/>
        <v>0</v>
      </c>
      <c r="I187" s="28">
        <f t="shared" si="40"/>
        <v>0</v>
      </c>
    </row>
    <row r="188" spans="1:9" ht="6.75" customHeight="1" x14ac:dyDescent="0.25"/>
    <row r="189" spans="1:9" ht="14.1" customHeight="1" x14ac:dyDescent="0.25">
      <c r="A189" s="958" t="s">
        <v>294</v>
      </c>
      <c r="B189" s="959"/>
      <c r="C189" s="960"/>
      <c r="D189" s="30">
        <f>D187+D163</f>
        <v>155103</v>
      </c>
      <c r="E189" s="30">
        <f t="shared" ref="E189:I189" si="41">E187+E163</f>
        <v>153411</v>
      </c>
      <c r="F189" s="30">
        <f t="shared" si="41"/>
        <v>139304</v>
      </c>
      <c r="G189" s="30">
        <f t="shared" si="41"/>
        <v>137612</v>
      </c>
      <c r="H189" s="30">
        <f t="shared" si="41"/>
        <v>15799</v>
      </c>
      <c r="I189" s="30">
        <f t="shared" si="41"/>
        <v>15799</v>
      </c>
    </row>
    <row r="194" spans="1:9" s="1" customFormat="1" ht="12.75" customHeight="1" x14ac:dyDescent="0.25">
      <c r="A194" s="957" t="s">
        <v>373</v>
      </c>
      <c r="B194" s="957"/>
      <c r="C194" s="957"/>
      <c r="D194" s="957"/>
      <c r="E194" s="957"/>
      <c r="F194" s="957"/>
      <c r="G194" s="957"/>
      <c r="H194" s="957"/>
      <c r="I194" s="957"/>
    </row>
    <row r="195" spans="1:9" s="1" customFormat="1" ht="14.1" customHeight="1" x14ac:dyDescent="0.25">
      <c r="A195" s="957" t="s">
        <v>0</v>
      </c>
      <c r="B195" s="961" t="s">
        <v>1</v>
      </c>
      <c r="C195" s="957" t="s">
        <v>2</v>
      </c>
      <c r="D195" s="962" t="s">
        <v>260</v>
      </c>
      <c r="E195" s="952" t="s">
        <v>259</v>
      </c>
      <c r="F195" s="954" t="s">
        <v>261</v>
      </c>
      <c r="G195" s="955"/>
      <c r="H195" s="954" t="s">
        <v>262</v>
      </c>
      <c r="I195" s="955"/>
    </row>
    <row r="196" spans="1:9" s="3" customFormat="1" ht="23.25" customHeight="1" x14ac:dyDescent="0.25">
      <c r="A196" s="957"/>
      <c r="B196" s="961"/>
      <c r="C196" s="957"/>
      <c r="D196" s="962"/>
      <c r="E196" s="953"/>
      <c r="F196" s="2" t="s">
        <v>260</v>
      </c>
      <c r="G196" s="2" t="s">
        <v>259</v>
      </c>
      <c r="H196" s="2" t="s">
        <v>260</v>
      </c>
      <c r="I196" s="2" t="s">
        <v>259</v>
      </c>
    </row>
    <row r="197" spans="1:9" ht="5.65" customHeight="1" x14ac:dyDescent="0.25"/>
    <row r="198" spans="1:9" ht="14.1" customHeight="1" x14ac:dyDescent="0.25">
      <c r="A198" s="956" t="s">
        <v>239</v>
      </c>
      <c r="B198" s="956"/>
      <c r="C198" s="956"/>
      <c r="D198" s="956"/>
      <c r="E198" s="956"/>
      <c r="F198" s="956"/>
      <c r="G198" s="956"/>
      <c r="H198" s="956"/>
      <c r="I198" s="956"/>
    </row>
    <row r="199" spans="1:9" s="3" customFormat="1" ht="14.1" customHeight="1" x14ac:dyDescent="0.25">
      <c r="A199" s="20" t="s">
        <v>240</v>
      </c>
      <c r="B199" s="20"/>
      <c r="C199" s="21" t="s">
        <v>241</v>
      </c>
      <c r="D199" s="23">
        <f>SUM(D200:D209)</f>
        <v>10088</v>
      </c>
      <c r="E199" s="23">
        <f t="shared" ref="E199:I199" si="42">SUM(E200:E209)</f>
        <v>3759</v>
      </c>
      <c r="F199" s="23">
        <f t="shared" si="42"/>
        <v>0</v>
      </c>
      <c r="G199" s="23">
        <f t="shared" si="42"/>
        <v>0</v>
      </c>
      <c r="H199" s="23">
        <f t="shared" si="42"/>
        <v>10088</v>
      </c>
      <c r="I199" s="23">
        <f t="shared" si="42"/>
        <v>3759</v>
      </c>
    </row>
    <row r="200" spans="1:9" ht="14.1" customHeight="1" x14ac:dyDescent="0.25">
      <c r="A200" s="24" t="s">
        <v>242</v>
      </c>
      <c r="B200" s="24"/>
      <c r="C200" s="25" t="s">
        <v>243</v>
      </c>
      <c r="D200" s="26">
        <f>F200+H200</f>
        <v>0</v>
      </c>
      <c r="E200" s="26">
        <f>G200+I200</f>
        <v>0</v>
      </c>
      <c r="F200" s="26"/>
      <c r="G200" s="26"/>
      <c r="H200" s="26"/>
      <c r="I200" s="26"/>
    </row>
    <row r="201" spans="1:9" ht="14.1" customHeight="1" x14ac:dyDescent="0.25">
      <c r="A201" s="24" t="s">
        <v>244</v>
      </c>
      <c r="B201" s="24"/>
      <c r="C201" s="25" t="s">
        <v>245</v>
      </c>
      <c r="D201" s="26">
        <f t="shared" ref="D201:E209" si="43">F201+H201</f>
        <v>0</v>
      </c>
      <c r="E201" s="26">
        <f t="shared" si="43"/>
        <v>0</v>
      </c>
      <c r="F201" s="26"/>
      <c r="G201" s="26"/>
      <c r="H201" s="26"/>
      <c r="I201" s="26"/>
    </row>
    <row r="202" spans="1:9" ht="14.1" customHeight="1" x14ac:dyDescent="0.25">
      <c r="A202" s="24" t="s">
        <v>246</v>
      </c>
      <c r="B202" s="24"/>
      <c r="C202" s="25" t="s">
        <v>247</v>
      </c>
      <c r="D202" s="26">
        <f t="shared" si="43"/>
        <v>0</v>
      </c>
      <c r="E202" s="26">
        <f t="shared" si="43"/>
        <v>0</v>
      </c>
      <c r="F202" s="26"/>
      <c r="G202" s="26"/>
      <c r="H202" s="26"/>
      <c r="I202" s="26"/>
    </row>
    <row r="203" spans="1:9" ht="14.1" customHeight="1" x14ac:dyDescent="0.25">
      <c r="A203" s="24" t="s">
        <v>248</v>
      </c>
      <c r="B203" s="24"/>
      <c r="C203" s="25" t="s">
        <v>249</v>
      </c>
      <c r="D203" s="26">
        <f t="shared" si="43"/>
        <v>0</v>
      </c>
      <c r="E203" s="26">
        <f t="shared" si="43"/>
        <v>0</v>
      </c>
      <c r="F203" s="26"/>
      <c r="G203" s="26"/>
      <c r="H203" s="26"/>
      <c r="I203" s="26"/>
    </row>
    <row r="204" spans="1:9" ht="14.1" customHeight="1" x14ac:dyDescent="0.25">
      <c r="A204" s="24" t="s">
        <v>296</v>
      </c>
      <c r="B204" s="24"/>
      <c r="C204" s="25" t="s">
        <v>297</v>
      </c>
      <c r="D204" s="26">
        <f t="shared" si="43"/>
        <v>7628</v>
      </c>
      <c r="E204" s="26">
        <f t="shared" si="43"/>
        <v>2960</v>
      </c>
      <c r="F204" s="26"/>
      <c r="G204" s="26"/>
      <c r="H204" s="26">
        <v>7628</v>
      </c>
      <c r="I204" s="26">
        <v>2960</v>
      </c>
    </row>
    <row r="205" spans="1:9" ht="14.1" customHeight="1" x14ac:dyDescent="0.25">
      <c r="A205" s="24" t="s">
        <v>250</v>
      </c>
      <c r="B205" s="24"/>
      <c r="C205" s="25" t="s">
        <v>251</v>
      </c>
      <c r="D205" s="26">
        <f t="shared" si="43"/>
        <v>2060</v>
      </c>
      <c r="E205" s="26">
        <f t="shared" si="43"/>
        <v>799</v>
      </c>
      <c r="F205" s="26"/>
      <c r="G205" s="26">
        <f>ROUND((G200+G201+G202+G203+G204)*0.27,0)</f>
        <v>0</v>
      </c>
      <c r="H205" s="26">
        <v>2060</v>
      </c>
      <c r="I205" s="26">
        <f>ROUND((I200+I201+I202+I203+I204)*0.27,0)</f>
        <v>799</v>
      </c>
    </row>
    <row r="206" spans="1:9" ht="14.1" customHeight="1" x14ac:dyDescent="0.25">
      <c r="A206" s="24" t="s">
        <v>298</v>
      </c>
      <c r="B206" s="24"/>
      <c r="C206" s="25" t="s">
        <v>299</v>
      </c>
      <c r="D206" s="26">
        <f t="shared" si="43"/>
        <v>400</v>
      </c>
      <c r="E206" s="26">
        <f t="shared" si="43"/>
        <v>0</v>
      </c>
      <c r="F206" s="26"/>
      <c r="G206" s="26"/>
      <c r="H206" s="26">
        <v>400</v>
      </c>
      <c r="I206" s="26"/>
    </row>
    <row r="207" spans="1:9" ht="14.1" customHeight="1" x14ac:dyDescent="0.25">
      <c r="A207" s="24" t="s">
        <v>252</v>
      </c>
      <c r="B207" s="24"/>
      <c r="C207" s="25" t="s">
        <v>253</v>
      </c>
      <c r="D207" s="26">
        <f t="shared" si="43"/>
        <v>0</v>
      </c>
      <c r="E207" s="26">
        <f t="shared" si="43"/>
        <v>0</v>
      </c>
      <c r="F207" s="26"/>
      <c r="G207" s="26"/>
      <c r="H207" s="26"/>
      <c r="I207" s="26"/>
    </row>
    <row r="208" spans="1:9" ht="14.1" customHeight="1" x14ac:dyDescent="0.25">
      <c r="A208" s="24" t="s">
        <v>300</v>
      </c>
      <c r="B208" s="24"/>
      <c r="C208" s="25" t="s">
        <v>301</v>
      </c>
      <c r="D208" s="26">
        <f t="shared" si="43"/>
        <v>0</v>
      </c>
      <c r="E208" s="26">
        <f t="shared" si="43"/>
        <v>0</v>
      </c>
      <c r="F208" s="26"/>
      <c r="G208" s="26"/>
      <c r="H208" s="26"/>
      <c r="I208" s="26"/>
    </row>
    <row r="209" spans="1:9" ht="14.1" customHeight="1" x14ac:dyDescent="0.25">
      <c r="A209" s="24" t="s">
        <v>254</v>
      </c>
      <c r="B209" s="24"/>
      <c r="C209" s="25" t="s">
        <v>255</v>
      </c>
      <c r="D209" s="26">
        <f t="shared" si="43"/>
        <v>0</v>
      </c>
      <c r="E209" s="26">
        <f t="shared" si="43"/>
        <v>0</v>
      </c>
      <c r="F209" s="26"/>
      <c r="G209" s="26"/>
      <c r="H209" s="26"/>
      <c r="I209" s="26"/>
    </row>
    <row r="210" spans="1:9" s="3" customFormat="1" ht="14.1" customHeight="1" x14ac:dyDescent="0.25">
      <c r="A210" s="20" t="s">
        <v>256</v>
      </c>
      <c r="B210" s="20"/>
      <c r="C210" s="21" t="s">
        <v>257</v>
      </c>
      <c r="D210" s="23">
        <f>F210+H210</f>
        <v>0</v>
      </c>
      <c r="E210" s="23">
        <f>G210+I210</f>
        <v>0</v>
      </c>
      <c r="F210" s="23">
        <v>0</v>
      </c>
      <c r="G210" s="23">
        <v>0</v>
      </c>
      <c r="H210" s="23">
        <v>0</v>
      </c>
      <c r="I210" s="23">
        <v>0</v>
      </c>
    </row>
    <row r="211" spans="1:9" s="3" customFormat="1" ht="14.1" customHeight="1" x14ac:dyDescent="0.25">
      <c r="A211" s="958" t="s">
        <v>295</v>
      </c>
      <c r="B211" s="959"/>
      <c r="C211" s="960"/>
      <c r="D211" s="30">
        <f>D199+D210</f>
        <v>10088</v>
      </c>
      <c r="E211" s="30">
        <f t="shared" ref="E211:I211" si="44">E199+E210</f>
        <v>3759</v>
      </c>
      <c r="F211" s="30">
        <f t="shared" si="44"/>
        <v>0</v>
      </c>
      <c r="G211" s="30">
        <f t="shared" si="44"/>
        <v>0</v>
      </c>
      <c r="H211" s="30">
        <f t="shared" si="44"/>
        <v>10088</v>
      </c>
      <c r="I211" s="30">
        <f t="shared" si="44"/>
        <v>3759</v>
      </c>
    </row>
  </sheetData>
  <sheetProtection selectLockedCells="1" selectUnlockedCells="1"/>
  <customSheetViews>
    <customSheetView guid="{7F1DC213-A29D-4C8C-BAC3-F1BD898020FD}" scale="150" showPageBreaks="1" fitToPage="1" state="hidden" view="pageBreakPreview" topLeftCell="B1">
      <pane ySplit="4" topLeftCell="A26" activePane="bottomLeft" state="frozen"/>
      <selection pane="bottomLeft" activeCell="G70" sqref="G70"/>
      <rowBreaks count="2" manualBreakCount="2">
        <brk id="75" max="16383" man="1"/>
        <brk id="140" max="16383" man="1"/>
      </rowBreaks>
      <pageMargins left="0.15748031496062992" right="0.15748031496062992" top="0.19685039370078741" bottom="0.15748031496062992" header="0.31496062992125984" footer="0.31496062992125984"/>
      <printOptions horizontalCentered="1"/>
      <pageSetup paperSize="8" fitToHeight="0" orientation="portrait" useFirstPageNumber="1" copies="2" r:id="rId1"/>
      <headerFooter alignWithMargins="0"/>
    </customSheetView>
    <customSheetView guid="{4DCB1349-1166-4B69-AE14-D6B08F9FCE74}" scale="150" showPageBreaks="1" fitToPage="1" state="hidden" view="pageBreakPreview" topLeftCell="B1">
      <pane ySplit="4" topLeftCell="A26" activePane="bottomLeft" state="frozen"/>
      <selection pane="bottomLeft" activeCell="G70" sqref="G70"/>
      <rowBreaks count="2" manualBreakCount="2">
        <brk id="75" max="16383" man="1"/>
        <brk id="140" max="16383" man="1"/>
      </rowBreaks>
      <pageMargins left="0.15748031496062992" right="0.15748031496062992" top="0.19685039370078741" bottom="0.15748031496062992" header="0.31496062992125984" footer="0.31496062992125984"/>
      <printOptions horizontalCentered="1"/>
      <pageSetup paperSize="8" fitToHeight="0" orientation="portrait" useFirstPageNumber="1" copies="2" r:id="rId2"/>
      <headerFooter alignWithMargins="0"/>
    </customSheetView>
  </customSheetViews>
  <mergeCells count="41">
    <mergeCell ref="H195:I195"/>
    <mergeCell ref="A198:I198"/>
    <mergeCell ref="A211:C211"/>
    <mergeCell ref="A171:I171"/>
    <mergeCell ref="A187:C187"/>
    <mergeCell ref="A189:C189"/>
    <mergeCell ref="A194:I194"/>
    <mergeCell ref="A195:A196"/>
    <mergeCell ref="B195:B196"/>
    <mergeCell ref="C195:C196"/>
    <mergeCell ref="D195:D196"/>
    <mergeCell ref="E195:E196"/>
    <mergeCell ref="F195:G195"/>
    <mergeCell ref="A83:I83"/>
    <mergeCell ref="A163:C163"/>
    <mergeCell ref="A167:I167"/>
    <mergeCell ref="A168:A169"/>
    <mergeCell ref="B168:B169"/>
    <mergeCell ref="C168:C169"/>
    <mergeCell ref="D168:D169"/>
    <mergeCell ref="E168:E169"/>
    <mergeCell ref="F168:G168"/>
    <mergeCell ref="H168:I168"/>
    <mergeCell ref="A5:I5"/>
    <mergeCell ref="A75:C75"/>
    <mergeCell ref="A79:I79"/>
    <mergeCell ref="A80:A81"/>
    <mergeCell ref="B80:B81"/>
    <mergeCell ref="C80:C81"/>
    <mergeCell ref="D80:D81"/>
    <mergeCell ref="E80:E81"/>
    <mergeCell ref="F80:G80"/>
    <mergeCell ref="H80:I80"/>
    <mergeCell ref="A1:I1"/>
    <mergeCell ref="A2:A3"/>
    <mergeCell ref="B2:B3"/>
    <mergeCell ref="C2:C3"/>
    <mergeCell ref="D2:D3"/>
    <mergeCell ref="E2:E3"/>
    <mergeCell ref="F2:G2"/>
    <mergeCell ref="H2:I2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3"/>
  <headerFooter alignWithMargins="0"/>
  <rowBreaks count="2" manualBreakCount="2">
    <brk id="75" max="16383" man="1"/>
    <brk id="140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IR180"/>
  <sheetViews>
    <sheetView view="pageBreakPreview" zoomScale="150" zoomScaleSheetLayoutView="150" workbookViewId="0">
      <pane ySplit="4" topLeftCell="A56" activePane="bottomLeft" state="frozen"/>
      <selection pane="bottomLeft" activeCell="B69" sqref="B6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957" t="s">
        <v>407</v>
      </c>
      <c r="B1" s="957"/>
      <c r="C1" s="957"/>
      <c r="D1" s="957"/>
      <c r="E1" s="957"/>
      <c r="F1" s="957"/>
      <c r="G1" s="957"/>
      <c r="H1" s="957"/>
      <c r="I1" s="957"/>
    </row>
    <row r="2" spans="1:9" s="1" customFormat="1" ht="14.1" customHeight="1" x14ac:dyDescent="0.25">
      <c r="A2" s="957" t="s">
        <v>0</v>
      </c>
      <c r="B2" s="961" t="s">
        <v>1</v>
      </c>
      <c r="C2" s="957" t="s">
        <v>2</v>
      </c>
      <c r="D2" s="962" t="s">
        <v>260</v>
      </c>
      <c r="E2" s="952" t="s">
        <v>259</v>
      </c>
      <c r="F2" s="954" t="s">
        <v>261</v>
      </c>
      <c r="G2" s="955"/>
      <c r="H2" s="954" t="s">
        <v>262</v>
      </c>
      <c r="I2" s="955"/>
    </row>
    <row r="3" spans="1:9" s="3" customFormat="1" ht="25.5" customHeight="1" x14ac:dyDescent="0.25">
      <c r="A3" s="957"/>
      <c r="B3" s="961"/>
      <c r="C3" s="957"/>
      <c r="D3" s="962"/>
      <c r="E3" s="953"/>
      <c r="F3" s="29" t="s">
        <v>263</v>
      </c>
      <c r="G3" s="29" t="s">
        <v>259</v>
      </c>
      <c r="H3" s="29" t="s">
        <v>260</v>
      </c>
      <c r="I3" s="29" t="s">
        <v>259</v>
      </c>
    </row>
    <row r="4" spans="1:9" ht="5.65" customHeight="1" x14ac:dyDescent="0.25"/>
    <row r="5" spans="1:9" ht="14.1" customHeight="1" x14ac:dyDescent="0.25">
      <c r="A5" s="956" t="s">
        <v>3</v>
      </c>
      <c r="B5" s="956"/>
      <c r="C5" s="956"/>
      <c r="D5" s="956"/>
      <c r="E5" s="956"/>
      <c r="F5" s="956"/>
      <c r="G5" s="956"/>
      <c r="H5" s="956"/>
      <c r="I5" s="956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132520</v>
      </c>
      <c r="E6" s="9">
        <f>G6+I6</f>
        <v>145416</v>
      </c>
      <c r="F6" s="10">
        <v>132520</v>
      </c>
      <c r="G6" s="10">
        <f>SUM(G7:G8)</f>
        <v>145416</v>
      </c>
      <c r="H6" s="10">
        <v>0</v>
      </c>
      <c r="I6" s="10">
        <f>SUM(I7:I7)</f>
        <v>0</v>
      </c>
    </row>
    <row r="7" spans="1:9" s="15" customFormat="1" ht="11.45" customHeight="1" x14ac:dyDescent="0.25">
      <c r="A7" s="11"/>
      <c r="B7" s="11"/>
      <c r="C7" s="12" t="s">
        <v>1071</v>
      </c>
      <c r="D7" s="13"/>
      <c r="E7" s="13"/>
      <c r="F7" s="14"/>
      <c r="G7" s="14">
        <v>145029</v>
      </c>
      <c r="H7" s="14"/>
      <c r="I7" s="14"/>
    </row>
    <row r="8" spans="1:9" s="15" customFormat="1" ht="11.45" customHeight="1" x14ac:dyDescent="0.25">
      <c r="A8" s="11"/>
      <c r="B8" s="11"/>
      <c r="C8" s="12" t="s">
        <v>1072</v>
      </c>
      <c r="D8" s="13"/>
      <c r="E8" s="13"/>
      <c r="F8" s="14"/>
      <c r="G8" s="14">
        <v>387</v>
      </c>
      <c r="H8" s="14"/>
      <c r="I8" s="14"/>
    </row>
    <row r="9" spans="1:9" s="3" customFormat="1" ht="12.75" customHeight="1" x14ac:dyDescent="0.25">
      <c r="A9" s="7" t="s">
        <v>7</v>
      </c>
      <c r="B9" s="7" t="s">
        <v>8</v>
      </c>
      <c r="C9" s="8" t="s">
        <v>9</v>
      </c>
      <c r="D9" s="9">
        <f t="shared" ref="D9:E11" si="0">F9+H9</f>
        <v>0</v>
      </c>
      <c r="E9" s="9">
        <f t="shared" si="0"/>
        <v>0</v>
      </c>
      <c r="F9" s="10">
        <v>0</v>
      </c>
      <c r="G9" s="10">
        <v>0</v>
      </c>
      <c r="H9" s="10">
        <v>0</v>
      </c>
      <c r="I9" s="10">
        <v>0</v>
      </c>
    </row>
    <row r="10" spans="1:9" s="3" customFormat="1" ht="12.75" customHeight="1" x14ac:dyDescent="0.25">
      <c r="A10" s="7" t="s">
        <v>10</v>
      </c>
      <c r="B10" s="7" t="s">
        <v>11</v>
      </c>
      <c r="C10" s="8" t="s">
        <v>12</v>
      </c>
      <c r="D10" s="9">
        <f t="shared" si="0"/>
        <v>0</v>
      </c>
      <c r="E10" s="9">
        <f t="shared" si="0"/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s="3" customFormat="1" ht="12.75" customHeight="1" x14ac:dyDescent="0.25">
      <c r="A11" s="7" t="s">
        <v>13</v>
      </c>
      <c r="B11" s="7" t="s">
        <v>14</v>
      </c>
      <c r="C11" s="8" t="s">
        <v>15</v>
      </c>
      <c r="D11" s="9">
        <f t="shared" si="0"/>
        <v>1200</v>
      </c>
      <c r="E11" s="9">
        <f t="shared" si="0"/>
        <v>800</v>
      </c>
      <c r="F11" s="10">
        <f>SUM(F12:F13)</f>
        <v>1200</v>
      </c>
      <c r="G11" s="10">
        <f>SUM(G12:G13)</f>
        <v>800</v>
      </c>
      <c r="H11" s="10">
        <v>0</v>
      </c>
      <c r="I11" s="10">
        <f t="shared" ref="I11" si="1">SUM(I12:I13)</f>
        <v>0</v>
      </c>
    </row>
    <row r="12" spans="1:9" s="15" customFormat="1" ht="11.45" customHeight="1" x14ac:dyDescent="0.25">
      <c r="A12" s="11"/>
      <c r="B12" s="11"/>
      <c r="C12" s="12" t="s">
        <v>16</v>
      </c>
      <c r="D12" s="13"/>
      <c r="E12" s="13"/>
      <c r="F12" s="14">
        <v>1200</v>
      </c>
      <c r="G12" s="14">
        <v>800</v>
      </c>
      <c r="H12" s="14"/>
      <c r="I12" s="14"/>
    </row>
    <row r="13" spans="1:9" s="15" customFormat="1" ht="11.45" customHeight="1" x14ac:dyDescent="0.25">
      <c r="A13" s="11"/>
      <c r="B13" s="11"/>
      <c r="C13" s="12" t="s">
        <v>17</v>
      </c>
      <c r="D13" s="13"/>
      <c r="E13" s="13"/>
      <c r="F13" s="14"/>
      <c r="G13" s="14"/>
      <c r="H13" s="14"/>
      <c r="I13" s="14"/>
    </row>
    <row r="14" spans="1:9" s="3" customFormat="1" ht="12.75" customHeight="1" x14ac:dyDescent="0.25">
      <c r="A14" s="7" t="s">
        <v>18</v>
      </c>
      <c r="B14" s="7" t="s">
        <v>19</v>
      </c>
      <c r="C14" s="8" t="s">
        <v>20</v>
      </c>
      <c r="D14" s="9">
        <f t="shared" ref="D14:E18" si="2">F14+H14</f>
        <v>0</v>
      </c>
      <c r="E14" s="9">
        <f t="shared" si="2"/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s="3" customFormat="1" ht="12.75" customHeight="1" x14ac:dyDescent="0.25">
      <c r="A15" s="7" t="s">
        <v>21</v>
      </c>
      <c r="B15" s="7" t="s">
        <v>22</v>
      </c>
      <c r="C15" s="8" t="s">
        <v>23</v>
      </c>
      <c r="D15" s="9">
        <f t="shared" si="2"/>
        <v>2124</v>
      </c>
      <c r="E15" s="9">
        <f t="shared" si="2"/>
        <v>1115</v>
      </c>
      <c r="F15" s="10">
        <v>2124</v>
      </c>
      <c r="G15" s="10">
        <f>SUM(G16:G17)</f>
        <v>1115</v>
      </c>
      <c r="H15" s="10">
        <v>0</v>
      </c>
      <c r="I15" s="10">
        <v>0</v>
      </c>
    </row>
    <row r="16" spans="1:9" s="3" customFormat="1" ht="12.75" customHeight="1" x14ac:dyDescent="0.25">
      <c r="A16" s="11"/>
      <c r="B16" s="11"/>
      <c r="C16" s="12" t="s">
        <v>1073</v>
      </c>
      <c r="D16" s="13"/>
      <c r="E16" s="13"/>
      <c r="F16" s="14"/>
      <c r="G16" s="14">
        <v>549</v>
      </c>
      <c r="H16" s="14"/>
      <c r="I16" s="14"/>
    </row>
    <row r="17" spans="1:9" s="3" customFormat="1" ht="12.75" customHeight="1" x14ac:dyDescent="0.25">
      <c r="A17" s="11"/>
      <c r="B17" s="11"/>
      <c r="C17" s="12" t="s">
        <v>1074</v>
      </c>
      <c r="D17" s="13"/>
      <c r="E17" s="13"/>
      <c r="F17" s="14"/>
      <c r="G17" s="14">
        <v>566</v>
      </c>
      <c r="H17" s="14"/>
      <c r="I17" s="14"/>
    </row>
    <row r="18" spans="1:9" s="3" customFormat="1" ht="12.75" customHeight="1" x14ac:dyDescent="0.25">
      <c r="A18" s="7" t="s">
        <v>24</v>
      </c>
      <c r="B18" s="7" t="s">
        <v>25</v>
      </c>
      <c r="C18" s="8" t="s">
        <v>26</v>
      </c>
      <c r="D18" s="9">
        <f t="shared" si="2"/>
        <v>5376</v>
      </c>
      <c r="E18" s="9">
        <f t="shared" si="2"/>
        <v>5376</v>
      </c>
      <c r="F18" s="10">
        <v>5376</v>
      </c>
      <c r="G18" s="10">
        <f>G19</f>
        <v>5376</v>
      </c>
      <c r="H18" s="10">
        <v>0</v>
      </c>
      <c r="I18" s="10">
        <f t="shared" ref="I18" si="3">I19</f>
        <v>0</v>
      </c>
    </row>
    <row r="19" spans="1:9" s="15" customFormat="1" ht="11.45" customHeight="1" x14ac:dyDescent="0.25">
      <c r="A19" s="11"/>
      <c r="B19" s="11"/>
      <c r="C19" s="12" t="s">
        <v>410</v>
      </c>
      <c r="D19" s="13"/>
      <c r="E19" s="13"/>
      <c r="F19" s="14"/>
      <c r="G19" s="14">
        <v>5376</v>
      </c>
      <c r="H19" s="14"/>
      <c r="I19" s="14"/>
    </row>
    <row r="20" spans="1:9" s="3" customFormat="1" ht="12.75" customHeight="1" x14ac:dyDescent="0.25">
      <c r="A20" s="7" t="s">
        <v>27</v>
      </c>
      <c r="B20" s="7" t="s">
        <v>28</v>
      </c>
      <c r="C20" s="8" t="s">
        <v>29</v>
      </c>
      <c r="D20" s="9">
        <f t="shared" ref="D20:E22" si="4">F20+H20</f>
        <v>100</v>
      </c>
      <c r="E20" s="9">
        <f t="shared" si="4"/>
        <v>0</v>
      </c>
      <c r="F20" s="10">
        <v>100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30</v>
      </c>
      <c r="B21" s="7" t="s">
        <v>31</v>
      </c>
      <c r="C21" s="8" t="s">
        <v>32</v>
      </c>
      <c r="D21" s="9">
        <f t="shared" si="4"/>
        <v>1080</v>
      </c>
      <c r="E21" s="9">
        <f t="shared" si="4"/>
        <v>1200</v>
      </c>
      <c r="F21" s="10">
        <v>1080</v>
      </c>
      <c r="G21" s="10">
        <v>1200</v>
      </c>
      <c r="H21" s="10">
        <v>0</v>
      </c>
      <c r="I21" s="10">
        <v>0</v>
      </c>
    </row>
    <row r="22" spans="1:9" s="3" customFormat="1" ht="12.75" customHeight="1" x14ac:dyDescent="0.25">
      <c r="A22" s="7" t="s">
        <v>33</v>
      </c>
      <c r="B22" s="7" t="s">
        <v>34</v>
      </c>
      <c r="C22" s="8" t="s">
        <v>35</v>
      </c>
      <c r="D22" s="9">
        <f t="shared" si="4"/>
        <v>0</v>
      </c>
      <c r="E22" s="9">
        <f t="shared" si="4"/>
        <v>792</v>
      </c>
      <c r="F22" s="10">
        <v>0</v>
      </c>
      <c r="G22" s="10">
        <f>G23+G24</f>
        <v>792</v>
      </c>
      <c r="H22" s="10">
        <v>0</v>
      </c>
      <c r="I22" s="10">
        <f>I23</f>
        <v>0</v>
      </c>
    </row>
    <row r="23" spans="1:9" s="3" customFormat="1" ht="12.75" customHeight="1" x14ac:dyDescent="0.25">
      <c r="A23" s="11"/>
      <c r="B23" s="11"/>
      <c r="C23" s="12" t="s">
        <v>279</v>
      </c>
      <c r="D23" s="13"/>
      <c r="E23" s="13"/>
      <c r="F23" s="14"/>
      <c r="G23" s="14">
        <v>120</v>
      </c>
      <c r="H23" s="14"/>
      <c r="I23" s="14"/>
    </row>
    <row r="24" spans="1:9" s="3" customFormat="1" ht="12.75" customHeight="1" x14ac:dyDescent="0.25">
      <c r="A24" s="11"/>
      <c r="B24" s="11"/>
      <c r="C24" s="12" t="s">
        <v>1179</v>
      </c>
      <c r="D24" s="13"/>
      <c r="E24" s="13"/>
      <c r="F24" s="14"/>
      <c r="G24" s="14">
        <v>672</v>
      </c>
      <c r="H24" s="14"/>
      <c r="I24" s="14"/>
    </row>
    <row r="25" spans="1:9" s="3" customFormat="1" ht="12.75" customHeight="1" x14ac:dyDescent="0.25">
      <c r="A25" s="7" t="s">
        <v>36</v>
      </c>
      <c r="B25" s="7" t="s">
        <v>37</v>
      </c>
      <c r="C25" s="8" t="s">
        <v>38</v>
      </c>
      <c r="D25" s="9">
        <f>F25+H25</f>
        <v>0</v>
      </c>
      <c r="E25" s="9">
        <f>G25+I25</f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>F26+H26</f>
        <v>663</v>
      </c>
      <c r="E26" s="9">
        <f>G26+I26</f>
        <v>582</v>
      </c>
      <c r="F26" s="10">
        <f>F27</f>
        <v>663</v>
      </c>
      <c r="G26" s="10">
        <f t="shared" ref="G26:I26" si="5">G27</f>
        <v>582</v>
      </c>
      <c r="H26" s="10">
        <f t="shared" si="5"/>
        <v>0</v>
      </c>
      <c r="I26" s="10">
        <f t="shared" si="5"/>
        <v>0</v>
      </c>
    </row>
    <row r="27" spans="1:9" s="3" customFormat="1" ht="12.75" customHeight="1" x14ac:dyDescent="0.25">
      <c r="A27" s="11"/>
      <c r="B27" s="11"/>
      <c r="C27" s="12" t="s">
        <v>280</v>
      </c>
      <c r="D27" s="13"/>
      <c r="E27" s="13"/>
      <c r="F27" s="14">
        <v>663</v>
      </c>
      <c r="G27" s="14">
        <f>ROUND(G6*0.004,0)</f>
        <v>582</v>
      </c>
      <c r="H27" s="14"/>
      <c r="I27" s="14"/>
    </row>
    <row r="28" spans="1:9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</f>
        <v>1650</v>
      </c>
      <c r="E28" s="9">
        <f>G28+I28</f>
        <v>4862</v>
      </c>
      <c r="F28" s="10">
        <v>1650</v>
      </c>
      <c r="G28" s="10">
        <f>G29+G30</f>
        <v>4862</v>
      </c>
      <c r="H28" s="10">
        <v>0</v>
      </c>
      <c r="I28" s="10">
        <f>I29</f>
        <v>0</v>
      </c>
    </row>
    <row r="29" spans="1:9" s="15" customFormat="1" ht="11.45" customHeight="1" x14ac:dyDescent="0.25">
      <c r="A29" s="11"/>
      <c r="B29" s="11"/>
      <c r="C29" s="12" t="s">
        <v>411</v>
      </c>
      <c r="D29" s="13"/>
      <c r="E29" s="13"/>
      <c r="F29" s="14"/>
      <c r="G29" s="14">
        <v>500</v>
      </c>
      <c r="H29" s="14"/>
      <c r="I29" s="14"/>
    </row>
    <row r="30" spans="1:9" s="15" customFormat="1" ht="11.45" customHeight="1" x14ac:dyDescent="0.25">
      <c r="A30" s="11"/>
      <c r="B30" s="11"/>
      <c r="C30" s="12" t="s">
        <v>1181</v>
      </c>
      <c r="D30" s="13"/>
      <c r="E30" s="13"/>
      <c r="F30" s="14"/>
      <c r="G30" s="14">
        <f>ROUND(G6*0.03,0)</f>
        <v>4362</v>
      </c>
      <c r="H30" s="14"/>
      <c r="I30" s="14"/>
    </row>
    <row r="31" spans="1:9" s="3" customFormat="1" ht="12.75" customHeight="1" x14ac:dyDescent="0.25">
      <c r="A31" s="16" t="s">
        <v>45</v>
      </c>
      <c r="B31" s="16" t="s">
        <v>46</v>
      </c>
      <c r="C31" s="17" t="s">
        <v>47</v>
      </c>
      <c r="D31" s="18">
        <f t="shared" ref="D31:I31" si="6">D6+D9+D10+D11+D14+D15+D18+D20+D21+D22+D25+D26+D28</f>
        <v>144713</v>
      </c>
      <c r="E31" s="18">
        <f t="shared" si="6"/>
        <v>160143</v>
      </c>
      <c r="F31" s="18">
        <f t="shared" si="6"/>
        <v>144713</v>
      </c>
      <c r="G31" s="18">
        <f t="shared" si="6"/>
        <v>160143</v>
      </c>
      <c r="H31" s="18">
        <f t="shared" si="6"/>
        <v>0</v>
      </c>
      <c r="I31" s="18">
        <f t="shared" si="6"/>
        <v>0</v>
      </c>
    </row>
    <row r="32" spans="1:9" s="3" customFormat="1" ht="12.75" customHeight="1" x14ac:dyDescent="0.25">
      <c r="A32" s="7" t="s">
        <v>48</v>
      </c>
      <c r="B32" s="7" t="s">
        <v>49</v>
      </c>
      <c r="C32" s="8" t="s">
        <v>50</v>
      </c>
      <c r="D32" s="9">
        <f>F32+H32</f>
        <v>0</v>
      </c>
      <c r="E32" s="9">
        <f>G32+I32</f>
        <v>0</v>
      </c>
      <c r="F32" s="10">
        <v>0</v>
      </c>
      <c r="G32" s="10">
        <v>0</v>
      </c>
      <c r="H32" s="10">
        <v>0</v>
      </c>
      <c r="I32" s="10">
        <v>0</v>
      </c>
    </row>
    <row r="33" spans="1:9" s="3" customFormat="1" ht="12.75" customHeight="1" x14ac:dyDescent="0.25">
      <c r="A33" s="7" t="s">
        <v>51</v>
      </c>
      <c r="B33" s="7" t="s">
        <v>52</v>
      </c>
      <c r="C33" s="8" t="s">
        <v>53</v>
      </c>
      <c r="D33" s="9">
        <f>F33+H33</f>
        <v>400</v>
      </c>
      <c r="E33" s="9">
        <f>G33+I33</f>
        <v>300</v>
      </c>
      <c r="F33" s="10">
        <f>F34</f>
        <v>400</v>
      </c>
      <c r="G33" s="10">
        <f t="shared" ref="G33:I33" si="7">G34</f>
        <v>300</v>
      </c>
      <c r="H33" s="10">
        <f t="shared" si="7"/>
        <v>0</v>
      </c>
      <c r="I33" s="10">
        <f t="shared" si="7"/>
        <v>0</v>
      </c>
    </row>
    <row r="34" spans="1:9" s="15" customFormat="1" ht="11.45" customHeight="1" x14ac:dyDescent="0.25">
      <c r="A34" s="11"/>
      <c r="B34" s="11"/>
      <c r="C34" s="12" t="s">
        <v>282</v>
      </c>
      <c r="D34" s="13"/>
      <c r="E34" s="13"/>
      <c r="F34" s="14">
        <v>400</v>
      </c>
      <c r="G34" s="14">
        <v>300</v>
      </c>
      <c r="H34" s="14"/>
      <c r="I34" s="14"/>
    </row>
    <row r="35" spans="1:9" s="3" customFormat="1" ht="12.75" customHeight="1" x14ac:dyDescent="0.25">
      <c r="A35" s="7" t="s">
        <v>54</v>
      </c>
      <c r="B35" s="7" t="s">
        <v>55</v>
      </c>
      <c r="C35" s="8" t="s">
        <v>285</v>
      </c>
      <c r="D35" s="9">
        <f>F35+H35</f>
        <v>100</v>
      </c>
      <c r="E35" s="9">
        <f>G35+I35</f>
        <v>60</v>
      </c>
      <c r="F35" s="10">
        <f>F36</f>
        <v>100</v>
      </c>
      <c r="G35" s="10">
        <f t="shared" ref="G35:I35" si="8">G36</f>
        <v>60</v>
      </c>
      <c r="H35" s="10">
        <f t="shared" si="8"/>
        <v>0</v>
      </c>
      <c r="I35" s="10">
        <f t="shared" si="8"/>
        <v>0</v>
      </c>
    </row>
    <row r="36" spans="1:9" s="15" customFormat="1" ht="11.45" customHeight="1" x14ac:dyDescent="0.25">
      <c r="A36" s="11"/>
      <c r="B36" s="11"/>
      <c r="C36" s="12" t="s">
        <v>283</v>
      </c>
      <c r="D36" s="13"/>
      <c r="E36" s="13"/>
      <c r="F36" s="14">
        <v>100</v>
      </c>
      <c r="G36" s="14">
        <v>60</v>
      </c>
      <c r="H36" s="14"/>
      <c r="I36" s="14"/>
    </row>
    <row r="37" spans="1:9" s="3" customFormat="1" ht="12.75" customHeight="1" x14ac:dyDescent="0.25">
      <c r="A37" s="16" t="s">
        <v>56</v>
      </c>
      <c r="B37" s="16" t="s">
        <v>57</v>
      </c>
      <c r="C37" s="17" t="s">
        <v>58</v>
      </c>
      <c r="D37" s="18">
        <f>D32+D33+D35</f>
        <v>500</v>
      </c>
      <c r="E37" s="18">
        <f t="shared" ref="E37:I37" si="9">E32+E33+E35</f>
        <v>360</v>
      </c>
      <c r="F37" s="18">
        <f t="shared" si="9"/>
        <v>500</v>
      </c>
      <c r="G37" s="18">
        <f t="shared" si="9"/>
        <v>360</v>
      </c>
      <c r="H37" s="18">
        <f t="shared" si="9"/>
        <v>0</v>
      </c>
      <c r="I37" s="18">
        <f t="shared" si="9"/>
        <v>0</v>
      </c>
    </row>
    <row r="38" spans="1:9" s="3" customFormat="1" ht="12.75" customHeight="1" x14ac:dyDescent="0.25">
      <c r="A38" s="20" t="s">
        <v>59</v>
      </c>
      <c r="B38" s="20" t="s">
        <v>60</v>
      </c>
      <c r="C38" s="21" t="s">
        <v>286</v>
      </c>
      <c r="D38" s="22">
        <f>D31+D37</f>
        <v>145213</v>
      </c>
      <c r="E38" s="22">
        <f t="shared" ref="E38:I38" si="10">E31+E37</f>
        <v>160503</v>
      </c>
      <c r="F38" s="22">
        <f t="shared" si="10"/>
        <v>145213</v>
      </c>
      <c r="G38" s="22">
        <f t="shared" si="10"/>
        <v>160503</v>
      </c>
      <c r="H38" s="22">
        <f t="shared" si="10"/>
        <v>0</v>
      </c>
      <c r="I38" s="22">
        <f t="shared" si="10"/>
        <v>0</v>
      </c>
    </row>
    <row r="39" spans="1:9" s="15" customFormat="1" ht="11.45" customHeight="1" x14ac:dyDescent="0.25">
      <c r="A39" s="11"/>
      <c r="B39" s="11"/>
      <c r="C39" s="12" t="s">
        <v>284</v>
      </c>
      <c r="D39" s="13">
        <f>H39+F39</f>
        <v>37231</v>
      </c>
      <c r="E39" s="13">
        <f>I39+G39</f>
        <v>41330</v>
      </c>
      <c r="F39" s="13">
        <v>37231</v>
      </c>
      <c r="G39" s="13">
        <f>ROUND((G6+G9+G10+G11+G14+G15+G26+G28+G33)*0.27,0)</f>
        <v>41330</v>
      </c>
      <c r="H39" s="13">
        <f>ROUND((H6+H9+H10+H11+H14+H15+H33)*0.27,0)</f>
        <v>0</v>
      </c>
      <c r="I39" s="13">
        <f>ROUND((I6+I9+I10+I11+I14+I15+I33)*0.27,0)</f>
        <v>0</v>
      </c>
    </row>
    <row r="40" spans="1:9" s="15" customFormat="1" ht="11.45" customHeight="1" x14ac:dyDescent="0.25">
      <c r="A40" s="11"/>
      <c r="B40" s="11"/>
      <c r="C40" s="12" t="s">
        <v>61</v>
      </c>
      <c r="D40" s="13">
        <f t="shared" ref="D40:E42" si="11">H40+F40</f>
        <v>928</v>
      </c>
      <c r="E40" s="13">
        <f t="shared" si="11"/>
        <v>915</v>
      </c>
      <c r="F40" s="14">
        <v>928</v>
      </c>
      <c r="G40" s="13">
        <f>ROUND(G18*1.19*0.14+(G35)*1.19*0.27,0)</f>
        <v>915</v>
      </c>
      <c r="H40" s="14"/>
      <c r="I40" s="14"/>
    </row>
    <row r="41" spans="1:9" s="15" customFormat="1" ht="11.45" customHeight="1" x14ac:dyDescent="0.25">
      <c r="A41" s="11"/>
      <c r="B41" s="11"/>
      <c r="C41" s="12" t="s">
        <v>62</v>
      </c>
      <c r="D41" s="13">
        <f t="shared" si="11"/>
        <v>2675</v>
      </c>
      <c r="E41" s="13">
        <f t="shared" si="11"/>
        <v>2675</v>
      </c>
      <c r="F41" s="14">
        <v>2675</v>
      </c>
      <c r="G41" s="14">
        <v>2675</v>
      </c>
      <c r="H41" s="14"/>
      <c r="I41" s="14"/>
    </row>
    <row r="42" spans="1:9" s="15" customFormat="1" ht="11.45" customHeight="1" x14ac:dyDescent="0.25">
      <c r="A42" s="11"/>
      <c r="B42" s="11"/>
      <c r="C42" s="12" t="s">
        <v>63</v>
      </c>
      <c r="D42" s="13">
        <f t="shared" si="11"/>
        <v>1043</v>
      </c>
      <c r="E42" s="13">
        <f t="shared" si="11"/>
        <v>1035</v>
      </c>
      <c r="F42" s="14">
        <v>1043</v>
      </c>
      <c r="G42" s="14">
        <f>ROUND((G36+G19)*1.19*0.16,0)</f>
        <v>1035</v>
      </c>
      <c r="H42" s="14"/>
      <c r="I42" s="14"/>
    </row>
    <row r="43" spans="1:9" s="3" customFormat="1" ht="12.75" customHeight="1" x14ac:dyDescent="0.25">
      <c r="A43" s="20" t="s">
        <v>64</v>
      </c>
      <c r="B43" s="20" t="s">
        <v>65</v>
      </c>
      <c r="C43" s="21" t="s">
        <v>287</v>
      </c>
      <c r="D43" s="22">
        <f>D39+D40+D41+D42</f>
        <v>41877</v>
      </c>
      <c r="E43" s="22">
        <f t="shared" ref="E43:I43" si="12">E39+E40+E41+E42</f>
        <v>45955</v>
      </c>
      <c r="F43" s="22">
        <f t="shared" si="12"/>
        <v>41877</v>
      </c>
      <c r="G43" s="22">
        <f t="shared" si="12"/>
        <v>45955</v>
      </c>
      <c r="H43" s="22">
        <f t="shared" si="12"/>
        <v>0</v>
      </c>
      <c r="I43" s="22">
        <f t="shared" si="12"/>
        <v>0</v>
      </c>
    </row>
    <row r="44" spans="1:9" s="3" customFormat="1" ht="14.1" customHeight="1" x14ac:dyDescent="0.25">
      <c r="A44" s="958" t="s">
        <v>66</v>
      </c>
      <c r="B44" s="959"/>
      <c r="C44" s="960"/>
      <c r="D44" s="30">
        <f>D38+D43</f>
        <v>187090</v>
      </c>
      <c r="E44" s="30">
        <f t="shared" ref="E44:I44" si="13">E38+E43</f>
        <v>206458</v>
      </c>
      <c r="F44" s="30">
        <f t="shared" si="13"/>
        <v>187090</v>
      </c>
      <c r="G44" s="30">
        <f t="shared" si="13"/>
        <v>206458</v>
      </c>
      <c r="H44" s="30">
        <f t="shared" si="13"/>
        <v>0</v>
      </c>
      <c r="I44" s="30">
        <f t="shared" si="13"/>
        <v>0</v>
      </c>
    </row>
    <row r="45" spans="1:9" s="3" customFormat="1" ht="14.1" customHeight="1" x14ac:dyDescent="0.2">
      <c r="A45" s="27"/>
      <c r="B45" s="27"/>
      <c r="C45" s="27"/>
      <c r="D45" s="27"/>
      <c r="E45" s="27"/>
      <c r="F45" s="27"/>
      <c r="G45" s="27"/>
      <c r="H45" s="27"/>
      <c r="I45" s="27"/>
    </row>
    <row r="46" spans="1:9" s="3" customFormat="1" ht="14.1" customHeight="1" x14ac:dyDescent="0.2">
      <c r="A46" s="27"/>
      <c r="B46" s="27"/>
      <c r="C46" s="27"/>
      <c r="D46" s="27"/>
      <c r="E46" s="27"/>
      <c r="F46" s="27"/>
      <c r="G46" s="27"/>
      <c r="H46" s="27"/>
      <c r="I46" s="27"/>
    </row>
    <row r="47" spans="1:9" s="3" customFormat="1" ht="14.1" customHeight="1" x14ac:dyDescent="0.2">
      <c r="A47" s="27"/>
      <c r="B47" s="27"/>
      <c r="C47" s="27"/>
      <c r="D47" s="27"/>
      <c r="E47" s="27"/>
      <c r="F47" s="27"/>
      <c r="G47" s="27"/>
      <c r="H47" s="27"/>
      <c r="I47" s="27"/>
    </row>
    <row r="48" spans="1:9" s="1" customFormat="1" ht="12.75" customHeight="1" x14ac:dyDescent="0.25">
      <c r="A48" s="957" t="s">
        <v>408</v>
      </c>
      <c r="B48" s="957"/>
      <c r="C48" s="957"/>
      <c r="D48" s="957"/>
      <c r="E48" s="957"/>
      <c r="F48" s="957"/>
      <c r="G48" s="957"/>
      <c r="H48" s="957"/>
      <c r="I48" s="957"/>
    </row>
    <row r="49" spans="1:9" s="1" customFormat="1" ht="14.1" customHeight="1" x14ac:dyDescent="0.25">
      <c r="A49" s="957" t="s">
        <v>0</v>
      </c>
      <c r="B49" s="961" t="s">
        <v>1</v>
      </c>
      <c r="C49" s="957" t="s">
        <v>2</v>
      </c>
      <c r="D49" s="962" t="s">
        <v>260</v>
      </c>
      <c r="E49" s="952" t="s">
        <v>259</v>
      </c>
      <c r="F49" s="954" t="s">
        <v>261</v>
      </c>
      <c r="G49" s="955"/>
      <c r="H49" s="954" t="s">
        <v>262</v>
      </c>
      <c r="I49" s="955"/>
    </row>
    <row r="50" spans="1:9" s="3" customFormat="1" ht="33" customHeight="1" x14ac:dyDescent="0.25">
      <c r="A50" s="957"/>
      <c r="B50" s="961"/>
      <c r="C50" s="957"/>
      <c r="D50" s="962"/>
      <c r="E50" s="953"/>
      <c r="F50" s="29" t="s">
        <v>260</v>
      </c>
      <c r="G50" s="29" t="s">
        <v>259</v>
      </c>
      <c r="H50" s="29" t="s">
        <v>260</v>
      </c>
      <c r="I50" s="29" t="s">
        <v>259</v>
      </c>
    </row>
    <row r="51" spans="1:9" ht="5.65" customHeight="1" x14ac:dyDescent="0.25"/>
    <row r="52" spans="1:9" ht="14.1" customHeight="1" x14ac:dyDescent="0.25">
      <c r="A52" s="956" t="s">
        <v>288</v>
      </c>
      <c r="B52" s="956"/>
      <c r="C52" s="956"/>
      <c r="D52" s="956"/>
      <c r="E52" s="956"/>
      <c r="F52" s="956"/>
      <c r="G52" s="956"/>
      <c r="H52" s="956"/>
      <c r="I52" s="956"/>
    </row>
    <row r="53" spans="1:9" s="3" customFormat="1" ht="14.1" customHeight="1" x14ac:dyDescent="0.25">
      <c r="A53" s="7" t="s">
        <v>67</v>
      </c>
      <c r="B53" s="7" t="s">
        <v>68</v>
      </c>
      <c r="C53" s="8" t="s">
        <v>69</v>
      </c>
      <c r="D53" s="9">
        <f>F53+H53</f>
        <v>260</v>
      </c>
      <c r="E53" s="9">
        <f>G53+I53</f>
        <v>320</v>
      </c>
      <c r="F53" s="10">
        <f>SUM(F54:F59)</f>
        <v>260</v>
      </c>
      <c r="G53" s="10">
        <f t="shared" ref="G53:I53" si="14">SUM(G54:G59)</f>
        <v>320</v>
      </c>
      <c r="H53" s="10">
        <f t="shared" si="14"/>
        <v>0</v>
      </c>
      <c r="I53" s="10">
        <f t="shared" si="14"/>
        <v>0</v>
      </c>
    </row>
    <row r="54" spans="1:9" ht="14.1" customHeight="1" x14ac:dyDescent="0.25">
      <c r="A54" s="24"/>
      <c r="B54" s="24"/>
      <c r="C54" s="25" t="s">
        <v>70</v>
      </c>
      <c r="D54" s="26"/>
      <c r="E54" s="26"/>
      <c r="F54" s="26">
        <v>40</v>
      </c>
      <c r="G54" s="26"/>
      <c r="H54" s="26"/>
      <c r="I54" s="26"/>
    </row>
    <row r="55" spans="1:9" ht="14.1" customHeight="1" x14ac:dyDescent="0.25">
      <c r="A55" s="24"/>
      <c r="B55" s="24"/>
      <c r="C55" s="25" t="s">
        <v>71</v>
      </c>
      <c r="D55" s="26"/>
      <c r="E55" s="26"/>
      <c r="F55" s="26"/>
      <c r="G55" s="26"/>
      <c r="H55" s="26"/>
      <c r="I55" s="26"/>
    </row>
    <row r="56" spans="1:9" ht="14.1" customHeight="1" x14ac:dyDescent="0.25">
      <c r="A56" s="24"/>
      <c r="B56" s="24"/>
      <c r="C56" s="25" t="s">
        <v>72</v>
      </c>
      <c r="D56" s="26"/>
      <c r="E56" s="26"/>
      <c r="F56" s="26">
        <v>150</v>
      </c>
      <c r="G56" s="26">
        <v>180</v>
      </c>
      <c r="H56" s="26"/>
      <c r="I56" s="26"/>
    </row>
    <row r="57" spans="1:9" ht="14.1" customHeight="1" x14ac:dyDescent="0.25">
      <c r="A57" s="24"/>
      <c r="B57" s="24"/>
      <c r="C57" s="25" t="s">
        <v>73</v>
      </c>
      <c r="D57" s="26"/>
      <c r="E57" s="26"/>
      <c r="F57" s="26">
        <v>40</v>
      </c>
      <c r="G57" s="26">
        <v>40</v>
      </c>
      <c r="H57" s="26"/>
      <c r="I57" s="26"/>
    </row>
    <row r="58" spans="1:9" ht="14.1" customHeight="1" x14ac:dyDescent="0.25">
      <c r="A58" s="24"/>
      <c r="B58" s="24"/>
      <c r="C58" s="25" t="s">
        <v>74</v>
      </c>
      <c r="D58" s="26"/>
      <c r="E58" s="26"/>
      <c r="F58" s="26">
        <v>0</v>
      </c>
      <c r="G58" s="26"/>
      <c r="H58" s="26"/>
      <c r="I58" s="26"/>
    </row>
    <row r="59" spans="1:9" ht="14.1" customHeight="1" x14ac:dyDescent="0.25">
      <c r="A59" s="24"/>
      <c r="B59" s="24"/>
      <c r="C59" s="25" t="s">
        <v>75</v>
      </c>
      <c r="D59" s="26"/>
      <c r="E59" s="26"/>
      <c r="F59" s="26">
        <v>30</v>
      </c>
      <c r="G59" s="26">
        <v>100</v>
      </c>
      <c r="H59" s="26"/>
      <c r="I59" s="26"/>
    </row>
    <row r="60" spans="1:9" s="3" customFormat="1" ht="14.1" customHeight="1" x14ac:dyDescent="0.25">
      <c r="A60" s="7" t="s">
        <v>76</v>
      </c>
      <c r="B60" s="7" t="s">
        <v>77</v>
      </c>
      <c r="C60" s="8" t="s">
        <v>78</v>
      </c>
      <c r="D60" s="9">
        <f>F60+H60</f>
        <v>4285</v>
      </c>
      <c r="E60" s="9">
        <f>G60+I60</f>
        <v>3335</v>
      </c>
      <c r="F60" s="10">
        <f>SUM(F61:F66)</f>
        <v>4285</v>
      </c>
      <c r="G60" s="10">
        <f>SUM(G61:G66)</f>
        <v>3335</v>
      </c>
      <c r="H60" s="10">
        <f>SUM(H61:H66)</f>
        <v>0</v>
      </c>
      <c r="I60" s="10">
        <f>SUM(I61:I66)</f>
        <v>0</v>
      </c>
    </row>
    <row r="61" spans="1:9" ht="14.1" customHeight="1" x14ac:dyDescent="0.25">
      <c r="A61" s="24"/>
      <c r="B61" s="24"/>
      <c r="C61" s="25" t="s">
        <v>79</v>
      </c>
      <c r="D61" s="26"/>
      <c r="E61" s="26"/>
      <c r="F61" s="26"/>
      <c r="G61" s="26"/>
      <c r="H61" s="26"/>
      <c r="I61" s="26"/>
    </row>
    <row r="62" spans="1:9" ht="14.1" customHeight="1" x14ac:dyDescent="0.25">
      <c r="A62" s="24"/>
      <c r="B62" s="24"/>
      <c r="C62" s="25" t="s">
        <v>80</v>
      </c>
      <c r="D62" s="26"/>
      <c r="E62" s="26"/>
      <c r="F62" s="26">
        <v>250</v>
      </c>
      <c r="G62" s="26">
        <v>200</v>
      </c>
      <c r="H62" s="26"/>
      <c r="I62" s="26"/>
    </row>
    <row r="63" spans="1:9" ht="14.1" customHeight="1" x14ac:dyDescent="0.25">
      <c r="A63" s="24"/>
      <c r="B63" s="24"/>
      <c r="C63" s="25" t="s">
        <v>81</v>
      </c>
      <c r="D63" s="26"/>
      <c r="E63" s="26"/>
      <c r="F63" s="26"/>
      <c r="G63" s="26"/>
      <c r="H63" s="26"/>
      <c r="I63" s="26"/>
    </row>
    <row r="64" spans="1:9" ht="14.1" customHeight="1" x14ac:dyDescent="0.25">
      <c r="A64" s="24"/>
      <c r="B64" s="24"/>
      <c r="C64" s="25" t="s">
        <v>82</v>
      </c>
      <c r="D64" s="26"/>
      <c r="E64" s="26"/>
      <c r="F64" s="26">
        <v>35</v>
      </c>
      <c r="G64" s="26">
        <v>35</v>
      </c>
      <c r="H64" s="26"/>
      <c r="I64" s="26"/>
    </row>
    <row r="65" spans="1:9" ht="14.1" customHeight="1" x14ac:dyDescent="0.25">
      <c r="A65" s="24"/>
      <c r="B65" s="24"/>
      <c r="C65" s="25" t="s">
        <v>83</v>
      </c>
      <c r="D65" s="26"/>
      <c r="E65" s="26"/>
      <c r="F65" s="26">
        <v>100</v>
      </c>
      <c r="G65" s="26">
        <v>100</v>
      </c>
      <c r="H65" s="26"/>
      <c r="I65" s="26"/>
    </row>
    <row r="66" spans="1:9" ht="14.1" customHeight="1" x14ac:dyDescent="0.25">
      <c r="A66" s="24"/>
      <c r="B66" s="24"/>
      <c r="C66" s="25" t="s">
        <v>84</v>
      </c>
      <c r="D66" s="26"/>
      <c r="E66" s="26"/>
      <c r="F66" s="26">
        <v>3900</v>
      </c>
      <c r="G66" s="26">
        <v>3000</v>
      </c>
      <c r="H66" s="26"/>
      <c r="I66" s="26"/>
    </row>
    <row r="67" spans="1:9" s="3" customFormat="1" ht="14.1" customHeight="1" x14ac:dyDescent="0.25">
      <c r="A67" s="7" t="s">
        <v>85</v>
      </c>
      <c r="B67" s="7" t="s">
        <v>86</v>
      </c>
      <c r="C67" s="8" t="s">
        <v>87</v>
      </c>
      <c r="D67" s="9">
        <f>F67+H67</f>
        <v>0</v>
      </c>
      <c r="E67" s="9">
        <f>G67+I67</f>
        <v>0</v>
      </c>
      <c r="F67" s="10">
        <f>SUM(F68:F69)</f>
        <v>0</v>
      </c>
      <c r="G67" s="10">
        <f t="shared" ref="G67:I67" si="15">SUM(G68:G69)</f>
        <v>0</v>
      </c>
      <c r="H67" s="10">
        <f t="shared" si="15"/>
        <v>0</v>
      </c>
      <c r="I67" s="10">
        <f t="shared" si="15"/>
        <v>0</v>
      </c>
    </row>
    <row r="68" spans="1:9" ht="14.1" customHeight="1" x14ac:dyDescent="0.25">
      <c r="A68" s="24"/>
      <c r="B68" s="24"/>
      <c r="C68" s="25" t="s">
        <v>88</v>
      </c>
      <c r="D68" s="26"/>
      <c r="E68" s="26"/>
      <c r="F68" s="26"/>
      <c r="G68" s="26"/>
      <c r="H68" s="26"/>
      <c r="I68" s="26"/>
    </row>
    <row r="69" spans="1:9" ht="14.1" customHeight="1" x14ac:dyDescent="0.25">
      <c r="A69" s="24"/>
      <c r="B69" s="24"/>
      <c r="C69" s="25" t="s">
        <v>89</v>
      </c>
      <c r="D69" s="26"/>
      <c r="E69" s="26"/>
      <c r="F69" s="26"/>
      <c r="G69" s="26"/>
      <c r="H69" s="26"/>
      <c r="I69" s="26"/>
    </row>
    <row r="70" spans="1:9" s="3" customFormat="1" ht="14.1" customHeight="1" x14ac:dyDescent="0.25">
      <c r="A70" s="16" t="s">
        <v>90</v>
      </c>
      <c r="B70" s="16" t="s">
        <v>91</v>
      </c>
      <c r="C70" s="17" t="s">
        <v>92</v>
      </c>
      <c r="D70" s="19">
        <f>D53+D60</f>
        <v>4545</v>
      </c>
      <c r="E70" s="19">
        <f t="shared" ref="E70:I70" si="16">E53+E60</f>
        <v>3655</v>
      </c>
      <c r="F70" s="19">
        <f t="shared" si="16"/>
        <v>4545</v>
      </c>
      <c r="G70" s="19">
        <f t="shared" si="16"/>
        <v>3655</v>
      </c>
      <c r="H70" s="19">
        <f t="shared" si="16"/>
        <v>0</v>
      </c>
      <c r="I70" s="19">
        <f t="shared" si="16"/>
        <v>0</v>
      </c>
    </row>
    <row r="71" spans="1:9" s="3" customFormat="1" ht="14.1" customHeight="1" x14ac:dyDescent="0.25">
      <c r="A71" s="7" t="s">
        <v>93</v>
      </c>
      <c r="B71" s="7" t="s">
        <v>94</v>
      </c>
      <c r="C71" s="8" t="s">
        <v>95</v>
      </c>
      <c r="D71" s="9">
        <f>F71+H71</f>
        <v>300</v>
      </c>
      <c r="E71" s="9">
        <f>G71+I71</f>
        <v>400</v>
      </c>
      <c r="F71" s="10">
        <f>SUM(F72:F77)</f>
        <v>300</v>
      </c>
      <c r="G71" s="10">
        <f>SUM(G72:G77)</f>
        <v>400</v>
      </c>
      <c r="H71" s="10">
        <f t="shared" ref="H71:I71" si="17">SUM(H72:H77)</f>
        <v>0</v>
      </c>
      <c r="I71" s="10">
        <f t="shared" si="17"/>
        <v>0</v>
      </c>
    </row>
    <row r="72" spans="1:9" ht="14.1" customHeight="1" x14ac:dyDescent="0.25">
      <c r="A72" s="24"/>
      <c r="B72" s="24"/>
      <c r="C72" s="25" t="s">
        <v>96</v>
      </c>
      <c r="D72" s="26"/>
      <c r="E72" s="26"/>
      <c r="F72" s="26"/>
      <c r="G72" s="26"/>
      <c r="H72" s="26"/>
      <c r="I72" s="26"/>
    </row>
    <row r="73" spans="1:9" ht="14.1" customHeight="1" x14ac:dyDescent="0.25">
      <c r="A73" s="24"/>
      <c r="B73" s="24"/>
      <c r="C73" s="25" t="s">
        <v>97</v>
      </c>
      <c r="D73" s="26"/>
      <c r="E73" s="26"/>
      <c r="F73" s="26"/>
      <c r="G73" s="26"/>
      <c r="H73" s="26"/>
      <c r="I73" s="26"/>
    </row>
    <row r="74" spans="1:9" ht="14.1" customHeight="1" x14ac:dyDescent="0.25">
      <c r="A74" s="24"/>
      <c r="B74" s="24"/>
      <c r="C74" s="25" t="s">
        <v>98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99</v>
      </c>
      <c r="D75" s="26"/>
      <c r="E75" s="26"/>
      <c r="F75" s="26">
        <v>300</v>
      </c>
      <c r="G75" s="26">
        <v>400</v>
      </c>
      <c r="H75" s="26"/>
      <c r="I75" s="26"/>
    </row>
    <row r="76" spans="1:9" ht="14.1" customHeight="1" x14ac:dyDescent="0.25">
      <c r="A76" s="24"/>
      <c r="B76" s="24"/>
      <c r="C76" s="25" t="s">
        <v>100</v>
      </c>
      <c r="D76" s="26"/>
      <c r="E76" s="26"/>
      <c r="F76" s="26"/>
      <c r="G76" s="26"/>
      <c r="H76" s="26"/>
      <c r="I76" s="26"/>
    </row>
    <row r="77" spans="1:9" ht="14.1" customHeight="1" x14ac:dyDescent="0.25">
      <c r="A77" s="24"/>
      <c r="B77" s="24"/>
      <c r="C77" s="25" t="s">
        <v>101</v>
      </c>
      <c r="D77" s="26"/>
      <c r="E77" s="26"/>
      <c r="F77" s="26"/>
      <c r="G77" s="26"/>
      <c r="H77" s="26"/>
      <c r="I77" s="26"/>
    </row>
    <row r="78" spans="1:9" s="3" customFormat="1" ht="14.1" customHeight="1" x14ac:dyDescent="0.25">
      <c r="A78" s="7" t="s">
        <v>102</v>
      </c>
      <c r="B78" s="7" t="s">
        <v>103</v>
      </c>
      <c r="C78" s="8" t="s">
        <v>104</v>
      </c>
      <c r="D78" s="9">
        <f>F78+H78</f>
        <v>200</v>
      </c>
      <c r="E78" s="9">
        <f>G78+I78</f>
        <v>250</v>
      </c>
      <c r="F78" s="10">
        <f>SUM(F79:F80)</f>
        <v>200</v>
      </c>
      <c r="G78" s="10">
        <f t="shared" ref="G78:I78" si="18">SUM(G79:G80)</f>
        <v>250</v>
      </c>
      <c r="H78" s="10">
        <f t="shared" si="18"/>
        <v>0</v>
      </c>
      <c r="I78" s="10">
        <f t="shared" si="18"/>
        <v>0</v>
      </c>
    </row>
    <row r="79" spans="1:9" ht="14.1" customHeight="1" x14ac:dyDescent="0.25">
      <c r="A79" s="24"/>
      <c r="B79" s="24"/>
      <c r="C79" s="25" t="s">
        <v>105</v>
      </c>
      <c r="D79" s="26"/>
      <c r="E79" s="26"/>
      <c r="F79" s="26">
        <v>200</v>
      </c>
      <c r="G79" s="26">
        <v>250</v>
      </c>
      <c r="H79" s="26"/>
      <c r="I79" s="26"/>
    </row>
    <row r="80" spans="1:9" ht="14.1" customHeight="1" x14ac:dyDescent="0.25">
      <c r="A80" s="24"/>
      <c r="B80" s="24"/>
      <c r="C80" s="25" t="s">
        <v>106</v>
      </c>
      <c r="D80" s="26"/>
      <c r="E80" s="26"/>
      <c r="F80" s="26"/>
      <c r="G80" s="26"/>
      <c r="H80" s="26"/>
      <c r="I80" s="26"/>
    </row>
    <row r="81" spans="1:9" s="3" customFormat="1" ht="14.1" customHeight="1" x14ac:dyDescent="0.25">
      <c r="A81" s="16" t="s">
        <v>107</v>
      </c>
      <c r="B81" s="16" t="s">
        <v>108</v>
      </c>
      <c r="C81" s="17" t="s">
        <v>109</v>
      </c>
      <c r="D81" s="19">
        <f>D71+D78</f>
        <v>500</v>
      </c>
      <c r="E81" s="19">
        <f t="shared" ref="E81:I81" si="19">E71+E78</f>
        <v>650</v>
      </c>
      <c r="F81" s="19">
        <f t="shared" si="19"/>
        <v>500</v>
      </c>
      <c r="G81" s="19">
        <f t="shared" si="19"/>
        <v>650</v>
      </c>
      <c r="H81" s="19">
        <f t="shared" si="19"/>
        <v>0</v>
      </c>
      <c r="I81" s="19">
        <f t="shared" si="19"/>
        <v>0</v>
      </c>
    </row>
    <row r="82" spans="1:9" s="3" customFormat="1" ht="14.1" customHeight="1" x14ac:dyDescent="0.25">
      <c r="A82" s="7" t="s">
        <v>110</v>
      </c>
      <c r="B82" s="7" t="s">
        <v>111</v>
      </c>
      <c r="C82" s="8" t="s">
        <v>112</v>
      </c>
      <c r="D82" s="9">
        <f>F82+H82</f>
        <v>9700</v>
      </c>
      <c r="E82" s="9">
        <f>G82+I82</f>
        <v>9150</v>
      </c>
      <c r="F82" s="10">
        <f>SUM(F83:F85)</f>
        <v>9700</v>
      </c>
      <c r="G82" s="10">
        <f t="shared" ref="G82:I82" si="20">SUM(G83:G85)</f>
        <v>9150</v>
      </c>
      <c r="H82" s="10">
        <f t="shared" si="20"/>
        <v>0</v>
      </c>
      <c r="I82" s="10">
        <f t="shared" si="20"/>
        <v>0</v>
      </c>
    </row>
    <row r="83" spans="1:9" ht="14.1" customHeight="1" x14ac:dyDescent="0.25">
      <c r="A83" s="24"/>
      <c r="B83" s="24"/>
      <c r="C83" s="25" t="s">
        <v>113</v>
      </c>
      <c r="D83" s="26"/>
      <c r="E83" s="26"/>
      <c r="F83" s="26">
        <v>6400</v>
      </c>
      <c r="G83" s="26">
        <v>6000</v>
      </c>
      <c r="H83" s="26"/>
      <c r="I83" s="26"/>
    </row>
    <row r="84" spans="1:9" ht="14.1" customHeight="1" x14ac:dyDescent="0.25">
      <c r="A84" s="24"/>
      <c r="B84" s="24"/>
      <c r="C84" s="25" t="s">
        <v>114</v>
      </c>
      <c r="D84" s="26"/>
      <c r="E84" s="26"/>
      <c r="F84" s="26">
        <v>2200</v>
      </c>
      <c r="G84" s="26">
        <v>2200</v>
      </c>
      <c r="H84" s="26"/>
      <c r="I84" s="26"/>
    </row>
    <row r="85" spans="1:9" ht="14.1" customHeight="1" x14ac:dyDescent="0.25">
      <c r="A85" s="24"/>
      <c r="B85" s="24"/>
      <c r="C85" s="25" t="s">
        <v>115</v>
      </c>
      <c r="D85" s="26"/>
      <c r="E85" s="26"/>
      <c r="F85" s="26">
        <v>1100</v>
      </c>
      <c r="G85" s="26">
        <v>950</v>
      </c>
      <c r="H85" s="26"/>
      <c r="I85" s="26"/>
    </row>
    <row r="86" spans="1:9" s="3" customFormat="1" ht="14.1" customHeight="1" x14ac:dyDescent="0.25">
      <c r="A86" s="7" t="s">
        <v>116</v>
      </c>
      <c r="B86" s="7" t="s">
        <v>117</v>
      </c>
      <c r="C86" s="8" t="s">
        <v>118</v>
      </c>
      <c r="D86" s="9">
        <f>F86+H86</f>
        <v>18663</v>
      </c>
      <c r="E86" s="9">
        <f>G86+I86</f>
        <v>18660</v>
      </c>
      <c r="F86" s="10">
        <v>0</v>
      </c>
      <c r="G86" s="10">
        <f>G87</f>
        <v>0</v>
      </c>
      <c r="H86" s="10">
        <v>18663</v>
      </c>
      <c r="I86" s="10">
        <f>I87</f>
        <v>18660</v>
      </c>
    </row>
    <row r="87" spans="1:9" s="3" customFormat="1" ht="14.1" customHeight="1" x14ac:dyDescent="0.25">
      <c r="A87" s="24"/>
      <c r="B87" s="24"/>
      <c r="C87" s="25" t="s">
        <v>289</v>
      </c>
      <c r="D87" s="26"/>
      <c r="E87" s="26"/>
      <c r="F87" s="26"/>
      <c r="G87" s="26"/>
      <c r="H87" s="26"/>
      <c r="I87" s="26">
        <v>18660</v>
      </c>
    </row>
    <row r="88" spans="1:9" s="3" customFormat="1" ht="14.1" customHeight="1" x14ac:dyDescent="0.25">
      <c r="A88" s="7" t="s">
        <v>119</v>
      </c>
      <c r="B88" s="7" t="s">
        <v>120</v>
      </c>
      <c r="C88" s="8" t="s">
        <v>121</v>
      </c>
      <c r="D88" s="9">
        <f>F88+H88</f>
        <v>0</v>
      </c>
      <c r="E88" s="9">
        <f>G88+I88</f>
        <v>0</v>
      </c>
      <c r="F88" s="10">
        <f>SUM(F89:F90)</f>
        <v>0</v>
      </c>
      <c r="G88" s="10">
        <f t="shared" ref="G88:I88" si="21">SUM(G89:G90)</f>
        <v>0</v>
      </c>
      <c r="H88" s="10">
        <f t="shared" si="21"/>
        <v>0</v>
      </c>
      <c r="I88" s="10">
        <f t="shared" si="21"/>
        <v>0</v>
      </c>
    </row>
    <row r="89" spans="1:9" ht="14.1" customHeight="1" x14ac:dyDescent="0.25">
      <c r="A89" s="24"/>
      <c r="B89" s="24"/>
      <c r="C89" s="25" t="s">
        <v>122</v>
      </c>
      <c r="D89" s="26"/>
      <c r="E89" s="26"/>
      <c r="F89" s="26"/>
      <c r="G89" s="26"/>
      <c r="H89" s="26"/>
      <c r="I89" s="26"/>
    </row>
    <row r="90" spans="1:9" ht="14.1" customHeight="1" x14ac:dyDescent="0.25">
      <c r="A90" s="24"/>
      <c r="B90" s="24"/>
      <c r="C90" s="25" t="s">
        <v>123</v>
      </c>
      <c r="D90" s="26"/>
      <c r="E90" s="26"/>
      <c r="F90" s="26"/>
      <c r="G90" s="26"/>
      <c r="H90" s="26"/>
      <c r="I90" s="26"/>
    </row>
    <row r="91" spans="1:9" s="3" customFormat="1" ht="14.1" customHeight="1" x14ac:dyDescent="0.25">
      <c r="A91" s="7" t="s">
        <v>124</v>
      </c>
      <c r="B91" s="7" t="s">
        <v>125</v>
      </c>
      <c r="C91" s="8" t="s">
        <v>126</v>
      </c>
      <c r="D91" s="9">
        <f>F91+H91</f>
        <v>4400</v>
      </c>
      <c r="E91" s="9">
        <f>G91+I91</f>
        <v>3200</v>
      </c>
      <c r="F91" s="10">
        <v>4400</v>
      </c>
      <c r="G91" s="10">
        <v>3200</v>
      </c>
      <c r="H91" s="10">
        <v>0</v>
      </c>
      <c r="I91" s="10">
        <v>0</v>
      </c>
    </row>
    <row r="92" spans="1:9" s="3" customFormat="1" ht="14.1" customHeight="1" x14ac:dyDescent="0.25">
      <c r="A92" s="7" t="s">
        <v>127</v>
      </c>
      <c r="B92" s="7" t="s">
        <v>128</v>
      </c>
      <c r="C92" s="8" t="s">
        <v>129</v>
      </c>
      <c r="D92" s="9">
        <f>F92+H92</f>
        <v>0</v>
      </c>
      <c r="E92" s="9">
        <f>G92+I92</f>
        <v>0</v>
      </c>
      <c r="F92" s="10">
        <v>0</v>
      </c>
      <c r="G92" s="10">
        <f>SUM(G93:G94)</f>
        <v>0</v>
      </c>
      <c r="H92" s="10">
        <v>0</v>
      </c>
      <c r="I92" s="10">
        <f>SUM(I93:I94)</f>
        <v>0</v>
      </c>
    </row>
    <row r="93" spans="1:9" ht="14.1" customHeight="1" x14ac:dyDescent="0.25">
      <c r="A93" s="24"/>
      <c r="B93" s="24"/>
      <c r="C93" s="25" t="s">
        <v>130</v>
      </c>
      <c r="D93" s="26"/>
      <c r="E93" s="26"/>
      <c r="F93" s="26"/>
      <c r="G93" s="26"/>
      <c r="H93" s="26"/>
      <c r="I93" s="26"/>
    </row>
    <row r="94" spans="1:9" ht="14.1" customHeight="1" x14ac:dyDescent="0.25">
      <c r="A94" s="24"/>
      <c r="B94" s="24"/>
      <c r="C94" s="25" t="s">
        <v>131</v>
      </c>
      <c r="D94" s="26"/>
      <c r="E94" s="26"/>
      <c r="F94" s="26"/>
      <c r="G94" s="26"/>
      <c r="H94" s="26"/>
      <c r="I94" s="26"/>
    </row>
    <row r="95" spans="1:9" s="3" customFormat="1" ht="14.1" customHeight="1" x14ac:dyDescent="0.25">
      <c r="A95" s="7" t="s">
        <v>132</v>
      </c>
      <c r="B95" s="7" t="s">
        <v>133</v>
      </c>
      <c r="C95" s="8" t="s">
        <v>134</v>
      </c>
      <c r="D95" s="9">
        <f>F95+H95</f>
        <v>420</v>
      </c>
      <c r="E95" s="9">
        <f>G95+I95</f>
        <v>170</v>
      </c>
      <c r="F95" s="10">
        <f>SUM(F96:F98)</f>
        <v>420</v>
      </c>
      <c r="G95" s="10">
        <f t="shared" ref="G95:I95" si="22">SUM(G96:G98)</f>
        <v>170</v>
      </c>
      <c r="H95" s="10">
        <f t="shared" si="22"/>
        <v>0</v>
      </c>
      <c r="I95" s="10">
        <f t="shared" si="22"/>
        <v>0</v>
      </c>
    </row>
    <row r="96" spans="1:9" ht="14.1" customHeight="1" x14ac:dyDescent="0.25">
      <c r="A96" s="24"/>
      <c r="B96" s="24"/>
      <c r="C96" s="25" t="s">
        <v>135</v>
      </c>
      <c r="D96" s="26"/>
      <c r="E96" s="26"/>
      <c r="F96" s="26">
        <v>0</v>
      </c>
      <c r="G96" s="26">
        <v>0</v>
      </c>
      <c r="H96" s="26">
        <v>0</v>
      </c>
      <c r="I96" s="26">
        <v>0</v>
      </c>
    </row>
    <row r="97" spans="1:9" ht="14.1" customHeight="1" x14ac:dyDescent="0.25">
      <c r="A97" s="24"/>
      <c r="B97" s="24"/>
      <c r="C97" s="25" t="s">
        <v>136</v>
      </c>
      <c r="D97" s="26"/>
      <c r="E97" s="26"/>
      <c r="F97" s="26">
        <v>120</v>
      </c>
      <c r="G97" s="26">
        <v>120</v>
      </c>
      <c r="H97" s="26">
        <v>0</v>
      </c>
      <c r="I97" s="26">
        <v>0</v>
      </c>
    </row>
    <row r="98" spans="1:9" ht="14.1" customHeight="1" x14ac:dyDescent="0.25">
      <c r="A98" s="24"/>
      <c r="B98" s="24"/>
      <c r="C98" s="25" t="s">
        <v>137</v>
      </c>
      <c r="D98" s="26"/>
      <c r="E98" s="26"/>
      <c r="F98" s="26">
        <v>300</v>
      </c>
      <c r="G98" s="26">
        <v>50</v>
      </c>
      <c r="H98" s="26">
        <v>0</v>
      </c>
      <c r="I98" s="26">
        <v>0</v>
      </c>
    </row>
    <row r="99" spans="1:9" s="3" customFormat="1" ht="14.1" customHeight="1" x14ac:dyDescent="0.25">
      <c r="A99" s="7" t="s">
        <v>138</v>
      </c>
      <c r="B99" s="7" t="s">
        <v>139</v>
      </c>
      <c r="C99" s="8" t="s">
        <v>140</v>
      </c>
      <c r="D99" s="9">
        <f>F99+H99</f>
        <v>9780</v>
      </c>
      <c r="E99" s="9">
        <f>G99+I99</f>
        <v>10010</v>
      </c>
      <c r="F99" s="10">
        <f>SUM(F100:F103)</f>
        <v>9780</v>
      </c>
      <c r="G99" s="10">
        <f t="shared" ref="G99:I99" si="23">SUM(G100:G103)</f>
        <v>10010</v>
      </c>
      <c r="H99" s="10">
        <f t="shared" si="23"/>
        <v>0</v>
      </c>
      <c r="I99" s="10">
        <f t="shared" si="23"/>
        <v>0</v>
      </c>
    </row>
    <row r="100" spans="1:9" ht="14.1" customHeight="1" x14ac:dyDescent="0.25">
      <c r="A100" s="24"/>
      <c r="B100" s="24"/>
      <c r="C100" s="25" t="s">
        <v>141</v>
      </c>
      <c r="D100" s="26"/>
      <c r="E100" s="26"/>
      <c r="F100" s="26">
        <v>0</v>
      </c>
      <c r="G100" s="26"/>
      <c r="H100" s="26"/>
      <c r="I100" s="26"/>
    </row>
    <row r="101" spans="1:9" ht="14.1" customHeight="1" x14ac:dyDescent="0.25">
      <c r="A101" s="24"/>
      <c r="B101" s="24"/>
      <c r="C101" s="25" t="s">
        <v>142</v>
      </c>
      <c r="D101" s="26"/>
      <c r="E101" s="26"/>
      <c r="F101" s="26">
        <v>250</v>
      </c>
      <c r="G101" s="26">
        <v>480</v>
      </c>
      <c r="H101" s="26"/>
      <c r="I101" s="26"/>
    </row>
    <row r="102" spans="1:9" ht="14.1" customHeight="1" x14ac:dyDescent="0.25">
      <c r="A102" s="24"/>
      <c r="B102" s="24"/>
      <c r="C102" s="25" t="s">
        <v>143</v>
      </c>
      <c r="D102" s="26"/>
      <c r="E102" s="26"/>
      <c r="F102" s="26">
        <v>30</v>
      </c>
      <c r="G102" s="26">
        <v>30</v>
      </c>
      <c r="H102" s="26"/>
      <c r="I102" s="26"/>
    </row>
    <row r="103" spans="1:9" ht="14.1" customHeight="1" x14ac:dyDescent="0.25">
      <c r="A103" s="24"/>
      <c r="B103" s="24"/>
      <c r="C103" s="25" t="s">
        <v>144</v>
      </c>
      <c r="D103" s="26"/>
      <c r="E103" s="26"/>
      <c r="F103" s="26">
        <v>9500</v>
      </c>
      <c r="G103" s="26">
        <v>9500</v>
      </c>
      <c r="H103" s="26"/>
      <c r="I103" s="26"/>
    </row>
    <row r="104" spans="1:9" s="3" customFormat="1" ht="14.1" customHeight="1" x14ac:dyDescent="0.25">
      <c r="A104" s="16" t="s">
        <v>145</v>
      </c>
      <c r="B104" s="16" t="s">
        <v>146</v>
      </c>
      <c r="C104" s="17" t="s">
        <v>147</v>
      </c>
      <c r="D104" s="19">
        <f>D82+D86+D88+D91+D92+D95+D99</f>
        <v>42963</v>
      </c>
      <c r="E104" s="19">
        <f t="shared" ref="E104:I104" si="24">E82+E86+E88+E91+E92+E95+E99</f>
        <v>41190</v>
      </c>
      <c r="F104" s="19">
        <f t="shared" si="24"/>
        <v>24300</v>
      </c>
      <c r="G104" s="19">
        <f t="shared" si="24"/>
        <v>22530</v>
      </c>
      <c r="H104" s="19">
        <f t="shared" si="24"/>
        <v>18663</v>
      </c>
      <c r="I104" s="19">
        <f t="shared" si="24"/>
        <v>18660</v>
      </c>
    </row>
    <row r="105" spans="1:9" s="3" customFormat="1" ht="14.1" customHeight="1" x14ac:dyDescent="0.25">
      <c r="A105" s="7" t="s">
        <v>148</v>
      </c>
      <c r="B105" s="7" t="s">
        <v>149</v>
      </c>
      <c r="C105" s="8" t="s">
        <v>150</v>
      </c>
      <c r="D105" s="9">
        <f>F105+H105</f>
        <v>100</v>
      </c>
      <c r="E105" s="9">
        <f>G105+I105</f>
        <v>50</v>
      </c>
      <c r="F105" s="10">
        <f>SUM(F106:F107)</f>
        <v>100</v>
      </c>
      <c r="G105" s="10">
        <f t="shared" ref="G105:I105" si="25">SUM(G106:G107)</f>
        <v>50</v>
      </c>
      <c r="H105" s="10">
        <f t="shared" si="25"/>
        <v>0</v>
      </c>
      <c r="I105" s="10">
        <f t="shared" si="25"/>
        <v>0</v>
      </c>
    </row>
    <row r="106" spans="1:9" ht="14.1" customHeight="1" x14ac:dyDescent="0.25">
      <c r="A106" s="24"/>
      <c r="B106" s="24"/>
      <c r="C106" s="25" t="s">
        <v>151</v>
      </c>
      <c r="D106" s="26"/>
      <c r="E106" s="26"/>
      <c r="F106" s="26">
        <v>100</v>
      </c>
      <c r="G106" s="26">
        <v>50</v>
      </c>
      <c r="H106" s="26"/>
      <c r="I106" s="26"/>
    </row>
    <row r="107" spans="1:9" ht="14.1" customHeight="1" x14ac:dyDescent="0.25">
      <c r="A107" s="24"/>
      <c r="B107" s="24"/>
      <c r="C107" s="25" t="s">
        <v>152</v>
      </c>
      <c r="D107" s="26"/>
      <c r="E107" s="26"/>
      <c r="F107" s="26"/>
      <c r="G107" s="26"/>
      <c r="H107" s="26"/>
      <c r="I107" s="26"/>
    </row>
    <row r="108" spans="1:9" s="3" customFormat="1" ht="14.1" customHeight="1" x14ac:dyDescent="0.25">
      <c r="A108" s="7" t="s">
        <v>153</v>
      </c>
      <c r="B108" s="7" t="s">
        <v>154</v>
      </c>
      <c r="C108" s="8" t="s">
        <v>155</v>
      </c>
      <c r="D108" s="9">
        <f>F108+H108</f>
        <v>0</v>
      </c>
      <c r="E108" s="9">
        <f>G108+I108</f>
        <v>0</v>
      </c>
      <c r="F108" s="10">
        <v>0</v>
      </c>
      <c r="G108" s="10">
        <v>0</v>
      </c>
      <c r="H108" s="10">
        <v>0</v>
      </c>
      <c r="I108" s="10">
        <v>0</v>
      </c>
    </row>
    <row r="109" spans="1:9" s="3" customFormat="1" ht="14.1" customHeight="1" x14ac:dyDescent="0.25">
      <c r="A109" s="16" t="s">
        <v>156</v>
      </c>
      <c r="B109" s="16" t="s">
        <v>157</v>
      </c>
      <c r="C109" s="17" t="s">
        <v>158</v>
      </c>
      <c r="D109" s="19">
        <f>D105+D108</f>
        <v>100</v>
      </c>
      <c r="E109" s="19">
        <f t="shared" ref="E109:I109" si="26">E105+E108</f>
        <v>50</v>
      </c>
      <c r="F109" s="19">
        <f t="shared" si="26"/>
        <v>100</v>
      </c>
      <c r="G109" s="19">
        <f t="shared" si="26"/>
        <v>50</v>
      </c>
      <c r="H109" s="19">
        <f t="shared" si="26"/>
        <v>0</v>
      </c>
      <c r="I109" s="19">
        <f t="shared" si="26"/>
        <v>0</v>
      </c>
    </row>
    <row r="110" spans="1:9" s="3" customFormat="1" ht="14.1" customHeight="1" x14ac:dyDescent="0.25">
      <c r="A110" s="7" t="s">
        <v>159</v>
      </c>
      <c r="B110" s="7" t="s">
        <v>160</v>
      </c>
      <c r="C110" s="8" t="s">
        <v>161</v>
      </c>
      <c r="D110" s="9">
        <f>F110+H110</f>
        <v>12962</v>
      </c>
      <c r="E110" s="9">
        <f>G110+I110</f>
        <v>12283</v>
      </c>
      <c r="F110" s="10">
        <f>SUM(F111:F112)</f>
        <v>7923</v>
      </c>
      <c r="G110" s="10">
        <f t="shared" ref="G110:I110" si="27">SUM(G111:G112)</f>
        <v>7245</v>
      </c>
      <c r="H110" s="10">
        <f t="shared" si="27"/>
        <v>5039</v>
      </c>
      <c r="I110" s="10">
        <f t="shared" si="27"/>
        <v>5038</v>
      </c>
    </row>
    <row r="111" spans="1:9" ht="14.1" customHeight="1" x14ac:dyDescent="0.25">
      <c r="A111" s="24"/>
      <c r="B111" s="24"/>
      <c r="C111" s="25" t="s">
        <v>162</v>
      </c>
      <c r="D111" s="26"/>
      <c r="E111" s="26"/>
      <c r="F111" s="26"/>
      <c r="G111" s="26"/>
      <c r="H111" s="26"/>
      <c r="I111" s="26"/>
    </row>
    <row r="112" spans="1:9" ht="14.1" customHeight="1" x14ac:dyDescent="0.25">
      <c r="A112" s="24"/>
      <c r="B112" s="24"/>
      <c r="C112" s="25" t="s">
        <v>163</v>
      </c>
      <c r="D112" s="26"/>
      <c r="E112" s="26"/>
      <c r="F112" s="26">
        <v>7923</v>
      </c>
      <c r="G112" s="26">
        <f>ROUND((G70+G81+G104+G108)*0.27,0)</f>
        <v>7245</v>
      </c>
      <c r="H112" s="26">
        <v>5039</v>
      </c>
      <c r="I112" s="26">
        <f>ROUND((I70+I81+I104+I108)*0.27,0)</f>
        <v>5038</v>
      </c>
    </row>
    <row r="113" spans="1:9" s="3" customFormat="1" ht="14.1" customHeight="1" x14ac:dyDescent="0.25">
      <c r="A113" s="7" t="s">
        <v>164</v>
      </c>
      <c r="B113" s="7" t="s">
        <v>165</v>
      </c>
      <c r="C113" s="8" t="s">
        <v>166</v>
      </c>
      <c r="D113" s="9">
        <f>F113+H113</f>
        <v>0</v>
      </c>
      <c r="E113" s="9">
        <f>G113+I113</f>
        <v>0</v>
      </c>
      <c r="F113" s="10">
        <f>SUM(F114:F116)</f>
        <v>0</v>
      </c>
      <c r="G113" s="10">
        <f t="shared" ref="G113:I113" si="28">SUM(G114:G116)</f>
        <v>0</v>
      </c>
      <c r="H113" s="10">
        <f t="shared" si="28"/>
        <v>0</v>
      </c>
      <c r="I113" s="10">
        <f t="shared" si="28"/>
        <v>0</v>
      </c>
    </row>
    <row r="114" spans="1:9" ht="14.1" customHeight="1" x14ac:dyDescent="0.25">
      <c r="A114" s="24"/>
      <c r="B114" s="24"/>
      <c r="C114" s="25" t="s">
        <v>167</v>
      </c>
      <c r="D114" s="26"/>
      <c r="E114" s="26"/>
      <c r="F114" s="26"/>
      <c r="G114" s="26"/>
      <c r="H114" s="26"/>
      <c r="I114" s="26"/>
    </row>
    <row r="115" spans="1:9" ht="14.1" customHeight="1" x14ac:dyDescent="0.25">
      <c r="A115" s="24"/>
      <c r="B115" s="24"/>
      <c r="C115" s="25" t="s">
        <v>168</v>
      </c>
      <c r="D115" s="26"/>
      <c r="E115" s="26"/>
      <c r="F115" s="26"/>
      <c r="G115" s="26"/>
      <c r="H115" s="26"/>
      <c r="I115" s="26"/>
    </row>
    <row r="116" spans="1:9" ht="14.1" customHeight="1" x14ac:dyDescent="0.25">
      <c r="A116" s="24"/>
      <c r="B116" s="24"/>
      <c r="C116" s="25" t="s">
        <v>169</v>
      </c>
      <c r="D116" s="26"/>
      <c r="E116" s="26"/>
      <c r="F116" s="26"/>
      <c r="G116" s="26"/>
      <c r="H116" s="26"/>
      <c r="I116" s="26"/>
    </row>
    <row r="117" spans="1:9" s="3" customFormat="1" ht="14.1" customHeight="1" x14ac:dyDescent="0.25">
      <c r="A117" s="7" t="s">
        <v>170</v>
      </c>
      <c r="B117" s="7" t="s">
        <v>171</v>
      </c>
      <c r="C117" s="8" t="s">
        <v>172</v>
      </c>
      <c r="D117" s="9">
        <f>F117+H117</f>
        <v>0</v>
      </c>
      <c r="E117" s="9">
        <f>G117+I117</f>
        <v>0</v>
      </c>
      <c r="F117" s="10">
        <f>SUM(F118:F121)</f>
        <v>0</v>
      </c>
      <c r="G117" s="10">
        <f t="shared" ref="G117:I117" si="29">SUM(G118:G121)</f>
        <v>0</v>
      </c>
      <c r="H117" s="10">
        <f t="shared" si="29"/>
        <v>0</v>
      </c>
      <c r="I117" s="10">
        <f t="shared" si="29"/>
        <v>0</v>
      </c>
    </row>
    <row r="118" spans="1:9" ht="14.1" customHeight="1" x14ac:dyDescent="0.25">
      <c r="A118" s="24"/>
      <c r="B118" s="24"/>
      <c r="C118" s="25" t="s">
        <v>173</v>
      </c>
      <c r="D118" s="26"/>
      <c r="E118" s="26"/>
      <c r="F118" s="26"/>
      <c r="G118" s="26"/>
      <c r="H118" s="26"/>
      <c r="I118" s="26"/>
    </row>
    <row r="119" spans="1:9" ht="14.1" customHeight="1" x14ac:dyDescent="0.25">
      <c r="A119" s="24"/>
      <c r="B119" s="24"/>
      <c r="C119" s="25" t="s">
        <v>174</v>
      </c>
      <c r="D119" s="26"/>
      <c r="E119" s="26"/>
      <c r="F119" s="26"/>
      <c r="G119" s="26"/>
      <c r="H119" s="26"/>
      <c r="I119" s="26"/>
    </row>
    <row r="120" spans="1:9" ht="14.1" customHeight="1" x14ac:dyDescent="0.25">
      <c r="A120" s="24"/>
      <c r="B120" s="24"/>
      <c r="C120" s="25" t="s">
        <v>175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176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177</v>
      </c>
      <c r="B122" s="7" t="s">
        <v>178</v>
      </c>
      <c r="C122" s="8" t="s">
        <v>179</v>
      </c>
      <c r="D122" s="9">
        <f>F122+H122</f>
        <v>0</v>
      </c>
      <c r="E122" s="9">
        <f>G122+I122</f>
        <v>0</v>
      </c>
      <c r="F122" s="10">
        <f>SUM(F123:F124)</f>
        <v>0</v>
      </c>
      <c r="G122" s="10">
        <f t="shared" ref="G122:I122" si="30">SUM(G123:G124)</f>
        <v>0</v>
      </c>
      <c r="H122" s="10">
        <f t="shared" si="30"/>
        <v>0</v>
      </c>
      <c r="I122" s="10">
        <f t="shared" si="30"/>
        <v>0</v>
      </c>
    </row>
    <row r="123" spans="1:9" ht="14.1" customHeight="1" x14ac:dyDescent="0.25">
      <c r="A123" s="24"/>
      <c r="B123" s="24"/>
      <c r="C123" s="25" t="s">
        <v>180</v>
      </c>
      <c r="D123" s="26"/>
      <c r="E123" s="26"/>
      <c r="F123" s="26"/>
      <c r="G123" s="26"/>
      <c r="H123" s="26"/>
      <c r="I123" s="26"/>
    </row>
    <row r="124" spans="1:9" ht="14.1" customHeight="1" x14ac:dyDescent="0.25">
      <c r="A124" s="24"/>
      <c r="B124" s="24"/>
      <c r="C124" s="25" t="s">
        <v>181</v>
      </c>
      <c r="D124" s="26"/>
      <c r="E124" s="26"/>
      <c r="F124" s="26"/>
      <c r="G124" s="26"/>
      <c r="H124" s="26"/>
      <c r="I124" s="26"/>
    </row>
    <row r="125" spans="1:9" s="3" customFormat="1" ht="14.1" customHeight="1" x14ac:dyDescent="0.25">
      <c r="A125" s="7" t="s">
        <v>182</v>
      </c>
      <c r="B125" s="7" t="s">
        <v>183</v>
      </c>
      <c r="C125" s="8" t="s">
        <v>184</v>
      </c>
      <c r="D125" s="9">
        <f>F125+H125</f>
        <v>30</v>
      </c>
      <c r="E125" s="9">
        <f>G125+I125</f>
        <v>300</v>
      </c>
      <c r="F125" s="10">
        <f>SUM(F126:F129)</f>
        <v>30</v>
      </c>
      <c r="G125" s="10">
        <f t="shared" ref="G125:I125" si="31">SUM(G126:G129)</f>
        <v>300</v>
      </c>
      <c r="H125" s="10">
        <f t="shared" si="31"/>
        <v>0</v>
      </c>
      <c r="I125" s="10">
        <f t="shared" si="31"/>
        <v>0</v>
      </c>
    </row>
    <row r="126" spans="1:9" ht="14.1" customHeight="1" x14ac:dyDescent="0.25">
      <c r="A126" s="24"/>
      <c r="B126" s="24"/>
      <c r="C126" s="25" t="s">
        <v>185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186</v>
      </c>
      <c r="D127" s="26"/>
      <c r="E127" s="26"/>
      <c r="F127" s="26"/>
      <c r="G127" s="26"/>
      <c r="H127" s="26"/>
      <c r="I127" s="26"/>
    </row>
    <row r="128" spans="1:9" ht="14.1" customHeight="1" x14ac:dyDescent="0.25">
      <c r="A128" s="24"/>
      <c r="B128" s="24"/>
      <c r="C128" s="25" t="s">
        <v>187</v>
      </c>
      <c r="D128" s="26"/>
      <c r="E128" s="26"/>
      <c r="F128" s="26"/>
      <c r="G128" s="26"/>
      <c r="H128" s="26"/>
      <c r="I128" s="26"/>
    </row>
    <row r="129" spans="1:252" ht="14.1" customHeight="1" x14ac:dyDescent="0.25">
      <c r="A129" s="24"/>
      <c r="B129" s="24"/>
      <c r="C129" s="25" t="s">
        <v>188</v>
      </c>
      <c r="D129" s="26"/>
      <c r="E129" s="26"/>
      <c r="F129" s="26">
        <v>30</v>
      </c>
      <c r="G129" s="26">
        <v>300</v>
      </c>
      <c r="H129" s="26"/>
      <c r="I129" s="26"/>
    </row>
    <row r="130" spans="1:252" s="3" customFormat="1" ht="14.1" customHeight="1" x14ac:dyDescent="0.25">
      <c r="A130" s="16" t="s">
        <v>189</v>
      </c>
      <c r="B130" s="16" t="s">
        <v>190</v>
      </c>
      <c r="C130" s="17" t="s">
        <v>191</v>
      </c>
      <c r="D130" s="19">
        <f>D110+D113+D117+D122+D125</f>
        <v>12992</v>
      </c>
      <c r="E130" s="19">
        <f t="shared" ref="E130:I130" si="32">E110+E113+E117+E122+E125</f>
        <v>12583</v>
      </c>
      <c r="F130" s="19">
        <f t="shared" si="32"/>
        <v>7953</v>
      </c>
      <c r="G130" s="19">
        <f t="shared" si="32"/>
        <v>7545</v>
      </c>
      <c r="H130" s="19">
        <f t="shared" si="32"/>
        <v>5039</v>
      </c>
      <c r="I130" s="19">
        <f t="shared" si="32"/>
        <v>5038</v>
      </c>
    </row>
    <row r="131" spans="1:252" s="3" customFormat="1" ht="14.1" customHeight="1" x14ac:dyDescent="0.25">
      <c r="A131" s="20" t="s">
        <v>192</v>
      </c>
      <c r="B131" s="20" t="s">
        <v>193</v>
      </c>
      <c r="C131" s="21" t="s">
        <v>292</v>
      </c>
      <c r="D131" s="23">
        <f>D70+D81+D104+D109+D130</f>
        <v>61100</v>
      </c>
      <c r="E131" s="23">
        <f t="shared" ref="E131:I131" si="33">E70+E81+E104+E109+E130</f>
        <v>58128</v>
      </c>
      <c r="F131" s="23">
        <f t="shared" si="33"/>
        <v>37398</v>
      </c>
      <c r="G131" s="23">
        <f t="shared" si="33"/>
        <v>34430</v>
      </c>
      <c r="H131" s="23">
        <f t="shared" si="33"/>
        <v>23702</v>
      </c>
      <c r="I131" s="23">
        <f t="shared" si="33"/>
        <v>23698</v>
      </c>
    </row>
    <row r="132" spans="1:252" ht="14.1" customHeight="1" x14ac:dyDescent="0.2">
      <c r="A132" s="963" t="s">
        <v>291</v>
      </c>
      <c r="B132" s="964"/>
      <c r="C132" s="965"/>
      <c r="D132" s="28">
        <f>D44+D131</f>
        <v>248190</v>
      </c>
      <c r="E132" s="28">
        <f t="shared" ref="E132:I132" si="34">E44+E131</f>
        <v>264586</v>
      </c>
      <c r="F132" s="28">
        <f t="shared" si="34"/>
        <v>224488</v>
      </c>
      <c r="G132" s="28">
        <f t="shared" si="34"/>
        <v>240888</v>
      </c>
      <c r="H132" s="28">
        <f t="shared" si="34"/>
        <v>23702</v>
      </c>
      <c r="I132" s="28">
        <f t="shared" si="34"/>
        <v>23698</v>
      </c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  <c r="GY132" s="27"/>
      <c r="GZ132" s="27"/>
      <c r="HA132" s="27"/>
      <c r="HB132" s="27"/>
      <c r="HC132" s="27"/>
      <c r="HD132" s="27"/>
      <c r="HE132" s="27"/>
      <c r="HF132" s="27"/>
      <c r="HG132" s="27"/>
      <c r="HH132" s="27"/>
      <c r="HI132" s="27"/>
      <c r="HJ132" s="27"/>
      <c r="HK132" s="27"/>
      <c r="HL132" s="27"/>
      <c r="HM132" s="27"/>
      <c r="HN132" s="27"/>
      <c r="HO132" s="27"/>
      <c r="HP132" s="27"/>
      <c r="HQ132" s="27"/>
      <c r="HR132" s="27"/>
      <c r="HS132" s="27"/>
      <c r="HT132" s="27"/>
      <c r="HU132" s="27"/>
      <c r="HV132" s="27"/>
      <c r="HW132" s="27"/>
      <c r="HX132" s="27"/>
      <c r="HY132" s="27"/>
      <c r="HZ132" s="27"/>
      <c r="IA132" s="27"/>
      <c r="IB132" s="27"/>
      <c r="IC132" s="27"/>
      <c r="ID132" s="27"/>
      <c r="IE132" s="27"/>
      <c r="IF132" s="27"/>
      <c r="IG132" s="27"/>
      <c r="IH132" s="27"/>
      <c r="II132" s="27"/>
      <c r="IJ132" s="27"/>
      <c r="IK132" s="27"/>
      <c r="IL132" s="27"/>
      <c r="IM132" s="27"/>
      <c r="IN132" s="27"/>
      <c r="IO132" s="27"/>
      <c r="IP132" s="27"/>
      <c r="IQ132" s="27"/>
      <c r="IR132" s="27"/>
    </row>
    <row r="133" spans="1:252" ht="12.75" customHeight="1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  <c r="GY133" s="27"/>
      <c r="GZ133" s="27"/>
      <c r="HA133" s="27"/>
      <c r="HB133" s="27"/>
      <c r="HC133" s="27"/>
      <c r="HD133" s="27"/>
      <c r="HE133" s="27"/>
      <c r="HF133" s="27"/>
      <c r="HG133" s="27"/>
      <c r="HH133" s="27"/>
      <c r="HI133" s="27"/>
      <c r="HJ133" s="27"/>
      <c r="HK133" s="27"/>
      <c r="HL133" s="27"/>
      <c r="HM133" s="27"/>
      <c r="HN133" s="27"/>
      <c r="HO133" s="27"/>
      <c r="HP133" s="27"/>
      <c r="HQ133" s="27"/>
      <c r="HR133" s="27"/>
      <c r="HS133" s="27"/>
      <c r="HT133" s="27"/>
      <c r="HU133" s="27"/>
      <c r="HV133" s="27"/>
      <c r="HW133" s="27"/>
      <c r="HX133" s="27"/>
      <c r="HY133" s="27"/>
      <c r="HZ133" s="27"/>
      <c r="IA133" s="27"/>
      <c r="IB133" s="27"/>
      <c r="IC133" s="27"/>
      <c r="ID133" s="27"/>
      <c r="IE133" s="27"/>
      <c r="IF133" s="27"/>
      <c r="IG133" s="27"/>
      <c r="IH133" s="27"/>
      <c r="II133" s="27"/>
      <c r="IJ133" s="27"/>
      <c r="IK133" s="27"/>
      <c r="IL133" s="27"/>
      <c r="IM133" s="27"/>
      <c r="IN133" s="27"/>
      <c r="IO133" s="27"/>
      <c r="IP133" s="27"/>
      <c r="IQ133" s="27"/>
      <c r="IR133" s="27"/>
    </row>
    <row r="134" spans="1:252" ht="14.1" customHeight="1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  <c r="HX134" s="27"/>
      <c r="HY134" s="27"/>
      <c r="HZ134" s="27"/>
      <c r="IA134" s="27"/>
      <c r="IB134" s="27"/>
      <c r="IC134" s="27"/>
      <c r="ID134" s="27"/>
      <c r="IE134" s="27"/>
      <c r="IF134" s="27"/>
      <c r="IG134" s="27"/>
      <c r="IH134" s="27"/>
      <c r="II134" s="27"/>
      <c r="IJ134" s="27"/>
      <c r="IK134" s="27"/>
      <c r="IL134" s="27"/>
      <c r="IM134" s="27"/>
      <c r="IN134" s="27"/>
      <c r="IO134" s="27"/>
      <c r="IP134" s="27"/>
      <c r="IQ134" s="27"/>
      <c r="IR134" s="27"/>
    </row>
    <row r="136" spans="1:252" s="1" customFormat="1" ht="12.75" customHeight="1" x14ac:dyDescent="0.25">
      <c r="A136" s="957" t="s">
        <v>409</v>
      </c>
      <c r="B136" s="957"/>
      <c r="C136" s="957"/>
      <c r="D136" s="957"/>
      <c r="E136" s="957"/>
      <c r="F136" s="957"/>
      <c r="G136" s="957"/>
      <c r="H136" s="957"/>
      <c r="I136" s="957"/>
    </row>
    <row r="137" spans="1:252" s="1" customFormat="1" ht="14.1" customHeight="1" x14ac:dyDescent="0.25">
      <c r="A137" s="957" t="s">
        <v>0</v>
      </c>
      <c r="B137" s="961" t="s">
        <v>1</v>
      </c>
      <c r="C137" s="957" t="s">
        <v>2</v>
      </c>
      <c r="D137" s="962" t="s">
        <v>260</v>
      </c>
      <c r="E137" s="952" t="s">
        <v>259</v>
      </c>
      <c r="F137" s="954" t="s">
        <v>261</v>
      </c>
      <c r="G137" s="955"/>
      <c r="H137" s="954" t="s">
        <v>262</v>
      </c>
      <c r="I137" s="955"/>
    </row>
    <row r="138" spans="1:252" s="3" customFormat="1" ht="27" customHeight="1" x14ac:dyDescent="0.25">
      <c r="A138" s="957"/>
      <c r="B138" s="961"/>
      <c r="C138" s="957"/>
      <c r="D138" s="962"/>
      <c r="E138" s="953"/>
      <c r="F138" s="29" t="s">
        <v>260</v>
      </c>
      <c r="G138" s="29" t="s">
        <v>259</v>
      </c>
      <c r="H138" s="29" t="s">
        <v>260</v>
      </c>
      <c r="I138" s="29" t="s">
        <v>259</v>
      </c>
    </row>
    <row r="139" spans="1:252" ht="5.65" customHeight="1" x14ac:dyDescent="0.25"/>
    <row r="140" spans="1:252" ht="14.1" customHeight="1" x14ac:dyDescent="0.25">
      <c r="A140" s="956" t="s">
        <v>194</v>
      </c>
      <c r="B140" s="956"/>
      <c r="C140" s="956"/>
      <c r="D140" s="956"/>
      <c r="E140" s="956"/>
      <c r="F140" s="956"/>
      <c r="G140" s="956"/>
      <c r="H140" s="956"/>
      <c r="I140" s="956"/>
    </row>
    <row r="141" spans="1:252" ht="14.1" customHeight="1" x14ac:dyDescent="0.25">
      <c r="A141" s="24" t="s">
        <v>195</v>
      </c>
      <c r="B141" s="24" t="s">
        <v>196</v>
      </c>
      <c r="C141" s="25" t="s">
        <v>197</v>
      </c>
      <c r="D141" s="26">
        <f>F141+H141</f>
        <v>0</v>
      </c>
      <c r="E141" s="26">
        <f>G141+I141</f>
        <v>0</v>
      </c>
      <c r="F141" s="26"/>
      <c r="G141" s="26"/>
      <c r="H141" s="26"/>
      <c r="I141" s="26"/>
    </row>
    <row r="142" spans="1:252" ht="14.1" customHeight="1" x14ac:dyDescent="0.25">
      <c r="A142" s="24" t="s">
        <v>198</v>
      </c>
      <c r="B142" s="24" t="s">
        <v>199</v>
      </c>
      <c r="C142" s="25" t="s">
        <v>200</v>
      </c>
      <c r="D142" s="26">
        <f t="shared" ref="D142:E148" si="35">F142+H142</f>
        <v>0</v>
      </c>
      <c r="E142" s="26">
        <f t="shared" si="35"/>
        <v>0</v>
      </c>
      <c r="F142" s="26"/>
      <c r="G142" s="26"/>
      <c r="H142" s="26"/>
      <c r="I142" s="26"/>
    </row>
    <row r="143" spans="1:252" ht="14.1" customHeight="1" x14ac:dyDescent="0.25">
      <c r="A143" s="24" t="s">
        <v>201</v>
      </c>
      <c r="B143" s="24" t="s">
        <v>202</v>
      </c>
      <c r="C143" s="25" t="s">
        <v>203</v>
      </c>
      <c r="D143" s="26">
        <f t="shared" si="35"/>
        <v>150</v>
      </c>
      <c r="E143" s="26">
        <f t="shared" si="35"/>
        <v>0</v>
      </c>
      <c r="F143" s="26">
        <v>150</v>
      </c>
      <c r="G143" s="26"/>
      <c r="H143" s="26"/>
      <c r="I143" s="26"/>
    </row>
    <row r="144" spans="1:252" ht="14.1" customHeight="1" x14ac:dyDescent="0.25">
      <c r="A144" s="24" t="s">
        <v>204</v>
      </c>
      <c r="B144" s="24" t="s">
        <v>205</v>
      </c>
      <c r="C144" s="25" t="s">
        <v>206</v>
      </c>
      <c r="D144" s="26">
        <f t="shared" si="35"/>
        <v>200</v>
      </c>
      <c r="E144" s="26">
        <f t="shared" si="35"/>
        <v>200</v>
      </c>
      <c r="F144" s="26">
        <v>200</v>
      </c>
      <c r="G144" s="26">
        <v>200</v>
      </c>
      <c r="H144" s="26"/>
      <c r="I144" s="26"/>
    </row>
    <row r="145" spans="1:9" ht="14.1" customHeight="1" x14ac:dyDescent="0.25">
      <c r="A145" s="24"/>
      <c r="B145" s="24" t="s">
        <v>207</v>
      </c>
      <c r="C145" s="25" t="s">
        <v>208</v>
      </c>
      <c r="D145" s="26">
        <f t="shared" si="35"/>
        <v>0</v>
      </c>
      <c r="E145" s="26">
        <f t="shared" si="35"/>
        <v>0</v>
      </c>
      <c r="F145" s="26"/>
      <c r="G145" s="26"/>
      <c r="H145" s="26"/>
      <c r="I145" s="26"/>
    </row>
    <row r="146" spans="1:9" ht="14.1" customHeight="1" x14ac:dyDescent="0.25">
      <c r="A146" s="24" t="s">
        <v>209</v>
      </c>
      <c r="B146" s="24" t="s">
        <v>210</v>
      </c>
      <c r="C146" s="25" t="s">
        <v>211</v>
      </c>
      <c r="D146" s="26">
        <f t="shared" si="35"/>
        <v>0</v>
      </c>
      <c r="E146" s="26">
        <f t="shared" si="35"/>
        <v>0</v>
      </c>
      <c r="F146" s="26"/>
      <c r="G146" s="26"/>
      <c r="H146" s="26"/>
      <c r="I146" s="26"/>
    </row>
    <row r="147" spans="1:9" ht="14.1" customHeight="1" x14ac:dyDescent="0.25">
      <c r="A147" s="24" t="s">
        <v>212</v>
      </c>
      <c r="B147" s="24" t="s">
        <v>213</v>
      </c>
      <c r="C147" s="25" t="s">
        <v>214</v>
      </c>
      <c r="D147" s="26">
        <f t="shared" si="35"/>
        <v>0</v>
      </c>
      <c r="E147" s="26">
        <f t="shared" si="35"/>
        <v>0</v>
      </c>
      <c r="F147" s="26"/>
      <c r="G147" s="26"/>
      <c r="H147" s="26"/>
      <c r="I147" s="26"/>
    </row>
    <row r="148" spans="1:9" ht="14.1" customHeight="1" x14ac:dyDescent="0.25">
      <c r="A148" s="24" t="s">
        <v>215</v>
      </c>
      <c r="B148" s="24" t="s">
        <v>216</v>
      </c>
      <c r="C148" s="25" t="s">
        <v>217</v>
      </c>
      <c r="D148" s="26">
        <f t="shared" si="35"/>
        <v>95</v>
      </c>
      <c r="E148" s="26">
        <f t="shared" si="35"/>
        <v>54</v>
      </c>
      <c r="F148" s="26">
        <v>95</v>
      </c>
      <c r="G148" s="26">
        <f>ROUND((G141+G142+G143+G144+G145)*0.27,0)</f>
        <v>54</v>
      </c>
      <c r="H148" s="26">
        <v>0</v>
      </c>
      <c r="I148" s="26">
        <f>ROUND((I141+I142+I143+I144+I145)*0.27,0)</f>
        <v>0</v>
      </c>
    </row>
    <row r="149" spans="1:9" s="3" customFormat="1" ht="14.1" customHeight="1" x14ac:dyDescent="0.25">
      <c r="A149" s="20" t="s">
        <v>218</v>
      </c>
      <c r="B149" s="20" t="s">
        <v>219</v>
      </c>
      <c r="C149" s="21" t="s">
        <v>220</v>
      </c>
      <c r="D149" s="23">
        <f>SUM(D141:D148)</f>
        <v>445</v>
      </c>
      <c r="E149" s="23">
        <f t="shared" ref="E149:I149" si="36">SUM(E141:E148)</f>
        <v>254</v>
      </c>
      <c r="F149" s="23">
        <f t="shared" si="36"/>
        <v>445</v>
      </c>
      <c r="G149" s="23">
        <f t="shared" si="36"/>
        <v>254</v>
      </c>
      <c r="H149" s="23">
        <f t="shared" si="36"/>
        <v>0</v>
      </c>
      <c r="I149" s="23">
        <f t="shared" si="36"/>
        <v>0</v>
      </c>
    </row>
    <row r="150" spans="1:9" ht="14.1" customHeight="1" x14ac:dyDescent="0.25">
      <c r="A150" s="24" t="s">
        <v>221</v>
      </c>
      <c r="B150" s="24" t="s">
        <v>222</v>
      </c>
      <c r="C150" s="25" t="s">
        <v>223</v>
      </c>
      <c r="D150" s="26">
        <f>F150+H150</f>
        <v>0</v>
      </c>
      <c r="E150" s="26">
        <f t="shared" ref="E150:E154" si="37">G150+I150</f>
        <v>0</v>
      </c>
      <c r="F150" s="26"/>
      <c r="G150" s="26"/>
      <c r="H150" s="26"/>
      <c r="I150" s="26"/>
    </row>
    <row r="151" spans="1:9" ht="14.1" customHeight="1" x14ac:dyDescent="0.25">
      <c r="A151" s="24" t="s">
        <v>224</v>
      </c>
      <c r="B151" s="24" t="s">
        <v>225</v>
      </c>
      <c r="C151" s="25" t="s">
        <v>226</v>
      </c>
      <c r="D151" s="26">
        <f t="shared" ref="D151:D154" si="38">F151+H151</f>
        <v>0</v>
      </c>
      <c r="E151" s="26">
        <f t="shared" si="37"/>
        <v>0</v>
      </c>
      <c r="F151" s="26"/>
      <c r="G151" s="26"/>
      <c r="H151" s="26"/>
      <c r="I151" s="26"/>
    </row>
    <row r="152" spans="1:9" ht="14.1" customHeight="1" x14ac:dyDescent="0.25">
      <c r="A152" s="24" t="s">
        <v>227</v>
      </c>
      <c r="B152" s="24" t="s">
        <v>228</v>
      </c>
      <c r="C152" s="25" t="s">
        <v>229</v>
      </c>
      <c r="D152" s="26">
        <f t="shared" si="38"/>
        <v>0</v>
      </c>
      <c r="E152" s="26">
        <f>G152+I152</f>
        <v>0</v>
      </c>
      <c r="F152" s="26"/>
      <c r="G152" s="26"/>
      <c r="H152" s="26"/>
      <c r="I152" s="26"/>
    </row>
    <row r="153" spans="1:9" ht="14.1" customHeight="1" x14ac:dyDescent="0.25">
      <c r="A153" s="24"/>
      <c r="B153" s="24" t="s">
        <v>230</v>
      </c>
      <c r="C153" s="25" t="s">
        <v>231</v>
      </c>
      <c r="D153" s="26">
        <f t="shared" si="38"/>
        <v>0</v>
      </c>
      <c r="E153" s="26">
        <f t="shared" si="37"/>
        <v>0</v>
      </c>
      <c r="F153" s="26"/>
      <c r="G153" s="26"/>
      <c r="H153" s="26"/>
      <c r="I153" s="26"/>
    </row>
    <row r="154" spans="1:9" ht="14.1" customHeight="1" x14ac:dyDescent="0.25">
      <c r="A154" s="24" t="s">
        <v>232</v>
      </c>
      <c r="B154" s="24" t="s">
        <v>233</v>
      </c>
      <c r="C154" s="25" t="s">
        <v>234</v>
      </c>
      <c r="D154" s="26">
        <f t="shared" si="38"/>
        <v>0</v>
      </c>
      <c r="E154" s="26">
        <f t="shared" si="37"/>
        <v>0</v>
      </c>
      <c r="F154" s="26">
        <v>0</v>
      </c>
      <c r="G154" s="26">
        <f>ROUND((G150+G151+G152+G153)*0.27,0)</f>
        <v>0</v>
      </c>
      <c r="H154" s="26">
        <v>0</v>
      </c>
      <c r="I154" s="26">
        <f>ROUND((I150+I151+I152+I153)*0.27,0)</f>
        <v>0</v>
      </c>
    </row>
    <row r="155" spans="1:9" s="3" customFormat="1" ht="14.1" customHeight="1" x14ac:dyDescent="0.25">
      <c r="A155" s="20" t="s">
        <v>235</v>
      </c>
      <c r="B155" s="20" t="s">
        <v>236</v>
      </c>
      <c r="C155" s="21" t="s">
        <v>237</v>
      </c>
      <c r="D155" s="23">
        <f>SUM(D150:D154)</f>
        <v>0</v>
      </c>
      <c r="E155" s="23">
        <f t="shared" ref="E155:I155" si="39">SUM(E150:E154)</f>
        <v>0</v>
      </c>
      <c r="F155" s="23">
        <f t="shared" si="39"/>
        <v>0</v>
      </c>
      <c r="G155" s="23">
        <f t="shared" si="39"/>
        <v>0</v>
      </c>
      <c r="H155" s="23">
        <f t="shared" si="39"/>
        <v>0</v>
      </c>
      <c r="I155" s="23">
        <f t="shared" si="39"/>
        <v>0</v>
      </c>
    </row>
    <row r="156" spans="1:9" s="3" customFormat="1" ht="14.1" customHeight="1" x14ac:dyDescent="0.25">
      <c r="A156" s="963" t="s">
        <v>293</v>
      </c>
      <c r="B156" s="964"/>
      <c r="C156" s="965" t="s">
        <v>238</v>
      </c>
      <c r="D156" s="28">
        <f>D149+D155</f>
        <v>445</v>
      </c>
      <c r="E156" s="28">
        <f t="shared" ref="E156:I156" si="40">E149+E155</f>
        <v>254</v>
      </c>
      <c r="F156" s="28">
        <f t="shared" si="40"/>
        <v>445</v>
      </c>
      <c r="G156" s="28">
        <f t="shared" si="40"/>
        <v>254</v>
      </c>
      <c r="H156" s="28">
        <f t="shared" si="40"/>
        <v>0</v>
      </c>
      <c r="I156" s="28">
        <f t="shared" si="40"/>
        <v>0</v>
      </c>
    </row>
    <row r="157" spans="1:9" ht="6.75" customHeight="1" x14ac:dyDescent="0.25"/>
    <row r="158" spans="1:9" ht="14.1" customHeight="1" x14ac:dyDescent="0.25">
      <c r="A158" s="958" t="s">
        <v>294</v>
      </c>
      <c r="B158" s="959"/>
      <c r="C158" s="960"/>
      <c r="D158" s="30">
        <f>D156+D132</f>
        <v>248635</v>
      </c>
      <c r="E158" s="30">
        <f t="shared" ref="E158:I158" si="41">E156+E132</f>
        <v>264840</v>
      </c>
      <c r="F158" s="30">
        <f t="shared" si="41"/>
        <v>224933</v>
      </c>
      <c r="G158" s="30">
        <f t="shared" si="41"/>
        <v>241142</v>
      </c>
      <c r="H158" s="30">
        <f t="shared" si="41"/>
        <v>23702</v>
      </c>
      <c r="I158" s="30">
        <f t="shared" si="41"/>
        <v>23698</v>
      </c>
    </row>
    <row r="163" spans="1:9" s="1" customFormat="1" ht="12.75" customHeight="1" x14ac:dyDescent="0.25">
      <c r="A163" s="957" t="s">
        <v>408</v>
      </c>
      <c r="B163" s="957"/>
      <c r="C163" s="957"/>
      <c r="D163" s="957"/>
      <c r="E163" s="957"/>
      <c r="F163" s="957"/>
      <c r="G163" s="957"/>
      <c r="H163" s="957"/>
      <c r="I163" s="957"/>
    </row>
    <row r="164" spans="1:9" s="1" customFormat="1" ht="14.1" customHeight="1" x14ac:dyDescent="0.25">
      <c r="A164" s="957" t="s">
        <v>0</v>
      </c>
      <c r="B164" s="961" t="s">
        <v>1</v>
      </c>
      <c r="C164" s="957" t="s">
        <v>2</v>
      </c>
      <c r="D164" s="962" t="s">
        <v>260</v>
      </c>
      <c r="E164" s="952" t="s">
        <v>259</v>
      </c>
      <c r="F164" s="954" t="s">
        <v>261</v>
      </c>
      <c r="G164" s="955"/>
      <c r="H164" s="954" t="s">
        <v>262</v>
      </c>
      <c r="I164" s="955"/>
    </row>
    <row r="165" spans="1:9" s="3" customFormat="1" ht="23.25" customHeight="1" x14ac:dyDescent="0.25">
      <c r="A165" s="957"/>
      <c r="B165" s="961"/>
      <c r="C165" s="957"/>
      <c r="D165" s="962"/>
      <c r="E165" s="953"/>
      <c r="F165" s="29" t="s">
        <v>260</v>
      </c>
      <c r="G165" s="29" t="s">
        <v>259</v>
      </c>
      <c r="H165" s="29" t="s">
        <v>260</v>
      </c>
      <c r="I165" s="29" t="s">
        <v>259</v>
      </c>
    </row>
    <row r="166" spans="1:9" ht="5.65" customHeight="1" x14ac:dyDescent="0.25"/>
    <row r="167" spans="1:9" ht="14.1" customHeight="1" x14ac:dyDescent="0.25">
      <c r="A167" s="956" t="s">
        <v>239</v>
      </c>
      <c r="B167" s="956"/>
      <c r="C167" s="956"/>
      <c r="D167" s="956"/>
      <c r="E167" s="956"/>
      <c r="F167" s="956"/>
      <c r="G167" s="956"/>
      <c r="H167" s="956"/>
      <c r="I167" s="956"/>
    </row>
    <row r="168" spans="1:9" s="3" customFormat="1" ht="14.1" customHeight="1" x14ac:dyDescent="0.25">
      <c r="A168" s="20" t="s">
        <v>240</v>
      </c>
      <c r="B168" s="20"/>
      <c r="C168" s="21" t="s">
        <v>241</v>
      </c>
      <c r="D168" s="23">
        <f>SUM(D169:D178)</f>
        <v>14338</v>
      </c>
      <c r="E168" s="23">
        <f t="shared" ref="E168:I168" si="42">SUM(E169:E178)</f>
        <v>7684</v>
      </c>
      <c r="F168" s="23">
        <f t="shared" si="42"/>
        <v>0</v>
      </c>
      <c r="G168" s="23">
        <f t="shared" si="42"/>
        <v>0</v>
      </c>
      <c r="H168" s="23">
        <f t="shared" si="42"/>
        <v>14338</v>
      </c>
      <c r="I168" s="23">
        <f t="shared" si="42"/>
        <v>7684</v>
      </c>
    </row>
    <row r="169" spans="1:9" ht="14.1" customHeight="1" x14ac:dyDescent="0.25">
      <c r="A169" s="24" t="s">
        <v>242</v>
      </c>
      <c r="B169" s="24"/>
      <c r="C169" s="25" t="s">
        <v>243</v>
      </c>
      <c r="D169" s="26">
        <f>F169+H169</f>
        <v>0</v>
      </c>
      <c r="E169" s="26">
        <f>G169+I169</f>
        <v>0</v>
      </c>
      <c r="F169" s="26"/>
      <c r="G169" s="26"/>
      <c r="H169" s="26"/>
      <c r="I169" s="26"/>
    </row>
    <row r="170" spans="1:9" ht="14.1" customHeight="1" x14ac:dyDescent="0.25">
      <c r="A170" s="24" t="s">
        <v>244</v>
      </c>
      <c r="B170" s="24"/>
      <c r="C170" s="25" t="s">
        <v>245</v>
      </c>
      <c r="D170" s="26">
        <f t="shared" ref="D170:E178" si="43">F170+H170</f>
        <v>0</v>
      </c>
      <c r="E170" s="26">
        <f t="shared" si="43"/>
        <v>0</v>
      </c>
      <c r="F170" s="26"/>
      <c r="G170" s="26"/>
      <c r="H170" s="26"/>
      <c r="I170" s="26"/>
    </row>
    <row r="171" spans="1:9" ht="14.1" customHeight="1" x14ac:dyDescent="0.25">
      <c r="A171" s="24" t="s">
        <v>246</v>
      </c>
      <c r="B171" s="24"/>
      <c r="C171" s="25" t="s">
        <v>247</v>
      </c>
      <c r="D171" s="26">
        <f t="shared" si="43"/>
        <v>0</v>
      </c>
      <c r="E171" s="26">
        <f t="shared" si="43"/>
        <v>0</v>
      </c>
      <c r="F171" s="26"/>
      <c r="G171" s="26"/>
      <c r="H171" s="26"/>
      <c r="I171" s="26"/>
    </row>
    <row r="172" spans="1:9" ht="14.1" customHeight="1" x14ac:dyDescent="0.25">
      <c r="A172" s="24" t="s">
        <v>248</v>
      </c>
      <c r="B172" s="24"/>
      <c r="C172" s="25" t="s">
        <v>249</v>
      </c>
      <c r="D172" s="26">
        <f t="shared" si="43"/>
        <v>0</v>
      </c>
      <c r="E172" s="26">
        <f t="shared" si="43"/>
        <v>0</v>
      </c>
      <c r="F172" s="26"/>
      <c r="G172" s="26"/>
      <c r="H172" s="26"/>
      <c r="I172" s="26"/>
    </row>
    <row r="173" spans="1:9" ht="14.1" customHeight="1" x14ac:dyDescent="0.25">
      <c r="A173" s="24" t="s">
        <v>296</v>
      </c>
      <c r="B173" s="24"/>
      <c r="C173" s="25" t="s">
        <v>297</v>
      </c>
      <c r="D173" s="26">
        <f t="shared" si="43"/>
        <v>11290</v>
      </c>
      <c r="E173" s="26">
        <f t="shared" si="43"/>
        <v>6050</v>
      </c>
      <c r="F173" s="26"/>
      <c r="G173" s="26"/>
      <c r="H173" s="26">
        <v>11290</v>
      </c>
      <c r="I173" s="26">
        <v>6050</v>
      </c>
    </row>
    <row r="174" spans="1:9" ht="14.1" customHeight="1" x14ac:dyDescent="0.25">
      <c r="A174" s="24" t="s">
        <v>250</v>
      </c>
      <c r="B174" s="24"/>
      <c r="C174" s="25" t="s">
        <v>251</v>
      </c>
      <c r="D174" s="26">
        <f t="shared" si="43"/>
        <v>3048</v>
      </c>
      <c r="E174" s="26">
        <f t="shared" si="43"/>
        <v>1634</v>
      </c>
      <c r="F174" s="26"/>
      <c r="G174" s="26">
        <f>ROUND((G169+G170+G171+G172+G173)*0.27,0)</f>
        <v>0</v>
      </c>
      <c r="H174" s="26">
        <v>3048</v>
      </c>
      <c r="I174" s="26">
        <f>ROUND((I169+I170+I171+I172+I173)*0.27,0)</f>
        <v>1634</v>
      </c>
    </row>
    <row r="175" spans="1:9" ht="14.1" customHeight="1" x14ac:dyDescent="0.25">
      <c r="A175" s="24" t="s">
        <v>298</v>
      </c>
      <c r="B175" s="24"/>
      <c r="C175" s="25" t="s">
        <v>299</v>
      </c>
      <c r="D175" s="26">
        <f t="shared" si="43"/>
        <v>0</v>
      </c>
      <c r="E175" s="26">
        <f t="shared" si="43"/>
        <v>0</v>
      </c>
      <c r="F175" s="26"/>
      <c r="G175" s="26"/>
      <c r="H175" s="26">
        <v>0</v>
      </c>
      <c r="I175" s="26"/>
    </row>
    <row r="176" spans="1:9" ht="14.1" customHeight="1" x14ac:dyDescent="0.25">
      <c r="A176" s="24" t="s">
        <v>252</v>
      </c>
      <c r="B176" s="24"/>
      <c r="C176" s="25" t="s">
        <v>253</v>
      </c>
      <c r="D176" s="26">
        <f t="shared" si="43"/>
        <v>0</v>
      </c>
      <c r="E176" s="26">
        <f t="shared" si="43"/>
        <v>0</v>
      </c>
      <c r="F176" s="26"/>
      <c r="G176" s="26"/>
      <c r="H176" s="26"/>
      <c r="I176" s="26"/>
    </row>
    <row r="177" spans="1:9" ht="14.1" customHeight="1" x14ac:dyDescent="0.25">
      <c r="A177" s="24" t="s">
        <v>300</v>
      </c>
      <c r="B177" s="24"/>
      <c r="C177" s="25" t="s">
        <v>301</v>
      </c>
      <c r="D177" s="26">
        <f t="shared" si="43"/>
        <v>0</v>
      </c>
      <c r="E177" s="26">
        <f t="shared" si="43"/>
        <v>0</v>
      </c>
      <c r="F177" s="26"/>
      <c r="G177" s="26"/>
      <c r="H177" s="26"/>
      <c r="I177" s="26"/>
    </row>
    <row r="178" spans="1:9" ht="14.1" customHeight="1" x14ac:dyDescent="0.25">
      <c r="A178" s="24" t="s">
        <v>254</v>
      </c>
      <c r="B178" s="24"/>
      <c r="C178" s="25" t="s">
        <v>255</v>
      </c>
      <c r="D178" s="26">
        <f t="shared" si="43"/>
        <v>0</v>
      </c>
      <c r="E178" s="26">
        <f t="shared" si="43"/>
        <v>0</v>
      </c>
      <c r="F178" s="26"/>
      <c r="G178" s="26"/>
      <c r="H178" s="26"/>
      <c r="I178" s="26"/>
    </row>
    <row r="179" spans="1:9" s="3" customFormat="1" ht="14.1" customHeight="1" x14ac:dyDescent="0.25">
      <c r="A179" s="20" t="s">
        <v>256</v>
      </c>
      <c r="B179" s="20"/>
      <c r="C179" s="21" t="s">
        <v>257</v>
      </c>
      <c r="D179" s="23">
        <f>F179+H179</f>
        <v>0</v>
      </c>
      <c r="E179" s="23">
        <f>G179+I179</f>
        <v>0</v>
      </c>
      <c r="F179" s="23">
        <v>0</v>
      </c>
      <c r="G179" s="23">
        <v>0</v>
      </c>
      <c r="H179" s="23">
        <v>0</v>
      </c>
      <c r="I179" s="23">
        <v>0</v>
      </c>
    </row>
    <row r="180" spans="1:9" s="3" customFormat="1" ht="14.1" customHeight="1" x14ac:dyDescent="0.25">
      <c r="A180" s="958" t="s">
        <v>295</v>
      </c>
      <c r="B180" s="959"/>
      <c r="C180" s="960"/>
      <c r="D180" s="30">
        <f>D168+D179</f>
        <v>14338</v>
      </c>
      <c r="E180" s="30">
        <f t="shared" ref="E180:I180" si="44">E168+E179</f>
        <v>7684</v>
      </c>
      <c r="F180" s="30">
        <f t="shared" si="44"/>
        <v>0</v>
      </c>
      <c r="G180" s="30">
        <f t="shared" si="44"/>
        <v>0</v>
      </c>
      <c r="H180" s="30">
        <f t="shared" si="44"/>
        <v>14338</v>
      </c>
      <c r="I180" s="30">
        <f t="shared" si="44"/>
        <v>7684</v>
      </c>
    </row>
  </sheetData>
  <sheetProtection selectLockedCells="1" selectUnlockedCells="1"/>
  <customSheetViews>
    <customSheetView guid="{7F1DC213-A29D-4C8C-BAC3-F1BD898020FD}" scale="150" showPageBreaks="1" fitToPage="1" state="hidden" view="pageBreakPreview">
      <pane ySplit="4" topLeftCell="A56" activePane="bottomLeft" state="frozen"/>
      <selection pane="bottomLeft" activeCell="B69" sqref="B69"/>
      <rowBreaks count="2" manualBreakCount="2">
        <brk id="44" max="16383" man="1"/>
        <brk id="109" max="16383" man="1"/>
      </rowBreaks>
      <pageMargins left="0.15748031496062992" right="0.15748031496062992" top="0.19685039370078741" bottom="0.15748031496062992" header="0.31496062992125984" footer="0.31496062992125984"/>
      <printOptions horizontalCentered="1"/>
      <pageSetup paperSize="8" fitToHeight="0" orientation="portrait" useFirstPageNumber="1" copies="2" r:id="rId1"/>
      <headerFooter alignWithMargins="0"/>
    </customSheetView>
    <customSheetView guid="{4DCB1349-1166-4B69-AE14-D6B08F9FCE74}" scale="150" showPageBreaks="1" fitToPage="1" state="hidden" view="pageBreakPreview">
      <pane ySplit="4" topLeftCell="A56" activePane="bottomLeft" state="frozen"/>
      <selection pane="bottomLeft" activeCell="B69" sqref="B69"/>
      <rowBreaks count="2" manualBreakCount="2">
        <brk id="44" max="16383" man="1"/>
        <brk id="109" max="16383" man="1"/>
      </rowBreaks>
      <pageMargins left="0.15748031496062992" right="0.15748031496062992" top="0.19685039370078741" bottom="0.15748031496062992" header="0.31496062992125984" footer="0.31496062992125984"/>
      <printOptions horizontalCentered="1"/>
      <pageSetup paperSize="8" fitToHeight="0" orientation="portrait" useFirstPageNumber="1" copies="2" r:id="rId2"/>
      <headerFooter alignWithMargins="0"/>
    </customSheetView>
  </customSheetViews>
  <mergeCells count="41">
    <mergeCell ref="A1:I1"/>
    <mergeCell ref="A2:A3"/>
    <mergeCell ref="B2:B3"/>
    <mergeCell ref="C2:C3"/>
    <mergeCell ref="D2:D3"/>
    <mergeCell ref="E2:E3"/>
    <mergeCell ref="F2:G2"/>
    <mergeCell ref="H2:I2"/>
    <mergeCell ref="A5:I5"/>
    <mergeCell ref="A44:C44"/>
    <mergeCell ref="A48:I48"/>
    <mergeCell ref="A49:A50"/>
    <mergeCell ref="B49:B50"/>
    <mergeCell ref="C49:C50"/>
    <mergeCell ref="D49:D50"/>
    <mergeCell ref="E49:E50"/>
    <mergeCell ref="F49:G49"/>
    <mergeCell ref="H49:I49"/>
    <mergeCell ref="A52:I52"/>
    <mergeCell ref="A132:C132"/>
    <mergeCell ref="A136:I136"/>
    <mergeCell ref="A137:A138"/>
    <mergeCell ref="B137:B138"/>
    <mergeCell ref="C137:C138"/>
    <mergeCell ref="D137:D138"/>
    <mergeCell ref="E137:E138"/>
    <mergeCell ref="F137:G137"/>
    <mergeCell ref="H137:I137"/>
    <mergeCell ref="H164:I164"/>
    <mergeCell ref="A167:I167"/>
    <mergeCell ref="A180:C180"/>
    <mergeCell ref="A140:I140"/>
    <mergeCell ref="A156:C156"/>
    <mergeCell ref="A158:C158"/>
    <mergeCell ref="A163:I163"/>
    <mergeCell ref="A164:A165"/>
    <mergeCell ref="B164:B165"/>
    <mergeCell ref="C164:C165"/>
    <mergeCell ref="D164:D165"/>
    <mergeCell ref="E164:E165"/>
    <mergeCell ref="F164:G164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3"/>
  <headerFooter alignWithMargins="0"/>
  <rowBreaks count="2" manualBreakCount="2">
    <brk id="44" max="16383" man="1"/>
    <brk id="109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D228"/>
  <sheetViews>
    <sheetView view="pageBreakPreview" zoomScale="145" zoomScaleSheetLayoutView="145" workbookViewId="0">
      <pane xSplit="5" ySplit="3" topLeftCell="N167" activePane="bottomRight" state="frozen"/>
      <selection pane="topRight" activeCell="F1" sqref="F1"/>
      <selection pane="bottomLeft" activeCell="A4" sqref="A4"/>
      <selection pane="bottomRight" activeCell="M159" sqref="M15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5703125" style="5"/>
  </cols>
  <sheetData>
    <row r="1" spans="1:21" s="1" customFormat="1" ht="12.75" customHeight="1" x14ac:dyDescent="0.25">
      <c r="A1" s="957" t="s">
        <v>412</v>
      </c>
      <c r="B1" s="957"/>
      <c r="C1" s="957"/>
      <c r="D1" s="957"/>
      <c r="E1" s="957"/>
      <c r="F1" s="957"/>
      <c r="G1" s="957"/>
      <c r="H1" s="957"/>
      <c r="I1" s="957"/>
      <c r="J1" s="957"/>
      <c r="K1" s="957"/>
      <c r="L1" s="957" t="s">
        <v>412</v>
      </c>
      <c r="M1" s="957"/>
      <c r="N1" s="957"/>
      <c r="O1" s="957"/>
      <c r="P1" s="957"/>
      <c r="Q1" s="957"/>
      <c r="R1" s="957"/>
      <c r="S1" s="957"/>
      <c r="T1" s="957"/>
      <c r="U1" s="957"/>
    </row>
    <row r="2" spans="1:21" s="1" customFormat="1" ht="14.1" customHeight="1" x14ac:dyDescent="0.25">
      <c r="A2" s="995" t="s">
        <v>0</v>
      </c>
      <c r="B2" s="996" t="s">
        <v>1</v>
      </c>
      <c r="C2" s="995" t="s">
        <v>2</v>
      </c>
      <c r="D2" s="953" t="s">
        <v>260</v>
      </c>
      <c r="E2" s="992" t="s">
        <v>259</v>
      </c>
      <c r="F2" s="993" t="s">
        <v>413</v>
      </c>
      <c r="G2" s="994"/>
      <c r="H2" s="993" t="s">
        <v>414</v>
      </c>
      <c r="I2" s="997"/>
      <c r="J2" s="1001" t="s">
        <v>415</v>
      </c>
      <c r="K2" s="990"/>
      <c r="L2" s="1001" t="s">
        <v>416</v>
      </c>
      <c r="M2" s="1001"/>
      <c r="N2" s="990" t="s">
        <v>417</v>
      </c>
      <c r="O2" s="1000"/>
      <c r="P2" s="998" t="s">
        <v>418</v>
      </c>
      <c r="Q2" s="999"/>
      <c r="R2" s="998" t="s">
        <v>419</v>
      </c>
      <c r="S2" s="999"/>
      <c r="T2" s="998"/>
      <c r="U2" s="999"/>
    </row>
    <row r="3" spans="1:21" s="3" customFormat="1" ht="25.5" customHeight="1" x14ac:dyDescent="0.25">
      <c r="A3" s="957"/>
      <c r="B3" s="961"/>
      <c r="C3" s="957"/>
      <c r="D3" s="962"/>
      <c r="E3" s="953"/>
      <c r="F3" s="50" t="s">
        <v>263</v>
      </c>
      <c r="G3" s="50" t="s">
        <v>259</v>
      </c>
      <c r="H3" s="50" t="s">
        <v>260</v>
      </c>
      <c r="I3" s="49" t="s">
        <v>259</v>
      </c>
      <c r="J3" s="62" t="s">
        <v>260</v>
      </c>
      <c r="K3" s="77" t="s">
        <v>259</v>
      </c>
      <c r="L3" s="62" t="s">
        <v>260</v>
      </c>
      <c r="M3" s="62" t="s">
        <v>259</v>
      </c>
      <c r="N3" s="83" t="s">
        <v>260</v>
      </c>
      <c r="O3" s="48" t="s">
        <v>259</v>
      </c>
      <c r="P3" s="84" t="s">
        <v>260</v>
      </c>
      <c r="Q3" s="85" t="s">
        <v>259</v>
      </c>
      <c r="R3" s="84" t="s">
        <v>260</v>
      </c>
      <c r="S3" s="85" t="s">
        <v>259</v>
      </c>
      <c r="T3" s="84"/>
      <c r="U3" s="85"/>
    </row>
    <row r="4" spans="1:21" ht="5.65" customHeight="1" x14ac:dyDescent="0.25">
      <c r="J4" s="63"/>
      <c r="K4" s="78"/>
      <c r="L4" s="63"/>
      <c r="M4" s="63"/>
    </row>
    <row r="5" spans="1:21" ht="14.1" customHeight="1" x14ac:dyDescent="0.25">
      <c r="A5" s="956" t="s">
        <v>3</v>
      </c>
      <c r="B5" s="956"/>
      <c r="C5" s="956"/>
      <c r="D5" s="956"/>
      <c r="E5" s="956"/>
      <c r="F5" s="956"/>
      <c r="G5" s="956"/>
      <c r="H5" s="956"/>
      <c r="I5" s="956"/>
      <c r="J5" s="64"/>
      <c r="K5" s="79"/>
      <c r="L5" s="64"/>
      <c r="M5" s="79"/>
      <c r="N5" s="64"/>
      <c r="O5" s="64"/>
      <c r="P5" s="64"/>
      <c r="Q5" s="64"/>
      <c r="R5" s="64"/>
      <c r="S5" s="64"/>
      <c r="T5" s="64"/>
      <c r="U5" s="64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</f>
        <v>85301</v>
      </c>
      <c r="E6" s="9">
        <f>G6+I6+K6+M6+O6+Q6+S6</f>
        <v>97071</v>
      </c>
      <c r="F6" s="10">
        <v>28010</v>
      </c>
      <c r="G6" s="10">
        <f>SUM(G7:G21)-G12-G15</f>
        <v>32136</v>
      </c>
      <c r="H6" s="10">
        <v>11302</v>
      </c>
      <c r="I6" s="52">
        <f>SUM(I7:I27)</f>
        <v>12350</v>
      </c>
      <c r="J6" s="65">
        <v>0</v>
      </c>
      <c r="K6" s="65">
        <v>0</v>
      </c>
      <c r="L6" s="65">
        <v>45989</v>
      </c>
      <c r="M6" s="52">
        <f>SUM(M7:M54)-M45</f>
        <v>52585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/>
      <c r="T6" s="65"/>
      <c r="U6" s="65"/>
    </row>
    <row r="7" spans="1:21" s="15" customFormat="1" ht="11.45" customHeight="1" x14ac:dyDescent="0.25">
      <c r="A7" s="11"/>
      <c r="B7" s="11"/>
      <c r="C7" s="12" t="s">
        <v>425</v>
      </c>
      <c r="D7" s="13"/>
      <c r="E7" s="13"/>
      <c r="F7" s="14"/>
      <c r="G7" s="14">
        <v>2445</v>
      </c>
      <c r="H7" s="14"/>
      <c r="I7" s="53"/>
      <c r="J7" s="66"/>
      <c r="K7" s="81"/>
      <c r="L7" s="66"/>
      <c r="M7" s="81"/>
      <c r="N7" s="66"/>
      <c r="O7" s="66"/>
      <c r="P7" s="66"/>
      <c r="Q7" s="66"/>
      <c r="R7" s="66"/>
      <c r="S7" s="66"/>
      <c r="T7" s="66"/>
      <c r="U7" s="66"/>
    </row>
    <row r="8" spans="1:21" s="15" customFormat="1" ht="11.45" customHeight="1" x14ac:dyDescent="0.25">
      <c r="A8" s="11"/>
      <c r="B8" s="11"/>
      <c r="C8" s="12" t="s">
        <v>423</v>
      </c>
      <c r="D8" s="13"/>
      <c r="E8" s="13"/>
      <c r="F8" s="14"/>
      <c r="G8" s="14">
        <v>2296</v>
      </c>
      <c r="H8" s="14"/>
      <c r="I8" s="53"/>
      <c r="J8" s="66"/>
      <c r="K8" s="81"/>
      <c r="L8" s="66"/>
      <c r="M8" s="81"/>
      <c r="N8" s="66"/>
      <c r="O8" s="66"/>
      <c r="P8" s="66"/>
      <c r="Q8" s="66"/>
      <c r="R8" s="66"/>
      <c r="S8" s="66"/>
      <c r="T8" s="66"/>
      <c r="U8" s="66"/>
    </row>
    <row r="9" spans="1:21" s="15" customFormat="1" ht="11.45" customHeight="1" x14ac:dyDescent="0.25">
      <c r="A9" s="11"/>
      <c r="B9" s="11"/>
      <c r="C9" s="12" t="s">
        <v>424</v>
      </c>
      <c r="D9" s="13"/>
      <c r="E9" s="13"/>
      <c r="F9" s="14"/>
      <c r="G9" s="14">
        <v>5564</v>
      </c>
      <c r="H9" s="14"/>
      <c r="I9" s="53"/>
      <c r="J9" s="66"/>
      <c r="K9" s="81"/>
      <c r="L9" s="66"/>
      <c r="M9" s="81"/>
      <c r="N9" s="66"/>
      <c r="O9" s="66"/>
      <c r="P9" s="66"/>
      <c r="Q9" s="66"/>
      <c r="R9" s="66"/>
      <c r="S9" s="66"/>
      <c r="T9" s="66"/>
      <c r="U9" s="66"/>
    </row>
    <row r="10" spans="1:21" s="15" customFormat="1" ht="11.45" customHeight="1" x14ac:dyDescent="0.25">
      <c r="A10" s="11"/>
      <c r="B10" s="11"/>
      <c r="C10" s="12" t="s">
        <v>426</v>
      </c>
      <c r="D10" s="13"/>
      <c r="E10" s="13"/>
      <c r="F10" s="14"/>
      <c r="G10" s="14">
        <v>2390</v>
      </c>
      <c r="H10" s="14"/>
      <c r="I10" s="53"/>
      <c r="J10" s="66"/>
      <c r="K10" s="81"/>
      <c r="L10" s="66"/>
      <c r="M10" s="81"/>
      <c r="N10" s="66"/>
      <c r="O10" s="66"/>
      <c r="P10" s="66"/>
      <c r="Q10" s="66"/>
      <c r="R10" s="66"/>
      <c r="S10" s="66"/>
      <c r="T10" s="66"/>
      <c r="U10" s="66"/>
    </row>
    <row r="11" spans="1:21" s="15" customFormat="1" ht="11.45" customHeight="1" x14ac:dyDescent="0.25">
      <c r="A11" s="11"/>
      <c r="B11" s="11"/>
      <c r="C11" s="12" t="s">
        <v>429</v>
      </c>
      <c r="D11" s="13"/>
      <c r="E11" s="13"/>
      <c r="F11" s="14"/>
      <c r="G11" s="14">
        <v>1345</v>
      </c>
      <c r="H11" s="14"/>
      <c r="I11" s="53"/>
      <c r="J11" s="66"/>
      <c r="K11" s="81"/>
      <c r="L11" s="66"/>
      <c r="M11" s="81"/>
      <c r="N11" s="66"/>
      <c r="O11" s="66"/>
      <c r="P11" s="66"/>
      <c r="Q11" s="66"/>
      <c r="R11" s="66"/>
      <c r="S11" s="66"/>
      <c r="T11" s="66"/>
      <c r="U11" s="66"/>
    </row>
    <row r="12" spans="1:21" s="15" customFormat="1" ht="11.45" customHeight="1" x14ac:dyDescent="0.25">
      <c r="A12" s="11"/>
      <c r="B12" s="11"/>
      <c r="C12" s="12" t="s">
        <v>428</v>
      </c>
      <c r="D12" s="13"/>
      <c r="E12" s="13"/>
      <c r="F12" s="14"/>
      <c r="G12" s="14">
        <v>965</v>
      </c>
      <c r="H12" s="14"/>
      <c r="I12" s="53"/>
      <c r="J12" s="66"/>
      <c r="K12" s="81"/>
      <c r="L12" s="66"/>
      <c r="M12" s="81"/>
      <c r="N12" s="66"/>
      <c r="O12" s="66"/>
      <c r="P12" s="66"/>
      <c r="Q12" s="66"/>
      <c r="R12" s="66"/>
      <c r="S12" s="66"/>
      <c r="T12" s="66"/>
      <c r="U12" s="66"/>
    </row>
    <row r="13" spans="1:21" s="15" customFormat="1" ht="11.45" customHeight="1" x14ac:dyDescent="0.25">
      <c r="A13" s="11"/>
      <c r="B13" s="11"/>
      <c r="C13" s="12" t="s">
        <v>430</v>
      </c>
      <c r="D13" s="13"/>
      <c r="E13" s="13"/>
      <c r="F13" s="14"/>
      <c r="G13" s="14">
        <v>1748</v>
      </c>
      <c r="H13" s="14"/>
      <c r="I13" s="53"/>
      <c r="J13" s="66"/>
      <c r="K13" s="81"/>
      <c r="L13" s="66"/>
      <c r="M13" s="81"/>
      <c r="N13" s="66"/>
      <c r="O13" s="66"/>
      <c r="P13" s="66"/>
      <c r="Q13" s="66"/>
      <c r="R13" s="66"/>
      <c r="S13" s="66"/>
      <c r="T13" s="66"/>
      <c r="U13" s="66"/>
    </row>
    <row r="14" spans="1:21" s="15" customFormat="1" ht="11.45" customHeight="1" x14ac:dyDescent="0.25">
      <c r="A14" s="11"/>
      <c r="B14" s="11"/>
      <c r="C14" s="12" t="s">
        <v>431</v>
      </c>
      <c r="D14" s="13"/>
      <c r="E14" s="13"/>
      <c r="F14" s="14"/>
      <c r="G14" s="14">
        <v>3000</v>
      </c>
      <c r="H14" s="14"/>
      <c r="I14" s="53"/>
      <c r="J14" s="66"/>
      <c r="K14" s="81"/>
      <c r="L14" s="66"/>
      <c r="M14" s="81"/>
      <c r="N14" s="66"/>
      <c r="O14" s="66"/>
      <c r="P14" s="66"/>
      <c r="Q14" s="66"/>
      <c r="R14" s="66"/>
      <c r="S14" s="66"/>
      <c r="T14" s="66"/>
      <c r="U14" s="66"/>
    </row>
    <row r="15" spans="1:21" s="15" customFormat="1" ht="11.45" customHeight="1" x14ac:dyDescent="0.25">
      <c r="A15" s="11"/>
      <c r="B15" s="11"/>
      <c r="C15" s="12" t="s">
        <v>433</v>
      </c>
      <c r="D15" s="13"/>
      <c r="E15" s="13"/>
      <c r="F15" s="14"/>
      <c r="G15" s="14">
        <v>1237</v>
      </c>
      <c r="H15" s="14"/>
      <c r="I15" s="53"/>
      <c r="J15" s="66"/>
      <c r="K15" s="81"/>
      <c r="L15" s="66"/>
      <c r="M15" s="81"/>
      <c r="N15" s="66"/>
      <c r="O15" s="66"/>
      <c r="P15" s="66"/>
      <c r="Q15" s="66"/>
      <c r="R15" s="66"/>
      <c r="S15" s="66"/>
      <c r="T15" s="66"/>
      <c r="U15" s="66"/>
    </row>
    <row r="16" spans="1:21" s="15" customFormat="1" ht="11.45" customHeight="1" x14ac:dyDescent="0.25">
      <c r="A16" s="11"/>
      <c r="B16" s="11"/>
      <c r="C16" s="12" t="s">
        <v>427</v>
      </c>
      <c r="D16" s="13"/>
      <c r="E16" s="13"/>
      <c r="F16" s="14"/>
      <c r="G16" s="14">
        <v>3253</v>
      </c>
      <c r="H16" s="14"/>
      <c r="I16" s="53"/>
      <c r="J16" s="66"/>
      <c r="K16" s="81"/>
      <c r="L16" s="66"/>
      <c r="M16" s="81"/>
      <c r="N16" s="66"/>
      <c r="O16" s="66"/>
      <c r="P16" s="66"/>
      <c r="Q16" s="66"/>
      <c r="R16" s="66"/>
      <c r="S16" s="66"/>
      <c r="T16" s="66"/>
      <c r="U16" s="66"/>
    </row>
    <row r="17" spans="1:21" s="15" customFormat="1" ht="11.45" customHeight="1" x14ac:dyDescent="0.25">
      <c r="A17" s="11"/>
      <c r="B17" s="11"/>
      <c r="C17" s="12" t="s">
        <v>435</v>
      </c>
      <c r="D17" s="13"/>
      <c r="E17" s="13"/>
      <c r="F17" s="14"/>
      <c r="G17" s="14">
        <v>1305</v>
      </c>
      <c r="H17" s="14"/>
      <c r="I17" s="53"/>
      <c r="J17" s="66"/>
      <c r="K17" s="81"/>
      <c r="L17" s="66"/>
      <c r="M17" s="81"/>
      <c r="N17" s="66"/>
      <c r="O17" s="66"/>
      <c r="P17" s="66"/>
      <c r="Q17" s="66"/>
      <c r="R17" s="66"/>
      <c r="S17" s="66"/>
      <c r="T17" s="66"/>
      <c r="U17" s="66"/>
    </row>
    <row r="18" spans="1:21" s="15" customFormat="1" ht="11.45" customHeight="1" x14ac:dyDescent="0.25">
      <c r="A18" s="11"/>
      <c r="B18" s="11"/>
      <c r="C18" s="12" t="s">
        <v>432</v>
      </c>
      <c r="D18" s="13"/>
      <c r="E18" s="13"/>
      <c r="F18" s="14"/>
      <c r="G18" s="14">
        <v>2679</v>
      </c>
      <c r="H18" s="14"/>
      <c r="I18" s="53"/>
      <c r="J18" s="66"/>
      <c r="K18" s="81"/>
      <c r="L18" s="66"/>
      <c r="M18" s="81"/>
      <c r="N18" s="66"/>
      <c r="O18" s="66"/>
      <c r="P18" s="66"/>
      <c r="Q18" s="66"/>
      <c r="R18" s="66"/>
      <c r="S18" s="66"/>
      <c r="T18" s="66"/>
      <c r="U18" s="66"/>
    </row>
    <row r="19" spans="1:21" s="15" customFormat="1" ht="11.45" customHeight="1" x14ac:dyDescent="0.25">
      <c r="A19" s="11"/>
      <c r="B19" s="11"/>
      <c r="C19" s="12" t="s">
        <v>434</v>
      </c>
      <c r="D19" s="13"/>
      <c r="E19" s="13"/>
      <c r="F19" s="14"/>
      <c r="G19" s="14">
        <v>1501</v>
      </c>
      <c r="H19" s="14"/>
      <c r="I19" s="53"/>
      <c r="J19" s="66"/>
      <c r="K19" s="81"/>
      <c r="L19" s="66"/>
      <c r="M19" s="81"/>
      <c r="N19" s="66"/>
      <c r="O19" s="66"/>
      <c r="P19" s="66"/>
      <c r="Q19" s="66"/>
      <c r="R19" s="66"/>
      <c r="S19" s="66"/>
      <c r="T19" s="66"/>
      <c r="U19" s="66"/>
    </row>
    <row r="20" spans="1:21" s="15" customFormat="1" ht="11.45" customHeight="1" x14ac:dyDescent="0.25">
      <c r="A20" s="11"/>
      <c r="B20" s="11"/>
      <c r="C20" s="12" t="s">
        <v>436</v>
      </c>
      <c r="D20" s="13"/>
      <c r="E20" s="13"/>
      <c r="F20" s="14"/>
      <c r="G20" s="14">
        <v>2439</v>
      </c>
      <c r="H20" s="14"/>
      <c r="I20" s="53"/>
      <c r="J20" s="66"/>
      <c r="K20" s="81"/>
      <c r="L20" s="66"/>
      <c r="M20" s="81"/>
      <c r="N20" s="66"/>
      <c r="O20" s="66"/>
      <c r="P20" s="66"/>
      <c r="Q20" s="66"/>
      <c r="R20" s="66"/>
      <c r="S20" s="66"/>
      <c r="T20" s="66"/>
      <c r="U20" s="66"/>
    </row>
    <row r="21" spans="1:21" s="15" customFormat="1" ht="11.45" customHeight="1" x14ac:dyDescent="0.25">
      <c r="A21" s="11"/>
      <c r="B21" s="11"/>
      <c r="C21" s="12" t="s">
        <v>437</v>
      </c>
      <c r="D21" s="13"/>
      <c r="E21" s="13"/>
      <c r="F21" s="14"/>
      <c r="G21" s="14">
        <v>2171</v>
      </c>
      <c r="H21" s="14"/>
      <c r="I21" s="53"/>
      <c r="J21" s="66"/>
      <c r="K21" s="81"/>
      <c r="L21" s="66"/>
      <c r="M21" s="81"/>
      <c r="N21" s="66"/>
      <c r="O21" s="66"/>
      <c r="P21" s="66"/>
      <c r="Q21" s="66"/>
      <c r="R21" s="66"/>
      <c r="S21" s="66"/>
      <c r="T21" s="66"/>
      <c r="U21" s="66"/>
    </row>
    <row r="22" spans="1:21" s="15" customFormat="1" ht="11.45" customHeight="1" x14ac:dyDescent="0.25">
      <c r="A22" s="11"/>
      <c r="B22" s="11"/>
      <c r="C22" s="12" t="s">
        <v>438</v>
      </c>
      <c r="D22" s="13"/>
      <c r="E22" s="13"/>
      <c r="F22" s="14"/>
      <c r="G22" s="14"/>
      <c r="H22" s="14"/>
      <c r="I22" s="53">
        <v>2292</v>
      </c>
      <c r="J22" s="66"/>
      <c r="K22" s="81"/>
      <c r="L22" s="66"/>
      <c r="M22" s="81"/>
      <c r="N22" s="66"/>
      <c r="O22" s="66"/>
      <c r="P22" s="66"/>
      <c r="Q22" s="66"/>
      <c r="R22" s="66"/>
      <c r="S22" s="66"/>
      <c r="T22" s="66"/>
      <c r="U22" s="66"/>
    </row>
    <row r="23" spans="1:21" s="15" customFormat="1" ht="11.45" customHeight="1" x14ac:dyDescent="0.25">
      <c r="A23" s="11"/>
      <c r="B23" s="11"/>
      <c r="C23" s="12" t="s">
        <v>439</v>
      </c>
      <c r="D23" s="13"/>
      <c r="E23" s="13"/>
      <c r="F23" s="14"/>
      <c r="G23" s="14"/>
      <c r="H23" s="14"/>
      <c r="I23" s="53">
        <v>2151</v>
      </c>
      <c r="J23" s="66"/>
      <c r="K23" s="81"/>
      <c r="L23" s="66"/>
      <c r="M23" s="81"/>
      <c r="N23" s="66"/>
      <c r="O23" s="66"/>
      <c r="P23" s="66"/>
      <c r="Q23" s="66"/>
      <c r="R23" s="66"/>
      <c r="S23" s="66"/>
      <c r="T23" s="66"/>
      <c r="U23" s="66"/>
    </row>
    <row r="24" spans="1:21" s="15" customFormat="1" ht="11.45" customHeight="1" x14ac:dyDescent="0.25">
      <c r="A24" s="11"/>
      <c r="B24" s="11"/>
      <c r="C24" s="12" t="s">
        <v>440</v>
      </c>
      <c r="D24" s="13"/>
      <c r="E24" s="13"/>
      <c r="F24" s="14"/>
      <c r="G24" s="14"/>
      <c r="H24" s="14"/>
      <c r="I24" s="53">
        <v>1907</v>
      </c>
      <c r="J24" s="66"/>
      <c r="K24" s="81"/>
      <c r="L24" s="66"/>
      <c r="M24" s="81"/>
      <c r="N24" s="66"/>
      <c r="O24" s="66"/>
      <c r="P24" s="66"/>
      <c r="Q24" s="66"/>
      <c r="R24" s="66"/>
      <c r="S24" s="66"/>
      <c r="T24" s="66"/>
      <c r="U24" s="66"/>
    </row>
    <row r="25" spans="1:21" s="15" customFormat="1" ht="11.45" customHeight="1" x14ac:dyDescent="0.25">
      <c r="A25" s="11"/>
      <c r="B25" s="11"/>
      <c r="C25" s="12" t="s">
        <v>441</v>
      </c>
      <c r="D25" s="13"/>
      <c r="E25" s="13"/>
      <c r="F25" s="14"/>
      <c r="G25" s="14"/>
      <c r="H25" s="14"/>
      <c r="I25" s="53">
        <v>2028</v>
      </c>
      <c r="J25" s="66"/>
      <c r="K25" s="81"/>
      <c r="L25" s="66"/>
      <c r="M25" s="81"/>
      <c r="N25" s="66"/>
      <c r="O25" s="66"/>
      <c r="P25" s="66"/>
      <c r="Q25" s="66"/>
      <c r="R25" s="66"/>
      <c r="S25" s="66"/>
      <c r="T25" s="66"/>
      <c r="U25" s="66"/>
    </row>
    <row r="26" spans="1:21" s="15" customFormat="1" ht="11.45" customHeight="1" x14ac:dyDescent="0.25">
      <c r="A26" s="11"/>
      <c r="B26" s="11"/>
      <c r="C26" s="12" t="s">
        <v>442</v>
      </c>
      <c r="D26" s="13"/>
      <c r="E26" s="13"/>
      <c r="F26" s="14"/>
      <c r="G26" s="14"/>
      <c r="H26" s="14"/>
      <c r="I26" s="53">
        <f>1843+7*12</f>
        <v>1927</v>
      </c>
      <c r="J26" s="66"/>
      <c r="K26" s="81"/>
      <c r="L26" s="66"/>
      <c r="M26" s="81"/>
      <c r="N26" s="66"/>
      <c r="O26" s="66"/>
      <c r="P26" s="66"/>
      <c r="Q26" s="66"/>
      <c r="R26" s="66"/>
      <c r="S26" s="66"/>
      <c r="T26" s="66"/>
      <c r="U26" s="66"/>
    </row>
    <row r="27" spans="1:21" s="15" customFormat="1" ht="11.45" customHeight="1" x14ac:dyDescent="0.25">
      <c r="A27" s="11"/>
      <c r="B27" s="11"/>
      <c r="C27" s="12" t="s">
        <v>443</v>
      </c>
      <c r="D27" s="13"/>
      <c r="E27" s="13"/>
      <c r="F27" s="14"/>
      <c r="G27" s="14"/>
      <c r="H27" s="14"/>
      <c r="I27" s="53">
        <v>2045</v>
      </c>
      <c r="J27" s="66"/>
      <c r="K27" s="81"/>
      <c r="L27" s="66"/>
      <c r="M27" s="81"/>
      <c r="N27" s="66"/>
      <c r="O27" s="66"/>
      <c r="P27" s="66"/>
      <c r="Q27" s="66"/>
      <c r="R27" s="66"/>
      <c r="S27" s="66"/>
      <c r="T27" s="66"/>
      <c r="U27" s="66"/>
    </row>
    <row r="28" spans="1:21" s="15" customFormat="1" ht="11.45" customHeight="1" x14ac:dyDescent="0.25">
      <c r="A28" s="11"/>
      <c r="B28" s="11"/>
      <c r="C28" s="12" t="s">
        <v>444</v>
      </c>
      <c r="D28" s="13"/>
      <c r="E28" s="13"/>
      <c r="F28" s="14"/>
      <c r="G28" s="14"/>
      <c r="H28" s="14"/>
      <c r="I28" s="53"/>
      <c r="J28" s="66"/>
      <c r="K28" s="81"/>
      <c r="L28" s="66"/>
      <c r="M28" s="81">
        <v>1901</v>
      </c>
      <c r="N28" s="66"/>
      <c r="O28" s="66"/>
      <c r="P28" s="66"/>
      <c r="Q28" s="66"/>
      <c r="R28" s="66"/>
      <c r="S28" s="66"/>
      <c r="T28" s="66"/>
      <c r="U28" s="66"/>
    </row>
    <row r="29" spans="1:21" s="15" customFormat="1" ht="11.45" customHeight="1" x14ac:dyDescent="0.25">
      <c r="A29" s="11"/>
      <c r="B29" s="11"/>
      <c r="C29" s="12" t="s">
        <v>445</v>
      </c>
      <c r="D29" s="13"/>
      <c r="E29" s="13"/>
      <c r="F29" s="14"/>
      <c r="G29" s="14"/>
      <c r="H29" s="14"/>
      <c r="I29" s="53"/>
      <c r="J29" s="66"/>
      <c r="K29" s="81"/>
      <c r="L29" s="66"/>
      <c r="M29" s="81">
        <v>1883</v>
      </c>
      <c r="N29" s="66"/>
      <c r="O29" s="66"/>
      <c r="P29" s="66"/>
      <c r="Q29" s="66"/>
      <c r="R29" s="66"/>
      <c r="S29" s="66"/>
      <c r="T29" s="66"/>
      <c r="U29" s="66"/>
    </row>
    <row r="30" spans="1:21" s="15" customFormat="1" ht="11.45" customHeight="1" x14ac:dyDescent="0.25">
      <c r="A30" s="11"/>
      <c r="B30" s="11"/>
      <c r="C30" s="12" t="s">
        <v>446</v>
      </c>
      <c r="D30" s="13"/>
      <c r="E30" s="13"/>
      <c r="F30" s="14"/>
      <c r="G30" s="14"/>
      <c r="H30" s="14"/>
      <c r="I30" s="53"/>
      <c r="J30" s="66"/>
      <c r="K30" s="81"/>
      <c r="L30" s="66"/>
      <c r="M30" s="81">
        <v>1883</v>
      </c>
      <c r="N30" s="66"/>
      <c r="O30" s="66"/>
      <c r="P30" s="66"/>
      <c r="Q30" s="66"/>
      <c r="R30" s="66"/>
      <c r="S30" s="66"/>
      <c r="T30" s="66"/>
      <c r="U30" s="66"/>
    </row>
    <row r="31" spans="1:21" s="15" customFormat="1" ht="11.45" customHeight="1" x14ac:dyDescent="0.25">
      <c r="A31" s="11"/>
      <c r="B31" s="11"/>
      <c r="C31" s="12" t="s">
        <v>447</v>
      </c>
      <c r="D31" s="13"/>
      <c r="E31" s="13"/>
      <c r="F31" s="14"/>
      <c r="G31" s="14"/>
      <c r="H31" s="14"/>
      <c r="I31" s="53"/>
      <c r="J31" s="66"/>
      <c r="K31" s="81"/>
      <c r="L31" s="66"/>
      <c r="M31" s="81">
        <v>1730</v>
      </c>
      <c r="N31" s="66"/>
      <c r="O31" s="66"/>
      <c r="P31" s="66"/>
      <c r="Q31" s="66"/>
      <c r="R31" s="66"/>
      <c r="S31" s="66"/>
      <c r="T31" s="66"/>
      <c r="U31" s="66"/>
    </row>
    <row r="32" spans="1:21" s="15" customFormat="1" ht="11.45" customHeight="1" x14ac:dyDescent="0.25">
      <c r="A32" s="11"/>
      <c r="B32" s="11"/>
      <c r="C32" s="12" t="s">
        <v>448</v>
      </c>
      <c r="D32" s="13"/>
      <c r="E32" s="13"/>
      <c r="F32" s="14"/>
      <c r="G32" s="14"/>
      <c r="H32" s="14"/>
      <c r="I32" s="53"/>
      <c r="J32" s="66"/>
      <c r="K32" s="81"/>
      <c r="L32" s="66"/>
      <c r="M32" s="81">
        <v>1830</v>
      </c>
      <c r="N32" s="66"/>
      <c r="O32" s="66"/>
      <c r="P32" s="66"/>
      <c r="Q32" s="66"/>
      <c r="R32" s="66"/>
      <c r="S32" s="66"/>
      <c r="T32" s="66"/>
      <c r="U32" s="66"/>
    </row>
    <row r="33" spans="1:21" s="15" customFormat="1" ht="11.45" customHeight="1" x14ac:dyDescent="0.25">
      <c r="A33" s="11"/>
      <c r="B33" s="11"/>
      <c r="C33" s="12" t="s">
        <v>449</v>
      </c>
      <c r="D33" s="13"/>
      <c r="E33" s="13"/>
      <c r="F33" s="14"/>
      <c r="G33" s="14"/>
      <c r="H33" s="14"/>
      <c r="I33" s="53"/>
      <c r="J33" s="66"/>
      <c r="K33" s="81"/>
      <c r="L33" s="66"/>
      <c r="M33" s="81">
        <v>2113</v>
      </c>
      <c r="N33" s="66"/>
      <c r="O33" s="66"/>
      <c r="P33" s="66"/>
      <c r="Q33" s="66"/>
      <c r="R33" s="66"/>
      <c r="S33" s="66"/>
      <c r="T33" s="66"/>
      <c r="U33" s="66"/>
    </row>
    <row r="34" spans="1:21" s="15" customFormat="1" ht="11.45" customHeight="1" x14ac:dyDescent="0.25">
      <c r="A34" s="11"/>
      <c r="B34" s="11"/>
      <c r="C34" s="12" t="s">
        <v>450</v>
      </c>
      <c r="D34" s="13"/>
      <c r="E34" s="13"/>
      <c r="F34" s="14"/>
      <c r="G34" s="14"/>
      <c r="H34" s="14"/>
      <c r="I34" s="53"/>
      <c r="J34" s="66"/>
      <c r="K34" s="81"/>
      <c r="L34" s="66"/>
      <c r="M34" s="81">
        <v>1865</v>
      </c>
      <c r="N34" s="66"/>
      <c r="O34" s="66"/>
      <c r="P34" s="66"/>
      <c r="Q34" s="66"/>
      <c r="R34" s="66"/>
      <c r="S34" s="66"/>
      <c r="T34" s="66"/>
      <c r="U34" s="66"/>
    </row>
    <row r="35" spans="1:21" s="15" customFormat="1" ht="11.45" customHeight="1" x14ac:dyDescent="0.25">
      <c r="A35" s="11"/>
      <c r="B35" s="11"/>
      <c r="C35" s="12" t="s">
        <v>451</v>
      </c>
      <c r="D35" s="13"/>
      <c r="E35" s="13"/>
      <c r="F35" s="14"/>
      <c r="G35" s="14"/>
      <c r="H35" s="14"/>
      <c r="I35" s="53"/>
      <c r="J35" s="66"/>
      <c r="K35" s="81"/>
      <c r="L35" s="66"/>
      <c r="M35" s="81">
        <v>1541</v>
      </c>
      <c r="N35" s="66"/>
      <c r="O35" s="66"/>
      <c r="P35" s="66"/>
      <c r="Q35" s="66"/>
      <c r="R35" s="66"/>
      <c r="S35" s="66"/>
      <c r="T35" s="66"/>
      <c r="U35" s="66"/>
    </row>
    <row r="36" spans="1:21" s="15" customFormat="1" ht="11.45" customHeight="1" x14ac:dyDescent="0.25">
      <c r="A36" s="11"/>
      <c r="B36" s="11"/>
      <c r="C36" s="12" t="s">
        <v>452</v>
      </c>
      <c r="D36" s="13"/>
      <c r="E36" s="13"/>
      <c r="F36" s="14"/>
      <c r="G36" s="14"/>
      <c r="H36" s="14"/>
      <c r="I36" s="53"/>
      <c r="J36" s="66"/>
      <c r="K36" s="81"/>
      <c r="L36" s="66"/>
      <c r="M36" s="81">
        <v>1768</v>
      </c>
      <c r="N36" s="66"/>
      <c r="O36" s="66"/>
      <c r="P36" s="66"/>
      <c r="Q36" s="66"/>
      <c r="R36" s="66"/>
      <c r="S36" s="66"/>
      <c r="T36" s="66"/>
      <c r="U36" s="66"/>
    </row>
    <row r="37" spans="1:21" s="15" customFormat="1" ht="11.45" customHeight="1" x14ac:dyDescent="0.25">
      <c r="A37" s="11"/>
      <c r="B37" s="11"/>
      <c r="C37" s="12" t="s">
        <v>453</v>
      </c>
      <c r="D37" s="13"/>
      <c r="E37" s="13"/>
      <c r="F37" s="14"/>
      <c r="G37" s="14"/>
      <c r="H37" s="14"/>
      <c r="I37" s="53"/>
      <c r="J37" s="66"/>
      <c r="K37" s="81"/>
      <c r="L37" s="66"/>
      <c r="M37" s="81">
        <v>1676</v>
      </c>
      <c r="N37" s="66"/>
      <c r="O37" s="66"/>
      <c r="P37" s="66"/>
      <c r="Q37" s="66"/>
      <c r="R37" s="66"/>
      <c r="S37" s="66"/>
      <c r="T37" s="66"/>
      <c r="U37" s="66"/>
    </row>
    <row r="38" spans="1:21" s="15" customFormat="1" ht="11.45" customHeight="1" x14ac:dyDescent="0.25">
      <c r="A38" s="11"/>
      <c r="B38" s="11"/>
      <c r="C38" s="12" t="s">
        <v>454</v>
      </c>
      <c r="D38" s="13"/>
      <c r="E38" s="13"/>
      <c r="F38" s="14"/>
      <c r="G38" s="14"/>
      <c r="H38" s="14"/>
      <c r="I38" s="53"/>
      <c r="J38" s="66"/>
      <c r="K38" s="81"/>
      <c r="L38" s="66"/>
      <c r="M38" s="81">
        <v>1761</v>
      </c>
      <c r="N38" s="66"/>
      <c r="O38" s="66"/>
      <c r="P38" s="66"/>
      <c r="Q38" s="66"/>
      <c r="R38" s="66"/>
      <c r="S38" s="66"/>
      <c r="T38" s="66"/>
      <c r="U38" s="66"/>
    </row>
    <row r="39" spans="1:21" s="15" customFormat="1" ht="11.45" customHeight="1" x14ac:dyDescent="0.25">
      <c r="A39" s="11"/>
      <c r="B39" s="11"/>
      <c r="C39" s="12" t="s">
        <v>455</v>
      </c>
      <c r="D39" s="13"/>
      <c r="E39" s="13"/>
      <c r="F39" s="14"/>
      <c r="G39" s="14"/>
      <c r="H39" s="14"/>
      <c r="I39" s="53"/>
      <c r="J39" s="66"/>
      <c r="K39" s="81"/>
      <c r="L39" s="66"/>
      <c r="M39" s="81">
        <v>2875</v>
      </c>
      <c r="N39" s="66"/>
      <c r="O39" s="66"/>
      <c r="P39" s="66"/>
      <c r="Q39" s="66"/>
      <c r="R39" s="66"/>
      <c r="S39" s="66"/>
      <c r="T39" s="66"/>
      <c r="U39" s="66"/>
    </row>
    <row r="40" spans="1:21" s="15" customFormat="1" ht="11.45" customHeight="1" x14ac:dyDescent="0.25">
      <c r="A40" s="11"/>
      <c r="B40" s="11"/>
      <c r="C40" s="12" t="s">
        <v>456</v>
      </c>
      <c r="D40" s="13"/>
      <c r="E40" s="13"/>
      <c r="F40" s="14"/>
      <c r="G40" s="14"/>
      <c r="H40" s="14"/>
      <c r="I40" s="53"/>
      <c r="J40" s="66"/>
      <c r="K40" s="81"/>
      <c r="L40" s="66"/>
      <c r="M40" s="81">
        <v>3111</v>
      </c>
      <c r="N40" s="66"/>
      <c r="O40" s="66"/>
      <c r="P40" s="66"/>
      <c r="Q40" s="66"/>
      <c r="R40" s="66"/>
      <c r="S40" s="66"/>
      <c r="T40" s="66"/>
      <c r="U40" s="66"/>
    </row>
    <row r="41" spans="1:21" s="15" customFormat="1" ht="11.45" customHeight="1" x14ac:dyDescent="0.25">
      <c r="A41" s="11"/>
      <c r="B41" s="11"/>
      <c r="C41" s="12" t="s">
        <v>457</v>
      </c>
      <c r="D41" s="13"/>
      <c r="E41" s="13"/>
      <c r="F41" s="14"/>
      <c r="G41" s="14"/>
      <c r="H41" s="14"/>
      <c r="I41" s="53"/>
      <c r="J41" s="66"/>
      <c r="K41" s="81"/>
      <c r="L41" s="66"/>
      <c r="M41" s="81">
        <v>1786</v>
      </c>
      <c r="N41" s="66"/>
      <c r="O41" s="66"/>
      <c r="P41" s="66"/>
      <c r="Q41" s="66"/>
      <c r="R41" s="66"/>
      <c r="S41" s="66"/>
      <c r="T41" s="66"/>
      <c r="U41" s="66"/>
    </row>
    <row r="42" spans="1:21" s="15" customFormat="1" ht="11.45" customHeight="1" x14ac:dyDescent="0.25">
      <c r="A42" s="11"/>
      <c r="B42" s="11"/>
      <c r="C42" s="12" t="s">
        <v>458</v>
      </c>
      <c r="D42" s="13"/>
      <c r="E42" s="13"/>
      <c r="F42" s="14"/>
      <c r="G42" s="14"/>
      <c r="H42" s="14"/>
      <c r="I42" s="53"/>
      <c r="J42" s="66"/>
      <c r="K42" s="81"/>
      <c r="L42" s="66"/>
      <c r="M42" s="81">
        <v>2574</v>
      </c>
      <c r="N42" s="66"/>
      <c r="O42" s="66"/>
      <c r="P42" s="66"/>
      <c r="Q42" s="66"/>
      <c r="R42" s="66"/>
      <c r="S42" s="66"/>
      <c r="T42" s="66"/>
      <c r="U42" s="66"/>
    </row>
    <row r="43" spans="1:21" s="15" customFormat="1" ht="11.45" customHeight="1" x14ac:dyDescent="0.25">
      <c r="A43" s="11"/>
      <c r="B43" s="11"/>
      <c r="C43" s="12" t="s">
        <v>459</v>
      </c>
      <c r="D43" s="13"/>
      <c r="E43" s="13"/>
      <c r="F43" s="14"/>
      <c r="G43" s="14"/>
      <c r="H43" s="14"/>
      <c r="I43" s="53"/>
      <c r="J43" s="66"/>
      <c r="K43" s="81"/>
      <c r="L43" s="66"/>
      <c r="M43" s="81">
        <v>2484</v>
      </c>
      <c r="N43" s="66"/>
      <c r="O43" s="66"/>
      <c r="P43" s="66"/>
      <c r="Q43" s="66"/>
      <c r="R43" s="66"/>
      <c r="S43" s="66"/>
      <c r="T43" s="66"/>
      <c r="U43" s="66"/>
    </row>
    <row r="44" spans="1:21" s="15" customFormat="1" ht="11.45" customHeight="1" x14ac:dyDescent="0.25">
      <c r="A44" s="11"/>
      <c r="B44" s="11"/>
      <c r="C44" s="12" t="s">
        <v>460</v>
      </c>
      <c r="D44" s="13"/>
      <c r="E44" s="13"/>
      <c r="F44" s="14"/>
      <c r="G44" s="14"/>
      <c r="H44" s="14"/>
      <c r="I44" s="53"/>
      <c r="J44" s="66"/>
      <c r="K44" s="81"/>
      <c r="L44" s="66"/>
      <c r="M44" s="81">
        <v>0</v>
      </c>
      <c r="N44" s="66"/>
      <c r="O44" s="66"/>
      <c r="P44" s="66"/>
      <c r="Q44" s="66"/>
      <c r="R44" s="66"/>
      <c r="S44" s="66"/>
      <c r="T44" s="66"/>
      <c r="U44" s="66"/>
    </row>
    <row r="45" spans="1:21" s="15" customFormat="1" ht="11.45" customHeight="1" x14ac:dyDescent="0.25">
      <c r="A45" s="11"/>
      <c r="B45" s="11"/>
      <c r="C45" s="12" t="s">
        <v>461</v>
      </c>
      <c r="D45" s="13"/>
      <c r="E45" s="13"/>
      <c r="F45" s="14"/>
      <c r="G45" s="14"/>
      <c r="H45" s="14"/>
      <c r="I45" s="53"/>
      <c r="J45" s="66"/>
      <c r="K45" s="81"/>
      <c r="L45" s="66"/>
      <c r="M45" s="81">
        <v>1687</v>
      </c>
      <c r="N45" s="66"/>
      <c r="O45" s="66"/>
      <c r="P45" s="66"/>
      <c r="Q45" s="66"/>
      <c r="R45" s="66"/>
      <c r="S45" s="66"/>
      <c r="T45" s="66"/>
      <c r="U45" s="66"/>
    </row>
    <row r="46" spans="1:21" s="15" customFormat="1" ht="11.45" customHeight="1" x14ac:dyDescent="0.25">
      <c r="A46" s="11"/>
      <c r="B46" s="11"/>
      <c r="C46" s="12" t="s">
        <v>463</v>
      </c>
      <c r="D46" s="13"/>
      <c r="E46" s="13"/>
      <c r="F46" s="14"/>
      <c r="G46" s="14"/>
      <c r="H46" s="14"/>
      <c r="I46" s="53"/>
      <c r="J46" s="66"/>
      <c r="K46" s="81"/>
      <c r="L46" s="66"/>
      <c r="M46" s="81">
        <v>2392</v>
      </c>
      <c r="N46" s="66"/>
      <c r="O46" s="66"/>
      <c r="P46" s="66"/>
      <c r="Q46" s="66"/>
      <c r="R46" s="66"/>
      <c r="S46" s="66"/>
      <c r="T46" s="66"/>
      <c r="U46" s="66"/>
    </row>
    <row r="47" spans="1:21" s="15" customFormat="1" ht="11.45" customHeight="1" x14ac:dyDescent="0.25">
      <c r="A47" s="11"/>
      <c r="B47" s="11"/>
      <c r="C47" s="12" t="s">
        <v>464</v>
      </c>
      <c r="D47" s="13"/>
      <c r="E47" s="13"/>
      <c r="F47" s="14"/>
      <c r="G47" s="14"/>
      <c r="H47" s="14"/>
      <c r="I47" s="53"/>
      <c r="J47" s="66"/>
      <c r="K47" s="81"/>
      <c r="L47" s="66"/>
      <c r="M47" s="81">
        <v>1717</v>
      </c>
      <c r="N47" s="66"/>
      <c r="O47" s="66"/>
      <c r="P47" s="66"/>
      <c r="Q47" s="66"/>
      <c r="R47" s="66"/>
      <c r="S47" s="66"/>
      <c r="T47" s="66"/>
      <c r="U47" s="66"/>
    </row>
    <row r="48" spans="1:21" s="15" customFormat="1" ht="11.45" customHeight="1" x14ac:dyDescent="0.25">
      <c r="A48" s="11"/>
      <c r="B48" s="11"/>
      <c r="C48" s="12" t="s">
        <v>462</v>
      </c>
      <c r="D48" s="13"/>
      <c r="E48" s="13"/>
      <c r="F48" s="14"/>
      <c r="G48" s="14"/>
      <c r="H48" s="14"/>
      <c r="I48" s="53"/>
      <c r="J48" s="66"/>
      <c r="K48" s="81"/>
      <c r="L48" s="66"/>
      <c r="M48" s="81">
        <v>1797</v>
      </c>
      <c r="N48" s="66"/>
      <c r="O48" s="66"/>
      <c r="P48" s="66"/>
      <c r="Q48" s="66"/>
      <c r="R48" s="66"/>
      <c r="S48" s="66"/>
      <c r="T48" s="66"/>
      <c r="U48" s="66"/>
    </row>
    <row r="49" spans="1:21" s="15" customFormat="1" ht="11.45" customHeight="1" x14ac:dyDescent="0.25">
      <c r="A49" s="11"/>
      <c r="B49" s="11"/>
      <c r="C49" s="12" t="s">
        <v>465</v>
      </c>
      <c r="D49" s="13"/>
      <c r="E49" s="13"/>
      <c r="F49" s="14"/>
      <c r="G49" s="14"/>
      <c r="H49" s="14"/>
      <c r="I49" s="53"/>
      <c r="J49" s="66"/>
      <c r="K49" s="81"/>
      <c r="L49" s="66"/>
      <c r="M49" s="81">
        <v>1830</v>
      </c>
      <c r="N49" s="66"/>
      <c r="O49" s="66"/>
      <c r="P49" s="66"/>
      <c r="Q49" s="66"/>
      <c r="R49" s="66"/>
      <c r="S49" s="66"/>
      <c r="T49" s="66"/>
      <c r="U49" s="66"/>
    </row>
    <row r="50" spans="1:21" s="15" customFormat="1" ht="11.45" customHeight="1" x14ac:dyDescent="0.25">
      <c r="A50" s="11"/>
      <c r="B50" s="11"/>
      <c r="C50" s="12" t="s">
        <v>466</v>
      </c>
      <c r="D50" s="13"/>
      <c r="E50" s="13"/>
      <c r="F50" s="14"/>
      <c r="G50" s="14"/>
      <c r="H50" s="14"/>
      <c r="I50" s="53"/>
      <c r="J50" s="66"/>
      <c r="K50" s="81"/>
      <c r="L50" s="66"/>
      <c r="M50" s="81">
        <v>2156</v>
      </c>
      <c r="N50" s="66"/>
      <c r="O50" s="66"/>
      <c r="P50" s="66"/>
      <c r="Q50" s="66"/>
      <c r="R50" s="66"/>
      <c r="S50" s="66"/>
      <c r="T50" s="66"/>
      <c r="U50" s="66"/>
    </row>
    <row r="51" spans="1:21" s="15" customFormat="1" ht="11.45" customHeight="1" x14ac:dyDescent="0.25">
      <c r="A51" s="11"/>
      <c r="B51" s="11"/>
      <c r="C51" s="12" t="s">
        <v>467</v>
      </c>
      <c r="D51" s="13"/>
      <c r="E51" s="13"/>
      <c r="F51" s="14"/>
      <c r="G51" s="14"/>
      <c r="H51" s="14"/>
      <c r="I51" s="53"/>
      <c r="J51" s="66"/>
      <c r="K51" s="81"/>
      <c r="L51" s="66"/>
      <c r="M51" s="81">
        <v>2264</v>
      </c>
      <c r="N51" s="66"/>
      <c r="O51" s="66"/>
      <c r="P51" s="66"/>
      <c r="Q51" s="66"/>
      <c r="R51" s="66"/>
      <c r="S51" s="66"/>
      <c r="T51" s="66"/>
      <c r="U51" s="66"/>
    </row>
    <row r="52" spans="1:21" s="15" customFormat="1" ht="11.45" customHeight="1" x14ac:dyDescent="0.25">
      <c r="A52" s="11"/>
      <c r="B52" s="11"/>
      <c r="C52" s="12" t="s">
        <v>468</v>
      </c>
      <c r="D52" s="13"/>
      <c r="E52" s="13"/>
      <c r="F52" s="14"/>
      <c r="G52" s="14"/>
      <c r="H52" s="14"/>
      <c r="I52" s="53"/>
      <c r="J52" s="66"/>
      <c r="K52" s="81"/>
      <c r="L52" s="66"/>
      <c r="M52" s="81">
        <v>1888</v>
      </c>
      <c r="N52" s="66"/>
      <c r="O52" s="66"/>
      <c r="P52" s="66"/>
      <c r="Q52" s="66"/>
      <c r="R52" s="66"/>
      <c r="S52" s="66"/>
      <c r="T52" s="66"/>
      <c r="U52" s="66"/>
    </row>
    <row r="53" spans="1:21" s="15" customFormat="1" ht="11.45" customHeight="1" x14ac:dyDescent="0.25">
      <c r="A53" s="11"/>
      <c r="B53" s="11"/>
      <c r="C53" s="12" t="s">
        <v>469</v>
      </c>
      <c r="D53" s="13"/>
      <c r="E53" s="13"/>
      <c r="F53" s="14"/>
      <c r="G53" s="14"/>
      <c r="H53" s="14"/>
      <c r="I53" s="53"/>
      <c r="J53" s="66"/>
      <c r="K53" s="81"/>
      <c r="L53" s="66"/>
      <c r="M53" s="81">
        <v>3600</v>
      </c>
      <c r="N53" s="66"/>
      <c r="O53" s="66"/>
      <c r="P53" s="66"/>
      <c r="Q53" s="66"/>
      <c r="R53" s="66"/>
      <c r="S53" s="66"/>
      <c r="T53" s="66"/>
      <c r="U53" s="66"/>
    </row>
    <row r="54" spans="1:21" s="15" customFormat="1" ht="11.45" customHeight="1" x14ac:dyDescent="0.25">
      <c r="A54" s="11"/>
      <c r="B54" s="11"/>
      <c r="C54" s="12" t="s">
        <v>1163</v>
      </c>
      <c r="D54" s="13"/>
      <c r="E54" s="13"/>
      <c r="F54" s="14"/>
      <c r="G54" s="14"/>
      <c r="H54" s="14"/>
      <c r="I54" s="53"/>
      <c r="J54" s="66"/>
      <c r="K54" s="81"/>
      <c r="L54" s="66"/>
      <c r="M54" s="81">
        <f>60*3*12</f>
        <v>2160</v>
      </c>
      <c r="N54" s="66"/>
      <c r="O54" s="66"/>
      <c r="P54" s="66"/>
      <c r="Q54" s="66"/>
      <c r="R54" s="66"/>
      <c r="S54" s="66"/>
      <c r="T54" s="66"/>
      <c r="U54" s="66"/>
    </row>
    <row r="55" spans="1:21" s="3" customFormat="1" ht="12.75" customHeight="1" x14ac:dyDescent="0.25">
      <c r="A55" s="7" t="s">
        <v>7</v>
      </c>
      <c r="B55" s="7" t="s">
        <v>8</v>
      </c>
      <c r="C55" s="8" t="s">
        <v>9</v>
      </c>
      <c r="D55" s="9">
        <f t="shared" ref="D55:E57" si="0">F55+H55+J55+L55+N55+P55+R55</f>
        <v>0</v>
      </c>
      <c r="E55" s="9">
        <f t="shared" si="0"/>
        <v>0</v>
      </c>
      <c r="F55" s="10">
        <v>0</v>
      </c>
      <c r="G55" s="10">
        <v>0</v>
      </c>
      <c r="H55" s="10">
        <v>0</v>
      </c>
      <c r="I55" s="52">
        <v>0</v>
      </c>
      <c r="J55" s="65">
        <v>0</v>
      </c>
      <c r="K55" s="65">
        <v>0</v>
      </c>
      <c r="L55" s="65">
        <v>0</v>
      </c>
      <c r="M55" s="80">
        <v>0</v>
      </c>
      <c r="N55" s="65">
        <v>0</v>
      </c>
      <c r="O55" s="65">
        <v>0</v>
      </c>
      <c r="P55" s="65">
        <v>0</v>
      </c>
      <c r="Q55" s="65">
        <v>0</v>
      </c>
      <c r="R55" s="65">
        <v>0</v>
      </c>
      <c r="S55" s="65"/>
      <c r="T55" s="65"/>
      <c r="U55" s="65"/>
    </row>
    <row r="56" spans="1:21" s="3" customFormat="1" ht="12.75" customHeight="1" x14ac:dyDescent="0.25">
      <c r="A56" s="7" t="s">
        <v>10</v>
      </c>
      <c r="B56" s="7" t="s">
        <v>11</v>
      </c>
      <c r="C56" s="8" t="s">
        <v>12</v>
      </c>
      <c r="D56" s="9">
        <f t="shared" si="0"/>
        <v>0</v>
      </c>
      <c r="E56" s="9">
        <f t="shared" si="0"/>
        <v>0</v>
      </c>
      <c r="F56" s="10">
        <v>0</v>
      </c>
      <c r="G56" s="10">
        <v>0</v>
      </c>
      <c r="H56" s="10">
        <v>0</v>
      </c>
      <c r="I56" s="52">
        <v>0</v>
      </c>
      <c r="J56" s="65">
        <v>0</v>
      </c>
      <c r="K56" s="65">
        <v>0</v>
      </c>
      <c r="L56" s="65">
        <v>0</v>
      </c>
      <c r="M56" s="80">
        <v>0</v>
      </c>
      <c r="N56" s="65">
        <v>0</v>
      </c>
      <c r="O56" s="65">
        <v>0</v>
      </c>
      <c r="P56" s="65">
        <v>0</v>
      </c>
      <c r="Q56" s="65">
        <v>0</v>
      </c>
      <c r="R56" s="65">
        <v>0</v>
      </c>
      <c r="S56" s="65"/>
      <c r="T56" s="65"/>
      <c r="U56" s="65"/>
    </row>
    <row r="57" spans="1:21" s="3" customFormat="1" ht="12.75" customHeight="1" x14ac:dyDescent="0.25">
      <c r="A57" s="7" t="s">
        <v>13</v>
      </c>
      <c r="B57" s="7" t="s">
        <v>14</v>
      </c>
      <c r="C57" s="8" t="s">
        <v>15</v>
      </c>
      <c r="D57" s="9">
        <f t="shared" si="0"/>
        <v>2600</v>
      </c>
      <c r="E57" s="9">
        <f t="shared" si="0"/>
        <v>2600</v>
      </c>
      <c r="F57" s="10">
        <f>SUM(F58:F59)</f>
        <v>900</v>
      </c>
      <c r="G57" s="10">
        <f>SUM(G58:G59)</f>
        <v>1000</v>
      </c>
      <c r="H57" s="10">
        <f>SUM(H58:H59)</f>
        <v>700</v>
      </c>
      <c r="I57" s="52">
        <f t="shared" ref="I57:P57" si="1">SUM(I58:I59)</f>
        <v>700</v>
      </c>
      <c r="J57" s="52">
        <f t="shared" si="1"/>
        <v>0</v>
      </c>
      <c r="K57" s="52">
        <f t="shared" si="1"/>
        <v>0</v>
      </c>
      <c r="L57" s="52">
        <f t="shared" si="1"/>
        <v>1000</v>
      </c>
      <c r="M57" s="52">
        <f t="shared" si="1"/>
        <v>900</v>
      </c>
      <c r="N57" s="52">
        <f t="shared" si="1"/>
        <v>0</v>
      </c>
      <c r="O57" s="52">
        <f t="shared" si="1"/>
        <v>0</v>
      </c>
      <c r="P57" s="52">
        <f t="shared" si="1"/>
        <v>0</v>
      </c>
      <c r="Q57" s="65">
        <v>0</v>
      </c>
      <c r="R57" s="52">
        <f t="shared" ref="R57" si="2">SUM(R58:R59)</f>
        <v>0</v>
      </c>
      <c r="S57" s="65"/>
      <c r="T57" s="52"/>
      <c r="U57" s="65"/>
    </row>
    <row r="58" spans="1:21" s="15" customFormat="1" ht="11.45" customHeight="1" x14ac:dyDescent="0.25">
      <c r="A58" s="11"/>
      <c r="B58" s="11"/>
      <c r="C58" s="12" t="s">
        <v>16</v>
      </c>
      <c r="D58" s="13"/>
      <c r="E58" s="13"/>
      <c r="F58" s="14">
        <v>700</v>
      </c>
      <c r="G58" s="14">
        <v>700</v>
      </c>
      <c r="H58" s="14">
        <v>500</v>
      </c>
      <c r="I58" s="53">
        <v>500</v>
      </c>
      <c r="J58" s="66"/>
      <c r="K58" s="81"/>
      <c r="L58" s="66">
        <v>800</v>
      </c>
      <c r="M58" s="81">
        <v>800</v>
      </c>
      <c r="N58" s="66"/>
      <c r="O58" s="66"/>
      <c r="P58" s="66"/>
      <c r="Q58" s="66"/>
      <c r="R58" s="66"/>
      <c r="S58" s="66"/>
      <c r="T58" s="66"/>
      <c r="U58" s="66"/>
    </row>
    <row r="59" spans="1:21" s="15" customFormat="1" ht="11.45" customHeight="1" x14ac:dyDescent="0.25">
      <c r="A59" s="11"/>
      <c r="B59" s="11"/>
      <c r="C59" s="12" t="s">
        <v>17</v>
      </c>
      <c r="D59" s="13"/>
      <c r="E59" s="13"/>
      <c r="F59" s="14">
        <v>200</v>
      </c>
      <c r="G59" s="14">
        <v>300</v>
      </c>
      <c r="H59" s="14">
        <v>200</v>
      </c>
      <c r="I59" s="53">
        <v>200</v>
      </c>
      <c r="J59" s="66"/>
      <c r="K59" s="81"/>
      <c r="L59" s="66">
        <v>200</v>
      </c>
      <c r="M59" s="81">
        <v>100</v>
      </c>
      <c r="N59" s="66"/>
      <c r="O59" s="66"/>
      <c r="P59" s="66"/>
      <c r="Q59" s="66"/>
      <c r="R59" s="66"/>
      <c r="S59" s="66"/>
      <c r="T59" s="66"/>
      <c r="U59" s="66"/>
    </row>
    <row r="60" spans="1:21" s="3" customFormat="1" ht="12.75" customHeight="1" x14ac:dyDescent="0.25">
      <c r="A60" s="7" t="s">
        <v>18</v>
      </c>
      <c r="B60" s="7" t="s">
        <v>19</v>
      </c>
      <c r="C60" s="8" t="s">
        <v>20</v>
      </c>
      <c r="D60" s="9">
        <f>F60+H60+J60+L60+N60+P60+R60</f>
        <v>0</v>
      </c>
      <c r="E60" s="9">
        <f>G60+I60+K60+M60+O60+Q60+S60</f>
        <v>0</v>
      </c>
      <c r="F60" s="10">
        <v>0</v>
      </c>
      <c r="G60" s="10">
        <v>0</v>
      </c>
      <c r="H60" s="10">
        <v>0</v>
      </c>
      <c r="I60" s="52">
        <v>0</v>
      </c>
      <c r="J60" s="65">
        <v>0</v>
      </c>
      <c r="K60" s="65">
        <v>0</v>
      </c>
      <c r="L60" s="65">
        <v>0</v>
      </c>
      <c r="M60" s="80">
        <v>0</v>
      </c>
      <c r="N60" s="65">
        <v>0</v>
      </c>
      <c r="O60" s="65">
        <v>0</v>
      </c>
      <c r="P60" s="65">
        <v>0</v>
      </c>
      <c r="Q60" s="65">
        <v>0</v>
      </c>
      <c r="R60" s="65">
        <v>0</v>
      </c>
      <c r="S60" s="65"/>
      <c r="T60" s="65"/>
      <c r="U60" s="65"/>
    </row>
    <row r="61" spans="1:21" s="3" customFormat="1" ht="12.75" customHeight="1" x14ac:dyDescent="0.25">
      <c r="A61" s="7" t="s">
        <v>21</v>
      </c>
      <c r="B61" s="7" t="s">
        <v>22</v>
      </c>
      <c r="C61" s="8" t="s">
        <v>23</v>
      </c>
      <c r="D61" s="9">
        <f>F61+H61+J61+L61+N61+P61+R61</f>
        <v>4040</v>
      </c>
      <c r="E61" s="9">
        <f>G61+I61+K61+M61+O61+Q61+S61</f>
        <v>2290</v>
      </c>
      <c r="F61" s="10">
        <v>0</v>
      </c>
      <c r="G61" s="10">
        <f>SUM(G62:G64)</f>
        <v>290</v>
      </c>
      <c r="H61" s="10">
        <v>1040</v>
      </c>
      <c r="I61" s="52">
        <f>SUM(I62:I64)</f>
        <v>1000</v>
      </c>
      <c r="J61" s="65">
        <v>0</v>
      </c>
      <c r="K61" s="65">
        <v>0</v>
      </c>
      <c r="L61" s="65">
        <f>SUM(L62:L63)</f>
        <v>3000</v>
      </c>
      <c r="M61" s="65">
        <f>SUM(M62:M65)</f>
        <v>1000</v>
      </c>
      <c r="N61" s="65">
        <f>SUM(N62:N63)</f>
        <v>0</v>
      </c>
      <c r="O61" s="65">
        <v>0</v>
      </c>
      <c r="P61" s="65">
        <f>SUM(P62:P63)</f>
        <v>0</v>
      </c>
      <c r="Q61" s="65">
        <v>0</v>
      </c>
      <c r="R61" s="65">
        <f>SUM(R62:R63)</f>
        <v>0</v>
      </c>
      <c r="S61" s="65"/>
      <c r="T61" s="65"/>
      <c r="U61" s="65"/>
    </row>
    <row r="62" spans="1:21" s="3" customFormat="1" ht="12.75" customHeight="1" x14ac:dyDescent="0.25">
      <c r="A62" s="11"/>
      <c r="B62" s="11"/>
      <c r="C62" s="12" t="s">
        <v>1182</v>
      </c>
      <c r="D62" s="13"/>
      <c r="E62" s="13"/>
      <c r="F62" s="14"/>
      <c r="G62" s="14">
        <v>290</v>
      </c>
      <c r="H62" s="14"/>
      <c r="I62" s="53"/>
      <c r="J62" s="66"/>
      <c r="K62" s="81"/>
      <c r="L62" s="66">
        <v>3000</v>
      </c>
      <c r="M62" s="81"/>
      <c r="N62" s="66"/>
      <c r="O62" s="66"/>
      <c r="P62" s="66"/>
      <c r="Q62" s="66"/>
      <c r="R62" s="66"/>
      <c r="S62" s="66"/>
      <c r="T62" s="66"/>
      <c r="U62" s="66"/>
    </row>
    <row r="63" spans="1:21" s="3" customFormat="1" ht="12.75" customHeight="1" x14ac:dyDescent="0.25">
      <c r="A63" s="11"/>
      <c r="B63" s="11"/>
      <c r="C63" s="12" t="s">
        <v>420</v>
      </c>
      <c r="D63" s="13"/>
      <c r="E63" s="13"/>
      <c r="F63" s="14"/>
      <c r="G63" s="14"/>
      <c r="H63" s="14"/>
      <c r="I63" s="53">
        <v>1000</v>
      </c>
      <c r="J63" s="66"/>
      <c r="K63" s="81"/>
      <c r="L63" s="66"/>
      <c r="M63" s="81"/>
      <c r="N63" s="66"/>
      <c r="O63" s="66"/>
      <c r="P63" s="66"/>
      <c r="Q63" s="66"/>
      <c r="R63" s="66"/>
      <c r="S63" s="66"/>
      <c r="T63" s="66"/>
      <c r="U63" s="66"/>
    </row>
    <row r="64" spans="1:21" s="3" customFormat="1" ht="12.75" hidden="1" customHeight="1" x14ac:dyDescent="0.25">
      <c r="A64" s="11"/>
      <c r="B64" s="11"/>
      <c r="C64" s="12" t="s">
        <v>421</v>
      </c>
      <c r="D64" s="13"/>
      <c r="E64" s="13"/>
      <c r="F64" s="14"/>
      <c r="G64" s="14"/>
      <c r="H64" s="53"/>
      <c r="I64" s="53">
        <v>0</v>
      </c>
      <c r="J64" s="90"/>
      <c r="K64" s="81"/>
      <c r="L64" s="90"/>
      <c r="M64" s="81"/>
      <c r="N64" s="90"/>
      <c r="O64" s="66"/>
      <c r="P64" s="90"/>
      <c r="Q64" s="66"/>
      <c r="R64" s="90"/>
      <c r="S64" s="66"/>
      <c r="T64" s="90"/>
      <c r="U64" s="66"/>
    </row>
    <row r="65" spans="1:21" s="3" customFormat="1" ht="12.75" customHeight="1" x14ac:dyDescent="0.25">
      <c r="A65" s="11"/>
      <c r="B65" s="11"/>
      <c r="C65" s="12" t="s">
        <v>1183</v>
      </c>
      <c r="D65" s="13"/>
      <c r="E65" s="13"/>
      <c r="F65" s="14"/>
      <c r="G65" s="14"/>
      <c r="H65" s="53"/>
      <c r="I65" s="53"/>
      <c r="J65" s="90"/>
      <c r="K65" s="90"/>
      <c r="L65" s="90"/>
      <c r="M65" s="81">
        <v>1000</v>
      </c>
      <c r="N65" s="90"/>
      <c r="O65" s="66"/>
      <c r="P65" s="90"/>
      <c r="Q65" s="66"/>
      <c r="R65" s="90"/>
      <c r="S65" s="66"/>
      <c r="T65" s="90"/>
      <c r="U65" s="66"/>
    </row>
    <row r="66" spans="1:21" s="3" customFormat="1" ht="12.75" customHeight="1" x14ac:dyDescent="0.25">
      <c r="A66" s="7" t="s">
        <v>24</v>
      </c>
      <c r="B66" s="7" t="s">
        <v>25</v>
      </c>
      <c r="C66" s="8" t="s">
        <v>26</v>
      </c>
      <c r="D66" s="9">
        <f>F66+H66+J66+L66+N66+P66+R66</f>
        <v>3936</v>
      </c>
      <c r="E66" s="9">
        <f>G66+I66+K66+M66+O66+Q66+S66</f>
        <v>3936</v>
      </c>
      <c r="F66" s="10">
        <f>F67</f>
        <v>1056</v>
      </c>
      <c r="G66" s="10">
        <f>G67</f>
        <v>1056</v>
      </c>
      <c r="H66" s="52">
        <f t="shared" ref="H66:R66" si="3">H67</f>
        <v>576</v>
      </c>
      <c r="I66" s="52">
        <f t="shared" si="3"/>
        <v>576</v>
      </c>
      <c r="J66" s="52">
        <f t="shared" si="3"/>
        <v>0</v>
      </c>
      <c r="K66" s="52">
        <f t="shared" si="3"/>
        <v>0</v>
      </c>
      <c r="L66" s="52">
        <f t="shared" si="3"/>
        <v>2304</v>
      </c>
      <c r="M66" s="52">
        <f t="shared" si="3"/>
        <v>2304</v>
      </c>
      <c r="N66" s="52">
        <f t="shared" si="3"/>
        <v>0</v>
      </c>
      <c r="O66" s="65">
        <v>0</v>
      </c>
      <c r="P66" s="52">
        <f t="shared" si="3"/>
        <v>0</v>
      </c>
      <c r="Q66" s="65">
        <v>0</v>
      </c>
      <c r="R66" s="52">
        <f t="shared" si="3"/>
        <v>0</v>
      </c>
      <c r="S66" s="65"/>
      <c r="T66" s="52"/>
      <c r="U66" s="65"/>
    </row>
    <row r="67" spans="1:21" s="15" customFormat="1" ht="11.45" customHeight="1" x14ac:dyDescent="0.25">
      <c r="A67" s="11"/>
      <c r="B67" s="11"/>
      <c r="C67" s="12" t="s">
        <v>278</v>
      </c>
      <c r="D67" s="13"/>
      <c r="E67" s="13"/>
      <c r="F67" s="14">
        <v>1056</v>
      </c>
      <c r="G67" s="14">
        <v>1056</v>
      </c>
      <c r="H67" s="14">
        <v>576</v>
      </c>
      <c r="I67" s="53">
        <v>576</v>
      </c>
      <c r="J67" s="66"/>
      <c r="K67" s="81"/>
      <c r="L67" s="66">
        <v>2304</v>
      </c>
      <c r="M67" s="81">
        <v>2304</v>
      </c>
      <c r="N67" s="66"/>
      <c r="O67" s="66"/>
      <c r="P67" s="66"/>
      <c r="Q67" s="66"/>
      <c r="R67" s="66"/>
      <c r="S67" s="66"/>
      <c r="T67" s="66"/>
      <c r="U67" s="66"/>
    </row>
    <row r="68" spans="1:21" s="3" customFormat="1" ht="12.75" customHeight="1" x14ac:dyDescent="0.25">
      <c r="A68" s="7" t="s">
        <v>27</v>
      </c>
      <c r="B68" s="7" t="s">
        <v>28</v>
      </c>
      <c r="C68" s="8" t="s">
        <v>29</v>
      </c>
      <c r="D68" s="9">
        <f t="shared" ref="D68:E70" si="4">F68+H68+J68+L68+N68+P68+R68</f>
        <v>0</v>
      </c>
      <c r="E68" s="9">
        <f t="shared" si="4"/>
        <v>0</v>
      </c>
      <c r="F68" s="10">
        <v>0</v>
      </c>
      <c r="G68" s="10">
        <v>0</v>
      </c>
      <c r="H68" s="10">
        <v>0</v>
      </c>
      <c r="I68" s="52">
        <v>0</v>
      </c>
      <c r="J68" s="65">
        <v>0</v>
      </c>
      <c r="K68" s="80">
        <v>0</v>
      </c>
      <c r="L68" s="65">
        <v>0</v>
      </c>
      <c r="M68" s="80">
        <v>0</v>
      </c>
      <c r="N68" s="65">
        <v>0</v>
      </c>
      <c r="O68" s="65">
        <v>0</v>
      </c>
      <c r="P68" s="65">
        <v>0</v>
      </c>
      <c r="Q68" s="65">
        <v>0</v>
      </c>
      <c r="R68" s="65">
        <v>0</v>
      </c>
      <c r="S68" s="65"/>
      <c r="T68" s="65"/>
      <c r="U68" s="65"/>
    </row>
    <row r="69" spans="1:21" s="3" customFormat="1" ht="12.75" customHeight="1" x14ac:dyDescent="0.25">
      <c r="A69" s="7" t="s">
        <v>30</v>
      </c>
      <c r="B69" s="7" t="s">
        <v>31</v>
      </c>
      <c r="C69" s="8" t="s">
        <v>32</v>
      </c>
      <c r="D69" s="9">
        <f t="shared" si="4"/>
        <v>1480</v>
      </c>
      <c r="E69" s="9">
        <f t="shared" si="4"/>
        <v>1670</v>
      </c>
      <c r="F69" s="10">
        <v>600</v>
      </c>
      <c r="G69" s="10">
        <v>850</v>
      </c>
      <c r="H69" s="10">
        <v>100</v>
      </c>
      <c r="I69" s="52">
        <v>70</v>
      </c>
      <c r="J69" s="65">
        <v>0</v>
      </c>
      <c r="K69" s="80">
        <v>0</v>
      </c>
      <c r="L69" s="65">
        <v>780</v>
      </c>
      <c r="M69" s="80">
        <v>750</v>
      </c>
      <c r="N69" s="65">
        <v>0</v>
      </c>
      <c r="O69" s="65">
        <v>0</v>
      </c>
      <c r="P69" s="65">
        <v>0</v>
      </c>
      <c r="Q69" s="65">
        <v>0</v>
      </c>
      <c r="R69" s="65">
        <v>0</v>
      </c>
      <c r="S69" s="65"/>
      <c r="T69" s="65"/>
      <c r="U69" s="65"/>
    </row>
    <row r="70" spans="1:21" s="3" customFormat="1" ht="12.75" customHeight="1" x14ac:dyDescent="0.25">
      <c r="A70" s="7" t="s">
        <v>33</v>
      </c>
      <c r="B70" s="7" t="s">
        <v>34</v>
      </c>
      <c r="C70" s="8" t="s">
        <v>35</v>
      </c>
      <c r="D70" s="9">
        <f t="shared" si="4"/>
        <v>700</v>
      </c>
      <c r="E70" s="9">
        <f t="shared" si="4"/>
        <v>792</v>
      </c>
      <c r="F70" s="10">
        <v>180</v>
      </c>
      <c r="G70" s="10">
        <f>G71+G72</f>
        <v>372</v>
      </c>
      <c r="H70" s="10">
        <v>120</v>
      </c>
      <c r="I70" s="52">
        <f>I71+I72</f>
        <v>132</v>
      </c>
      <c r="J70" s="65">
        <v>0</v>
      </c>
      <c r="K70" s="80">
        <v>0</v>
      </c>
      <c r="L70" s="65">
        <v>400</v>
      </c>
      <c r="M70" s="80">
        <f>M71+M72</f>
        <v>288</v>
      </c>
      <c r="N70" s="65">
        <v>0</v>
      </c>
      <c r="O70" s="65">
        <v>0</v>
      </c>
      <c r="P70" s="65">
        <v>0</v>
      </c>
      <c r="Q70" s="65">
        <v>0</v>
      </c>
      <c r="R70" s="65">
        <v>0</v>
      </c>
      <c r="S70" s="65"/>
      <c r="T70" s="65"/>
      <c r="U70" s="65"/>
    </row>
    <row r="71" spans="1:21" s="3" customFormat="1" ht="12.75" customHeight="1" x14ac:dyDescent="0.25">
      <c r="A71" s="11"/>
      <c r="B71" s="11"/>
      <c r="C71" s="12" t="s">
        <v>422</v>
      </c>
      <c r="D71" s="13"/>
      <c r="E71" s="13"/>
      <c r="F71" s="14"/>
      <c r="G71" s="14">
        <v>240</v>
      </c>
      <c r="H71" s="14"/>
      <c r="I71" s="53">
        <v>60</v>
      </c>
      <c r="J71" s="66"/>
      <c r="K71" s="81"/>
      <c r="L71" s="66"/>
      <c r="M71" s="81"/>
      <c r="N71" s="66"/>
      <c r="O71" s="66"/>
      <c r="P71" s="66"/>
      <c r="Q71" s="66"/>
      <c r="R71" s="66"/>
      <c r="S71" s="66"/>
      <c r="T71" s="66"/>
      <c r="U71" s="66"/>
    </row>
    <row r="72" spans="1:21" s="3" customFormat="1" ht="12.75" customHeight="1" x14ac:dyDescent="0.25">
      <c r="A72" s="11"/>
      <c r="B72" s="11"/>
      <c r="C72" s="12" t="s">
        <v>1179</v>
      </c>
      <c r="D72" s="13"/>
      <c r="E72" s="13"/>
      <c r="F72" s="14"/>
      <c r="G72" s="14">
        <v>132</v>
      </c>
      <c r="H72" s="14"/>
      <c r="I72" s="53">
        <v>72</v>
      </c>
      <c r="J72" s="66"/>
      <c r="K72" s="81"/>
      <c r="L72" s="66"/>
      <c r="M72" s="81">
        <v>288</v>
      </c>
      <c r="N72" s="66"/>
      <c r="O72" s="66"/>
      <c r="P72" s="66"/>
      <c r="Q72" s="66"/>
      <c r="R72" s="66"/>
      <c r="S72" s="66"/>
      <c r="T72" s="66"/>
      <c r="U72" s="66"/>
    </row>
    <row r="73" spans="1:21" s="3" customFormat="1" ht="12.75" customHeight="1" x14ac:dyDescent="0.25">
      <c r="A73" s="7" t="s">
        <v>36</v>
      </c>
      <c r="B73" s="7" t="s">
        <v>37</v>
      </c>
      <c r="C73" s="8" t="s">
        <v>38</v>
      </c>
      <c r="D73" s="9">
        <f>F73+H73+J73+L73+N73+P73+R73</f>
        <v>0</v>
      </c>
      <c r="E73" s="9">
        <f>G73+I73+K73+M73+O73+Q73+S73</f>
        <v>0</v>
      </c>
      <c r="F73" s="10">
        <v>0</v>
      </c>
      <c r="G73" s="10">
        <v>0</v>
      </c>
      <c r="H73" s="10">
        <v>0</v>
      </c>
      <c r="I73" s="52">
        <v>0</v>
      </c>
      <c r="J73" s="65">
        <v>0</v>
      </c>
      <c r="K73" s="80">
        <v>0</v>
      </c>
      <c r="L73" s="65">
        <v>0</v>
      </c>
      <c r="M73" s="80">
        <v>0</v>
      </c>
      <c r="N73" s="65">
        <v>0</v>
      </c>
      <c r="O73" s="65">
        <v>0</v>
      </c>
      <c r="P73" s="65">
        <v>0</v>
      </c>
      <c r="Q73" s="65">
        <v>0</v>
      </c>
      <c r="R73" s="65">
        <v>0</v>
      </c>
      <c r="S73" s="65"/>
      <c r="T73" s="65"/>
      <c r="U73" s="65"/>
    </row>
    <row r="74" spans="1:21" s="3" customFormat="1" ht="12.75" customHeight="1" x14ac:dyDescent="0.25">
      <c r="A74" s="7" t="s">
        <v>39</v>
      </c>
      <c r="B74" s="7" t="s">
        <v>40</v>
      </c>
      <c r="C74" s="8" t="s">
        <v>41</v>
      </c>
      <c r="D74" s="9">
        <f>F74+H74+J74+L74+N74+P74+R74</f>
        <v>460</v>
      </c>
      <c r="E74" s="9">
        <f>G74+I74+K74+M74+O74+Q74+S74</f>
        <v>390</v>
      </c>
      <c r="F74" s="10">
        <f>F75</f>
        <v>150</v>
      </c>
      <c r="G74" s="10">
        <f t="shared" ref="G74:I74" si="5">G75</f>
        <v>130</v>
      </c>
      <c r="H74" s="10">
        <v>60</v>
      </c>
      <c r="I74" s="52">
        <f t="shared" si="5"/>
        <v>50</v>
      </c>
      <c r="J74" s="65">
        <v>0</v>
      </c>
      <c r="K74" s="80">
        <v>0</v>
      </c>
      <c r="L74" s="65">
        <v>250</v>
      </c>
      <c r="M74" s="80">
        <f>M75</f>
        <v>210</v>
      </c>
      <c r="N74" s="65">
        <v>0</v>
      </c>
      <c r="O74" s="65">
        <v>0</v>
      </c>
      <c r="P74" s="65">
        <v>0</v>
      </c>
      <c r="Q74" s="65">
        <v>0</v>
      </c>
      <c r="R74" s="65">
        <v>0</v>
      </c>
      <c r="S74" s="65"/>
      <c r="T74" s="65"/>
      <c r="U74" s="65"/>
    </row>
    <row r="75" spans="1:21" s="3" customFormat="1" ht="12.75" customHeight="1" x14ac:dyDescent="0.25">
      <c r="A75" s="11"/>
      <c r="B75" s="11"/>
      <c r="C75" s="12" t="s">
        <v>280</v>
      </c>
      <c r="D75" s="13"/>
      <c r="E75" s="13"/>
      <c r="F75" s="14">
        <v>150</v>
      </c>
      <c r="G75" s="14">
        <f>ROUND(G6*0.004,0)+1</f>
        <v>130</v>
      </c>
      <c r="H75" s="14"/>
      <c r="I75" s="14">
        <f>ROUND(I6*0.004,0)+1</f>
        <v>50</v>
      </c>
      <c r="J75" s="66"/>
      <c r="K75" s="81"/>
      <c r="L75" s="66"/>
      <c r="M75" s="14">
        <f>ROUND(M6*0.004,0)</f>
        <v>210</v>
      </c>
      <c r="N75" s="66"/>
      <c r="O75" s="66"/>
      <c r="P75" s="66"/>
      <c r="Q75" s="66"/>
      <c r="R75" s="66"/>
      <c r="S75" s="66"/>
      <c r="T75" s="66"/>
      <c r="U75" s="66"/>
    </row>
    <row r="76" spans="1:21" s="3" customFormat="1" ht="12.75" customHeight="1" x14ac:dyDescent="0.25">
      <c r="A76" s="7" t="s">
        <v>42</v>
      </c>
      <c r="B76" s="7" t="s">
        <v>43</v>
      </c>
      <c r="C76" s="8" t="s">
        <v>44</v>
      </c>
      <c r="D76" s="9">
        <f>F76+H76+J76+L76+N76+P76+R76</f>
        <v>500</v>
      </c>
      <c r="E76" s="9">
        <f>G76+I76+K76+M76+O76+Q76+S76</f>
        <v>3413</v>
      </c>
      <c r="F76" s="10">
        <v>200</v>
      </c>
      <c r="G76" s="10">
        <f>G77+G78</f>
        <v>1164</v>
      </c>
      <c r="H76" s="10">
        <v>0</v>
      </c>
      <c r="I76" s="52">
        <f>I77+I78</f>
        <v>371</v>
      </c>
      <c r="J76" s="65">
        <v>0</v>
      </c>
      <c r="K76" s="80">
        <v>0</v>
      </c>
      <c r="L76" s="65">
        <v>300</v>
      </c>
      <c r="M76" s="52">
        <f>M77+M78</f>
        <v>1878</v>
      </c>
      <c r="N76" s="65">
        <v>0</v>
      </c>
      <c r="O76" s="65">
        <v>0</v>
      </c>
      <c r="P76" s="65">
        <v>0</v>
      </c>
      <c r="Q76" s="65">
        <v>0</v>
      </c>
      <c r="R76" s="65">
        <v>0</v>
      </c>
      <c r="S76" s="65"/>
      <c r="T76" s="65"/>
      <c r="U76" s="65"/>
    </row>
    <row r="77" spans="1:21" s="15" customFormat="1" ht="11.45" customHeight="1" x14ac:dyDescent="0.25">
      <c r="A77" s="11"/>
      <c r="B77" s="11"/>
      <c r="C77" s="12" t="s">
        <v>411</v>
      </c>
      <c r="D77" s="13"/>
      <c r="E77" s="13"/>
      <c r="F77" s="14"/>
      <c r="G77" s="14">
        <v>200</v>
      </c>
      <c r="H77" s="14"/>
      <c r="I77" s="53"/>
      <c r="J77" s="66"/>
      <c r="K77" s="81"/>
      <c r="L77" s="66"/>
      <c r="M77" s="81">
        <v>300</v>
      </c>
      <c r="N77" s="66"/>
      <c r="O77" s="66"/>
      <c r="P77" s="66"/>
      <c r="Q77" s="66"/>
      <c r="R77" s="66"/>
      <c r="S77" s="66"/>
      <c r="T77" s="66"/>
      <c r="U77" s="66"/>
    </row>
    <row r="78" spans="1:21" s="15" customFormat="1" ht="11.45" customHeight="1" x14ac:dyDescent="0.25">
      <c r="A78" s="11"/>
      <c r="B78" s="11"/>
      <c r="C78" s="12" t="s">
        <v>1181</v>
      </c>
      <c r="D78" s="13"/>
      <c r="E78" s="13"/>
      <c r="F78" s="14"/>
      <c r="G78" s="14">
        <f>ROUND(G6*0.03,0)</f>
        <v>964</v>
      </c>
      <c r="H78" s="14"/>
      <c r="I78" s="14">
        <f>ROUND(I6*0.03,0)</f>
        <v>371</v>
      </c>
      <c r="J78" s="90"/>
      <c r="K78" s="90"/>
      <c r="L78" s="90"/>
      <c r="M78" s="14">
        <f>ROUND(M6*0.03,0)</f>
        <v>1578</v>
      </c>
      <c r="N78" s="90"/>
      <c r="O78" s="90"/>
      <c r="P78" s="90"/>
      <c r="Q78" s="90"/>
      <c r="R78" s="90"/>
      <c r="S78" s="66"/>
      <c r="T78" s="90"/>
      <c r="U78" s="66"/>
    </row>
    <row r="79" spans="1:21" s="3" customFormat="1" ht="12.75" customHeight="1" x14ac:dyDescent="0.25">
      <c r="A79" s="16" t="s">
        <v>45</v>
      </c>
      <c r="B79" s="16" t="s">
        <v>46</v>
      </c>
      <c r="C79" s="17" t="s">
        <v>47</v>
      </c>
      <c r="D79" s="18">
        <f t="shared" ref="D79:Q79" si="6">D6+D55+D56+D57+D60+D61+D66+D68+D69+D70+D73+D74+D76</f>
        <v>99017</v>
      </c>
      <c r="E79" s="18">
        <f t="shared" si="6"/>
        <v>112162</v>
      </c>
      <c r="F79" s="18">
        <f t="shared" si="6"/>
        <v>31096</v>
      </c>
      <c r="G79" s="18">
        <f t="shared" si="6"/>
        <v>36998</v>
      </c>
      <c r="H79" s="18">
        <f t="shared" si="6"/>
        <v>13898</v>
      </c>
      <c r="I79" s="54">
        <f t="shared" si="6"/>
        <v>15249</v>
      </c>
      <c r="J79" s="54">
        <f t="shared" si="6"/>
        <v>0</v>
      </c>
      <c r="K79" s="54">
        <f t="shared" si="6"/>
        <v>0</v>
      </c>
      <c r="L79" s="54">
        <f t="shared" si="6"/>
        <v>54023</v>
      </c>
      <c r="M79" s="54">
        <f t="shared" si="6"/>
        <v>59915</v>
      </c>
      <c r="N79" s="54">
        <f t="shared" si="6"/>
        <v>0</v>
      </c>
      <c r="O79" s="54">
        <f t="shared" si="6"/>
        <v>0</v>
      </c>
      <c r="P79" s="54">
        <f t="shared" si="6"/>
        <v>0</v>
      </c>
      <c r="Q79" s="54">
        <f t="shared" si="6"/>
        <v>0</v>
      </c>
      <c r="R79" s="54">
        <f>R6+R55+R56+R57+R60+R61+R66+R68+R69+R70+R73+R74+R76</f>
        <v>0</v>
      </c>
      <c r="S79" s="67"/>
      <c r="T79" s="54"/>
      <c r="U79" s="67"/>
    </row>
    <row r="80" spans="1:21" s="3" customFormat="1" ht="12.75" customHeight="1" x14ac:dyDescent="0.25">
      <c r="A80" s="7" t="s">
        <v>48</v>
      </c>
      <c r="B80" s="7" t="s">
        <v>49</v>
      </c>
      <c r="C80" s="8" t="s">
        <v>50</v>
      </c>
      <c r="D80" s="9">
        <f>F80+H80+J80+L80+N80+P80+R80</f>
        <v>0</v>
      </c>
      <c r="E80" s="9">
        <f>G80+I80+K80+M80+O80+Q80+S80</f>
        <v>0</v>
      </c>
      <c r="F80" s="10">
        <v>0</v>
      </c>
      <c r="G80" s="10">
        <v>0</v>
      </c>
      <c r="H80" s="10">
        <v>0</v>
      </c>
      <c r="I80" s="52">
        <v>0</v>
      </c>
      <c r="J80" s="65">
        <v>0</v>
      </c>
      <c r="K80" s="80">
        <v>0</v>
      </c>
      <c r="L80" s="65">
        <v>0</v>
      </c>
      <c r="M80" s="80">
        <v>0</v>
      </c>
      <c r="N80" s="65">
        <v>0</v>
      </c>
      <c r="O80" s="65">
        <v>0</v>
      </c>
      <c r="P80" s="65">
        <v>0</v>
      </c>
      <c r="Q80" s="65">
        <v>0</v>
      </c>
      <c r="R80" s="65">
        <v>0</v>
      </c>
      <c r="S80" s="65"/>
      <c r="T80" s="65"/>
      <c r="U80" s="65"/>
    </row>
    <row r="81" spans="1:21" s="3" customFormat="1" ht="12.75" customHeight="1" x14ac:dyDescent="0.25">
      <c r="A81" s="7" t="s">
        <v>51</v>
      </c>
      <c r="B81" s="7" t="s">
        <v>52</v>
      </c>
      <c r="C81" s="8" t="s">
        <v>53</v>
      </c>
      <c r="D81" s="9">
        <f>F81+H81+J81+L81+N81+P81+R81</f>
        <v>6576</v>
      </c>
      <c r="E81" s="9">
        <f>G81+I81+K81+M81+O81+Q81+S81</f>
        <v>6000</v>
      </c>
      <c r="F81" s="10">
        <f>F82</f>
        <v>5000</v>
      </c>
      <c r="G81" s="10">
        <f t="shared" ref="G81:I81" si="7">G82</f>
        <v>5000</v>
      </c>
      <c r="H81" s="10">
        <f t="shared" si="7"/>
        <v>0</v>
      </c>
      <c r="I81" s="52">
        <f t="shared" si="7"/>
        <v>0</v>
      </c>
      <c r="J81" s="65">
        <v>0</v>
      </c>
      <c r="K81" s="80">
        <v>0</v>
      </c>
      <c r="L81" s="65">
        <f>L82</f>
        <v>1576</v>
      </c>
      <c r="M81" s="65">
        <f>M82</f>
        <v>1000</v>
      </c>
      <c r="N81" s="65">
        <f>N82</f>
        <v>0</v>
      </c>
      <c r="O81" s="65">
        <v>0</v>
      </c>
      <c r="P81" s="65">
        <f>P82</f>
        <v>0</v>
      </c>
      <c r="Q81" s="65">
        <v>0</v>
      </c>
      <c r="R81" s="65">
        <f>R82</f>
        <v>0</v>
      </c>
      <c r="S81" s="65"/>
      <c r="T81" s="65"/>
      <c r="U81" s="65"/>
    </row>
    <row r="82" spans="1:21" s="15" customFormat="1" ht="11.45" customHeight="1" x14ac:dyDescent="0.25">
      <c r="A82" s="11"/>
      <c r="B82" s="11"/>
      <c r="C82" s="12" t="s">
        <v>282</v>
      </c>
      <c r="D82" s="13"/>
      <c r="E82" s="13"/>
      <c r="F82" s="14">
        <v>5000</v>
      </c>
      <c r="G82" s="14">
        <v>5000</v>
      </c>
      <c r="H82" s="14"/>
      <c r="I82" s="53"/>
      <c r="J82" s="66"/>
      <c r="K82" s="81"/>
      <c r="L82" s="66">
        <v>1576</v>
      </c>
      <c r="M82" s="81">
        <v>1000</v>
      </c>
      <c r="N82" s="66"/>
      <c r="O82" s="66"/>
      <c r="P82" s="66"/>
      <c r="Q82" s="66"/>
      <c r="R82" s="66"/>
      <c r="S82" s="66"/>
      <c r="T82" s="66"/>
      <c r="U82" s="66"/>
    </row>
    <row r="83" spans="1:21" s="3" customFormat="1" ht="12.75" customHeight="1" x14ac:dyDescent="0.25">
      <c r="A83" s="7" t="s">
        <v>54</v>
      </c>
      <c r="B83" s="7" t="s">
        <v>55</v>
      </c>
      <c r="C83" s="8" t="s">
        <v>285</v>
      </c>
      <c r="D83" s="9">
        <f>F83+H83+J83+L83+N83+P83+R83</f>
        <v>190</v>
      </c>
      <c r="E83" s="9">
        <f>G83+I83+K83+M83+O83+Q83+S83</f>
        <v>0</v>
      </c>
      <c r="F83" s="10">
        <f>F84</f>
        <v>150</v>
      </c>
      <c r="G83" s="10">
        <f t="shared" ref="G83:I83" si="8">G84</f>
        <v>0</v>
      </c>
      <c r="H83" s="10">
        <f t="shared" si="8"/>
        <v>20</v>
      </c>
      <c r="I83" s="52">
        <f t="shared" si="8"/>
        <v>0</v>
      </c>
      <c r="J83" s="65">
        <v>0</v>
      </c>
      <c r="K83" s="80">
        <v>0</v>
      </c>
      <c r="L83" s="65">
        <f>L84</f>
        <v>20</v>
      </c>
      <c r="M83" s="65">
        <f>M84</f>
        <v>0</v>
      </c>
      <c r="N83" s="65">
        <f>N84</f>
        <v>0</v>
      </c>
      <c r="O83" s="65">
        <v>0</v>
      </c>
      <c r="P83" s="65">
        <f>P84</f>
        <v>0</v>
      </c>
      <c r="Q83" s="65">
        <f>Q84</f>
        <v>0</v>
      </c>
      <c r="R83" s="65">
        <f>R84</f>
        <v>0</v>
      </c>
      <c r="S83" s="65"/>
      <c r="T83" s="65"/>
      <c r="U83" s="65"/>
    </row>
    <row r="84" spans="1:21" s="15" customFormat="1" ht="11.45" customHeight="1" x14ac:dyDescent="0.25">
      <c r="A84" s="11"/>
      <c r="B84" s="11"/>
      <c r="C84" s="12" t="s">
        <v>283</v>
      </c>
      <c r="D84" s="13"/>
      <c r="E84" s="13"/>
      <c r="F84" s="14">
        <v>150</v>
      </c>
      <c r="G84" s="14">
        <v>0</v>
      </c>
      <c r="H84" s="14">
        <v>20</v>
      </c>
      <c r="I84" s="53"/>
      <c r="J84" s="66"/>
      <c r="K84" s="81"/>
      <c r="L84" s="66">
        <v>20</v>
      </c>
      <c r="M84" s="81">
        <v>0</v>
      </c>
      <c r="N84" s="66"/>
      <c r="O84" s="66"/>
      <c r="P84" s="66"/>
      <c r="Q84" s="66"/>
      <c r="R84" s="66"/>
      <c r="S84" s="66"/>
      <c r="T84" s="66"/>
      <c r="U84" s="66"/>
    </row>
    <row r="85" spans="1:21" s="3" customFormat="1" ht="12.75" customHeight="1" x14ac:dyDescent="0.25">
      <c r="A85" s="16" t="s">
        <v>56</v>
      </c>
      <c r="B85" s="16" t="s">
        <v>57</v>
      </c>
      <c r="C85" s="17" t="s">
        <v>58</v>
      </c>
      <c r="D85" s="18">
        <f>D80+D81+D83</f>
        <v>6766</v>
      </c>
      <c r="E85" s="18">
        <f t="shared" ref="E85:Q85" si="9">E80+E81+E83</f>
        <v>6000</v>
      </c>
      <c r="F85" s="18">
        <f t="shared" si="9"/>
        <v>5150</v>
      </c>
      <c r="G85" s="18">
        <f t="shared" si="9"/>
        <v>5000</v>
      </c>
      <c r="H85" s="18">
        <f t="shared" si="9"/>
        <v>20</v>
      </c>
      <c r="I85" s="54">
        <f t="shared" si="9"/>
        <v>0</v>
      </c>
      <c r="J85" s="54">
        <f t="shared" si="9"/>
        <v>0</v>
      </c>
      <c r="K85" s="54">
        <f t="shared" si="9"/>
        <v>0</v>
      </c>
      <c r="L85" s="54">
        <f t="shared" si="9"/>
        <v>1596</v>
      </c>
      <c r="M85" s="54">
        <f t="shared" si="9"/>
        <v>1000</v>
      </c>
      <c r="N85" s="54">
        <f t="shared" si="9"/>
        <v>0</v>
      </c>
      <c r="O85" s="54">
        <f t="shared" si="9"/>
        <v>0</v>
      </c>
      <c r="P85" s="54">
        <f t="shared" si="9"/>
        <v>0</v>
      </c>
      <c r="Q85" s="54">
        <f t="shared" si="9"/>
        <v>0</v>
      </c>
      <c r="R85" s="54">
        <f t="shared" ref="R85" si="10">R80+R81+R83</f>
        <v>0</v>
      </c>
      <c r="S85" s="67"/>
      <c r="T85" s="54"/>
      <c r="U85" s="67"/>
    </row>
    <row r="86" spans="1:21" s="3" customFormat="1" ht="12.75" customHeight="1" x14ac:dyDescent="0.25">
      <c r="A86" s="20" t="s">
        <v>59</v>
      </c>
      <c r="B86" s="20" t="s">
        <v>60</v>
      </c>
      <c r="C86" s="21" t="s">
        <v>286</v>
      </c>
      <c r="D86" s="22">
        <f>D79+D85</f>
        <v>105783</v>
      </c>
      <c r="E86" s="22">
        <f t="shared" ref="E86:Q86" si="11">E79+E85</f>
        <v>118162</v>
      </c>
      <c r="F86" s="22">
        <f t="shared" si="11"/>
        <v>36246</v>
      </c>
      <c r="G86" s="22">
        <f t="shared" si="11"/>
        <v>41998</v>
      </c>
      <c r="H86" s="22">
        <f t="shared" si="11"/>
        <v>13918</v>
      </c>
      <c r="I86" s="55">
        <f t="shared" si="11"/>
        <v>15249</v>
      </c>
      <c r="J86" s="55">
        <f t="shared" si="11"/>
        <v>0</v>
      </c>
      <c r="K86" s="55">
        <f t="shared" si="11"/>
        <v>0</v>
      </c>
      <c r="L86" s="55">
        <f t="shared" si="11"/>
        <v>55619</v>
      </c>
      <c r="M86" s="55">
        <f t="shared" si="11"/>
        <v>60915</v>
      </c>
      <c r="N86" s="55">
        <f t="shared" si="11"/>
        <v>0</v>
      </c>
      <c r="O86" s="55">
        <f t="shared" si="11"/>
        <v>0</v>
      </c>
      <c r="P86" s="55">
        <f t="shared" si="11"/>
        <v>0</v>
      </c>
      <c r="Q86" s="55">
        <f t="shared" si="11"/>
        <v>0</v>
      </c>
      <c r="R86" s="55">
        <f t="shared" ref="R86" si="12">R79+R85</f>
        <v>0</v>
      </c>
      <c r="S86" s="68"/>
      <c r="T86" s="55"/>
      <c r="U86" s="68"/>
    </row>
    <row r="87" spans="1:21" s="15" customFormat="1" ht="11.45" customHeight="1" x14ac:dyDescent="0.25">
      <c r="A87" s="11"/>
      <c r="B87" s="11"/>
      <c r="C87" s="12" t="s">
        <v>284</v>
      </c>
      <c r="D87" s="13">
        <f>H87+F87+L87+N87+P87+R87+J87</f>
        <v>26651</v>
      </c>
      <c r="E87" s="13">
        <f>I87+G87+M87+O87+Q87+S87+K87</f>
        <v>30063</v>
      </c>
      <c r="F87" s="13">
        <v>9196</v>
      </c>
      <c r="G87" s="13">
        <f>ROUND((G6+G55+G56+G57+G60+G61+G74+G76+G81)*0.27,0)</f>
        <v>10724</v>
      </c>
      <c r="H87" s="13">
        <f>ROUND((H6+H55+H56+H57+H60+H61+H81+H83)*0.27,0)</f>
        <v>3527</v>
      </c>
      <c r="I87" s="56">
        <f>ROUND((I6+I55+I56+I57+I60+I61+I81)*0.27,0)</f>
        <v>3794</v>
      </c>
      <c r="J87" s="69"/>
      <c r="K87" s="56">
        <f>ROUND((K6+K55+K56+K57+K60+K61+K81)*0.27,0)</f>
        <v>0</v>
      </c>
      <c r="L87" s="69">
        <v>13928</v>
      </c>
      <c r="M87" s="13">
        <f>ROUND((M6+M55+M56+M57+M60+M61+M74+M76+M81)*0.27,0)</f>
        <v>15545</v>
      </c>
      <c r="N87" s="69"/>
      <c r="O87" s="69"/>
      <c r="P87" s="69"/>
      <c r="Q87" s="69"/>
      <c r="R87" s="69"/>
      <c r="S87" s="69"/>
      <c r="T87" s="69"/>
      <c r="U87" s="69"/>
    </row>
    <row r="88" spans="1:21" s="15" customFormat="1" ht="11.45" customHeight="1" x14ac:dyDescent="0.25">
      <c r="A88" s="11"/>
      <c r="B88" s="11"/>
      <c r="C88" s="12" t="s">
        <v>61</v>
      </c>
      <c r="D88" s="13">
        <f t="shared" ref="D88:E90" si="13">H88+F88+L88+N88+P88+R88+J88</f>
        <v>716</v>
      </c>
      <c r="E88" s="13">
        <f t="shared" si="13"/>
        <v>656</v>
      </c>
      <c r="F88" s="14">
        <v>224</v>
      </c>
      <c r="G88" s="13">
        <f>ROUND(G66*1.19*0.14+(G83)*1.19*0.27,0)</f>
        <v>176</v>
      </c>
      <c r="H88" s="14">
        <v>102</v>
      </c>
      <c r="I88" s="13">
        <f>ROUND(I66*1.19*0.14+(I83)*1.19*0.27,0)</f>
        <v>96</v>
      </c>
      <c r="J88" s="66"/>
      <c r="K88" s="13">
        <f>ROUND(K66*1.19*0.14+(K83)*1.19*0.27,0)</f>
        <v>0</v>
      </c>
      <c r="L88" s="66">
        <v>390</v>
      </c>
      <c r="M88" s="13">
        <f>ROUND(M66*1.19*0.14+(M83)*1.19*0.27,0)</f>
        <v>384</v>
      </c>
      <c r="N88" s="66"/>
      <c r="O88" s="66"/>
      <c r="P88" s="66"/>
      <c r="Q88" s="66"/>
      <c r="R88" s="66"/>
      <c r="S88" s="66"/>
      <c r="T88" s="66"/>
      <c r="U88" s="66"/>
    </row>
    <row r="89" spans="1:21" s="15" customFormat="1" ht="11.45" customHeight="1" x14ac:dyDescent="0.25">
      <c r="A89" s="11"/>
      <c r="B89" s="11"/>
      <c r="C89" s="12" t="s">
        <v>62</v>
      </c>
      <c r="D89" s="13">
        <f t="shared" si="13"/>
        <v>2000</v>
      </c>
      <c r="E89" s="13">
        <f t="shared" si="13"/>
        <v>2000</v>
      </c>
      <c r="F89" s="14">
        <v>2000</v>
      </c>
      <c r="G89" s="14">
        <v>2000</v>
      </c>
      <c r="H89" s="14"/>
      <c r="I89" s="53"/>
      <c r="J89" s="66"/>
      <c r="K89" s="81"/>
      <c r="L89" s="66">
        <v>0</v>
      </c>
      <c r="M89" s="81">
        <v>0</v>
      </c>
      <c r="N89" s="66"/>
      <c r="O89" s="66"/>
      <c r="P89" s="66"/>
      <c r="Q89" s="66"/>
      <c r="R89" s="66"/>
      <c r="S89" s="66"/>
      <c r="T89" s="66"/>
      <c r="U89" s="66"/>
    </row>
    <row r="90" spans="1:21" s="15" customFormat="1" ht="11.45" customHeight="1" x14ac:dyDescent="0.25">
      <c r="A90" s="11"/>
      <c r="B90" s="11"/>
      <c r="C90" s="12" t="s">
        <v>63</v>
      </c>
      <c r="D90" s="13">
        <f t="shared" si="13"/>
        <v>785</v>
      </c>
      <c r="E90" s="13">
        <f t="shared" si="13"/>
        <v>750</v>
      </c>
      <c r="F90" s="14">
        <v>230</v>
      </c>
      <c r="G90" s="14">
        <f>ROUND((G84+G67)*1.19*0.16,0)</f>
        <v>201</v>
      </c>
      <c r="H90" s="14">
        <v>113</v>
      </c>
      <c r="I90" s="14">
        <f>ROUND((I84+I67)*1.19*0.16,0)</f>
        <v>110</v>
      </c>
      <c r="J90" s="66"/>
      <c r="K90" s="14">
        <f>ROUND((K84+K67)*1.19*0.16,0)</f>
        <v>0</v>
      </c>
      <c r="L90" s="66">
        <v>442</v>
      </c>
      <c r="M90" s="14">
        <f>ROUND((M84+M67)*1.19*0.16,0)</f>
        <v>439</v>
      </c>
      <c r="N90" s="66"/>
      <c r="O90" s="66"/>
      <c r="P90" s="66"/>
      <c r="Q90" s="66"/>
      <c r="R90" s="66"/>
      <c r="S90" s="66"/>
      <c r="T90" s="66"/>
      <c r="U90" s="66"/>
    </row>
    <row r="91" spans="1:21" s="3" customFormat="1" ht="12.75" customHeight="1" x14ac:dyDescent="0.25">
      <c r="A91" s="20" t="s">
        <v>64</v>
      </c>
      <c r="B91" s="20" t="s">
        <v>65</v>
      </c>
      <c r="C91" s="21" t="s">
        <v>287</v>
      </c>
      <c r="D91" s="22">
        <f>D87+D88+D89+D90</f>
        <v>30152</v>
      </c>
      <c r="E91" s="22">
        <f t="shared" ref="E91:Q91" si="14">E87+E88+E89+E90</f>
        <v>33469</v>
      </c>
      <c r="F91" s="22">
        <f t="shared" si="14"/>
        <v>11650</v>
      </c>
      <c r="G91" s="22">
        <f t="shared" si="14"/>
        <v>13101</v>
      </c>
      <c r="H91" s="22">
        <f t="shared" si="14"/>
        <v>3742</v>
      </c>
      <c r="I91" s="55">
        <f t="shared" si="14"/>
        <v>4000</v>
      </c>
      <c r="J91" s="55">
        <f t="shared" si="14"/>
        <v>0</v>
      </c>
      <c r="K91" s="55">
        <f t="shared" si="14"/>
        <v>0</v>
      </c>
      <c r="L91" s="22">
        <f t="shared" si="14"/>
        <v>14760</v>
      </c>
      <c r="M91" s="22">
        <f t="shared" si="14"/>
        <v>16368</v>
      </c>
      <c r="N91" s="22">
        <f t="shared" si="14"/>
        <v>0</v>
      </c>
      <c r="O91" s="22">
        <f t="shared" si="14"/>
        <v>0</v>
      </c>
      <c r="P91" s="22">
        <f t="shared" si="14"/>
        <v>0</v>
      </c>
      <c r="Q91" s="22">
        <f t="shared" si="14"/>
        <v>0</v>
      </c>
      <c r="R91" s="22">
        <f t="shared" ref="R91" si="15">R87+R88+R89+R90</f>
        <v>0</v>
      </c>
      <c r="S91" s="68"/>
      <c r="T91" s="22"/>
      <c r="U91" s="68"/>
    </row>
    <row r="92" spans="1:21" s="3" customFormat="1" ht="14.1" customHeight="1" x14ac:dyDescent="0.25">
      <c r="A92" s="1002" t="s">
        <v>66</v>
      </c>
      <c r="B92" s="1003"/>
      <c r="C92" s="1004"/>
      <c r="D92" s="86">
        <f>D86+D91</f>
        <v>135935</v>
      </c>
      <c r="E92" s="86">
        <f t="shared" ref="E92:Q92" si="16">E86+E91</f>
        <v>151631</v>
      </c>
      <c r="F92" s="86">
        <f t="shared" si="16"/>
        <v>47896</v>
      </c>
      <c r="G92" s="86">
        <f t="shared" si="16"/>
        <v>55099</v>
      </c>
      <c r="H92" s="86">
        <f t="shared" si="16"/>
        <v>17660</v>
      </c>
      <c r="I92" s="87">
        <f t="shared" si="16"/>
        <v>19249</v>
      </c>
      <c r="J92" s="87">
        <f t="shared" si="16"/>
        <v>0</v>
      </c>
      <c r="K92" s="87">
        <f t="shared" si="16"/>
        <v>0</v>
      </c>
      <c r="L92" s="86">
        <f t="shared" si="16"/>
        <v>70379</v>
      </c>
      <c r="M92" s="86">
        <f t="shared" si="16"/>
        <v>77283</v>
      </c>
      <c r="N92" s="86">
        <f t="shared" si="16"/>
        <v>0</v>
      </c>
      <c r="O92" s="86">
        <f t="shared" si="16"/>
        <v>0</v>
      </c>
      <c r="P92" s="86">
        <f t="shared" si="16"/>
        <v>0</v>
      </c>
      <c r="Q92" s="86">
        <f t="shared" si="16"/>
        <v>0</v>
      </c>
      <c r="R92" s="86">
        <f t="shared" ref="R92" si="17">R86+R91</f>
        <v>0</v>
      </c>
      <c r="S92" s="88"/>
      <c r="T92" s="86"/>
      <c r="U92" s="88"/>
    </row>
    <row r="93" spans="1:21" s="3" customFormat="1" ht="14.1" customHeight="1" x14ac:dyDescent="0.2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</row>
    <row r="94" spans="1:21" s="3" customFormat="1" ht="14.1" customHeight="1" x14ac:dyDescent="0.2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</row>
    <row r="95" spans="1:21" s="3" customFormat="1" ht="14.1" customHeight="1" x14ac:dyDescent="0.2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</row>
    <row r="96" spans="1:21" s="1" customFormat="1" ht="12.75" customHeight="1" x14ac:dyDescent="0.25">
      <c r="A96" s="957" t="s">
        <v>412</v>
      </c>
      <c r="B96" s="957"/>
      <c r="C96" s="957"/>
      <c r="D96" s="957"/>
      <c r="E96" s="957"/>
      <c r="F96" s="957"/>
      <c r="G96" s="957"/>
      <c r="H96" s="957"/>
      <c r="I96" s="957"/>
      <c r="J96" s="957"/>
      <c r="K96" s="957"/>
      <c r="L96" s="957" t="s">
        <v>412</v>
      </c>
      <c r="M96" s="957"/>
      <c r="N96" s="957"/>
      <c r="O96" s="957"/>
      <c r="P96" s="957"/>
      <c r="Q96" s="957"/>
      <c r="R96" s="957"/>
      <c r="S96" s="957"/>
      <c r="T96" s="957"/>
      <c r="U96" s="957"/>
    </row>
    <row r="97" spans="1:21" s="1" customFormat="1" ht="14.1" customHeight="1" x14ac:dyDescent="0.25">
      <c r="A97" s="995" t="s">
        <v>0</v>
      </c>
      <c r="B97" s="996" t="s">
        <v>1</v>
      </c>
      <c r="C97" s="995" t="s">
        <v>2</v>
      </c>
      <c r="D97" s="953" t="s">
        <v>260</v>
      </c>
      <c r="E97" s="992" t="s">
        <v>259</v>
      </c>
      <c r="F97" s="993" t="s">
        <v>413</v>
      </c>
      <c r="G97" s="994"/>
      <c r="H97" s="993" t="s">
        <v>414</v>
      </c>
      <c r="I97" s="997"/>
      <c r="J97" s="990" t="s">
        <v>415</v>
      </c>
      <c r="K97" s="991"/>
      <c r="L97" s="990" t="s">
        <v>416</v>
      </c>
      <c r="M97" s="991"/>
      <c r="N97" s="990" t="s">
        <v>417</v>
      </c>
      <c r="O97" s="1000"/>
      <c r="P97" s="998" t="s">
        <v>418</v>
      </c>
      <c r="Q97" s="999"/>
      <c r="R97" s="998" t="s">
        <v>419</v>
      </c>
      <c r="S97" s="999"/>
      <c r="T97" s="998"/>
      <c r="U97" s="999"/>
    </row>
    <row r="98" spans="1:21" s="3" customFormat="1" ht="33" customHeight="1" x14ac:dyDescent="0.25">
      <c r="A98" s="957"/>
      <c r="B98" s="961"/>
      <c r="C98" s="957"/>
      <c r="D98" s="962"/>
      <c r="E98" s="953"/>
      <c r="F98" s="50" t="s">
        <v>260</v>
      </c>
      <c r="G98" s="50" t="s">
        <v>259</v>
      </c>
      <c r="H98" s="50" t="s">
        <v>260</v>
      </c>
      <c r="I98" s="49" t="s">
        <v>259</v>
      </c>
      <c r="J98" s="50" t="s">
        <v>260</v>
      </c>
      <c r="K98" s="49" t="s">
        <v>259</v>
      </c>
      <c r="L98" s="62" t="s">
        <v>260</v>
      </c>
      <c r="M98" s="77" t="s">
        <v>259</v>
      </c>
      <c r="N98" s="83" t="s">
        <v>260</v>
      </c>
      <c r="O98" s="48" t="s">
        <v>259</v>
      </c>
      <c r="P98" s="84" t="s">
        <v>260</v>
      </c>
      <c r="Q98" s="85" t="s">
        <v>259</v>
      </c>
      <c r="R98" s="84" t="s">
        <v>260</v>
      </c>
      <c r="S98" s="85" t="s">
        <v>259</v>
      </c>
      <c r="T98" s="84"/>
      <c r="U98" s="85"/>
    </row>
    <row r="99" spans="1:21" ht="5.65" customHeight="1" x14ac:dyDescent="0.25">
      <c r="J99" s="63"/>
      <c r="K99" s="78"/>
      <c r="L99" s="63"/>
      <c r="M99" s="78"/>
      <c r="N99" s="63"/>
      <c r="O99" s="63"/>
      <c r="P99" s="63"/>
      <c r="Q99" s="63"/>
      <c r="R99" s="63"/>
      <c r="S99" s="63"/>
      <c r="T99" s="63"/>
      <c r="U99" s="63"/>
    </row>
    <row r="100" spans="1:21" ht="14.1" customHeight="1" x14ac:dyDescent="0.25">
      <c r="A100" s="956" t="s">
        <v>288</v>
      </c>
      <c r="B100" s="956"/>
      <c r="C100" s="956"/>
      <c r="D100" s="956"/>
      <c r="E100" s="956"/>
      <c r="F100" s="956"/>
      <c r="G100" s="956"/>
      <c r="H100" s="956"/>
      <c r="I100" s="956"/>
      <c r="J100" s="64"/>
      <c r="K100" s="79"/>
      <c r="L100" s="64"/>
      <c r="M100" s="79"/>
      <c r="N100" s="64"/>
      <c r="O100" s="64"/>
      <c r="P100" s="64"/>
      <c r="Q100" s="64"/>
      <c r="R100" s="64"/>
      <c r="S100" s="64"/>
      <c r="T100" s="64"/>
      <c r="U100" s="64"/>
    </row>
    <row r="101" spans="1:21" s="3" customFormat="1" ht="14.1" customHeight="1" x14ac:dyDescent="0.25">
      <c r="A101" s="7" t="s">
        <v>67</v>
      </c>
      <c r="B101" s="7" t="s">
        <v>68</v>
      </c>
      <c r="C101" s="8" t="s">
        <v>69</v>
      </c>
      <c r="D101" s="9">
        <f>F101+H101+J101+L101+N101+P101+R101</f>
        <v>210</v>
      </c>
      <c r="E101" s="9">
        <f>G101+I101+K101+M101+O101+Q101+S101</f>
        <v>225</v>
      </c>
      <c r="F101" s="10">
        <f>SUM(F102:F107)</f>
        <v>100</v>
      </c>
      <c r="G101" s="10">
        <f t="shared" ref="G101:K101" si="18">SUM(G102:G107)</f>
        <v>100</v>
      </c>
      <c r="H101" s="10">
        <f t="shared" si="18"/>
        <v>10</v>
      </c>
      <c r="I101" s="52">
        <f t="shared" si="18"/>
        <v>25</v>
      </c>
      <c r="J101" s="52">
        <f t="shared" si="18"/>
        <v>0</v>
      </c>
      <c r="K101" s="52">
        <f t="shared" si="18"/>
        <v>0</v>
      </c>
      <c r="L101" s="65">
        <f>SUM(L102:L107)</f>
        <v>100</v>
      </c>
      <c r="M101" s="65">
        <f>SUM(M102:M107)</f>
        <v>100</v>
      </c>
      <c r="N101" s="65">
        <f>SUM(N102:N107)</f>
        <v>0</v>
      </c>
      <c r="O101" s="65">
        <f>SUM(O102:O107)</f>
        <v>0</v>
      </c>
      <c r="P101" s="65">
        <f>SUM(P102:P107)</f>
        <v>0</v>
      </c>
      <c r="Q101" s="65">
        <v>0</v>
      </c>
      <c r="R101" s="65">
        <f>SUM(R102:R107)</f>
        <v>0</v>
      </c>
      <c r="S101" s="65"/>
      <c r="T101" s="65"/>
      <c r="U101" s="65"/>
    </row>
    <row r="102" spans="1:21" ht="14.1" customHeight="1" x14ac:dyDescent="0.25">
      <c r="A102" s="24"/>
      <c r="B102" s="24"/>
      <c r="C102" s="25" t="s">
        <v>70</v>
      </c>
      <c r="D102" s="26"/>
      <c r="E102" s="26"/>
      <c r="F102" s="26">
        <v>10</v>
      </c>
      <c r="G102" s="26"/>
      <c r="H102" s="26">
        <v>10</v>
      </c>
      <c r="I102" s="58"/>
      <c r="J102" s="63"/>
      <c r="K102" s="78"/>
      <c r="L102" s="63">
        <v>40</v>
      </c>
      <c r="M102" s="78">
        <v>10</v>
      </c>
      <c r="N102" s="63"/>
      <c r="O102" s="63"/>
      <c r="P102" s="63"/>
      <c r="Q102" s="63"/>
      <c r="R102" s="63"/>
      <c r="S102" s="63"/>
      <c r="T102" s="63"/>
      <c r="U102" s="63"/>
    </row>
    <row r="103" spans="1:21" ht="14.1" customHeight="1" x14ac:dyDescent="0.25">
      <c r="A103" s="24"/>
      <c r="B103" s="24"/>
      <c r="C103" s="25" t="s">
        <v>71</v>
      </c>
      <c r="D103" s="26"/>
      <c r="E103" s="26"/>
      <c r="F103" s="26"/>
      <c r="G103" s="26"/>
      <c r="H103" s="26"/>
      <c r="I103" s="58"/>
      <c r="J103" s="63"/>
      <c r="K103" s="78"/>
      <c r="L103" s="63"/>
      <c r="M103" s="78"/>
      <c r="N103" s="63"/>
      <c r="O103" s="63"/>
      <c r="P103" s="63"/>
      <c r="Q103" s="63"/>
      <c r="R103" s="63"/>
      <c r="S103" s="63"/>
      <c r="T103" s="63"/>
      <c r="U103" s="63"/>
    </row>
    <row r="104" spans="1:21" ht="14.1" customHeight="1" x14ac:dyDescent="0.25">
      <c r="A104" s="24"/>
      <c r="B104" s="24"/>
      <c r="C104" s="25" t="s">
        <v>72</v>
      </c>
      <c r="D104" s="26"/>
      <c r="E104" s="26"/>
      <c r="F104" s="26">
        <v>80</v>
      </c>
      <c r="G104" s="26">
        <v>80</v>
      </c>
      <c r="H104" s="26"/>
      <c r="I104" s="58"/>
      <c r="J104" s="63"/>
      <c r="K104" s="78"/>
      <c r="L104" s="63">
        <v>50</v>
      </c>
      <c r="M104" s="78">
        <v>50</v>
      </c>
      <c r="N104" s="63"/>
      <c r="O104" s="63"/>
      <c r="P104" s="63"/>
      <c r="Q104" s="63"/>
      <c r="R104" s="63"/>
      <c r="S104" s="63"/>
      <c r="T104" s="63"/>
      <c r="U104" s="63"/>
    </row>
    <row r="105" spans="1:21" ht="14.1" customHeight="1" x14ac:dyDescent="0.25">
      <c r="A105" s="24"/>
      <c r="B105" s="24"/>
      <c r="C105" s="25" t="s">
        <v>73</v>
      </c>
      <c r="D105" s="26"/>
      <c r="E105" s="26"/>
      <c r="F105" s="26">
        <v>10</v>
      </c>
      <c r="G105" s="26"/>
      <c r="H105" s="26"/>
      <c r="I105" s="58"/>
      <c r="J105" s="63"/>
      <c r="K105" s="78"/>
      <c r="L105" s="63">
        <v>10</v>
      </c>
      <c r="M105" s="78">
        <v>10</v>
      </c>
      <c r="N105" s="63"/>
      <c r="O105" s="63"/>
      <c r="P105" s="63"/>
      <c r="Q105" s="63"/>
      <c r="R105" s="63"/>
      <c r="S105" s="63"/>
      <c r="T105" s="63"/>
      <c r="U105" s="63"/>
    </row>
    <row r="106" spans="1:21" ht="14.1" customHeight="1" x14ac:dyDescent="0.25">
      <c r="A106" s="24"/>
      <c r="B106" s="24"/>
      <c r="C106" s="25" t="s">
        <v>74</v>
      </c>
      <c r="D106" s="26"/>
      <c r="E106" s="26"/>
      <c r="F106" s="26"/>
      <c r="G106" s="26"/>
      <c r="H106" s="26"/>
      <c r="I106" s="58"/>
      <c r="J106" s="63"/>
      <c r="K106" s="78"/>
      <c r="L106" s="63"/>
      <c r="M106" s="78"/>
      <c r="N106" s="63"/>
      <c r="O106" s="63"/>
      <c r="P106" s="63"/>
      <c r="Q106" s="63"/>
      <c r="R106" s="63"/>
      <c r="S106" s="63"/>
      <c r="T106" s="63"/>
      <c r="U106" s="63"/>
    </row>
    <row r="107" spans="1:21" ht="14.1" customHeight="1" x14ac:dyDescent="0.25">
      <c r="A107" s="24"/>
      <c r="B107" s="24"/>
      <c r="C107" s="25" t="s">
        <v>75</v>
      </c>
      <c r="D107" s="26"/>
      <c r="E107" s="26"/>
      <c r="F107" s="26"/>
      <c r="G107" s="26">
        <v>20</v>
      </c>
      <c r="H107" s="26"/>
      <c r="I107" s="58">
        <v>25</v>
      </c>
      <c r="J107" s="63"/>
      <c r="K107" s="78"/>
      <c r="L107" s="63"/>
      <c r="M107" s="78">
        <v>30</v>
      </c>
      <c r="N107" s="63"/>
      <c r="O107" s="63"/>
      <c r="P107" s="63"/>
      <c r="Q107" s="63"/>
      <c r="R107" s="63"/>
      <c r="S107" s="63"/>
      <c r="T107" s="63"/>
      <c r="U107" s="63"/>
    </row>
    <row r="108" spans="1:21" s="3" customFormat="1" ht="14.1" customHeight="1" x14ac:dyDescent="0.25">
      <c r="A108" s="7" t="s">
        <v>76</v>
      </c>
      <c r="B108" s="7" t="s">
        <v>77</v>
      </c>
      <c r="C108" s="8" t="s">
        <v>78</v>
      </c>
      <c r="D108" s="9">
        <f>F108+H108+J108+L108+N108+P108+R108</f>
        <v>10455</v>
      </c>
      <c r="E108" s="9">
        <f>G108+I108+K108+M108+O108+Q108+S108</f>
        <v>11405</v>
      </c>
      <c r="F108" s="10">
        <f t="shared" ref="F108:P108" si="19">SUM(F109:F114)</f>
        <v>1100</v>
      </c>
      <c r="G108" s="10">
        <f t="shared" si="19"/>
        <v>1500</v>
      </c>
      <c r="H108" s="10">
        <f t="shared" si="19"/>
        <v>405</v>
      </c>
      <c r="I108" s="52">
        <f t="shared" si="19"/>
        <v>405</v>
      </c>
      <c r="J108" s="52">
        <f t="shared" si="19"/>
        <v>650</v>
      </c>
      <c r="K108" s="52">
        <f t="shared" si="19"/>
        <v>500</v>
      </c>
      <c r="L108" s="65">
        <f t="shared" si="19"/>
        <v>2365</v>
      </c>
      <c r="M108" s="65">
        <f t="shared" si="19"/>
        <v>2565</v>
      </c>
      <c r="N108" s="65">
        <f t="shared" si="19"/>
        <v>5935</v>
      </c>
      <c r="O108" s="65">
        <f t="shared" si="19"/>
        <v>6435</v>
      </c>
      <c r="P108" s="65">
        <f t="shared" si="19"/>
        <v>0</v>
      </c>
      <c r="Q108" s="65">
        <v>0</v>
      </c>
      <c r="R108" s="65">
        <f>SUM(R109:R114)</f>
        <v>0</v>
      </c>
      <c r="S108" s="65"/>
      <c r="T108" s="65"/>
      <c r="U108" s="65"/>
    </row>
    <row r="109" spans="1:21" ht="14.1" customHeight="1" x14ac:dyDescent="0.25">
      <c r="A109" s="24"/>
      <c r="B109" s="24"/>
      <c r="C109" s="25" t="s">
        <v>79</v>
      </c>
      <c r="D109" s="26"/>
      <c r="E109" s="26"/>
      <c r="F109" s="26"/>
      <c r="G109" s="26"/>
      <c r="H109" s="26"/>
      <c r="I109" s="58"/>
      <c r="J109" s="63"/>
      <c r="K109" s="78"/>
      <c r="L109" s="63"/>
      <c r="M109" s="78"/>
      <c r="N109" s="63">
        <v>5935</v>
      </c>
      <c r="O109" s="63">
        <v>5935</v>
      </c>
      <c r="P109" s="63"/>
      <c r="Q109" s="63"/>
      <c r="R109" s="63"/>
      <c r="S109" s="63"/>
      <c r="T109" s="63"/>
      <c r="U109" s="63"/>
    </row>
    <row r="110" spans="1:21" ht="14.1" customHeight="1" x14ac:dyDescent="0.25">
      <c r="A110" s="24"/>
      <c r="B110" s="24"/>
      <c r="C110" s="25" t="s">
        <v>80</v>
      </c>
      <c r="D110" s="26"/>
      <c r="E110" s="26"/>
      <c r="F110" s="26">
        <v>150</v>
      </c>
      <c r="G110" s="26">
        <v>200</v>
      </c>
      <c r="H110" s="26">
        <v>100</v>
      </c>
      <c r="I110" s="58">
        <v>100</v>
      </c>
      <c r="J110" s="63"/>
      <c r="K110" s="78"/>
      <c r="L110" s="63">
        <v>200</v>
      </c>
      <c r="M110" s="78">
        <v>200</v>
      </c>
      <c r="N110" s="63"/>
      <c r="O110" s="63"/>
      <c r="P110" s="63"/>
      <c r="Q110" s="63"/>
      <c r="R110" s="63"/>
      <c r="S110" s="63"/>
      <c r="T110" s="63"/>
      <c r="U110" s="63"/>
    </row>
    <row r="111" spans="1:21" ht="14.1" customHeight="1" x14ac:dyDescent="0.25">
      <c r="A111" s="24"/>
      <c r="B111" s="24"/>
      <c r="C111" s="25" t="s">
        <v>81</v>
      </c>
      <c r="D111" s="26"/>
      <c r="E111" s="26"/>
      <c r="F111" s="26"/>
      <c r="G111" s="26"/>
      <c r="H111" s="26"/>
      <c r="I111" s="58"/>
      <c r="J111" s="63"/>
      <c r="K111" s="78"/>
      <c r="L111" s="63"/>
      <c r="M111" s="78"/>
      <c r="N111" s="63"/>
      <c r="O111" s="63"/>
      <c r="P111" s="63"/>
      <c r="Q111" s="63"/>
      <c r="R111" s="63"/>
      <c r="S111" s="63"/>
      <c r="T111" s="63"/>
      <c r="U111" s="63"/>
    </row>
    <row r="112" spans="1:21" ht="14.1" customHeight="1" x14ac:dyDescent="0.25">
      <c r="A112" s="24"/>
      <c r="B112" s="24"/>
      <c r="C112" s="25" t="s">
        <v>82</v>
      </c>
      <c r="D112" s="26"/>
      <c r="E112" s="26"/>
      <c r="F112" s="26"/>
      <c r="G112" s="26"/>
      <c r="H112" s="26">
        <v>5</v>
      </c>
      <c r="I112" s="58">
        <v>5</v>
      </c>
      <c r="J112" s="63">
        <v>600</v>
      </c>
      <c r="K112" s="78">
        <v>450</v>
      </c>
      <c r="L112" s="63">
        <v>15</v>
      </c>
      <c r="M112" s="78">
        <v>15</v>
      </c>
      <c r="N112" s="63"/>
      <c r="O112" s="63"/>
      <c r="P112" s="63"/>
      <c r="Q112" s="63"/>
      <c r="R112" s="63"/>
      <c r="S112" s="63"/>
      <c r="T112" s="63"/>
      <c r="U112" s="63"/>
    </row>
    <row r="113" spans="1:21" ht="14.1" customHeight="1" x14ac:dyDescent="0.25">
      <c r="A113" s="24"/>
      <c r="B113" s="24"/>
      <c r="C113" s="25" t="s">
        <v>83</v>
      </c>
      <c r="D113" s="26"/>
      <c r="E113" s="26"/>
      <c r="F113" s="26"/>
      <c r="G113" s="26"/>
      <c r="H113" s="26"/>
      <c r="I113" s="58"/>
      <c r="J113" s="63"/>
      <c r="K113" s="78"/>
      <c r="L113" s="63">
        <v>150</v>
      </c>
      <c r="M113" s="78">
        <v>600</v>
      </c>
      <c r="N113" s="63"/>
      <c r="O113" s="63"/>
      <c r="P113" s="63"/>
      <c r="Q113" s="63"/>
      <c r="R113" s="63"/>
      <c r="S113" s="63"/>
      <c r="T113" s="63"/>
      <c r="U113" s="63"/>
    </row>
    <row r="114" spans="1:21" ht="14.1" customHeight="1" x14ac:dyDescent="0.25">
      <c r="A114" s="24"/>
      <c r="B114" s="24"/>
      <c r="C114" s="25" t="s">
        <v>84</v>
      </c>
      <c r="D114" s="26"/>
      <c r="E114" s="26"/>
      <c r="F114" s="26">
        <v>950</v>
      </c>
      <c r="G114" s="26">
        <v>1300</v>
      </c>
      <c r="H114" s="26">
        <v>300</v>
      </c>
      <c r="I114" s="58">
        <v>300</v>
      </c>
      <c r="J114" s="63">
        <v>50</v>
      </c>
      <c r="K114" s="78">
        <v>50</v>
      </c>
      <c r="L114" s="63">
        <v>2000</v>
      </c>
      <c r="M114" s="78">
        <v>1750</v>
      </c>
      <c r="N114" s="63"/>
      <c r="O114" s="63">
        <v>500</v>
      </c>
      <c r="P114" s="63"/>
      <c r="Q114" s="63"/>
      <c r="R114" s="63"/>
      <c r="S114" s="63"/>
      <c r="T114" s="63"/>
      <c r="U114" s="63"/>
    </row>
    <row r="115" spans="1:21" s="3" customFormat="1" ht="14.1" customHeight="1" x14ac:dyDescent="0.25">
      <c r="A115" s="7" t="s">
        <v>85</v>
      </c>
      <c r="B115" s="7" t="s">
        <v>86</v>
      </c>
      <c r="C115" s="8" t="s">
        <v>87</v>
      </c>
      <c r="D115" s="9">
        <f>F115+H115+J115+L115+N115+P115+R115</f>
        <v>0</v>
      </c>
      <c r="E115" s="9">
        <f>G115+I115+K115+M115+O115+Q115+S115</f>
        <v>0</v>
      </c>
      <c r="F115" s="10">
        <f>SUM(F116:F117)</f>
        <v>0</v>
      </c>
      <c r="G115" s="10">
        <f t="shared" ref="G115:P115" si="20">SUM(G116:G117)</f>
        <v>0</v>
      </c>
      <c r="H115" s="10">
        <f t="shared" si="20"/>
        <v>0</v>
      </c>
      <c r="I115" s="52">
        <f t="shared" si="20"/>
        <v>0</v>
      </c>
      <c r="J115" s="52">
        <f t="shared" si="20"/>
        <v>0</v>
      </c>
      <c r="K115" s="52">
        <f t="shared" si="20"/>
        <v>0</v>
      </c>
      <c r="L115" s="52">
        <f t="shared" si="20"/>
        <v>0</v>
      </c>
      <c r="M115" s="52">
        <f t="shared" si="20"/>
        <v>0</v>
      </c>
      <c r="N115" s="52">
        <f t="shared" si="20"/>
        <v>0</v>
      </c>
      <c r="O115" s="52">
        <f t="shared" si="20"/>
        <v>0</v>
      </c>
      <c r="P115" s="52">
        <f t="shared" si="20"/>
        <v>0</v>
      </c>
      <c r="Q115" s="65">
        <v>0</v>
      </c>
      <c r="R115" s="52">
        <f t="shared" ref="R115" si="21">SUM(R116:R117)</f>
        <v>0</v>
      </c>
      <c r="S115" s="65"/>
      <c r="T115" s="52"/>
      <c r="U115" s="65"/>
    </row>
    <row r="116" spans="1:21" ht="14.1" customHeight="1" x14ac:dyDescent="0.25">
      <c r="A116" s="24"/>
      <c r="B116" s="24"/>
      <c r="C116" s="25" t="s">
        <v>88</v>
      </c>
      <c r="D116" s="26"/>
      <c r="E116" s="26"/>
      <c r="F116" s="26"/>
      <c r="G116" s="26"/>
      <c r="H116" s="26"/>
      <c r="I116" s="58"/>
      <c r="J116" s="63"/>
      <c r="K116" s="78"/>
      <c r="L116" s="63"/>
      <c r="M116" s="78"/>
      <c r="N116" s="63"/>
      <c r="O116" s="63"/>
      <c r="P116" s="63"/>
      <c r="Q116" s="63"/>
      <c r="R116" s="63"/>
      <c r="S116" s="63"/>
      <c r="T116" s="63"/>
      <c r="U116" s="63"/>
    </row>
    <row r="117" spans="1:21" ht="14.1" customHeight="1" x14ac:dyDescent="0.25">
      <c r="A117" s="24"/>
      <c r="B117" s="24"/>
      <c r="C117" s="25" t="s">
        <v>89</v>
      </c>
      <c r="D117" s="26"/>
      <c r="E117" s="26"/>
      <c r="F117" s="26"/>
      <c r="G117" s="26"/>
      <c r="H117" s="26"/>
      <c r="I117" s="58"/>
      <c r="J117" s="63"/>
      <c r="K117" s="78"/>
      <c r="L117" s="63"/>
      <c r="M117" s="78"/>
      <c r="N117" s="63"/>
      <c r="O117" s="63"/>
      <c r="P117" s="63"/>
      <c r="Q117" s="63"/>
      <c r="R117" s="63"/>
      <c r="S117" s="63"/>
      <c r="T117" s="63"/>
      <c r="U117" s="63"/>
    </row>
    <row r="118" spans="1:21" s="3" customFormat="1" ht="14.1" customHeight="1" x14ac:dyDescent="0.25">
      <c r="A118" s="16" t="s">
        <v>90</v>
      </c>
      <c r="B118" s="16" t="s">
        <v>91</v>
      </c>
      <c r="C118" s="17" t="s">
        <v>92</v>
      </c>
      <c r="D118" s="19">
        <f>D101+D108</f>
        <v>10665</v>
      </c>
      <c r="E118" s="19">
        <f t="shared" ref="E118:Q118" si="22">E101+E108</f>
        <v>11630</v>
      </c>
      <c r="F118" s="19">
        <f t="shared" si="22"/>
        <v>1200</v>
      </c>
      <c r="G118" s="19">
        <f t="shared" si="22"/>
        <v>1600</v>
      </c>
      <c r="H118" s="19">
        <f t="shared" si="22"/>
        <v>415</v>
      </c>
      <c r="I118" s="59">
        <f t="shared" si="22"/>
        <v>430</v>
      </c>
      <c r="J118" s="59">
        <f t="shared" si="22"/>
        <v>650</v>
      </c>
      <c r="K118" s="59">
        <f t="shared" si="22"/>
        <v>500</v>
      </c>
      <c r="L118" s="59">
        <f t="shared" si="22"/>
        <v>2465</v>
      </c>
      <c r="M118" s="59">
        <f t="shared" si="22"/>
        <v>2665</v>
      </c>
      <c r="N118" s="59">
        <f t="shared" si="22"/>
        <v>5935</v>
      </c>
      <c r="O118" s="59">
        <f t="shared" si="22"/>
        <v>6435</v>
      </c>
      <c r="P118" s="59">
        <f t="shared" si="22"/>
        <v>0</v>
      </c>
      <c r="Q118" s="59">
        <f t="shared" si="22"/>
        <v>0</v>
      </c>
      <c r="R118" s="59">
        <f t="shared" ref="R118" si="23">R101+R108</f>
        <v>0</v>
      </c>
      <c r="S118" s="71"/>
      <c r="T118" s="59"/>
      <c r="U118" s="71"/>
    </row>
    <row r="119" spans="1:21" s="3" customFormat="1" ht="14.1" customHeight="1" x14ac:dyDescent="0.25">
      <c r="A119" s="7" t="s">
        <v>93</v>
      </c>
      <c r="B119" s="7" t="s">
        <v>94</v>
      </c>
      <c r="C119" s="8" t="s">
        <v>95</v>
      </c>
      <c r="D119" s="9">
        <f>F119+H119+J119+L119+N119+P119+R119</f>
        <v>1255</v>
      </c>
      <c r="E119" s="9">
        <f>G119+I119+K119+M119+O119+Q119+S119</f>
        <v>1216</v>
      </c>
      <c r="F119" s="10">
        <f>SUM(F120:F125)</f>
        <v>965</v>
      </c>
      <c r="G119" s="10">
        <f>SUM(G120:G125)</f>
        <v>996</v>
      </c>
      <c r="H119" s="10">
        <f t="shared" ref="H119:P119" si="24">SUM(H120:H125)</f>
        <v>160</v>
      </c>
      <c r="I119" s="52">
        <f t="shared" si="24"/>
        <v>120</v>
      </c>
      <c r="J119" s="52">
        <f t="shared" si="24"/>
        <v>0</v>
      </c>
      <c r="K119" s="52">
        <f t="shared" si="24"/>
        <v>0</v>
      </c>
      <c r="L119" s="52">
        <f t="shared" si="24"/>
        <v>130</v>
      </c>
      <c r="M119" s="52">
        <f t="shared" si="24"/>
        <v>100</v>
      </c>
      <c r="N119" s="52">
        <f t="shared" si="24"/>
        <v>0</v>
      </c>
      <c r="O119" s="52">
        <f t="shared" si="24"/>
        <v>0</v>
      </c>
      <c r="P119" s="52">
        <f t="shared" si="24"/>
        <v>0</v>
      </c>
      <c r="Q119" s="65">
        <v>0</v>
      </c>
      <c r="R119" s="52">
        <f t="shared" ref="R119" si="25">SUM(R120:R125)</f>
        <v>0</v>
      </c>
      <c r="S119" s="65"/>
      <c r="T119" s="52"/>
      <c r="U119" s="65"/>
    </row>
    <row r="120" spans="1:21" ht="14.1" customHeight="1" x14ac:dyDescent="0.25">
      <c r="A120" s="24"/>
      <c r="B120" s="24"/>
      <c r="C120" s="25" t="s">
        <v>96</v>
      </c>
      <c r="D120" s="26"/>
      <c r="E120" s="26"/>
      <c r="F120" s="26"/>
      <c r="G120" s="26"/>
      <c r="H120" s="26"/>
      <c r="I120" s="58"/>
      <c r="J120" s="63"/>
      <c r="K120" s="78"/>
      <c r="L120" s="63"/>
      <c r="M120" s="78"/>
      <c r="N120" s="63"/>
      <c r="O120" s="63"/>
      <c r="P120" s="63"/>
      <c r="Q120" s="63"/>
      <c r="R120" s="63"/>
      <c r="S120" s="63"/>
      <c r="T120" s="63"/>
      <c r="U120" s="63"/>
    </row>
    <row r="121" spans="1:21" ht="14.1" customHeight="1" x14ac:dyDescent="0.25">
      <c r="A121" s="24"/>
      <c r="B121" s="24"/>
      <c r="C121" s="25" t="s">
        <v>97</v>
      </c>
      <c r="D121" s="26"/>
      <c r="E121" s="26"/>
      <c r="F121" s="26">
        <v>10</v>
      </c>
      <c r="G121" s="26">
        <v>10</v>
      </c>
      <c r="H121" s="26">
        <v>100</v>
      </c>
      <c r="I121" s="58">
        <v>120</v>
      </c>
      <c r="J121" s="63"/>
      <c r="K121" s="78"/>
      <c r="L121" s="63"/>
      <c r="M121" s="78"/>
      <c r="N121" s="63"/>
      <c r="O121" s="63"/>
      <c r="P121" s="63"/>
      <c r="Q121" s="63"/>
      <c r="R121" s="63"/>
      <c r="S121" s="63"/>
      <c r="T121" s="63"/>
      <c r="U121" s="63"/>
    </row>
    <row r="122" spans="1:21" ht="14.1" customHeight="1" x14ac:dyDescent="0.25">
      <c r="A122" s="24"/>
      <c r="B122" s="24"/>
      <c r="C122" s="25" t="s">
        <v>98</v>
      </c>
      <c r="D122" s="26"/>
      <c r="E122" s="26"/>
      <c r="F122" s="26">
        <v>300</v>
      </c>
      <c r="G122" s="26">
        <v>300</v>
      </c>
      <c r="H122" s="26"/>
      <c r="I122" s="58"/>
      <c r="J122" s="63"/>
      <c r="K122" s="78"/>
      <c r="L122" s="63"/>
      <c r="M122" s="78"/>
      <c r="N122" s="63"/>
      <c r="O122" s="63"/>
      <c r="P122" s="63"/>
      <c r="Q122" s="63"/>
      <c r="R122" s="63"/>
      <c r="S122" s="63"/>
      <c r="T122" s="63"/>
      <c r="U122" s="63"/>
    </row>
    <row r="123" spans="1:21" ht="14.1" customHeight="1" x14ac:dyDescent="0.25">
      <c r="A123" s="24"/>
      <c r="B123" s="24"/>
      <c r="C123" s="25" t="s">
        <v>99</v>
      </c>
      <c r="D123" s="26"/>
      <c r="E123" s="26"/>
      <c r="F123" s="26">
        <v>150</v>
      </c>
      <c r="G123" s="26">
        <v>150</v>
      </c>
      <c r="H123" s="26">
        <v>20</v>
      </c>
      <c r="I123" s="58"/>
      <c r="J123" s="63"/>
      <c r="K123" s="78"/>
      <c r="L123" s="63">
        <v>50</v>
      </c>
      <c r="M123" s="78">
        <v>100</v>
      </c>
      <c r="N123" s="63"/>
      <c r="O123" s="63"/>
      <c r="P123" s="63"/>
      <c r="Q123" s="63"/>
      <c r="R123" s="63"/>
      <c r="S123" s="63"/>
      <c r="T123" s="63"/>
      <c r="U123" s="63"/>
    </row>
    <row r="124" spans="1:21" ht="14.1" customHeight="1" x14ac:dyDescent="0.25">
      <c r="A124" s="24"/>
      <c r="B124" s="24"/>
      <c r="C124" s="25" t="s">
        <v>100</v>
      </c>
      <c r="D124" s="26"/>
      <c r="E124" s="26"/>
      <c r="F124" s="26">
        <v>125</v>
      </c>
      <c r="G124" s="26">
        <v>125</v>
      </c>
      <c r="H124" s="26">
        <v>40</v>
      </c>
      <c r="I124" s="58"/>
      <c r="J124" s="63"/>
      <c r="K124" s="78"/>
      <c r="L124" s="63">
        <v>50</v>
      </c>
      <c r="M124" s="78"/>
      <c r="N124" s="63"/>
      <c r="O124" s="63"/>
      <c r="P124" s="63"/>
      <c r="Q124" s="63"/>
      <c r="R124" s="63"/>
      <c r="S124" s="63"/>
      <c r="T124" s="63"/>
      <c r="U124" s="63"/>
    </row>
    <row r="125" spans="1:21" ht="14.1" customHeight="1" x14ac:dyDescent="0.25">
      <c r="A125" s="24"/>
      <c r="B125" s="24"/>
      <c r="C125" s="25" t="s">
        <v>101</v>
      </c>
      <c r="D125" s="26"/>
      <c r="E125" s="26"/>
      <c r="F125" s="26">
        <v>380</v>
      </c>
      <c r="G125" s="26">
        <v>411</v>
      </c>
      <c r="H125" s="26"/>
      <c r="I125" s="58"/>
      <c r="J125" s="63"/>
      <c r="K125" s="78"/>
      <c r="L125" s="63">
        <v>30</v>
      </c>
      <c r="M125" s="78"/>
      <c r="N125" s="63"/>
      <c r="O125" s="63"/>
      <c r="P125" s="63"/>
      <c r="Q125" s="63"/>
      <c r="R125" s="63"/>
      <c r="S125" s="63"/>
      <c r="T125" s="63"/>
      <c r="U125" s="63"/>
    </row>
    <row r="126" spans="1:21" s="3" customFormat="1" ht="14.1" customHeight="1" x14ac:dyDescent="0.25">
      <c r="A126" s="7" t="s">
        <v>102</v>
      </c>
      <c r="B126" s="7" t="s">
        <v>103</v>
      </c>
      <c r="C126" s="8" t="s">
        <v>104</v>
      </c>
      <c r="D126" s="9">
        <f>F126+H126+J126+L126+N126+P126+R126</f>
        <v>850</v>
      </c>
      <c r="E126" s="9">
        <f>G126+I126+K126+M126+O126+Q126+S126</f>
        <v>640</v>
      </c>
      <c r="F126" s="10">
        <f>SUM(F127:F128)</f>
        <v>750</v>
      </c>
      <c r="G126" s="10">
        <f t="shared" ref="G126:P126" si="26">SUM(G127:G128)</f>
        <v>450</v>
      </c>
      <c r="H126" s="10">
        <f t="shared" si="26"/>
        <v>30</v>
      </c>
      <c r="I126" s="52">
        <f t="shared" si="26"/>
        <v>90</v>
      </c>
      <c r="J126" s="52">
        <f t="shared" si="26"/>
        <v>0</v>
      </c>
      <c r="K126" s="52">
        <f t="shared" si="26"/>
        <v>0</v>
      </c>
      <c r="L126" s="52">
        <f t="shared" si="26"/>
        <v>70</v>
      </c>
      <c r="M126" s="52">
        <f t="shared" si="26"/>
        <v>100</v>
      </c>
      <c r="N126" s="52">
        <f t="shared" si="26"/>
        <v>0</v>
      </c>
      <c r="O126" s="52">
        <f t="shared" si="26"/>
        <v>0</v>
      </c>
      <c r="P126" s="52">
        <f t="shared" si="26"/>
        <v>0</v>
      </c>
      <c r="Q126" s="65">
        <v>0</v>
      </c>
      <c r="R126" s="52">
        <f t="shared" ref="R126" si="27">SUM(R127:R128)</f>
        <v>0</v>
      </c>
      <c r="S126" s="65"/>
      <c r="T126" s="52"/>
      <c r="U126" s="65"/>
    </row>
    <row r="127" spans="1:21" ht="14.1" customHeight="1" x14ac:dyDescent="0.25">
      <c r="A127" s="24"/>
      <c r="B127" s="24"/>
      <c r="C127" s="25" t="s">
        <v>105</v>
      </c>
      <c r="D127" s="26"/>
      <c r="E127" s="26"/>
      <c r="F127" s="26">
        <v>750</v>
      </c>
      <c r="G127" s="26">
        <v>450</v>
      </c>
      <c r="H127" s="26">
        <v>30</v>
      </c>
      <c r="I127" s="58">
        <v>90</v>
      </c>
      <c r="J127" s="63"/>
      <c r="K127" s="78"/>
      <c r="L127" s="63">
        <v>70</v>
      </c>
      <c r="M127" s="78">
        <v>100</v>
      </c>
      <c r="N127" s="63"/>
      <c r="O127" s="63"/>
      <c r="P127" s="63"/>
      <c r="Q127" s="63"/>
      <c r="R127" s="63"/>
      <c r="S127" s="63"/>
      <c r="T127" s="63"/>
      <c r="U127" s="63"/>
    </row>
    <row r="128" spans="1:21" ht="14.1" customHeight="1" x14ac:dyDescent="0.25">
      <c r="A128" s="24"/>
      <c r="B128" s="24"/>
      <c r="C128" s="25" t="s">
        <v>106</v>
      </c>
      <c r="D128" s="26"/>
      <c r="E128" s="26"/>
      <c r="F128" s="26"/>
      <c r="G128" s="26"/>
      <c r="H128" s="26"/>
      <c r="I128" s="58"/>
      <c r="J128" s="63"/>
      <c r="K128" s="78"/>
      <c r="L128" s="63"/>
      <c r="M128" s="78"/>
      <c r="N128" s="63"/>
      <c r="O128" s="63"/>
      <c r="P128" s="63"/>
      <c r="Q128" s="63"/>
      <c r="R128" s="63"/>
      <c r="S128" s="63"/>
      <c r="T128" s="63"/>
      <c r="U128" s="63"/>
    </row>
    <row r="129" spans="1:21" s="3" customFormat="1" ht="14.1" customHeight="1" x14ac:dyDescent="0.25">
      <c r="A129" s="16" t="s">
        <v>107</v>
      </c>
      <c r="B129" s="16" t="s">
        <v>108</v>
      </c>
      <c r="C129" s="17" t="s">
        <v>109</v>
      </c>
      <c r="D129" s="19">
        <f>D119+D126</f>
        <v>2105</v>
      </c>
      <c r="E129" s="19">
        <f t="shared" ref="E129:Q129" si="28">E119+E126</f>
        <v>1856</v>
      </c>
      <c r="F129" s="19">
        <f t="shared" si="28"/>
        <v>1715</v>
      </c>
      <c r="G129" s="19">
        <f t="shared" si="28"/>
        <v>1446</v>
      </c>
      <c r="H129" s="19">
        <f t="shared" si="28"/>
        <v>190</v>
      </c>
      <c r="I129" s="59">
        <f t="shared" si="28"/>
        <v>210</v>
      </c>
      <c r="J129" s="59">
        <f t="shared" si="28"/>
        <v>0</v>
      </c>
      <c r="K129" s="59">
        <f t="shared" si="28"/>
        <v>0</v>
      </c>
      <c r="L129" s="59">
        <f t="shared" si="28"/>
        <v>200</v>
      </c>
      <c r="M129" s="59">
        <f t="shared" si="28"/>
        <v>200</v>
      </c>
      <c r="N129" s="59">
        <f t="shared" si="28"/>
        <v>0</v>
      </c>
      <c r="O129" s="59">
        <f t="shared" si="28"/>
        <v>0</v>
      </c>
      <c r="P129" s="59">
        <f t="shared" si="28"/>
        <v>0</v>
      </c>
      <c r="Q129" s="59">
        <f t="shared" si="28"/>
        <v>0</v>
      </c>
      <c r="R129" s="59">
        <f t="shared" ref="R129" si="29">R119+R126</f>
        <v>0</v>
      </c>
      <c r="S129" s="71"/>
      <c r="T129" s="59"/>
      <c r="U129" s="71"/>
    </row>
    <row r="130" spans="1:21" s="3" customFormat="1" ht="14.1" customHeight="1" x14ac:dyDescent="0.25">
      <c r="A130" s="7" t="s">
        <v>110</v>
      </c>
      <c r="B130" s="7" t="s">
        <v>111</v>
      </c>
      <c r="C130" s="8" t="s">
        <v>112</v>
      </c>
      <c r="D130" s="9">
        <f>F130+H130+J130+L130+N130+P130+R130</f>
        <v>5460</v>
      </c>
      <c r="E130" s="9">
        <f>G130+I130+K130+M130+O130+Q130+S130</f>
        <v>5410</v>
      </c>
      <c r="F130" s="10">
        <f>SUM(F131:F133)</f>
        <v>700</v>
      </c>
      <c r="G130" s="10">
        <f t="shared" ref="G130:P130" si="30">SUM(G131:G133)</f>
        <v>870</v>
      </c>
      <c r="H130" s="10">
        <f t="shared" si="30"/>
        <v>460</v>
      </c>
      <c r="I130" s="52">
        <f t="shared" si="30"/>
        <v>440</v>
      </c>
      <c r="J130" s="52">
        <f t="shared" si="30"/>
        <v>0</v>
      </c>
      <c r="K130" s="52">
        <f t="shared" si="30"/>
        <v>0</v>
      </c>
      <c r="L130" s="52">
        <f t="shared" si="30"/>
        <v>4300</v>
      </c>
      <c r="M130" s="52">
        <f t="shared" si="30"/>
        <v>4100</v>
      </c>
      <c r="N130" s="52">
        <f t="shared" si="30"/>
        <v>0</v>
      </c>
      <c r="O130" s="52">
        <f t="shared" si="30"/>
        <v>0</v>
      </c>
      <c r="P130" s="52">
        <f t="shared" si="30"/>
        <v>0</v>
      </c>
      <c r="Q130" s="65">
        <v>0</v>
      </c>
      <c r="R130" s="52">
        <f t="shared" ref="R130" si="31">SUM(R131:R133)</f>
        <v>0</v>
      </c>
      <c r="S130" s="65"/>
      <c r="T130" s="52"/>
      <c r="U130" s="65"/>
    </row>
    <row r="131" spans="1:21" ht="14.1" customHeight="1" x14ac:dyDescent="0.25">
      <c r="A131" s="24"/>
      <c r="B131" s="24"/>
      <c r="C131" s="25" t="s">
        <v>113</v>
      </c>
      <c r="D131" s="26"/>
      <c r="E131" s="26"/>
      <c r="F131" s="26">
        <v>150</v>
      </c>
      <c r="G131" s="26">
        <v>120</v>
      </c>
      <c r="H131" s="26">
        <v>80</v>
      </c>
      <c r="I131" s="58">
        <v>80</v>
      </c>
      <c r="J131" s="63"/>
      <c r="K131" s="78"/>
      <c r="L131" s="63">
        <v>800</v>
      </c>
      <c r="M131" s="78">
        <v>700</v>
      </c>
      <c r="N131" s="63"/>
      <c r="O131" s="63"/>
      <c r="P131" s="63"/>
      <c r="Q131" s="63"/>
      <c r="R131" s="63"/>
      <c r="S131" s="63"/>
      <c r="T131" s="63"/>
      <c r="U131" s="63"/>
    </row>
    <row r="132" spans="1:21" ht="14.1" customHeight="1" x14ac:dyDescent="0.25">
      <c r="A132" s="24"/>
      <c r="B132" s="24"/>
      <c r="C132" s="25" t="s">
        <v>114</v>
      </c>
      <c r="D132" s="26"/>
      <c r="E132" s="26"/>
      <c r="F132" s="26">
        <v>450</v>
      </c>
      <c r="G132" s="26">
        <v>650</v>
      </c>
      <c r="H132" s="26">
        <v>180</v>
      </c>
      <c r="I132" s="58">
        <v>160</v>
      </c>
      <c r="J132" s="63"/>
      <c r="K132" s="78"/>
      <c r="L132" s="63">
        <v>3000</v>
      </c>
      <c r="M132" s="78">
        <v>3000</v>
      </c>
      <c r="N132" s="63"/>
      <c r="O132" s="63"/>
      <c r="P132" s="63"/>
      <c r="Q132" s="63"/>
      <c r="R132" s="63"/>
      <c r="S132" s="63"/>
      <c r="T132" s="63"/>
      <c r="U132" s="63"/>
    </row>
    <row r="133" spans="1:21" ht="14.1" customHeight="1" x14ac:dyDescent="0.25">
      <c r="A133" s="24"/>
      <c r="B133" s="24"/>
      <c r="C133" s="25" t="s">
        <v>115</v>
      </c>
      <c r="D133" s="26"/>
      <c r="E133" s="26"/>
      <c r="F133" s="26">
        <v>100</v>
      </c>
      <c r="G133" s="26">
        <v>100</v>
      </c>
      <c r="H133" s="26">
        <v>200</v>
      </c>
      <c r="I133" s="58">
        <v>200</v>
      </c>
      <c r="J133" s="63"/>
      <c r="K133" s="78"/>
      <c r="L133" s="63">
        <v>500</v>
      </c>
      <c r="M133" s="78">
        <v>400</v>
      </c>
      <c r="N133" s="63"/>
      <c r="O133" s="63"/>
      <c r="P133" s="63"/>
      <c r="Q133" s="63"/>
      <c r="R133" s="63"/>
      <c r="S133" s="63"/>
      <c r="T133" s="63"/>
      <c r="U133" s="63"/>
    </row>
    <row r="134" spans="1:21" s="3" customFormat="1" ht="14.1" customHeight="1" x14ac:dyDescent="0.25">
      <c r="A134" s="7" t="s">
        <v>116</v>
      </c>
      <c r="B134" s="7" t="s">
        <v>117</v>
      </c>
      <c r="C134" s="8" t="s">
        <v>118</v>
      </c>
      <c r="D134" s="9">
        <f>F134+H134+J134+L134+N134+P134+R134</f>
        <v>10100</v>
      </c>
      <c r="E134" s="9">
        <f>G134+I134+K134+M134+O134+Q134+S134</f>
        <v>10100</v>
      </c>
      <c r="F134" s="10">
        <v>0</v>
      </c>
      <c r="G134" s="10">
        <f>G135</f>
        <v>0</v>
      </c>
      <c r="H134" s="10">
        <v>0</v>
      </c>
      <c r="I134" s="52">
        <f>I135</f>
        <v>0</v>
      </c>
      <c r="J134" s="52">
        <f>J135</f>
        <v>10100</v>
      </c>
      <c r="K134" s="52">
        <f>K135</f>
        <v>10100</v>
      </c>
      <c r="L134" s="52">
        <f>L135</f>
        <v>0</v>
      </c>
      <c r="M134" s="80">
        <v>0</v>
      </c>
      <c r="N134" s="52">
        <f>N135</f>
        <v>0</v>
      </c>
      <c r="O134" s="52">
        <f>O135</f>
        <v>0</v>
      </c>
      <c r="P134" s="52">
        <f>P135</f>
        <v>0</v>
      </c>
      <c r="Q134" s="65">
        <v>0</v>
      </c>
      <c r="R134" s="52">
        <f>R135</f>
        <v>0</v>
      </c>
      <c r="S134" s="65"/>
      <c r="T134" s="52"/>
      <c r="U134" s="65"/>
    </row>
    <row r="135" spans="1:21" s="3" customFormat="1" ht="14.1" customHeight="1" x14ac:dyDescent="0.25">
      <c r="A135" s="24"/>
      <c r="B135" s="24"/>
      <c r="C135" s="25"/>
      <c r="D135" s="26"/>
      <c r="E135" s="26"/>
      <c r="F135" s="26"/>
      <c r="G135" s="26"/>
      <c r="H135" s="26"/>
      <c r="I135" s="58"/>
      <c r="J135" s="63">
        <v>10100</v>
      </c>
      <c r="K135" s="78">
        <v>10100</v>
      </c>
      <c r="L135" s="63"/>
      <c r="M135" s="78"/>
      <c r="N135" s="63"/>
      <c r="O135" s="63"/>
      <c r="P135" s="63"/>
      <c r="Q135" s="63"/>
      <c r="R135" s="63"/>
      <c r="S135" s="63"/>
      <c r="T135" s="63"/>
      <c r="U135" s="63"/>
    </row>
    <row r="136" spans="1:21" s="3" customFormat="1" ht="14.1" customHeight="1" x14ac:dyDescent="0.25">
      <c r="A136" s="7" t="s">
        <v>119</v>
      </c>
      <c r="B136" s="7" t="s">
        <v>120</v>
      </c>
      <c r="C136" s="8" t="s">
        <v>121</v>
      </c>
      <c r="D136" s="9">
        <f>F136+H136+J136+L136+N136+P136+R136</f>
        <v>265</v>
      </c>
      <c r="E136" s="9">
        <f>G136+I136+K136+M136+O136+Q136+S136</f>
        <v>400</v>
      </c>
      <c r="F136" s="10">
        <f>SUM(F137:F138)</f>
        <v>265</v>
      </c>
      <c r="G136" s="10">
        <f t="shared" ref="G136:P136" si="32">SUM(G137:G138)</f>
        <v>400</v>
      </c>
      <c r="H136" s="10">
        <f t="shared" si="32"/>
        <v>0</v>
      </c>
      <c r="I136" s="52">
        <f t="shared" si="32"/>
        <v>0</v>
      </c>
      <c r="J136" s="52">
        <f t="shared" si="32"/>
        <v>0</v>
      </c>
      <c r="K136" s="52">
        <f t="shared" si="32"/>
        <v>0</v>
      </c>
      <c r="L136" s="52">
        <f t="shared" si="32"/>
        <v>0</v>
      </c>
      <c r="M136" s="52">
        <f t="shared" si="32"/>
        <v>0</v>
      </c>
      <c r="N136" s="52">
        <f t="shared" si="32"/>
        <v>0</v>
      </c>
      <c r="O136" s="52">
        <f t="shared" si="32"/>
        <v>0</v>
      </c>
      <c r="P136" s="52">
        <f t="shared" si="32"/>
        <v>0</v>
      </c>
      <c r="Q136" s="65">
        <v>0</v>
      </c>
      <c r="R136" s="52">
        <f t="shared" ref="R136" si="33">SUM(R137:R138)</f>
        <v>0</v>
      </c>
      <c r="S136" s="65"/>
      <c r="T136" s="52"/>
      <c r="U136" s="65"/>
    </row>
    <row r="137" spans="1:21" ht="14.1" customHeight="1" x14ac:dyDescent="0.25">
      <c r="A137" s="24"/>
      <c r="B137" s="24"/>
      <c r="C137" s="25" t="s">
        <v>122</v>
      </c>
      <c r="D137" s="26"/>
      <c r="E137" s="26"/>
      <c r="F137" s="26"/>
      <c r="G137" s="26"/>
      <c r="H137" s="26"/>
      <c r="I137" s="58"/>
      <c r="J137" s="63"/>
      <c r="K137" s="78"/>
      <c r="L137" s="63"/>
      <c r="M137" s="78"/>
      <c r="N137" s="63"/>
      <c r="O137" s="63"/>
      <c r="P137" s="63"/>
      <c r="Q137" s="63"/>
      <c r="R137" s="63"/>
      <c r="S137" s="63"/>
      <c r="T137" s="63"/>
      <c r="U137" s="63"/>
    </row>
    <row r="138" spans="1:21" ht="14.1" customHeight="1" x14ac:dyDescent="0.25">
      <c r="A138" s="24"/>
      <c r="B138" s="24"/>
      <c r="C138" s="25" t="s">
        <v>123</v>
      </c>
      <c r="D138" s="26"/>
      <c r="E138" s="26"/>
      <c r="F138" s="26">
        <v>265</v>
      </c>
      <c r="G138" s="26">
        <v>400</v>
      </c>
      <c r="H138" s="26"/>
      <c r="I138" s="58"/>
      <c r="J138" s="63"/>
      <c r="K138" s="78"/>
      <c r="L138" s="63"/>
      <c r="M138" s="78"/>
      <c r="N138" s="63"/>
      <c r="O138" s="63"/>
      <c r="P138" s="63"/>
      <c r="Q138" s="63"/>
      <c r="R138" s="63"/>
      <c r="S138" s="63"/>
      <c r="T138" s="63"/>
      <c r="U138" s="63"/>
    </row>
    <row r="139" spans="1:21" s="3" customFormat="1" ht="14.1" customHeight="1" x14ac:dyDescent="0.25">
      <c r="A139" s="7" t="s">
        <v>124</v>
      </c>
      <c r="B139" s="7" t="s">
        <v>125</v>
      </c>
      <c r="C139" s="8" t="s">
        <v>126</v>
      </c>
      <c r="D139" s="9">
        <f>F139+H139+J139+L139+N139+P139+R139</f>
        <v>1290</v>
      </c>
      <c r="E139" s="9">
        <f>G139+I139+K139+M139+O139+Q139+S139</f>
        <v>3090</v>
      </c>
      <c r="F139" s="10">
        <v>350</v>
      </c>
      <c r="G139" s="10">
        <v>350</v>
      </c>
      <c r="H139" s="10">
        <v>120</v>
      </c>
      <c r="I139" s="52">
        <v>120</v>
      </c>
      <c r="J139" s="65">
        <v>120</v>
      </c>
      <c r="K139" s="80">
        <v>120</v>
      </c>
      <c r="L139" s="65">
        <v>700</v>
      </c>
      <c r="M139" s="80">
        <v>2500</v>
      </c>
      <c r="N139" s="65">
        <v>0</v>
      </c>
      <c r="O139" s="65"/>
      <c r="P139" s="65">
        <v>0</v>
      </c>
      <c r="Q139" s="65">
        <v>0</v>
      </c>
      <c r="R139" s="65">
        <v>0</v>
      </c>
      <c r="S139" s="65"/>
      <c r="T139" s="65"/>
      <c r="U139" s="65"/>
    </row>
    <row r="140" spans="1:21" s="3" customFormat="1" ht="14.1" customHeight="1" x14ac:dyDescent="0.25">
      <c r="A140" s="7" t="s">
        <v>127</v>
      </c>
      <c r="B140" s="7" t="s">
        <v>128</v>
      </c>
      <c r="C140" s="8" t="s">
        <v>129</v>
      </c>
      <c r="D140" s="9">
        <f>F140+H140+J140+L140+N140+P140+R140</f>
        <v>170</v>
      </c>
      <c r="E140" s="9">
        <f>G140+I140+K140+M140+O140+Q140+S140</f>
        <v>0</v>
      </c>
      <c r="F140" s="10">
        <f t="shared" ref="F140:N140" si="34">SUM(F141:F142)</f>
        <v>20</v>
      </c>
      <c r="G140" s="10">
        <f t="shared" si="34"/>
        <v>0</v>
      </c>
      <c r="H140" s="10">
        <f t="shared" si="34"/>
        <v>150</v>
      </c>
      <c r="I140" s="52">
        <f t="shared" si="34"/>
        <v>0</v>
      </c>
      <c r="J140" s="52">
        <f t="shared" si="34"/>
        <v>0</v>
      </c>
      <c r="K140" s="52">
        <f t="shared" si="34"/>
        <v>0</v>
      </c>
      <c r="L140" s="52">
        <f t="shared" si="34"/>
        <v>0</v>
      </c>
      <c r="M140" s="52">
        <f t="shared" si="34"/>
        <v>0</v>
      </c>
      <c r="N140" s="52">
        <f t="shared" si="34"/>
        <v>0</v>
      </c>
      <c r="O140" s="65"/>
      <c r="P140" s="52">
        <f>SUM(P141:P142)</f>
        <v>0</v>
      </c>
      <c r="Q140" s="65">
        <v>0</v>
      </c>
      <c r="R140" s="52">
        <f>SUM(R141:R142)</f>
        <v>0</v>
      </c>
      <c r="S140" s="65"/>
      <c r="T140" s="52"/>
      <c r="U140" s="65"/>
    </row>
    <row r="141" spans="1:21" ht="14.1" customHeight="1" x14ac:dyDescent="0.25">
      <c r="A141" s="24"/>
      <c r="B141" s="24"/>
      <c r="C141" s="25" t="s">
        <v>130</v>
      </c>
      <c r="D141" s="26"/>
      <c r="E141" s="26"/>
      <c r="F141" s="26"/>
      <c r="G141" s="26"/>
      <c r="H141" s="26"/>
      <c r="I141" s="58"/>
      <c r="J141" s="63"/>
      <c r="K141" s="78"/>
      <c r="L141" s="63"/>
      <c r="M141" s="78"/>
      <c r="N141" s="63"/>
      <c r="O141" s="63"/>
      <c r="P141" s="63"/>
      <c r="Q141" s="63"/>
      <c r="R141" s="63"/>
      <c r="S141" s="63"/>
      <c r="T141" s="63"/>
      <c r="U141" s="63"/>
    </row>
    <row r="142" spans="1:21" ht="14.1" customHeight="1" x14ac:dyDescent="0.25">
      <c r="A142" s="24"/>
      <c r="B142" s="24"/>
      <c r="C142" s="25" t="s">
        <v>131</v>
      </c>
      <c r="D142" s="26"/>
      <c r="E142" s="26"/>
      <c r="F142" s="26">
        <v>20</v>
      </c>
      <c r="G142" s="26"/>
      <c r="H142" s="26">
        <v>150</v>
      </c>
      <c r="I142" s="58"/>
      <c r="J142" s="63"/>
      <c r="K142" s="78"/>
      <c r="L142" s="63"/>
      <c r="M142" s="78"/>
      <c r="N142" s="63"/>
      <c r="O142" s="63"/>
      <c r="P142" s="63"/>
      <c r="Q142" s="63"/>
      <c r="R142" s="63"/>
      <c r="S142" s="63"/>
      <c r="T142" s="63"/>
      <c r="U142" s="63"/>
    </row>
    <row r="143" spans="1:21" s="3" customFormat="1" ht="14.1" customHeight="1" x14ac:dyDescent="0.25">
      <c r="A143" s="7" t="s">
        <v>132</v>
      </c>
      <c r="B143" s="7" t="s">
        <v>133</v>
      </c>
      <c r="C143" s="8" t="s">
        <v>134</v>
      </c>
      <c r="D143" s="9">
        <f>F143+H143+J143+L143+N143+P143+R143</f>
        <v>6526</v>
      </c>
      <c r="E143" s="9">
        <f>G143+I143+K143+M143+O143+Q143+S143</f>
        <v>5880</v>
      </c>
      <c r="F143" s="10">
        <f>SUM(F144:F146)</f>
        <v>3600</v>
      </c>
      <c r="G143" s="10">
        <f t="shared" ref="G143:Q143" si="35">SUM(G144:G146)</f>
        <v>3600</v>
      </c>
      <c r="H143" s="10">
        <f t="shared" si="35"/>
        <v>30</v>
      </c>
      <c r="I143" s="52">
        <f t="shared" si="35"/>
        <v>0</v>
      </c>
      <c r="J143" s="52">
        <f t="shared" si="35"/>
        <v>0</v>
      </c>
      <c r="K143" s="52">
        <f t="shared" si="35"/>
        <v>0</v>
      </c>
      <c r="L143" s="52">
        <f t="shared" si="35"/>
        <v>1376</v>
      </c>
      <c r="M143" s="52">
        <f t="shared" si="35"/>
        <v>1280</v>
      </c>
      <c r="N143" s="52">
        <f t="shared" si="35"/>
        <v>0</v>
      </c>
      <c r="O143" s="52">
        <f t="shared" si="35"/>
        <v>0</v>
      </c>
      <c r="P143" s="52">
        <f t="shared" si="35"/>
        <v>960</v>
      </c>
      <c r="Q143" s="52">
        <f t="shared" si="35"/>
        <v>1000</v>
      </c>
      <c r="R143" s="52">
        <f t="shared" ref="R143" si="36">SUM(R144:R146)</f>
        <v>560</v>
      </c>
      <c r="S143" s="65"/>
      <c r="T143" s="52"/>
      <c r="U143" s="65"/>
    </row>
    <row r="144" spans="1:21" ht="14.1" customHeight="1" x14ac:dyDescent="0.25">
      <c r="A144" s="24"/>
      <c r="B144" s="24"/>
      <c r="C144" s="25" t="s">
        <v>135</v>
      </c>
      <c r="D144" s="26"/>
      <c r="E144" s="26"/>
      <c r="F144" s="26"/>
      <c r="G144" s="26"/>
      <c r="H144" s="26">
        <v>0</v>
      </c>
      <c r="I144" s="58"/>
      <c r="J144" s="63"/>
      <c r="K144" s="78"/>
      <c r="L144" s="63">
        <v>840</v>
      </c>
      <c r="M144" s="78"/>
      <c r="N144" s="63"/>
      <c r="O144" s="63"/>
      <c r="P144" s="63">
        <v>960</v>
      </c>
      <c r="Q144" s="63"/>
      <c r="R144" s="63"/>
      <c r="S144" s="63"/>
      <c r="T144" s="63"/>
      <c r="U144" s="63"/>
    </row>
    <row r="145" spans="1:21" ht="14.1" customHeight="1" x14ac:dyDescent="0.25">
      <c r="A145" s="24"/>
      <c r="B145" s="24"/>
      <c r="C145" s="25" t="s">
        <v>136</v>
      </c>
      <c r="D145" s="26"/>
      <c r="E145" s="26"/>
      <c r="F145" s="26"/>
      <c r="G145" s="26"/>
      <c r="H145" s="26">
        <v>0</v>
      </c>
      <c r="I145" s="58"/>
      <c r="J145" s="63"/>
      <c r="K145" s="78"/>
      <c r="L145" s="63"/>
      <c r="M145" s="78"/>
      <c r="N145" s="63"/>
      <c r="O145" s="63"/>
      <c r="P145" s="63"/>
      <c r="Q145" s="63"/>
      <c r="R145" s="63"/>
      <c r="S145" s="63"/>
      <c r="T145" s="63"/>
      <c r="U145" s="63"/>
    </row>
    <row r="146" spans="1:21" ht="14.1" customHeight="1" x14ac:dyDescent="0.25">
      <c r="A146" s="24"/>
      <c r="B146" s="24"/>
      <c r="C146" s="25" t="s">
        <v>137</v>
      </c>
      <c r="D146" s="26"/>
      <c r="E146" s="26"/>
      <c r="F146" s="26">
        <v>3600</v>
      </c>
      <c r="G146" s="26">
        <v>3600</v>
      </c>
      <c r="H146" s="26">
        <v>30</v>
      </c>
      <c r="I146" s="58"/>
      <c r="J146" s="63"/>
      <c r="K146" s="78"/>
      <c r="L146" s="63">
        <v>536</v>
      </c>
      <c r="M146" s="78">
        <v>1280</v>
      </c>
      <c r="N146" s="63"/>
      <c r="O146" s="63"/>
      <c r="P146" s="63"/>
      <c r="Q146" s="63">
        <v>1000</v>
      </c>
      <c r="R146" s="63">
        <v>560</v>
      </c>
      <c r="S146" s="63"/>
      <c r="T146" s="63"/>
      <c r="U146" s="63"/>
    </row>
    <row r="147" spans="1:21" s="3" customFormat="1" ht="14.1" customHeight="1" x14ac:dyDescent="0.25">
      <c r="A147" s="7" t="s">
        <v>138</v>
      </c>
      <c r="B147" s="7" t="s">
        <v>139</v>
      </c>
      <c r="C147" s="8" t="s">
        <v>140</v>
      </c>
      <c r="D147" s="9">
        <f>F147+H147+J147+L147+N147+P147+R147</f>
        <v>4742</v>
      </c>
      <c r="E147" s="9">
        <f>G147+I147+K147+M147+O147+Q147+S147</f>
        <v>5360</v>
      </c>
      <c r="F147" s="10">
        <f>SUM(F148:F151)</f>
        <v>2630</v>
      </c>
      <c r="G147" s="10">
        <f t="shared" ref="G147:Q147" si="37">SUM(G148:G151)</f>
        <v>2900</v>
      </c>
      <c r="H147" s="10">
        <f t="shared" si="37"/>
        <v>1100</v>
      </c>
      <c r="I147" s="52">
        <f t="shared" si="37"/>
        <v>1300</v>
      </c>
      <c r="J147" s="52">
        <f t="shared" si="37"/>
        <v>262</v>
      </c>
      <c r="K147" s="52">
        <f t="shared" si="37"/>
        <v>260</v>
      </c>
      <c r="L147" s="52">
        <f t="shared" si="37"/>
        <v>750</v>
      </c>
      <c r="M147" s="52">
        <f t="shared" si="37"/>
        <v>900</v>
      </c>
      <c r="N147" s="52">
        <f t="shared" si="37"/>
        <v>0</v>
      </c>
      <c r="O147" s="52">
        <f t="shared" si="37"/>
        <v>0</v>
      </c>
      <c r="P147" s="52">
        <f t="shared" si="37"/>
        <v>0</v>
      </c>
      <c r="Q147" s="52">
        <f t="shared" si="37"/>
        <v>0</v>
      </c>
      <c r="R147" s="52">
        <f t="shared" ref="R147" si="38">SUM(R148:R151)</f>
        <v>0</v>
      </c>
      <c r="S147" s="65"/>
      <c r="T147" s="52"/>
      <c r="U147" s="65"/>
    </row>
    <row r="148" spans="1:21" ht="14.1" customHeight="1" x14ac:dyDescent="0.25">
      <c r="A148" s="24"/>
      <c r="B148" s="24"/>
      <c r="C148" s="25" t="s">
        <v>141</v>
      </c>
      <c r="D148" s="26"/>
      <c r="E148" s="26"/>
      <c r="F148" s="26"/>
      <c r="G148" s="26"/>
      <c r="H148" s="26"/>
      <c r="I148" s="58"/>
      <c r="J148" s="63">
        <v>262</v>
      </c>
      <c r="K148" s="78">
        <v>260</v>
      </c>
      <c r="L148" s="63"/>
      <c r="M148" s="78"/>
      <c r="N148" s="63"/>
      <c r="O148" s="63"/>
      <c r="P148" s="63"/>
      <c r="Q148" s="63"/>
      <c r="R148" s="63"/>
      <c r="S148" s="63"/>
      <c r="T148" s="63"/>
      <c r="U148" s="63"/>
    </row>
    <row r="149" spans="1:21" ht="14.1" customHeight="1" x14ac:dyDescent="0.25">
      <c r="A149" s="24"/>
      <c r="B149" s="24"/>
      <c r="C149" s="25" t="s">
        <v>142</v>
      </c>
      <c r="D149" s="26"/>
      <c r="E149" s="26"/>
      <c r="F149" s="26">
        <v>250</v>
      </c>
      <c r="G149" s="26"/>
      <c r="H149" s="26"/>
      <c r="I149" s="58"/>
      <c r="J149" s="63"/>
      <c r="K149" s="78"/>
      <c r="L149" s="63"/>
      <c r="M149" s="78"/>
      <c r="N149" s="63"/>
      <c r="O149" s="63"/>
      <c r="P149" s="63"/>
      <c r="Q149" s="63"/>
      <c r="R149" s="63"/>
      <c r="S149" s="63"/>
      <c r="T149" s="63"/>
      <c r="U149" s="63"/>
    </row>
    <row r="150" spans="1:21" ht="14.1" customHeight="1" x14ac:dyDescent="0.25">
      <c r="A150" s="24"/>
      <c r="B150" s="24"/>
      <c r="C150" s="25" t="s">
        <v>143</v>
      </c>
      <c r="D150" s="26"/>
      <c r="E150" s="26"/>
      <c r="F150" s="26">
        <v>30</v>
      </c>
      <c r="G150" s="26"/>
      <c r="H150" s="26"/>
      <c r="I150" s="58"/>
      <c r="J150" s="63"/>
      <c r="K150" s="78"/>
      <c r="L150" s="63"/>
      <c r="M150" s="78"/>
      <c r="N150" s="63"/>
      <c r="O150" s="63"/>
      <c r="P150" s="63"/>
      <c r="Q150" s="63"/>
      <c r="R150" s="63"/>
      <c r="S150" s="63"/>
      <c r="T150" s="63"/>
      <c r="U150" s="63"/>
    </row>
    <row r="151" spans="1:21" ht="14.1" customHeight="1" x14ac:dyDescent="0.25">
      <c r="A151" s="24"/>
      <c r="B151" s="24"/>
      <c r="C151" s="25" t="s">
        <v>144</v>
      </c>
      <c r="D151" s="26"/>
      <c r="E151" s="26"/>
      <c r="F151" s="26">
        <v>2350</v>
      </c>
      <c r="G151" s="26">
        <v>2900</v>
      </c>
      <c r="H151" s="26">
        <v>1100</v>
      </c>
      <c r="I151" s="58">
        <v>1300</v>
      </c>
      <c r="J151" s="63"/>
      <c r="K151" s="78"/>
      <c r="L151" s="63">
        <v>750</v>
      </c>
      <c r="M151" s="78">
        <v>900</v>
      </c>
      <c r="N151" s="63"/>
      <c r="O151" s="63"/>
      <c r="P151" s="63"/>
      <c r="Q151" s="63"/>
      <c r="R151" s="63"/>
      <c r="S151" s="63"/>
      <c r="T151" s="63"/>
      <c r="U151" s="63"/>
    </row>
    <row r="152" spans="1:21" s="3" customFormat="1" ht="14.1" customHeight="1" x14ac:dyDescent="0.25">
      <c r="A152" s="16" t="s">
        <v>145</v>
      </c>
      <c r="B152" s="16" t="s">
        <v>146</v>
      </c>
      <c r="C152" s="17" t="s">
        <v>147</v>
      </c>
      <c r="D152" s="19">
        <f t="shared" ref="D152:Q152" si="39">D130+D134+D136+D139+D140+D143+D147</f>
        <v>28553</v>
      </c>
      <c r="E152" s="19">
        <f t="shared" si="39"/>
        <v>30240</v>
      </c>
      <c r="F152" s="19">
        <f t="shared" si="39"/>
        <v>7565</v>
      </c>
      <c r="G152" s="19">
        <f t="shared" si="39"/>
        <v>8120</v>
      </c>
      <c r="H152" s="19">
        <f t="shared" si="39"/>
        <v>1860</v>
      </c>
      <c r="I152" s="59">
        <f t="shared" si="39"/>
        <v>1860</v>
      </c>
      <c r="J152" s="59">
        <f t="shared" si="39"/>
        <v>10482</v>
      </c>
      <c r="K152" s="59">
        <f t="shared" si="39"/>
        <v>10480</v>
      </c>
      <c r="L152" s="59">
        <f t="shared" si="39"/>
        <v>7126</v>
      </c>
      <c r="M152" s="59">
        <f t="shared" si="39"/>
        <v>8780</v>
      </c>
      <c r="N152" s="59">
        <f t="shared" si="39"/>
        <v>0</v>
      </c>
      <c r="O152" s="59">
        <f t="shared" si="39"/>
        <v>0</v>
      </c>
      <c r="P152" s="59">
        <f t="shared" si="39"/>
        <v>960</v>
      </c>
      <c r="Q152" s="59">
        <f t="shared" si="39"/>
        <v>1000</v>
      </c>
      <c r="R152" s="59">
        <f>R130+R134+R136+R139+R140+R143+R147</f>
        <v>560</v>
      </c>
      <c r="S152" s="71"/>
      <c r="T152" s="59"/>
      <c r="U152" s="71"/>
    </row>
    <row r="153" spans="1:21" s="3" customFormat="1" ht="14.1" customHeight="1" x14ac:dyDescent="0.25">
      <c r="A153" s="7" t="s">
        <v>148</v>
      </c>
      <c r="B153" s="7" t="s">
        <v>149</v>
      </c>
      <c r="C153" s="8" t="s">
        <v>150</v>
      </c>
      <c r="D153" s="9">
        <f>F153+H153+J153+L153+N153+P153+R153</f>
        <v>1700</v>
      </c>
      <c r="E153" s="9">
        <f>G153+I153+K153+M153+O153+Q153+S153</f>
        <v>2000</v>
      </c>
      <c r="F153" s="10">
        <f>SUM(F154:F155)</f>
        <v>1000</v>
      </c>
      <c r="G153" s="10">
        <f t="shared" ref="G153:Q153" si="40">SUM(G154:G155)</f>
        <v>1200</v>
      </c>
      <c r="H153" s="10">
        <f t="shared" si="40"/>
        <v>650</v>
      </c>
      <c r="I153" s="52">
        <f t="shared" si="40"/>
        <v>600</v>
      </c>
      <c r="J153" s="52">
        <f t="shared" si="40"/>
        <v>0</v>
      </c>
      <c r="K153" s="52">
        <f t="shared" si="40"/>
        <v>0</v>
      </c>
      <c r="L153" s="52">
        <f t="shared" si="40"/>
        <v>50</v>
      </c>
      <c r="M153" s="52">
        <f t="shared" si="40"/>
        <v>200</v>
      </c>
      <c r="N153" s="52">
        <f t="shared" si="40"/>
        <v>0</v>
      </c>
      <c r="O153" s="52">
        <f t="shared" si="40"/>
        <v>0</v>
      </c>
      <c r="P153" s="52">
        <f t="shared" si="40"/>
        <v>0</v>
      </c>
      <c r="Q153" s="52">
        <f t="shared" si="40"/>
        <v>0</v>
      </c>
      <c r="R153" s="52">
        <f t="shared" ref="R153" si="41">SUM(R154:R155)</f>
        <v>0</v>
      </c>
      <c r="S153" s="65"/>
      <c r="T153" s="52"/>
      <c r="U153" s="65"/>
    </row>
    <row r="154" spans="1:21" ht="14.1" customHeight="1" x14ac:dyDescent="0.25">
      <c r="A154" s="24"/>
      <c r="B154" s="24"/>
      <c r="C154" s="25" t="s">
        <v>151</v>
      </c>
      <c r="D154" s="26"/>
      <c r="E154" s="26"/>
      <c r="F154" s="26">
        <v>1000</v>
      </c>
      <c r="G154" s="26">
        <v>1200</v>
      </c>
      <c r="H154" s="26">
        <v>650</v>
      </c>
      <c r="I154" s="58">
        <v>600</v>
      </c>
      <c r="J154" s="63"/>
      <c r="K154" s="78"/>
      <c r="L154" s="63">
        <v>50</v>
      </c>
      <c r="M154" s="78">
        <v>200</v>
      </c>
      <c r="N154" s="63"/>
      <c r="O154" s="63"/>
      <c r="P154" s="63"/>
      <c r="Q154" s="63"/>
      <c r="R154" s="63"/>
      <c r="S154" s="63"/>
      <c r="T154" s="63"/>
      <c r="U154" s="63"/>
    </row>
    <row r="155" spans="1:21" ht="14.1" customHeight="1" x14ac:dyDescent="0.25">
      <c r="A155" s="24"/>
      <c r="B155" s="24"/>
      <c r="C155" s="25" t="s">
        <v>152</v>
      </c>
      <c r="D155" s="26"/>
      <c r="E155" s="26"/>
      <c r="F155" s="26"/>
      <c r="G155" s="26"/>
      <c r="H155" s="26"/>
      <c r="I155" s="58"/>
      <c r="J155" s="63"/>
      <c r="K155" s="78"/>
      <c r="L155" s="63"/>
      <c r="M155" s="78"/>
      <c r="N155" s="63"/>
      <c r="O155" s="63"/>
      <c r="P155" s="63"/>
      <c r="Q155" s="63"/>
      <c r="R155" s="63"/>
      <c r="S155" s="63"/>
      <c r="T155" s="63"/>
      <c r="U155" s="63"/>
    </row>
    <row r="156" spans="1:21" s="3" customFormat="1" ht="14.1" customHeight="1" x14ac:dyDescent="0.25">
      <c r="A156" s="7" t="s">
        <v>153</v>
      </c>
      <c r="B156" s="7" t="s">
        <v>154</v>
      </c>
      <c r="C156" s="8" t="s">
        <v>155</v>
      </c>
      <c r="D156" s="9">
        <f>F156+H156+J156+L156+N156+P156+R156</f>
        <v>0</v>
      </c>
      <c r="E156" s="9">
        <f>G156+I156+K156+M156+O156+Q156+S156</f>
        <v>0</v>
      </c>
      <c r="F156" s="10">
        <v>0</v>
      </c>
      <c r="G156" s="10">
        <v>0</v>
      </c>
      <c r="H156" s="10">
        <v>0</v>
      </c>
      <c r="I156" s="52">
        <v>0</v>
      </c>
      <c r="J156" s="52">
        <v>0</v>
      </c>
      <c r="K156" s="80"/>
      <c r="L156" s="65">
        <v>0</v>
      </c>
      <c r="M156" s="80">
        <v>0</v>
      </c>
      <c r="N156" s="65">
        <v>0</v>
      </c>
      <c r="O156" s="65"/>
      <c r="P156" s="65">
        <v>0</v>
      </c>
      <c r="Q156" s="65">
        <v>0</v>
      </c>
      <c r="R156" s="65">
        <v>0</v>
      </c>
      <c r="S156" s="65"/>
      <c r="T156" s="65"/>
      <c r="U156" s="65"/>
    </row>
    <row r="157" spans="1:21" s="3" customFormat="1" ht="14.1" customHeight="1" x14ac:dyDescent="0.25">
      <c r="A157" s="16" t="s">
        <v>156</v>
      </c>
      <c r="B157" s="16" t="s">
        <v>157</v>
      </c>
      <c r="C157" s="17" t="s">
        <v>158</v>
      </c>
      <c r="D157" s="19">
        <f>D153+D156</f>
        <v>1700</v>
      </c>
      <c r="E157" s="19">
        <f t="shared" ref="E157:Q157" si="42">E153+E156</f>
        <v>2000</v>
      </c>
      <c r="F157" s="19">
        <f t="shared" si="42"/>
        <v>1000</v>
      </c>
      <c r="G157" s="19">
        <f t="shared" si="42"/>
        <v>1200</v>
      </c>
      <c r="H157" s="19">
        <f t="shared" si="42"/>
        <v>650</v>
      </c>
      <c r="I157" s="59">
        <f t="shared" si="42"/>
        <v>600</v>
      </c>
      <c r="J157" s="59">
        <f t="shared" si="42"/>
        <v>0</v>
      </c>
      <c r="K157" s="59">
        <f t="shared" si="42"/>
        <v>0</v>
      </c>
      <c r="L157" s="59">
        <f t="shared" si="42"/>
        <v>50</v>
      </c>
      <c r="M157" s="59">
        <f t="shared" si="42"/>
        <v>200</v>
      </c>
      <c r="N157" s="59">
        <f t="shared" si="42"/>
        <v>0</v>
      </c>
      <c r="O157" s="59">
        <f t="shared" si="42"/>
        <v>0</v>
      </c>
      <c r="P157" s="59">
        <f t="shared" si="42"/>
        <v>0</v>
      </c>
      <c r="Q157" s="59">
        <f t="shared" si="42"/>
        <v>0</v>
      </c>
      <c r="R157" s="59">
        <f t="shared" ref="R157" si="43">R153+R156</f>
        <v>0</v>
      </c>
      <c r="S157" s="71"/>
      <c r="T157" s="59"/>
      <c r="U157" s="71"/>
    </row>
    <row r="158" spans="1:21" s="3" customFormat="1" ht="14.1" customHeight="1" x14ac:dyDescent="0.25">
      <c r="A158" s="7" t="s">
        <v>159</v>
      </c>
      <c r="B158" s="7" t="s">
        <v>160</v>
      </c>
      <c r="C158" s="8" t="s">
        <v>161</v>
      </c>
      <c r="D158" s="9">
        <f>F158+H158+J158+L158+N158+P158+R158</f>
        <v>10941</v>
      </c>
      <c r="E158" s="9">
        <f>G158+I158+K158+M158+O158+Q158+S158</f>
        <v>7942</v>
      </c>
      <c r="F158" s="10">
        <f>SUM(F159:F160)</f>
        <v>3100</v>
      </c>
      <c r="G158" s="10">
        <f t="shared" ref="G158:Q158" si="44">SUM(G159:G160)</f>
        <v>3015</v>
      </c>
      <c r="H158" s="10">
        <f t="shared" si="44"/>
        <v>841</v>
      </c>
      <c r="I158" s="52">
        <f t="shared" si="44"/>
        <v>675</v>
      </c>
      <c r="J158" s="52">
        <f t="shared" si="44"/>
        <v>3006</v>
      </c>
      <c r="K158" s="52">
        <f t="shared" si="44"/>
        <v>2965</v>
      </c>
      <c r="L158" s="52">
        <f t="shared" si="44"/>
        <v>2657</v>
      </c>
      <c r="M158" s="80"/>
      <c r="N158" s="52">
        <f t="shared" si="44"/>
        <v>1187</v>
      </c>
      <c r="O158" s="52">
        <f t="shared" si="44"/>
        <v>1287</v>
      </c>
      <c r="P158" s="52">
        <f t="shared" si="44"/>
        <v>0</v>
      </c>
      <c r="Q158" s="52">
        <f t="shared" si="44"/>
        <v>0</v>
      </c>
      <c r="R158" s="52">
        <f t="shared" ref="R158" si="45">SUM(R159:R160)</f>
        <v>150</v>
      </c>
      <c r="S158" s="65"/>
      <c r="T158" s="52"/>
      <c r="U158" s="65"/>
    </row>
    <row r="159" spans="1:21" ht="14.1" customHeight="1" x14ac:dyDescent="0.25">
      <c r="A159" s="24"/>
      <c r="B159" s="24"/>
      <c r="C159" s="25" t="s">
        <v>162</v>
      </c>
      <c r="D159" s="26"/>
      <c r="E159" s="26"/>
      <c r="F159" s="26"/>
      <c r="G159" s="26"/>
      <c r="H159" s="26"/>
      <c r="I159" s="58"/>
      <c r="J159" s="63"/>
      <c r="K159" s="78"/>
      <c r="L159" s="63"/>
      <c r="M159" s="78"/>
      <c r="N159" s="63"/>
      <c r="O159" s="63"/>
      <c r="P159" s="63"/>
      <c r="Q159" s="63"/>
      <c r="R159" s="63"/>
      <c r="S159" s="63"/>
      <c r="T159" s="63"/>
      <c r="U159" s="63"/>
    </row>
    <row r="160" spans="1:21" ht="14.1" customHeight="1" x14ac:dyDescent="0.25">
      <c r="A160" s="24"/>
      <c r="B160" s="24"/>
      <c r="C160" s="25" t="s">
        <v>163</v>
      </c>
      <c r="D160" s="26"/>
      <c r="E160" s="26"/>
      <c r="F160" s="26">
        <v>3100</v>
      </c>
      <c r="G160" s="26">
        <f>ROUND((G118+G129+G152+G156)*0.27,0)</f>
        <v>3015</v>
      </c>
      <c r="H160" s="26">
        <v>841</v>
      </c>
      <c r="I160" s="58">
        <f>ROUND((I118+I129+I152+I156)*0.27,0)</f>
        <v>675</v>
      </c>
      <c r="J160" s="63">
        <v>3006</v>
      </c>
      <c r="K160" s="58">
        <f>ROUND((K118+K129+K152+K156)*0.27,0)</f>
        <v>2965</v>
      </c>
      <c r="L160" s="63">
        <v>2657</v>
      </c>
      <c r="M160" s="58"/>
      <c r="N160" s="63">
        <v>1187</v>
      </c>
      <c r="O160" s="58">
        <f>ROUND((O118+O129+O152+O156)*0.2,0)</f>
        <v>1287</v>
      </c>
      <c r="P160" s="63"/>
      <c r="Q160" s="63">
        <v>0</v>
      </c>
      <c r="R160" s="63">
        <v>150</v>
      </c>
      <c r="S160" s="63"/>
      <c r="T160" s="63"/>
      <c r="U160" s="63"/>
    </row>
    <row r="161" spans="1:21" s="3" customFormat="1" ht="14.1" customHeight="1" x14ac:dyDescent="0.25">
      <c r="A161" s="7" t="s">
        <v>164</v>
      </c>
      <c r="B161" s="7" t="s">
        <v>165</v>
      </c>
      <c r="C161" s="8" t="s">
        <v>166</v>
      </c>
      <c r="D161" s="9">
        <f>F161+H161+J161+L161+N161+P161+R161</f>
        <v>0</v>
      </c>
      <c r="E161" s="9">
        <f>G161+I161+K161+M161+O161+Q161+S161</f>
        <v>0</v>
      </c>
      <c r="F161" s="10">
        <f>SUM(F162:F164)</f>
        <v>0</v>
      </c>
      <c r="G161" s="10">
        <f t="shared" ref="G161:P161" si="46">SUM(G162:G164)</f>
        <v>0</v>
      </c>
      <c r="H161" s="10">
        <f t="shared" si="46"/>
        <v>0</v>
      </c>
      <c r="I161" s="52">
        <f t="shared" si="46"/>
        <v>0</v>
      </c>
      <c r="J161" s="52">
        <f t="shared" si="46"/>
        <v>0</v>
      </c>
      <c r="K161" s="52">
        <f t="shared" si="46"/>
        <v>0</v>
      </c>
      <c r="L161" s="52">
        <f t="shared" si="46"/>
        <v>0</v>
      </c>
      <c r="M161" s="52">
        <f t="shared" si="46"/>
        <v>0</v>
      </c>
      <c r="N161" s="52">
        <f t="shared" si="46"/>
        <v>0</v>
      </c>
      <c r="O161" s="52">
        <f t="shared" si="46"/>
        <v>0</v>
      </c>
      <c r="P161" s="52">
        <f t="shared" si="46"/>
        <v>0</v>
      </c>
      <c r="Q161" s="65">
        <v>0</v>
      </c>
      <c r="R161" s="52">
        <f t="shared" ref="R161" si="47">SUM(R162:R164)</f>
        <v>0</v>
      </c>
      <c r="S161" s="65"/>
      <c r="T161" s="52"/>
      <c r="U161" s="65"/>
    </row>
    <row r="162" spans="1:21" ht="14.1" customHeight="1" x14ac:dyDescent="0.25">
      <c r="A162" s="24"/>
      <c r="B162" s="24"/>
      <c r="C162" s="25" t="s">
        <v>167</v>
      </c>
      <c r="D162" s="26"/>
      <c r="E162" s="26"/>
      <c r="F162" s="26"/>
      <c r="G162" s="26"/>
      <c r="H162" s="26"/>
      <c r="I162" s="58"/>
      <c r="J162" s="63"/>
      <c r="K162" s="78"/>
      <c r="L162" s="63"/>
      <c r="M162" s="78"/>
      <c r="N162" s="63"/>
      <c r="O162" s="63"/>
      <c r="P162" s="63"/>
      <c r="Q162" s="63"/>
      <c r="R162" s="63"/>
      <c r="S162" s="63"/>
      <c r="T162" s="63"/>
      <c r="U162" s="63"/>
    </row>
    <row r="163" spans="1:21" ht="14.1" customHeight="1" x14ac:dyDescent="0.25">
      <c r="A163" s="24"/>
      <c r="B163" s="24"/>
      <c r="C163" s="25" t="s">
        <v>168</v>
      </c>
      <c r="D163" s="26"/>
      <c r="E163" s="26"/>
      <c r="F163" s="26"/>
      <c r="G163" s="26"/>
      <c r="H163" s="26"/>
      <c r="I163" s="58"/>
      <c r="J163" s="63"/>
      <c r="K163" s="78"/>
      <c r="L163" s="63"/>
      <c r="M163" s="78"/>
      <c r="N163" s="63"/>
      <c r="O163" s="63"/>
      <c r="P163" s="63"/>
      <c r="Q163" s="63"/>
      <c r="R163" s="63"/>
      <c r="S163" s="63"/>
      <c r="T163" s="63"/>
      <c r="U163" s="63"/>
    </row>
    <row r="164" spans="1:21" ht="14.1" customHeight="1" x14ac:dyDescent="0.25">
      <c r="A164" s="24"/>
      <c r="B164" s="24"/>
      <c r="C164" s="25" t="s">
        <v>169</v>
      </c>
      <c r="D164" s="26"/>
      <c r="E164" s="26"/>
      <c r="F164" s="26"/>
      <c r="G164" s="26"/>
      <c r="H164" s="26"/>
      <c r="I164" s="58"/>
      <c r="J164" s="63"/>
      <c r="K164" s="78"/>
      <c r="L164" s="63"/>
      <c r="M164" s="78"/>
      <c r="N164" s="63"/>
      <c r="O164" s="63"/>
      <c r="P164" s="63"/>
      <c r="Q164" s="63"/>
      <c r="R164" s="63"/>
      <c r="S164" s="63"/>
      <c r="T164" s="63"/>
      <c r="U164" s="63"/>
    </row>
    <row r="165" spans="1:21" s="3" customFormat="1" ht="14.1" customHeight="1" x14ac:dyDescent="0.25">
      <c r="A165" s="7" t="s">
        <v>170</v>
      </c>
      <c r="B165" s="7" t="s">
        <v>171</v>
      </c>
      <c r="C165" s="8" t="s">
        <v>172</v>
      </c>
      <c r="D165" s="9">
        <f>F165+H165+J165+L165+N165+P165+R165</f>
        <v>0</v>
      </c>
      <c r="E165" s="9">
        <f>G165+I165+K165+M165+O165+Q165+S165</f>
        <v>0</v>
      </c>
      <c r="F165" s="10">
        <f>SUM(F166:F169)</f>
        <v>0</v>
      </c>
      <c r="G165" s="10">
        <f t="shared" ref="G165:P165" si="48">SUM(G166:G169)</f>
        <v>0</v>
      </c>
      <c r="H165" s="10">
        <f t="shared" si="48"/>
        <v>0</v>
      </c>
      <c r="I165" s="52">
        <f t="shared" si="48"/>
        <v>0</v>
      </c>
      <c r="J165" s="52">
        <f t="shared" si="48"/>
        <v>0</v>
      </c>
      <c r="K165" s="52">
        <f t="shared" si="48"/>
        <v>0</v>
      </c>
      <c r="L165" s="52">
        <f t="shared" si="48"/>
        <v>0</v>
      </c>
      <c r="M165" s="52">
        <f t="shared" si="48"/>
        <v>0</v>
      </c>
      <c r="N165" s="52">
        <f t="shared" si="48"/>
        <v>0</v>
      </c>
      <c r="O165" s="52">
        <f t="shared" si="48"/>
        <v>0</v>
      </c>
      <c r="P165" s="52">
        <f t="shared" si="48"/>
        <v>0</v>
      </c>
      <c r="Q165" s="65">
        <v>0</v>
      </c>
      <c r="R165" s="52">
        <f t="shared" ref="R165" si="49">SUM(R166:R169)</f>
        <v>0</v>
      </c>
      <c r="S165" s="65"/>
      <c r="T165" s="52"/>
      <c r="U165" s="65"/>
    </row>
    <row r="166" spans="1:21" ht="14.1" customHeight="1" x14ac:dyDescent="0.25">
      <c r="A166" s="24"/>
      <c r="B166" s="24"/>
      <c r="C166" s="25" t="s">
        <v>173</v>
      </c>
      <c r="D166" s="26"/>
      <c r="E166" s="26"/>
      <c r="F166" s="26"/>
      <c r="G166" s="26"/>
      <c r="H166" s="26"/>
      <c r="I166" s="58"/>
      <c r="J166" s="63"/>
      <c r="K166" s="78"/>
      <c r="L166" s="63"/>
      <c r="M166" s="78"/>
      <c r="N166" s="63"/>
      <c r="O166" s="63"/>
      <c r="P166" s="63"/>
      <c r="Q166" s="63"/>
      <c r="R166" s="63"/>
      <c r="S166" s="63"/>
      <c r="T166" s="63"/>
      <c r="U166" s="63"/>
    </row>
    <row r="167" spans="1:21" ht="14.1" customHeight="1" x14ac:dyDescent="0.25">
      <c r="A167" s="24"/>
      <c r="B167" s="24"/>
      <c r="C167" s="25" t="s">
        <v>174</v>
      </c>
      <c r="D167" s="26"/>
      <c r="E167" s="26"/>
      <c r="F167" s="26"/>
      <c r="G167" s="26"/>
      <c r="H167" s="26"/>
      <c r="I167" s="58"/>
      <c r="J167" s="63"/>
      <c r="K167" s="78"/>
      <c r="L167" s="63"/>
      <c r="M167" s="78"/>
      <c r="N167" s="63"/>
      <c r="O167" s="63"/>
      <c r="P167" s="63"/>
      <c r="Q167" s="63"/>
      <c r="R167" s="63"/>
      <c r="S167" s="63"/>
      <c r="T167" s="63"/>
      <c r="U167" s="63"/>
    </row>
    <row r="168" spans="1:21" ht="14.1" customHeight="1" x14ac:dyDescent="0.25">
      <c r="A168" s="24"/>
      <c r="B168" s="24"/>
      <c r="C168" s="25" t="s">
        <v>175</v>
      </c>
      <c r="D168" s="26"/>
      <c r="E168" s="26"/>
      <c r="F168" s="26"/>
      <c r="G168" s="26"/>
      <c r="H168" s="26"/>
      <c r="I168" s="58"/>
      <c r="J168" s="63"/>
      <c r="K168" s="78"/>
      <c r="L168" s="63"/>
      <c r="M168" s="78"/>
      <c r="N168" s="63"/>
      <c r="O168" s="63"/>
      <c r="P168" s="63"/>
      <c r="Q168" s="63"/>
      <c r="R168" s="63"/>
      <c r="S168" s="63"/>
      <c r="T168" s="63"/>
      <c r="U168" s="63"/>
    </row>
    <row r="169" spans="1:21" ht="14.1" customHeight="1" x14ac:dyDescent="0.25">
      <c r="A169" s="24"/>
      <c r="B169" s="24"/>
      <c r="C169" s="25" t="s">
        <v>176</v>
      </c>
      <c r="D169" s="26"/>
      <c r="E169" s="26"/>
      <c r="F169" s="26"/>
      <c r="G169" s="26"/>
      <c r="H169" s="26"/>
      <c r="I169" s="58"/>
      <c r="J169" s="63"/>
      <c r="K169" s="78"/>
      <c r="L169" s="63"/>
      <c r="M169" s="78"/>
      <c r="N169" s="63"/>
      <c r="O169" s="63"/>
      <c r="P169" s="63"/>
      <c r="Q169" s="63"/>
      <c r="R169" s="63"/>
      <c r="S169" s="63"/>
      <c r="T169" s="63"/>
      <c r="U169" s="63"/>
    </row>
    <row r="170" spans="1:21" s="3" customFormat="1" ht="14.1" customHeight="1" x14ac:dyDescent="0.25">
      <c r="A170" s="7" t="s">
        <v>177</v>
      </c>
      <c r="B170" s="7" t="s">
        <v>178</v>
      </c>
      <c r="C170" s="8" t="s">
        <v>179</v>
      </c>
      <c r="D170" s="9">
        <f>F170+H170+J170+L170+N170+P170+R170</f>
        <v>0</v>
      </c>
      <c r="E170" s="9">
        <f>G170+I170+K170+M170+O170+Q170+S170</f>
        <v>0</v>
      </c>
      <c r="F170" s="10">
        <f>SUM(F171:F172)</f>
        <v>0</v>
      </c>
      <c r="G170" s="10">
        <f t="shared" ref="G170:P170" si="50">SUM(G171:G172)</f>
        <v>0</v>
      </c>
      <c r="H170" s="10">
        <f t="shared" si="50"/>
        <v>0</v>
      </c>
      <c r="I170" s="52">
        <f t="shared" si="50"/>
        <v>0</v>
      </c>
      <c r="J170" s="52">
        <f t="shared" si="50"/>
        <v>0</v>
      </c>
      <c r="K170" s="52">
        <f t="shared" si="50"/>
        <v>0</v>
      </c>
      <c r="L170" s="52">
        <f t="shared" si="50"/>
        <v>0</v>
      </c>
      <c r="M170" s="52">
        <f t="shared" si="50"/>
        <v>0</v>
      </c>
      <c r="N170" s="52">
        <f t="shared" si="50"/>
        <v>0</v>
      </c>
      <c r="O170" s="52">
        <f t="shared" si="50"/>
        <v>0</v>
      </c>
      <c r="P170" s="52">
        <f t="shared" si="50"/>
        <v>0</v>
      </c>
      <c r="Q170" s="65">
        <v>0</v>
      </c>
      <c r="R170" s="52">
        <f t="shared" ref="R170" si="51">SUM(R171:R172)</f>
        <v>0</v>
      </c>
      <c r="S170" s="65"/>
      <c r="T170" s="52"/>
      <c r="U170" s="65"/>
    </row>
    <row r="171" spans="1:21" ht="14.1" customHeight="1" x14ac:dyDescent="0.25">
      <c r="A171" s="24"/>
      <c r="B171" s="24"/>
      <c r="C171" s="25" t="s">
        <v>180</v>
      </c>
      <c r="D171" s="26"/>
      <c r="E171" s="26"/>
      <c r="F171" s="26"/>
      <c r="G171" s="26"/>
      <c r="H171" s="26"/>
      <c r="I171" s="58"/>
      <c r="J171" s="63"/>
      <c r="K171" s="78"/>
      <c r="L171" s="63"/>
      <c r="M171" s="78"/>
      <c r="N171" s="63"/>
      <c r="O171" s="63"/>
      <c r="P171" s="63"/>
      <c r="Q171" s="63"/>
      <c r="R171" s="63"/>
      <c r="S171" s="63"/>
      <c r="T171" s="63"/>
      <c r="U171" s="63"/>
    </row>
    <row r="172" spans="1:21" ht="14.1" customHeight="1" x14ac:dyDescent="0.25">
      <c r="A172" s="24"/>
      <c r="B172" s="24"/>
      <c r="C172" s="25" t="s">
        <v>181</v>
      </c>
      <c r="D172" s="26"/>
      <c r="E172" s="26"/>
      <c r="F172" s="26"/>
      <c r="G172" s="26"/>
      <c r="H172" s="26"/>
      <c r="I172" s="58"/>
      <c r="J172" s="63"/>
      <c r="K172" s="78"/>
      <c r="L172" s="63"/>
      <c r="M172" s="78"/>
      <c r="N172" s="63"/>
      <c r="O172" s="63"/>
      <c r="P172" s="63"/>
      <c r="Q172" s="63"/>
      <c r="R172" s="63"/>
      <c r="S172" s="63"/>
      <c r="T172" s="63"/>
      <c r="U172" s="63"/>
    </row>
    <row r="173" spans="1:21" s="3" customFormat="1" ht="14.1" customHeight="1" x14ac:dyDescent="0.25">
      <c r="A173" s="7" t="s">
        <v>182</v>
      </c>
      <c r="B173" s="7" t="s">
        <v>183</v>
      </c>
      <c r="C173" s="8" t="s">
        <v>184</v>
      </c>
      <c r="D173" s="9">
        <f>F173+H173+J173+L173+N173+P173+R173</f>
        <v>50</v>
      </c>
      <c r="E173" s="9">
        <f>G173+I173+K173+M173+O173+Q173+S173</f>
        <v>800</v>
      </c>
      <c r="F173" s="10">
        <f>SUM(F174:F177)</f>
        <v>30</v>
      </c>
      <c r="G173" s="10">
        <f t="shared" ref="G173:P173" si="52">SUM(G174:G177)</f>
        <v>200</v>
      </c>
      <c r="H173" s="10">
        <f t="shared" si="52"/>
        <v>0</v>
      </c>
      <c r="I173" s="52">
        <f t="shared" si="52"/>
        <v>100</v>
      </c>
      <c r="J173" s="52">
        <f t="shared" si="52"/>
        <v>20</v>
      </c>
      <c r="K173" s="52">
        <f t="shared" si="52"/>
        <v>100</v>
      </c>
      <c r="L173" s="52">
        <f t="shared" si="52"/>
        <v>0</v>
      </c>
      <c r="M173" s="52">
        <f t="shared" si="52"/>
        <v>200</v>
      </c>
      <c r="N173" s="52">
        <f t="shared" si="52"/>
        <v>0</v>
      </c>
      <c r="O173" s="52">
        <f t="shared" si="52"/>
        <v>200</v>
      </c>
      <c r="P173" s="52">
        <f t="shared" si="52"/>
        <v>0</v>
      </c>
      <c r="Q173" s="65">
        <v>0</v>
      </c>
      <c r="R173" s="52">
        <f t="shared" ref="R173" si="53">SUM(R174:R177)</f>
        <v>0</v>
      </c>
      <c r="S173" s="65"/>
      <c r="T173" s="52"/>
      <c r="U173" s="65"/>
    </row>
    <row r="174" spans="1:21" ht="14.1" customHeight="1" x14ac:dyDescent="0.25">
      <c r="A174" s="24"/>
      <c r="B174" s="24"/>
      <c r="C174" s="25" t="s">
        <v>185</v>
      </c>
      <c r="D174" s="26"/>
      <c r="E174" s="26"/>
      <c r="F174" s="26"/>
      <c r="G174" s="26"/>
      <c r="H174" s="26"/>
      <c r="I174" s="58"/>
      <c r="J174" s="63"/>
      <c r="K174" s="78"/>
      <c r="L174" s="63"/>
      <c r="M174" s="78"/>
      <c r="N174" s="63"/>
      <c r="O174" s="63"/>
      <c r="P174" s="63"/>
      <c r="Q174" s="63"/>
      <c r="R174" s="63"/>
      <c r="S174" s="63"/>
      <c r="T174" s="63"/>
      <c r="U174" s="63"/>
    </row>
    <row r="175" spans="1:21" ht="14.1" customHeight="1" x14ac:dyDescent="0.25">
      <c r="A175" s="24"/>
      <c r="B175" s="24"/>
      <c r="C175" s="25" t="s">
        <v>186</v>
      </c>
      <c r="D175" s="26"/>
      <c r="E175" s="26"/>
      <c r="F175" s="26"/>
      <c r="G175" s="26"/>
      <c r="H175" s="26"/>
      <c r="I175" s="58"/>
      <c r="J175" s="63">
        <v>20</v>
      </c>
      <c r="K175" s="78"/>
      <c r="L175" s="63"/>
      <c r="M175" s="78"/>
      <c r="N175" s="63"/>
      <c r="O175" s="63"/>
      <c r="P175" s="63"/>
      <c r="Q175" s="63"/>
      <c r="R175" s="63"/>
      <c r="S175" s="63"/>
      <c r="T175" s="63"/>
      <c r="U175" s="63"/>
    </row>
    <row r="176" spans="1:21" ht="14.1" customHeight="1" x14ac:dyDescent="0.25">
      <c r="A176" s="24"/>
      <c r="B176" s="24"/>
      <c r="C176" s="25" t="s">
        <v>187</v>
      </c>
      <c r="D176" s="26"/>
      <c r="E176" s="26"/>
      <c r="F176" s="26"/>
      <c r="G176" s="26"/>
      <c r="H176" s="26"/>
      <c r="I176" s="58"/>
      <c r="J176" s="63"/>
      <c r="K176" s="78"/>
      <c r="L176" s="63"/>
      <c r="M176" s="78"/>
      <c r="N176" s="63"/>
      <c r="O176" s="63"/>
      <c r="P176" s="63"/>
      <c r="Q176" s="63"/>
      <c r="R176" s="63"/>
      <c r="S176" s="63"/>
      <c r="T176" s="63"/>
      <c r="U176" s="63"/>
    </row>
    <row r="177" spans="1:264" ht="14.1" customHeight="1" x14ac:dyDescent="0.25">
      <c r="A177" s="24"/>
      <c r="B177" s="24"/>
      <c r="C177" s="25" t="s">
        <v>188</v>
      </c>
      <c r="D177" s="26"/>
      <c r="E177" s="26"/>
      <c r="F177" s="26">
        <v>30</v>
      </c>
      <c r="G177" s="26">
        <v>200</v>
      </c>
      <c r="H177" s="26"/>
      <c r="I177" s="58">
        <v>100</v>
      </c>
      <c r="J177" s="63"/>
      <c r="K177" s="78">
        <v>100</v>
      </c>
      <c r="L177" s="63"/>
      <c r="M177" s="78">
        <v>200</v>
      </c>
      <c r="N177" s="63"/>
      <c r="O177" s="63">
        <v>200</v>
      </c>
      <c r="P177" s="63"/>
      <c r="Q177" s="63"/>
      <c r="R177" s="63"/>
      <c r="S177" s="63"/>
      <c r="T177" s="63"/>
      <c r="U177" s="63"/>
    </row>
    <row r="178" spans="1:264" s="3" customFormat="1" ht="14.1" customHeight="1" x14ac:dyDescent="0.25">
      <c r="A178" s="16" t="s">
        <v>189</v>
      </c>
      <c r="B178" s="16" t="s">
        <v>190</v>
      </c>
      <c r="C178" s="17" t="s">
        <v>191</v>
      </c>
      <c r="D178" s="19">
        <f>D158+D161+D165+D170+D173</f>
        <v>10991</v>
      </c>
      <c r="E178" s="19">
        <f t="shared" ref="E178:Q178" si="54">E158+E161+E165+E170+E173</f>
        <v>8742</v>
      </c>
      <c r="F178" s="19">
        <f t="shared" si="54"/>
        <v>3130</v>
      </c>
      <c r="G178" s="19">
        <f t="shared" si="54"/>
        <v>3215</v>
      </c>
      <c r="H178" s="19">
        <f t="shared" si="54"/>
        <v>841</v>
      </c>
      <c r="I178" s="59">
        <f t="shared" si="54"/>
        <v>775</v>
      </c>
      <c r="J178" s="59">
        <f t="shared" si="54"/>
        <v>3026</v>
      </c>
      <c r="K178" s="59">
        <f t="shared" si="54"/>
        <v>3065</v>
      </c>
      <c r="L178" s="59">
        <f t="shared" si="54"/>
        <v>2657</v>
      </c>
      <c r="M178" s="59">
        <f t="shared" si="54"/>
        <v>200</v>
      </c>
      <c r="N178" s="59">
        <f t="shared" si="54"/>
        <v>1187</v>
      </c>
      <c r="O178" s="59">
        <f t="shared" ref="O178" si="55">O158+O161+O165+O170+O173</f>
        <v>1487</v>
      </c>
      <c r="P178" s="59">
        <f t="shared" si="54"/>
        <v>0</v>
      </c>
      <c r="Q178" s="59">
        <f t="shared" si="54"/>
        <v>0</v>
      </c>
      <c r="R178" s="59">
        <f t="shared" ref="R178" si="56">R158+R161+R165+R170+R173</f>
        <v>150</v>
      </c>
      <c r="S178" s="71"/>
      <c r="T178" s="59"/>
      <c r="U178" s="71"/>
    </row>
    <row r="179" spans="1:264" s="3" customFormat="1" ht="14.1" customHeight="1" x14ac:dyDescent="0.25">
      <c r="A179" s="20" t="s">
        <v>192</v>
      </c>
      <c r="B179" s="20" t="s">
        <v>193</v>
      </c>
      <c r="C179" s="21" t="s">
        <v>292</v>
      </c>
      <c r="D179" s="23">
        <f t="shared" ref="D179:P179" si="57">D118+D129+D152+D157+D178</f>
        <v>54014</v>
      </c>
      <c r="E179" s="23">
        <f t="shared" si="57"/>
        <v>54468</v>
      </c>
      <c r="F179" s="23">
        <f t="shared" si="57"/>
        <v>14610</v>
      </c>
      <c r="G179" s="23">
        <f t="shared" si="57"/>
        <v>15581</v>
      </c>
      <c r="H179" s="23">
        <f t="shared" si="57"/>
        <v>3956</v>
      </c>
      <c r="I179" s="60">
        <f t="shared" si="57"/>
        <v>3875</v>
      </c>
      <c r="J179" s="60">
        <f t="shared" si="57"/>
        <v>14158</v>
      </c>
      <c r="K179" s="60">
        <f t="shared" si="57"/>
        <v>14045</v>
      </c>
      <c r="L179" s="60">
        <f t="shared" si="57"/>
        <v>12498</v>
      </c>
      <c r="M179" s="60">
        <f t="shared" si="57"/>
        <v>12045</v>
      </c>
      <c r="N179" s="60">
        <f t="shared" si="57"/>
        <v>7122</v>
      </c>
      <c r="O179" s="60">
        <f t="shared" si="57"/>
        <v>7922</v>
      </c>
      <c r="P179" s="60">
        <f t="shared" si="57"/>
        <v>960</v>
      </c>
      <c r="Q179" s="60">
        <f t="shared" ref="Q179" si="58">Q118+Q129+Q152+Q157+Q178</f>
        <v>1000</v>
      </c>
      <c r="R179" s="60">
        <f>R118+R129+R152+R157+R178</f>
        <v>710</v>
      </c>
      <c r="S179" s="72"/>
      <c r="T179" s="60"/>
      <c r="U179" s="72"/>
    </row>
    <row r="180" spans="1:264" ht="14.1" customHeight="1" x14ac:dyDescent="0.2">
      <c r="A180" s="963" t="s">
        <v>291</v>
      </c>
      <c r="B180" s="964"/>
      <c r="C180" s="965"/>
      <c r="D180" s="28">
        <f t="shared" ref="D180:P180" si="59">D92+D179</f>
        <v>189949</v>
      </c>
      <c r="E180" s="28">
        <f t="shared" si="59"/>
        <v>206099</v>
      </c>
      <c r="F180" s="28">
        <f t="shared" si="59"/>
        <v>62506</v>
      </c>
      <c r="G180" s="28">
        <f t="shared" si="59"/>
        <v>70680</v>
      </c>
      <c r="H180" s="28">
        <f t="shared" si="59"/>
        <v>21616</v>
      </c>
      <c r="I180" s="61">
        <f t="shared" si="59"/>
        <v>23124</v>
      </c>
      <c r="J180" s="61">
        <f t="shared" si="59"/>
        <v>14158</v>
      </c>
      <c r="K180" s="61">
        <f t="shared" si="59"/>
        <v>14045</v>
      </c>
      <c r="L180" s="61">
        <f t="shared" si="59"/>
        <v>82877</v>
      </c>
      <c r="M180" s="61">
        <f t="shared" si="59"/>
        <v>89328</v>
      </c>
      <c r="N180" s="61">
        <f t="shared" si="59"/>
        <v>7122</v>
      </c>
      <c r="O180" s="61">
        <f t="shared" si="59"/>
        <v>7922</v>
      </c>
      <c r="P180" s="61">
        <f t="shared" si="59"/>
        <v>960</v>
      </c>
      <c r="Q180" s="61">
        <f t="shared" ref="Q180" si="60">Q92+Q179</f>
        <v>1000</v>
      </c>
      <c r="R180" s="61">
        <f>R92+R179</f>
        <v>710</v>
      </c>
      <c r="S180" s="73"/>
      <c r="T180" s="61"/>
      <c r="U180" s="73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  <c r="HP180" s="27"/>
      <c r="HQ180" s="27"/>
      <c r="HR180" s="27"/>
      <c r="HS180" s="27"/>
      <c r="HT180" s="27"/>
      <c r="HU180" s="27"/>
      <c r="HV180" s="27"/>
      <c r="HW180" s="27"/>
      <c r="HX180" s="27"/>
      <c r="HY180" s="27"/>
      <c r="HZ180" s="27"/>
      <c r="IA180" s="27"/>
      <c r="IB180" s="27"/>
      <c r="IC180" s="27"/>
      <c r="ID180" s="27"/>
      <c r="IE180" s="27"/>
      <c r="IF180" s="27"/>
      <c r="IG180" s="27"/>
      <c r="IH180" s="27"/>
      <c r="II180" s="27"/>
      <c r="IJ180" s="27"/>
      <c r="IK180" s="27"/>
      <c r="IL180" s="27"/>
      <c r="IM180" s="27"/>
      <c r="IN180" s="27"/>
      <c r="IO180" s="27"/>
      <c r="IP180" s="27"/>
      <c r="IQ180" s="27"/>
      <c r="IR180" s="27"/>
      <c r="IS180" s="27"/>
      <c r="IT180" s="27"/>
      <c r="IU180" s="27"/>
      <c r="IV180" s="27"/>
      <c r="IW180" s="27"/>
      <c r="IX180" s="27"/>
      <c r="IY180" s="27"/>
      <c r="IZ180" s="27"/>
      <c r="JA180" s="27"/>
      <c r="JB180" s="27"/>
      <c r="JC180" s="27"/>
      <c r="JD180" s="27"/>
    </row>
    <row r="181" spans="1:264" ht="12.75" customHeight="1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  <c r="GZ181" s="27"/>
      <c r="HA181" s="27"/>
      <c r="HB181" s="27"/>
      <c r="HC181" s="27"/>
      <c r="HD181" s="27"/>
      <c r="HE181" s="27"/>
      <c r="HF181" s="27"/>
      <c r="HG181" s="27"/>
      <c r="HH181" s="27"/>
      <c r="HI181" s="27"/>
      <c r="HJ181" s="27"/>
      <c r="HK181" s="27"/>
      <c r="HL181" s="27"/>
      <c r="HM181" s="27"/>
      <c r="HN181" s="27"/>
      <c r="HO181" s="27"/>
      <c r="HP181" s="27"/>
      <c r="HQ181" s="27"/>
      <c r="HR181" s="27"/>
      <c r="HS181" s="27"/>
      <c r="HT181" s="27"/>
      <c r="HU181" s="27"/>
      <c r="HV181" s="27"/>
      <c r="HW181" s="27"/>
      <c r="HX181" s="27"/>
      <c r="HY181" s="27"/>
      <c r="HZ181" s="27"/>
      <c r="IA181" s="27"/>
      <c r="IB181" s="27"/>
      <c r="IC181" s="27"/>
      <c r="ID181" s="27"/>
      <c r="IE181" s="27"/>
      <c r="IF181" s="27"/>
      <c r="IG181" s="27"/>
      <c r="IH181" s="27"/>
      <c r="II181" s="27"/>
      <c r="IJ181" s="27"/>
      <c r="IK181" s="27"/>
      <c r="IL181" s="27"/>
      <c r="IM181" s="27"/>
      <c r="IN181" s="27"/>
      <c r="IO181" s="27"/>
      <c r="IP181" s="27"/>
      <c r="IQ181" s="27"/>
      <c r="IR181" s="27"/>
      <c r="IS181" s="27"/>
      <c r="IT181" s="27"/>
      <c r="IU181" s="27"/>
      <c r="IV181" s="27"/>
      <c r="IW181" s="27"/>
      <c r="IX181" s="27"/>
      <c r="IY181" s="27"/>
      <c r="IZ181" s="27"/>
      <c r="JA181" s="27"/>
      <c r="JB181" s="27"/>
      <c r="JC181" s="27"/>
      <c r="JD181" s="27"/>
    </row>
    <row r="182" spans="1:264" ht="14.1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  <c r="HX182" s="27"/>
      <c r="HY182" s="27"/>
      <c r="HZ182" s="27"/>
      <c r="IA182" s="27"/>
      <c r="IB182" s="27"/>
      <c r="IC182" s="27"/>
      <c r="ID182" s="27"/>
      <c r="IE182" s="27"/>
      <c r="IF182" s="27"/>
      <c r="IG182" s="27"/>
      <c r="IH182" s="27"/>
      <c r="II182" s="27"/>
      <c r="IJ182" s="27"/>
      <c r="IK182" s="27"/>
      <c r="IL182" s="27"/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  <c r="IW182" s="27"/>
      <c r="IX182" s="27"/>
      <c r="IY182" s="27"/>
      <c r="IZ182" s="27"/>
      <c r="JA182" s="27"/>
      <c r="JB182" s="27"/>
      <c r="JC182" s="27"/>
      <c r="JD182" s="27"/>
    </row>
    <row r="183" spans="1:264" ht="14.1" customHeight="1" x14ac:dyDescent="0.25">
      <c r="J183" s="51"/>
      <c r="K183" s="51"/>
      <c r="L183" s="51"/>
      <c r="M183" s="51"/>
      <c r="N183" s="51"/>
      <c r="O183" s="51"/>
      <c r="P183" s="51"/>
      <c r="Q183" s="51"/>
      <c r="R183" s="51"/>
      <c r="S183" s="51"/>
    </row>
    <row r="184" spans="1:264" s="1" customFormat="1" ht="12.75" customHeight="1" x14ac:dyDescent="0.25">
      <c r="A184" s="957" t="s">
        <v>412</v>
      </c>
      <c r="B184" s="957"/>
      <c r="C184" s="957"/>
      <c r="D184" s="957"/>
      <c r="E184" s="957"/>
      <c r="F184" s="957"/>
      <c r="G184" s="957"/>
      <c r="H184" s="957"/>
      <c r="I184" s="957"/>
      <c r="J184" s="957"/>
      <c r="K184" s="957"/>
      <c r="L184" s="957" t="s">
        <v>412</v>
      </c>
      <c r="M184" s="957"/>
      <c r="N184" s="957"/>
      <c r="O184" s="957"/>
      <c r="P184" s="957"/>
      <c r="Q184" s="957"/>
      <c r="R184" s="957"/>
      <c r="S184" s="957"/>
      <c r="T184" s="957"/>
      <c r="U184" s="957"/>
    </row>
    <row r="185" spans="1:264" s="1" customFormat="1" ht="14.1" customHeight="1" x14ac:dyDescent="0.25">
      <c r="A185" s="995" t="s">
        <v>0</v>
      </c>
      <c r="B185" s="996" t="s">
        <v>1</v>
      </c>
      <c r="C185" s="995" t="s">
        <v>2</v>
      </c>
      <c r="D185" s="953" t="s">
        <v>260</v>
      </c>
      <c r="E185" s="992" t="s">
        <v>259</v>
      </c>
      <c r="F185" s="993" t="s">
        <v>413</v>
      </c>
      <c r="G185" s="994"/>
      <c r="H185" s="993" t="s">
        <v>414</v>
      </c>
      <c r="I185" s="997"/>
      <c r="J185" s="990" t="s">
        <v>415</v>
      </c>
      <c r="K185" s="991"/>
      <c r="L185" s="990" t="s">
        <v>416</v>
      </c>
      <c r="M185" s="991"/>
      <c r="N185" s="990" t="s">
        <v>417</v>
      </c>
      <c r="O185" s="1000"/>
      <c r="P185" s="998" t="s">
        <v>418</v>
      </c>
      <c r="Q185" s="999"/>
      <c r="R185" s="998" t="s">
        <v>419</v>
      </c>
      <c r="S185" s="999"/>
      <c r="T185" s="998"/>
      <c r="U185" s="999"/>
    </row>
    <row r="186" spans="1:264" s="3" customFormat="1" ht="27" customHeight="1" x14ac:dyDescent="0.25">
      <c r="A186" s="957"/>
      <c r="B186" s="961"/>
      <c r="C186" s="957"/>
      <c r="D186" s="962"/>
      <c r="E186" s="953"/>
      <c r="F186" s="50" t="s">
        <v>260</v>
      </c>
      <c r="G186" s="50" t="s">
        <v>259</v>
      </c>
      <c r="H186" s="50" t="s">
        <v>260</v>
      </c>
      <c r="I186" s="49" t="s">
        <v>259</v>
      </c>
      <c r="J186" s="50" t="s">
        <v>260</v>
      </c>
      <c r="K186" s="49" t="s">
        <v>259</v>
      </c>
      <c r="L186" s="62" t="s">
        <v>260</v>
      </c>
      <c r="M186" s="77" t="s">
        <v>259</v>
      </c>
      <c r="N186" s="83" t="s">
        <v>260</v>
      </c>
      <c r="O186" s="48" t="s">
        <v>259</v>
      </c>
      <c r="P186" s="84" t="s">
        <v>260</v>
      </c>
      <c r="Q186" s="85" t="s">
        <v>259</v>
      </c>
      <c r="R186" s="84" t="s">
        <v>260</v>
      </c>
      <c r="S186" s="85" t="s">
        <v>259</v>
      </c>
      <c r="T186" s="84"/>
      <c r="U186" s="85"/>
    </row>
    <row r="187" spans="1:264" ht="5.65" customHeight="1" x14ac:dyDescent="0.25">
      <c r="J187" s="63"/>
      <c r="K187" s="78"/>
      <c r="L187" s="63"/>
      <c r="M187" s="78"/>
      <c r="N187" s="63"/>
      <c r="O187" s="63"/>
      <c r="P187" s="63"/>
      <c r="Q187" s="63"/>
      <c r="R187" s="63"/>
      <c r="S187" s="63"/>
      <c r="T187" s="63"/>
      <c r="U187" s="63"/>
    </row>
    <row r="188" spans="1:264" ht="14.1" customHeight="1" x14ac:dyDescent="0.25">
      <c r="A188" s="956" t="s">
        <v>194</v>
      </c>
      <c r="B188" s="956"/>
      <c r="C188" s="956"/>
      <c r="D188" s="956"/>
      <c r="E188" s="956"/>
      <c r="F188" s="956"/>
      <c r="G188" s="956"/>
      <c r="H188" s="956"/>
      <c r="I188" s="956"/>
      <c r="J188" s="64"/>
      <c r="K188" s="79"/>
      <c r="L188" s="64"/>
      <c r="M188" s="79"/>
      <c r="N188" s="64"/>
      <c r="O188" s="64"/>
      <c r="P188" s="64"/>
      <c r="Q188" s="64"/>
      <c r="R188" s="64"/>
      <c r="S188" s="64"/>
      <c r="T188" s="64"/>
      <c r="U188" s="64"/>
    </row>
    <row r="189" spans="1:264" ht="14.1" customHeight="1" x14ac:dyDescent="0.25">
      <c r="A189" s="24" t="s">
        <v>195</v>
      </c>
      <c r="B189" s="24" t="s">
        <v>196</v>
      </c>
      <c r="C189" s="25" t="s">
        <v>197</v>
      </c>
      <c r="D189" s="26">
        <f>F189+H189+J189+L189+N189+P189+R189</f>
        <v>0</v>
      </c>
      <c r="E189" s="26">
        <f>G189+I189+K189+M189+O189+Q189+S189</f>
        <v>0</v>
      </c>
      <c r="F189" s="26"/>
      <c r="G189" s="26"/>
      <c r="H189" s="26"/>
      <c r="I189" s="58"/>
      <c r="J189" s="63"/>
      <c r="K189" s="78"/>
      <c r="L189" s="63"/>
      <c r="M189" s="78"/>
      <c r="N189" s="63"/>
      <c r="O189" s="63"/>
      <c r="P189" s="63"/>
      <c r="Q189" s="63"/>
      <c r="R189" s="63"/>
      <c r="S189" s="63"/>
      <c r="T189" s="63"/>
      <c r="U189" s="63"/>
    </row>
    <row r="190" spans="1:264" ht="14.1" customHeight="1" x14ac:dyDescent="0.25">
      <c r="A190" s="24" t="s">
        <v>198</v>
      </c>
      <c r="B190" s="24" t="s">
        <v>199</v>
      </c>
      <c r="C190" s="25" t="s">
        <v>200</v>
      </c>
      <c r="D190" s="26">
        <f t="shared" ref="D190:E202" si="61">F190+H190+J190+L190+N190+P190+R190</f>
        <v>0</v>
      </c>
      <c r="E190" s="26">
        <f t="shared" si="61"/>
        <v>0</v>
      </c>
      <c r="F190" s="26"/>
      <c r="G190" s="26"/>
      <c r="H190" s="26"/>
      <c r="I190" s="58"/>
      <c r="J190" s="63"/>
      <c r="K190" s="78"/>
      <c r="L190" s="63"/>
      <c r="M190" s="78"/>
      <c r="N190" s="63"/>
      <c r="O190" s="63"/>
      <c r="P190" s="63"/>
      <c r="Q190" s="63"/>
      <c r="R190" s="63"/>
      <c r="S190" s="63"/>
      <c r="T190" s="63"/>
      <c r="U190" s="63"/>
    </row>
    <row r="191" spans="1:264" ht="14.1" customHeight="1" x14ac:dyDescent="0.25">
      <c r="A191" s="24" t="s">
        <v>201</v>
      </c>
      <c r="B191" s="24" t="s">
        <v>202</v>
      </c>
      <c r="C191" s="25" t="s">
        <v>203</v>
      </c>
      <c r="D191" s="26">
        <f t="shared" si="61"/>
        <v>200</v>
      </c>
      <c r="E191" s="26">
        <f t="shared" si="61"/>
        <v>200</v>
      </c>
      <c r="F191" s="26">
        <v>200</v>
      </c>
      <c r="G191" s="26">
        <v>200</v>
      </c>
      <c r="H191" s="26"/>
      <c r="I191" s="58"/>
      <c r="J191" s="63"/>
      <c r="K191" s="78"/>
      <c r="L191" s="63"/>
      <c r="M191" s="78"/>
      <c r="N191" s="63"/>
      <c r="O191" s="63"/>
      <c r="P191" s="63"/>
      <c r="Q191" s="63"/>
      <c r="R191" s="63"/>
      <c r="S191" s="63"/>
      <c r="T191" s="63"/>
      <c r="U191" s="63"/>
    </row>
    <row r="192" spans="1:264" ht="14.1" customHeight="1" x14ac:dyDescent="0.25">
      <c r="A192" s="24" t="s">
        <v>204</v>
      </c>
      <c r="B192" s="24" t="s">
        <v>205</v>
      </c>
      <c r="C192" s="25" t="s">
        <v>206</v>
      </c>
      <c r="D192" s="26">
        <f t="shared" si="61"/>
        <v>350</v>
      </c>
      <c r="E192" s="26">
        <f t="shared" si="61"/>
        <v>350</v>
      </c>
      <c r="F192" s="26">
        <v>100</v>
      </c>
      <c r="G192" s="26">
        <v>100</v>
      </c>
      <c r="H192" s="26">
        <v>100</v>
      </c>
      <c r="I192" s="58">
        <v>100</v>
      </c>
      <c r="J192" s="63"/>
      <c r="K192" s="78"/>
      <c r="L192" s="63">
        <v>150</v>
      </c>
      <c r="M192" s="78">
        <v>150</v>
      </c>
      <c r="N192" s="63"/>
      <c r="O192" s="63"/>
      <c r="P192" s="63"/>
      <c r="Q192" s="63"/>
      <c r="R192" s="63"/>
      <c r="S192" s="63"/>
      <c r="T192" s="63"/>
      <c r="U192" s="63"/>
    </row>
    <row r="193" spans="1:21" ht="14.1" customHeight="1" x14ac:dyDescent="0.25">
      <c r="A193" s="24"/>
      <c r="B193" s="24" t="s">
        <v>207</v>
      </c>
      <c r="C193" s="25" t="s">
        <v>208</v>
      </c>
      <c r="D193" s="26">
        <f t="shared" si="61"/>
        <v>0</v>
      </c>
      <c r="E193" s="26">
        <f t="shared" si="61"/>
        <v>0</v>
      </c>
      <c r="F193" s="26"/>
      <c r="G193" s="26"/>
      <c r="H193" s="26"/>
      <c r="I193" s="58"/>
      <c r="J193" s="63"/>
      <c r="K193" s="78"/>
      <c r="L193" s="63"/>
      <c r="M193" s="78"/>
      <c r="N193" s="63"/>
      <c r="O193" s="63"/>
      <c r="P193" s="63"/>
      <c r="Q193" s="63"/>
      <c r="R193" s="63"/>
      <c r="S193" s="63"/>
      <c r="T193" s="63"/>
      <c r="U193" s="63"/>
    </row>
    <row r="194" spans="1:21" ht="14.1" customHeight="1" x14ac:dyDescent="0.25">
      <c r="A194" s="24" t="s">
        <v>209</v>
      </c>
      <c r="B194" s="24" t="s">
        <v>210</v>
      </c>
      <c r="C194" s="25" t="s">
        <v>211</v>
      </c>
      <c r="D194" s="26">
        <f t="shared" si="61"/>
        <v>0</v>
      </c>
      <c r="E194" s="26">
        <f t="shared" si="61"/>
        <v>0</v>
      </c>
      <c r="F194" s="26"/>
      <c r="G194" s="26"/>
      <c r="H194" s="26"/>
      <c r="I194" s="58"/>
      <c r="J194" s="63"/>
      <c r="K194" s="78"/>
      <c r="L194" s="63"/>
      <c r="M194" s="78"/>
      <c r="N194" s="63"/>
      <c r="O194" s="63"/>
      <c r="P194" s="63"/>
      <c r="Q194" s="63"/>
      <c r="R194" s="63"/>
      <c r="S194" s="63"/>
      <c r="T194" s="63"/>
      <c r="U194" s="63"/>
    </row>
    <row r="195" spans="1:21" ht="14.1" customHeight="1" x14ac:dyDescent="0.25">
      <c r="A195" s="24" t="s">
        <v>212</v>
      </c>
      <c r="B195" s="24" t="s">
        <v>213</v>
      </c>
      <c r="C195" s="25" t="s">
        <v>214</v>
      </c>
      <c r="D195" s="26">
        <f t="shared" si="61"/>
        <v>0</v>
      </c>
      <c r="E195" s="26">
        <f t="shared" si="61"/>
        <v>0</v>
      </c>
      <c r="F195" s="26"/>
      <c r="G195" s="26"/>
      <c r="H195" s="26"/>
      <c r="I195" s="58"/>
      <c r="J195" s="63"/>
      <c r="K195" s="78"/>
      <c r="L195" s="63"/>
      <c r="M195" s="78"/>
      <c r="N195" s="63"/>
      <c r="O195" s="63"/>
      <c r="P195" s="63"/>
      <c r="Q195" s="63"/>
      <c r="R195" s="63"/>
      <c r="S195" s="63"/>
      <c r="T195" s="63"/>
      <c r="U195" s="63"/>
    </row>
    <row r="196" spans="1:21" ht="14.1" customHeight="1" x14ac:dyDescent="0.25">
      <c r="A196" s="24" t="s">
        <v>215</v>
      </c>
      <c r="B196" s="24" t="s">
        <v>216</v>
      </c>
      <c r="C196" s="25" t="s">
        <v>217</v>
      </c>
      <c r="D196" s="26">
        <f t="shared" si="61"/>
        <v>149</v>
      </c>
      <c r="E196" s="26">
        <f t="shared" si="61"/>
        <v>149</v>
      </c>
      <c r="F196" s="26">
        <v>81</v>
      </c>
      <c r="G196" s="26">
        <f>ROUND((G189+G190+G191+G192+G193)*0.27,0)</f>
        <v>81</v>
      </c>
      <c r="H196" s="26">
        <v>27</v>
      </c>
      <c r="I196" s="58">
        <f>ROUND((I189+I190+I191+I192+I193)*0.27,0)</f>
        <v>27</v>
      </c>
      <c r="J196" s="63"/>
      <c r="K196" s="78"/>
      <c r="L196" s="63">
        <v>41</v>
      </c>
      <c r="M196" s="58">
        <f>ROUND((M189+M190+M191+M192+M193)*0.27,0)</f>
        <v>41</v>
      </c>
      <c r="N196" s="63"/>
      <c r="O196" s="58">
        <f>ROUND((O189+O190+O191+O192+O193)*0.27,0)</f>
        <v>0</v>
      </c>
      <c r="P196" s="63"/>
      <c r="Q196" s="63"/>
      <c r="R196" s="63"/>
      <c r="S196" s="63"/>
      <c r="T196" s="63"/>
      <c r="U196" s="63"/>
    </row>
    <row r="197" spans="1:21" s="3" customFormat="1" ht="14.1" customHeight="1" x14ac:dyDescent="0.25">
      <c r="A197" s="20" t="s">
        <v>218</v>
      </c>
      <c r="B197" s="20" t="s">
        <v>219</v>
      </c>
      <c r="C197" s="21" t="s">
        <v>220</v>
      </c>
      <c r="D197" s="22">
        <f>SUM(D189:D196)</f>
        <v>699</v>
      </c>
      <c r="E197" s="22">
        <f t="shared" ref="E197:P197" si="62">SUM(E189:E196)</f>
        <v>699</v>
      </c>
      <c r="F197" s="22">
        <f t="shared" si="62"/>
        <v>381</v>
      </c>
      <c r="G197" s="22">
        <f t="shared" si="62"/>
        <v>381</v>
      </c>
      <c r="H197" s="22">
        <f t="shared" si="62"/>
        <v>127</v>
      </c>
      <c r="I197" s="55">
        <f t="shared" si="62"/>
        <v>127</v>
      </c>
      <c r="J197" s="55">
        <f t="shared" si="62"/>
        <v>0</v>
      </c>
      <c r="K197" s="55">
        <f t="shared" si="62"/>
        <v>0</v>
      </c>
      <c r="L197" s="22">
        <f t="shared" si="62"/>
        <v>191</v>
      </c>
      <c r="M197" s="22">
        <f t="shared" si="62"/>
        <v>191</v>
      </c>
      <c r="N197" s="22">
        <f t="shared" si="62"/>
        <v>0</v>
      </c>
      <c r="O197" s="22">
        <f t="shared" si="62"/>
        <v>0</v>
      </c>
      <c r="P197" s="22">
        <f t="shared" si="62"/>
        <v>0</v>
      </c>
      <c r="Q197" s="68"/>
      <c r="R197" s="22">
        <f t="shared" ref="R197" si="63">SUM(R189:R196)</f>
        <v>0</v>
      </c>
      <c r="S197" s="68"/>
      <c r="T197" s="22"/>
      <c r="U197" s="68"/>
    </row>
    <row r="198" spans="1:21" ht="14.1" customHeight="1" x14ac:dyDescent="0.25">
      <c r="A198" s="24" t="s">
        <v>221</v>
      </c>
      <c r="B198" s="24" t="s">
        <v>222</v>
      </c>
      <c r="C198" s="25" t="s">
        <v>223</v>
      </c>
      <c r="D198" s="26">
        <f t="shared" si="61"/>
        <v>0</v>
      </c>
      <c r="E198" s="26">
        <f t="shared" si="61"/>
        <v>0</v>
      </c>
      <c r="F198" s="26"/>
      <c r="G198" s="26"/>
      <c r="H198" s="26"/>
      <c r="I198" s="58"/>
      <c r="J198" s="63"/>
      <c r="K198" s="78"/>
      <c r="L198" s="63"/>
      <c r="M198" s="78"/>
      <c r="N198" s="63"/>
      <c r="O198" s="63"/>
      <c r="P198" s="63"/>
      <c r="Q198" s="63"/>
      <c r="R198" s="63"/>
      <c r="S198" s="63"/>
      <c r="T198" s="63"/>
      <c r="U198" s="63"/>
    </row>
    <row r="199" spans="1:21" ht="14.1" customHeight="1" x14ac:dyDescent="0.25">
      <c r="A199" s="24" t="s">
        <v>224</v>
      </c>
      <c r="B199" s="24" t="s">
        <v>225</v>
      </c>
      <c r="C199" s="25" t="s">
        <v>226</v>
      </c>
      <c r="D199" s="26">
        <f t="shared" si="61"/>
        <v>0</v>
      </c>
      <c r="E199" s="26">
        <f t="shared" si="61"/>
        <v>0</v>
      </c>
      <c r="F199" s="26"/>
      <c r="G199" s="26"/>
      <c r="H199" s="26"/>
      <c r="I199" s="58"/>
      <c r="J199" s="63"/>
      <c r="K199" s="78"/>
      <c r="L199" s="63"/>
      <c r="M199" s="78"/>
      <c r="N199" s="63"/>
      <c r="O199" s="63"/>
      <c r="P199" s="63"/>
      <c r="Q199" s="63"/>
      <c r="R199" s="63"/>
      <c r="S199" s="63"/>
      <c r="T199" s="63"/>
      <c r="U199" s="63"/>
    </row>
    <row r="200" spans="1:21" ht="14.1" customHeight="1" x14ac:dyDescent="0.25">
      <c r="A200" s="24" t="s">
        <v>227</v>
      </c>
      <c r="B200" s="24" t="s">
        <v>228</v>
      </c>
      <c r="C200" s="25" t="s">
        <v>229</v>
      </c>
      <c r="D200" s="26">
        <f t="shared" si="61"/>
        <v>0</v>
      </c>
      <c r="E200" s="26">
        <f t="shared" si="61"/>
        <v>0</v>
      </c>
      <c r="F200" s="26"/>
      <c r="G200" s="26"/>
      <c r="H200" s="26"/>
      <c r="I200" s="58"/>
      <c r="J200" s="63"/>
      <c r="K200" s="78"/>
      <c r="L200" s="63"/>
      <c r="M200" s="78"/>
      <c r="N200" s="63"/>
      <c r="O200" s="63"/>
      <c r="P200" s="63"/>
      <c r="Q200" s="63"/>
      <c r="R200" s="63"/>
      <c r="S200" s="63"/>
      <c r="T200" s="63"/>
      <c r="U200" s="63"/>
    </row>
    <row r="201" spans="1:21" ht="14.1" customHeight="1" x14ac:dyDescent="0.25">
      <c r="A201" s="24"/>
      <c r="B201" s="24" t="s">
        <v>230</v>
      </c>
      <c r="C201" s="25" t="s">
        <v>231</v>
      </c>
      <c r="D201" s="26">
        <f t="shared" si="61"/>
        <v>0</v>
      </c>
      <c r="E201" s="26">
        <f t="shared" si="61"/>
        <v>0</v>
      </c>
      <c r="F201" s="26"/>
      <c r="G201" s="26"/>
      <c r="H201" s="26"/>
      <c r="I201" s="58"/>
      <c r="J201" s="63"/>
      <c r="K201" s="78"/>
      <c r="L201" s="63"/>
      <c r="M201" s="78"/>
      <c r="N201" s="63"/>
      <c r="O201" s="63"/>
      <c r="P201" s="63"/>
      <c r="Q201" s="63"/>
      <c r="R201" s="63"/>
      <c r="S201" s="63"/>
      <c r="T201" s="63"/>
      <c r="U201" s="63"/>
    </row>
    <row r="202" spans="1:21" ht="14.1" customHeight="1" x14ac:dyDescent="0.25">
      <c r="A202" s="24" t="s">
        <v>232</v>
      </c>
      <c r="B202" s="24" t="s">
        <v>233</v>
      </c>
      <c r="C202" s="25" t="s">
        <v>234</v>
      </c>
      <c r="D202" s="26">
        <f t="shared" si="61"/>
        <v>0</v>
      </c>
      <c r="E202" s="26">
        <f t="shared" si="61"/>
        <v>0</v>
      </c>
      <c r="F202" s="26">
        <v>0</v>
      </c>
      <c r="G202" s="26">
        <f>ROUND((G198+G199+G200+G201)*0.27,0)</f>
        <v>0</v>
      </c>
      <c r="H202" s="26">
        <v>0</v>
      </c>
      <c r="I202" s="58">
        <f>ROUND((I198+I199+I200+I201)*0.27,0)</f>
        <v>0</v>
      </c>
      <c r="J202" s="63"/>
      <c r="K202" s="78"/>
      <c r="L202" s="63"/>
      <c r="M202" s="78"/>
      <c r="N202" s="63"/>
      <c r="O202" s="63"/>
      <c r="P202" s="63"/>
      <c r="Q202" s="63"/>
      <c r="R202" s="63"/>
      <c r="S202" s="63"/>
      <c r="T202" s="63"/>
      <c r="U202" s="63"/>
    </row>
    <row r="203" spans="1:21" s="3" customFormat="1" ht="14.1" customHeight="1" x14ac:dyDescent="0.25">
      <c r="A203" s="20" t="s">
        <v>235</v>
      </c>
      <c r="B203" s="20" t="s">
        <v>236</v>
      </c>
      <c r="C203" s="21" t="s">
        <v>237</v>
      </c>
      <c r="D203" s="22">
        <f>SUM(D198:D202)</f>
        <v>0</v>
      </c>
      <c r="E203" s="22">
        <f t="shared" ref="E203:P203" si="64">SUM(E198:E202)</f>
        <v>0</v>
      </c>
      <c r="F203" s="22">
        <f t="shared" si="64"/>
        <v>0</v>
      </c>
      <c r="G203" s="22">
        <f t="shared" si="64"/>
        <v>0</v>
      </c>
      <c r="H203" s="22">
        <f t="shared" si="64"/>
        <v>0</v>
      </c>
      <c r="I203" s="55">
        <f t="shared" si="64"/>
        <v>0</v>
      </c>
      <c r="J203" s="55">
        <f t="shared" si="64"/>
        <v>0</v>
      </c>
      <c r="K203" s="55">
        <f t="shared" si="64"/>
        <v>0</v>
      </c>
      <c r="L203" s="22">
        <f t="shared" si="64"/>
        <v>0</v>
      </c>
      <c r="M203" s="22">
        <f t="shared" si="64"/>
        <v>0</v>
      </c>
      <c r="N203" s="22">
        <f t="shared" si="64"/>
        <v>0</v>
      </c>
      <c r="O203" s="22">
        <f t="shared" si="64"/>
        <v>0</v>
      </c>
      <c r="P203" s="22">
        <f t="shared" si="64"/>
        <v>0</v>
      </c>
      <c r="Q203" s="68"/>
      <c r="R203" s="22">
        <f t="shared" ref="R203" si="65">SUM(R198:R202)</f>
        <v>0</v>
      </c>
      <c r="S203" s="68"/>
      <c r="T203" s="22"/>
      <c r="U203" s="68"/>
    </row>
    <row r="204" spans="1:21" s="3" customFormat="1" ht="14.1" customHeight="1" x14ac:dyDescent="0.25">
      <c r="A204" s="963" t="s">
        <v>293</v>
      </c>
      <c r="B204" s="964"/>
      <c r="C204" s="965" t="s">
        <v>238</v>
      </c>
      <c r="D204" s="28">
        <f>D197+D203</f>
        <v>699</v>
      </c>
      <c r="E204" s="28">
        <f t="shared" ref="E204:P204" si="66">E197+E203</f>
        <v>699</v>
      </c>
      <c r="F204" s="28">
        <f t="shared" si="66"/>
        <v>381</v>
      </c>
      <c r="G204" s="28">
        <f t="shared" si="66"/>
        <v>381</v>
      </c>
      <c r="H204" s="28">
        <f t="shared" si="66"/>
        <v>127</v>
      </c>
      <c r="I204" s="61">
        <f t="shared" si="66"/>
        <v>127</v>
      </c>
      <c r="J204" s="61">
        <f t="shared" si="66"/>
        <v>0</v>
      </c>
      <c r="K204" s="61">
        <f t="shared" si="66"/>
        <v>0</v>
      </c>
      <c r="L204" s="61">
        <f t="shared" si="66"/>
        <v>191</v>
      </c>
      <c r="M204" s="61">
        <f t="shared" si="66"/>
        <v>191</v>
      </c>
      <c r="N204" s="61">
        <f t="shared" si="66"/>
        <v>0</v>
      </c>
      <c r="O204" s="61">
        <f t="shared" si="66"/>
        <v>0</v>
      </c>
      <c r="P204" s="61">
        <f t="shared" si="66"/>
        <v>0</v>
      </c>
      <c r="Q204" s="73"/>
      <c r="R204" s="61">
        <f t="shared" ref="R204" si="67">R197+R203</f>
        <v>0</v>
      </c>
      <c r="S204" s="73"/>
      <c r="T204" s="61"/>
      <c r="U204" s="73"/>
    </row>
    <row r="205" spans="1:21" ht="6.75" customHeight="1" x14ac:dyDescent="0.25">
      <c r="J205" s="63"/>
      <c r="K205" s="78"/>
      <c r="L205" s="63"/>
      <c r="M205" s="78"/>
      <c r="N205" s="63"/>
      <c r="O205" s="63"/>
      <c r="P205" s="63"/>
      <c r="Q205" s="63"/>
      <c r="R205" s="63"/>
      <c r="S205" s="63"/>
      <c r="T205" s="63"/>
      <c r="U205" s="63"/>
    </row>
    <row r="206" spans="1:21" ht="14.1" customHeight="1" x14ac:dyDescent="0.25">
      <c r="A206" s="958" t="s">
        <v>294</v>
      </c>
      <c r="B206" s="959"/>
      <c r="C206" s="960"/>
      <c r="D206" s="30">
        <f>D204+D180</f>
        <v>190648</v>
      </c>
      <c r="E206" s="30">
        <f t="shared" ref="E206:Q206" si="68">E204+E180</f>
        <v>206798</v>
      </c>
      <c r="F206" s="30">
        <f t="shared" si="68"/>
        <v>62887</v>
      </c>
      <c r="G206" s="30">
        <f t="shared" si="68"/>
        <v>71061</v>
      </c>
      <c r="H206" s="30">
        <f t="shared" si="68"/>
        <v>21743</v>
      </c>
      <c r="I206" s="57">
        <f t="shared" si="68"/>
        <v>23251</v>
      </c>
      <c r="J206" s="57">
        <f t="shared" si="68"/>
        <v>14158</v>
      </c>
      <c r="K206" s="57">
        <f t="shared" si="68"/>
        <v>14045</v>
      </c>
      <c r="L206" s="57">
        <f t="shared" si="68"/>
        <v>83068</v>
      </c>
      <c r="M206" s="57">
        <f t="shared" si="68"/>
        <v>89519</v>
      </c>
      <c r="N206" s="57">
        <f t="shared" si="68"/>
        <v>7122</v>
      </c>
      <c r="O206" s="57">
        <f t="shared" si="68"/>
        <v>7922</v>
      </c>
      <c r="P206" s="57">
        <f t="shared" si="68"/>
        <v>960</v>
      </c>
      <c r="Q206" s="57">
        <f t="shared" si="68"/>
        <v>1000</v>
      </c>
      <c r="R206" s="57">
        <f t="shared" ref="R206" si="69">R204+R180</f>
        <v>710</v>
      </c>
      <c r="S206" s="70"/>
      <c r="T206" s="57"/>
      <c r="U206" s="70"/>
    </row>
    <row r="207" spans="1:21" ht="14.1" customHeight="1" x14ac:dyDescent="0.25">
      <c r="J207" s="76"/>
      <c r="K207" s="76"/>
      <c r="L207" s="76"/>
      <c r="M207" s="76"/>
      <c r="N207" s="76"/>
      <c r="O207" s="76"/>
      <c r="P207" s="76"/>
      <c r="Q207" s="76"/>
      <c r="R207" s="76"/>
      <c r="S207" s="76"/>
    </row>
    <row r="208" spans="1:21" ht="14.1" customHeight="1" x14ac:dyDescent="0.25">
      <c r="J208" s="51"/>
      <c r="K208" s="51"/>
      <c r="L208" s="51"/>
      <c r="M208" s="51"/>
      <c r="N208" s="51"/>
      <c r="O208" s="51"/>
      <c r="P208" s="51"/>
      <c r="Q208" s="51"/>
      <c r="R208" s="51"/>
      <c r="S208" s="51"/>
    </row>
    <row r="209" spans="1:21" ht="14.1" customHeight="1" x14ac:dyDescent="0.25">
      <c r="J209" s="51"/>
      <c r="K209" s="51"/>
      <c r="L209" s="51"/>
      <c r="M209" s="51"/>
      <c r="N209" s="51"/>
      <c r="O209" s="51"/>
      <c r="P209" s="51"/>
      <c r="Q209" s="51"/>
      <c r="R209" s="51"/>
      <c r="S209" s="51"/>
    </row>
    <row r="210" spans="1:21" ht="14.1" customHeight="1" x14ac:dyDescent="0.25">
      <c r="J210" s="51"/>
      <c r="K210" s="51"/>
      <c r="L210" s="51"/>
      <c r="M210" s="51"/>
      <c r="N210" s="51"/>
      <c r="O210" s="51"/>
      <c r="P210" s="51"/>
      <c r="Q210" s="51"/>
      <c r="R210" s="51"/>
      <c r="S210" s="51"/>
    </row>
    <row r="211" spans="1:21" s="1" customFormat="1" ht="12.75" customHeight="1" x14ac:dyDescent="0.25">
      <c r="A211" s="957" t="s">
        <v>412</v>
      </c>
      <c r="B211" s="957"/>
      <c r="C211" s="957"/>
      <c r="D211" s="957"/>
      <c r="E211" s="957"/>
      <c r="F211" s="957"/>
      <c r="G211" s="957"/>
      <c r="H211" s="957"/>
      <c r="I211" s="957"/>
      <c r="J211" s="957"/>
      <c r="K211" s="957"/>
      <c r="L211" s="957" t="s">
        <v>412</v>
      </c>
      <c r="M211" s="957"/>
      <c r="N211" s="957"/>
      <c r="O211" s="957"/>
      <c r="P211" s="957"/>
      <c r="Q211" s="957"/>
      <c r="R211" s="957"/>
      <c r="S211" s="957"/>
      <c r="T211" s="957"/>
      <c r="U211" s="957"/>
    </row>
    <row r="212" spans="1:21" s="1" customFormat="1" ht="14.1" customHeight="1" x14ac:dyDescent="0.25">
      <c r="A212" s="995" t="s">
        <v>0</v>
      </c>
      <c r="B212" s="996" t="s">
        <v>1</v>
      </c>
      <c r="C212" s="995" t="s">
        <v>2</v>
      </c>
      <c r="D212" s="953" t="s">
        <v>260</v>
      </c>
      <c r="E212" s="992" t="s">
        <v>259</v>
      </c>
      <c r="F212" s="993" t="s">
        <v>413</v>
      </c>
      <c r="G212" s="994"/>
      <c r="H212" s="993" t="s">
        <v>414</v>
      </c>
      <c r="I212" s="997"/>
      <c r="J212" s="990" t="s">
        <v>415</v>
      </c>
      <c r="K212" s="991"/>
      <c r="L212" s="990" t="s">
        <v>416</v>
      </c>
      <c r="M212" s="991"/>
      <c r="N212" s="990" t="s">
        <v>417</v>
      </c>
      <c r="O212" s="1000"/>
      <c r="P212" s="998" t="s">
        <v>418</v>
      </c>
      <c r="Q212" s="999"/>
      <c r="R212" s="998" t="s">
        <v>419</v>
      </c>
      <c r="S212" s="999"/>
      <c r="T212" s="998"/>
      <c r="U212" s="999"/>
    </row>
    <row r="213" spans="1:21" s="3" customFormat="1" ht="23.25" customHeight="1" x14ac:dyDescent="0.25">
      <c r="A213" s="957"/>
      <c r="B213" s="961"/>
      <c r="C213" s="957"/>
      <c r="D213" s="962"/>
      <c r="E213" s="953"/>
      <c r="F213" s="50" t="s">
        <v>260</v>
      </c>
      <c r="G213" s="50" t="s">
        <v>259</v>
      </c>
      <c r="H213" s="50" t="s">
        <v>260</v>
      </c>
      <c r="I213" s="49" t="s">
        <v>259</v>
      </c>
      <c r="J213" s="50" t="s">
        <v>260</v>
      </c>
      <c r="K213" s="49" t="s">
        <v>259</v>
      </c>
      <c r="L213" s="62" t="s">
        <v>260</v>
      </c>
      <c r="M213" s="77" t="s">
        <v>259</v>
      </c>
      <c r="N213" s="83" t="s">
        <v>260</v>
      </c>
      <c r="O213" s="48" t="s">
        <v>259</v>
      </c>
      <c r="P213" s="84" t="s">
        <v>260</v>
      </c>
      <c r="Q213" s="85" t="s">
        <v>259</v>
      </c>
      <c r="R213" s="84" t="s">
        <v>260</v>
      </c>
      <c r="S213" s="85" t="s">
        <v>259</v>
      </c>
      <c r="T213" s="84"/>
      <c r="U213" s="85"/>
    </row>
    <row r="214" spans="1:21" ht="5.65" customHeight="1" x14ac:dyDescent="0.25">
      <c r="J214" s="63"/>
      <c r="K214" s="78"/>
      <c r="L214" s="63"/>
      <c r="M214" s="78"/>
      <c r="N214" s="63"/>
      <c r="O214" s="63"/>
      <c r="P214" s="63"/>
      <c r="Q214" s="63"/>
      <c r="R214" s="63"/>
      <c r="S214" s="63"/>
      <c r="T214" s="63"/>
      <c r="U214" s="63"/>
    </row>
    <row r="215" spans="1:21" ht="14.1" customHeight="1" x14ac:dyDescent="0.25">
      <c r="A215" s="956" t="s">
        <v>239</v>
      </c>
      <c r="B215" s="956"/>
      <c r="C215" s="956"/>
      <c r="D215" s="956"/>
      <c r="E215" s="956"/>
      <c r="F215" s="956"/>
      <c r="G215" s="956"/>
      <c r="H215" s="956"/>
      <c r="I215" s="956"/>
      <c r="J215" s="64"/>
      <c r="K215" s="79"/>
      <c r="L215" s="64"/>
      <c r="M215" s="79"/>
      <c r="N215" s="64"/>
      <c r="O215" s="64"/>
      <c r="P215" s="64"/>
      <c r="Q215" s="64"/>
      <c r="R215" s="64"/>
      <c r="S215" s="64"/>
      <c r="T215" s="64"/>
      <c r="U215" s="64"/>
    </row>
    <row r="216" spans="1:21" s="3" customFormat="1" ht="14.1" customHeight="1" x14ac:dyDescent="0.25">
      <c r="A216" s="20" t="s">
        <v>240</v>
      </c>
      <c r="B216" s="20"/>
      <c r="C216" s="21" t="s">
        <v>241</v>
      </c>
      <c r="D216" s="23">
        <f>SUM(D217:D226)</f>
        <v>15709</v>
      </c>
      <c r="E216" s="23">
        <f t="shared" ref="E216:K216" si="70">SUM(E217:E226)</f>
        <v>11910</v>
      </c>
      <c r="F216" s="23">
        <f t="shared" si="70"/>
        <v>0</v>
      </c>
      <c r="G216" s="23">
        <f t="shared" si="70"/>
        <v>0</v>
      </c>
      <c r="H216" s="23">
        <f t="shared" si="70"/>
        <v>200</v>
      </c>
      <c r="I216" s="60">
        <f t="shared" si="70"/>
        <v>318</v>
      </c>
      <c r="J216" s="60">
        <f t="shared" si="70"/>
        <v>6775</v>
      </c>
      <c r="K216" s="60">
        <f t="shared" si="70"/>
        <v>6160</v>
      </c>
      <c r="L216" s="60">
        <f t="shared" ref="L216:Q216" si="71">SUM(L217:L226)</f>
        <v>3400</v>
      </c>
      <c r="M216" s="60">
        <f t="shared" si="71"/>
        <v>3400</v>
      </c>
      <c r="N216" s="60">
        <f t="shared" si="71"/>
        <v>5334</v>
      </c>
      <c r="O216" s="60">
        <f t="shared" si="71"/>
        <v>2032</v>
      </c>
      <c r="P216" s="60">
        <f t="shared" si="71"/>
        <v>0</v>
      </c>
      <c r="Q216" s="60">
        <f t="shared" si="71"/>
        <v>0</v>
      </c>
      <c r="R216" s="60">
        <f t="shared" ref="R216:S216" si="72">SUM(R217:R226)</f>
        <v>0</v>
      </c>
      <c r="S216" s="60">
        <f t="shared" si="72"/>
        <v>0</v>
      </c>
      <c r="T216" s="60"/>
      <c r="U216" s="72"/>
    </row>
    <row r="217" spans="1:21" ht="14.1" customHeight="1" x14ac:dyDescent="0.25">
      <c r="A217" s="24" t="s">
        <v>242</v>
      </c>
      <c r="B217" s="24"/>
      <c r="C217" s="25" t="s">
        <v>243</v>
      </c>
      <c r="D217" s="26">
        <f t="shared" ref="D217:E226" si="73">F217+H217+J217+L217+N217+P217+R217</f>
        <v>0</v>
      </c>
      <c r="E217" s="26">
        <f t="shared" si="73"/>
        <v>0</v>
      </c>
      <c r="F217" s="26"/>
      <c r="G217" s="26"/>
      <c r="H217" s="26"/>
      <c r="I217" s="58"/>
      <c r="J217" s="63"/>
      <c r="K217" s="78"/>
      <c r="L217" s="63"/>
      <c r="M217" s="78"/>
      <c r="N217" s="63"/>
      <c r="O217" s="63"/>
      <c r="P217" s="63"/>
      <c r="Q217" s="63"/>
      <c r="R217" s="63"/>
      <c r="S217" s="63"/>
      <c r="T217" s="63"/>
      <c r="U217" s="63"/>
    </row>
    <row r="218" spans="1:21" ht="14.1" customHeight="1" x14ac:dyDescent="0.25">
      <c r="A218" s="24" t="s">
        <v>244</v>
      </c>
      <c r="B218" s="24"/>
      <c r="C218" s="25" t="s">
        <v>245</v>
      </c>
      <c r="D218" s="26">
        <f t="shared" si="73"/>
        <v>0</v>
      </c>
      <c r="E218" s="26">
        <f t="shared" si="73"/>
        <v>0</v>
      </c>
      <c r="F218" s="26"/>
      <c r="G218" s="26"/>
      <c r="H218" s="26"/>
      <c r="I218" s="58"/>
      <c r="J218" s="63"/>
      <c r="K218" s="78"/>
      <c r="L218" s="63"/>
      <c r="M218" s="78"/>
      <c r="N218" s="63"/>
      <c r="O218" s="63"/>
      <c r="P218" s="63"/>
      <c r="Q218" s="63"/>
      <c r="R218" s="63"/>
      <c r="S218" s="63"/>
      <c r="T218" s="63"/>
      <c r="U218" s="63"/>
    </row>
    <row r="219" spans="1:21" ht="14.1" customHeight="1" x14ac:dyDescent="0.25">
      <c r="A219" s="24" t="s">
        <v>246</v>
      </c>
      <c r="B219" s="24"/>
      <c r="C219" s="25" t="s">
        <v>247</v>
      </c>
      <c r="D219" s="26">
        <f t="shared" si="73"/>
        <v>0</v>
      </c>
      <c r="E219" s="26">
        <f t="shared" si="73"/>
        <v>0</v>
      </c>
      <c r="F219" s="26"/>
      <c r="G219" s="26"/>
      <c r="H219" s="26"/>
      <c r="I219" s="58"/>
      <c r="J219" s="63"/>
      <c r="K219" s="78"/>
      <c r="L219" s="63"/>
      <c r="M219" s="78"/>
      <c r="N219" s="63"/>
      <c r="O219" s="63"/>
      <c r="P219" s="63"/>
      <c r="Q219" s="63"/>
      <c r="R219" s="63"/>
      <c r="S219" s="63"/>
      <c r="T219" s="63"/>
      <c r="U219" s="63"/>
    </row>
    <row r="220" spans="1:21" ht="14.1" customHeight="1" x14ac:dyDescent="0.25">
      <c r="A220" s="24" t="s">
        <v>248</v>
      </c>
      <c r="B220" s="24"/>
      <c r="C220" s="25" t="s">
        <v>249</v>
      </c>
      <c r="D220" s="26">
        <f t="shared" si="73"/>
        <v>0</v>
      </c>
      <c r="E220" s="26">
        <f t="shared" si="73"/>
        <v>0</v>
      </c>
      <c r="F220" s="26"/>
      <c r="G220" s="26"/>
      <c r="H220" s="26"/>
      <c r="I220" s="58"/>
      <c r="J220" s="63"/>
      <c r="K220" s="78"/>
      <c r="L220" s="63"/>
      <c r="M220" s="78"/>
      <c r="N220" s="63"/>
      <c r="O220" s="63"/>
      <c r="P220" s="63"/>
      <c r="Q220" s="63"/>
      <c r="R220" s="63"/>
      <c r="S220" s="63"/>
      <c r="T220" s="63"/>
      <c r="U220" s="63"/>
    </row>
    <row r="221" spans="1:21" ht="14.1" customHeight="1" x14ac:dyDescent="0.25">
      <c r="A221" s="24" t="s">
        <v>296</v>
      </c>
      <c r="B221" s="24"/>
      <c r="C221" s="25" t="s">
        <v>297</v>
      </c>
      <c r="D221" s="26">
        <f t="shared" si="73"/>
        <v>13135</v>
      </c>
      <c r="E221" s="26">
        <f t="shared" si="73"/>
        <v>10100</v>
      </c>
      <c r="F221" s="26"/>
      <c r="G221" s="26"/>
      <c r="H221" s="26">
        <v>200</v>
      </c>
      <c r="I221" s="58">
        <v>250</v>
      </c>
      <c r="J221" s="63">
        <v>5335</v>
      </c>
      <c r="K221" s="78">
        <v>4850</v>
      </c>
      <c r="L221" s="63">
        <v>3400</v>
      </c>
      <c r="M221" s="78">
        <v>3400</v>
      </c>
      <c r="N221" s="63">
        <v>4200</v>
      </c>
      <c r="O221" s="63">
        <v>1600</v>
      </c>
      <c r="P221" s="63"/>
      <c r="Q221" s="63"/>
      <c r="R221" s="63"/>
      <c r="S221" s="63"/>
      <c r="T221" s="63"/>
      <c r="U221" s="63"/>
    </row>
    <row r="222" spans="1:21" ht="14.1" customHeight="1" x14ac:dyDescent="0.25">
      <c r="A222" s="24" t="s">
        <v>250</v>
      </c>
      <c r="B222" s="24"/>
      <c r="C222" s="25" t="s">
        <v>251</v>
      </c>
      <c r="D222" s="26">
        <f t="shared" si="73"/>
        <v>2574</v>
      </c>
      <c r="E222" s="26">
        <f t="shared" si="73"/>
        <v>1810</v>
      </c>
      <c r="F222" s="26"/>
      <c r="G222" s="26">
        <f>ROUND((G217+G218+G219+G220+G221)*0.27,0)</f>
        <v>0</v>
      </c>
      <c r="H222" s="26">
        <v>0</v>
      </c>
      <c r="I222" s="58">
        <f>ROUND((I217+I218+I219+I220+I221)*0.27,0)</f>
        <v>68</v>
      </c>
      <c r="J222" s="63">
        <v>1440</v>
      </c>
      <c r="K222" s="58">
        <f>ROUND((K217+K218+K219+K220+K221)*0.27,0)</f>
        <v>1310</v>
      </c>
      <c r="L222" s="63"/>
      <c r="M222" s="58">
        <v>0</v>
      </c>
      <c r="N222" s="63">
        <v>1134</v>
      </c>
      <c r="O222" s="58">
        <f>ROUND((O217+O218+O219+O220+O221)*0.27,0)</f>
        <v>432</v>
      </c>
      <c r="P222" s="63"/>
      <c r="Q222" s="63"/>
      <c r="R222" s="63"/>
      <c r="S222" s="63"/>
      <c r="T222" s="63"/>
      <c r="U222" s="63"/>
    </row>
    <row r="223" spans="1:21" ht="14.1" customHeight="1" x14ac:dyDescent="0.25">
      <c r="A223" s="24" t="s">
        <v>298</v>
      </c>
      <c r="B223" s="24"/>
      <c r="C223" s="25" t="s">
        <v>299</v>
      </c>
      <c r="D223" s="26">
        <f t="shared" si="73"/>
        <v>0</v>
      </c>
      <c r="E223" s="26">
        <f t="shared" si="73"/>
        <v>0</v>
      </c>
      <c r="F223" s="26"/>
      <c r="G223" s="26"/>
      <c r="H223" s="26">
        <v>0</v>
      </c>
      <c r="I223" s="58"/>
      <c r="J223" s="63"/>
      <c r="K223" s="78"/>
      <c r="L223" s="63"/>
      <c r="M223" s="78"/>
      <c r="N223" s="63"/>
      <c r="O223" s="63"/>
      <c r="P223" s="63"/>
      <c r="Q223" s="63"/>
      <c r="R223" s="63"/>
      <c r="S223" s="63"/>
      <c r="T223" s="63"/>
      <c r="U223" s="63"/>
    </row>
    <row r="224" spans="1:21" ht="14.1" customHeight="1" x14ac:dyDescent="0.25">
      <c r="A224" s="24" t="s">
        <v>252</v>
      </c>
      <c r="B224" s="24"/>
      <c r="C224" s="25" t="s">
        <v>253</v>
      </c>
      <c r="D224" s="26">
        <f t="shared" si="73"/>
        <v>0</v>
      </c>
      <c r="E224" s="26">
        <f t="shared" si="73"/>
        <v>0</v>
      </c>
      <c r="F224" s="26"/>
      <c r="G224" s="26"/>
      <c r="H224" s="26"/>
      <c r="I224" s="58"/>
      <c r="J224" s="63"/>
      <c r="K224" s="78"/>
      <c r="L224" s="63"/>
      <c r="M224" s="78"/>
      <c r="N224" s="63"/>
      <c r="O224" s="63"/>
      <c r="P224" s="63"/>
      <c r="Q224" s="63"/>
      <c r="R224" s="63"/>
      <c r="S224" s="63"/>
      <c r="T224" s="63"/>
      <c r="U224" s="63"/>
    </row>
    <row r="225" spans="1:21" ht="14.1" customHeight="1" x14ac:dyDescent="0.25">
      <c r="A225" s="24" t="s">
        <v>300</v>
      </c>
      <c r="B225" s="24"/>
      <c r="C225" s="25" t="s">
        <v>301</v>
      </c>
      <c r="D225" s="26">
        <f t="shared" si="73"/>
        <v>0</v>
      </c>
      <c r="E225" s="26">
        <f t="shared" si="73"/>
        <v>0</v>
      </c>
      <c r="F225" s="26"/>
      <c r="G225" s="26"/>
      <c r="H225" s="26"/>
      <c r="I225" s="58"/>
      <c r="J225" s="63"/>
      <c r="K225" s="78"/>
      <c r="L225" s="63"/>
      <c r="M225" s="78"/>
      <c r="N225" s="63"/>
      <c r="O225" s="63"/>
      <c r="P225" s="63"/>
      <c r="Q225" s="63"/>
      <c r="R225" s="63"/>
      <c r="S225" s="63"/>
      <c r="T225" s="63"/>
      <c r="U225" s="63"/>
    </row>
    <row r="226" spans="1:21" ht="14.1" customHeight="1" x14ac:dyDescent="0.25">
      <c r="A226" s="24" t="s">
        <v>254</v>
      </c>
      <c r="B226" s="24"/>
      <c r="C226" s="25" t="s">
        <v>255</v>
      </c>
      <c r="D226" s="26">
        <f t="shared" si="73"/>
        <v>0</v>
      </c>
      <c r="E226" s="26">
        <f t="shared" si="73"/>
        <v>0</v>
      </c>
      <c r="F226" s="26"/>
      <c r="G226" s="26"/>
      <c r="H226" s="26"/>
      <c r="I226" s="58"/>
      <c r="J226" s="63"/>
      <c r="K226" s="78"/>
      <c r="L226" s="63"/>
      <c r="M226" s="78"/>
      <c r="N226" s="63"/>
      <c r="O226" s="63"/>
      <c r="P226" s="63"/>
      <c r="Q226" s="63"/>
      <c r="R226" s="63"/>
      <c r="S226" s="63"/>
      <c r="T226" s="63"/>
      <c r="U226" s="63"/>
    </row>
    <row r="227" spans="1:21" s="3" customFormat="1" ht="14.1" customHeight="1" x14ac:dyDescent="0.25">
      <c r="A227" s="20" t="s">
        <v>256</v>
      </c>
      <c r="B227" s="20"/>
      <c r="C227" s="21" t="s">
        <v>257</v>
      </c>
      <c r="D227" s="23">
        <f>F227+H227+J227+L227+N227+P227+R227</f>
        <v>0</v>
      </c>
      <c r="E227" s="23">
        <f>G227+I227</f>
        <v>0</v>
      </c>
      <c r="F227" s="23">
        <v>0</v>
      </c>
      <c r="G227" s="23">
        <v>0</v>
      </c>
      <c r="H227" s="23">
        <v>0</v>
      </c>
      <c r="I227" s="60">
        <v>0</v>
      </c>
      <c r="J227" s="72">
        <v>0</v>
      </c>
      <c r="K227" s="72">
        <v>0</v>
      </c>
      <c r="L227" s="72">
        <v>0</v>
      </c>
      <c r="M227" s="72">
        <v>0</v>
      </c>
      <c r="N227" s="72">
        <v>0</v>
      </c>
      <c r="O227" s="72">
        <v>0</v>
      </c>
      <c r="P227" s="72">
        <v>0</v>
      </c>
      <c r="Q227" s="72">
        <v>0</v>
      </c>
      <c r="R227" s="72">
        <v>0</v>
      </c>
      <c r="S227" s="72">
        <v>0</v>
      </c>
      <c r="T227" s="72"/>
      <c r="U227" s="72"/>
    </row>
    <row r="228" spans="1:21" s="3" customFormat="1" ht="14.1" customHeight="1" x14ac:dyDescent="0.25">
      <c r="A228" s="958" t="s">
        <v>295</v>
      </c>
      <c r="B228" s="959"/>
      <c r="C228" s="960"/>
      <c r="D228" s="30">
        <f>D216+D227</f>
        <v>15709</v>
      </c>
      <c r="E228" s="30">
        <f t="shared" ref="E228:Q228" si="74">E216+E227</f>
        <v>11910</v>
      </c>
      <c r="F228" s="30">
        <f t="shared" si="74"/>
        <v>0</v>
      </c>
      <c r="G228" s="30">
        <f t="shared" si="74"/>
        <v>0</v>
      </c>
      <c r="H228" s="30">
        <f t="shared" si="74"/>
        <v>200</v>
      </c>
      <c r="I228" s="57">
        <f t="shared" si="74"/>
        <v>318</v>
      </c>
      <c r="J228" s="57">
        <f t="shared" si="74"/>
        <v>6775</v>
      </c>
      <c r="K228" s="57">
        <f t="shared" si="74"/>
        <v>6160</v>
      </c>
      <c r="L228" s="30">
        <f t="shared" si="74"/>
        <v>3400</v>
      </c>
      <c r="M228" s="30">
        <f t="shared" si="74"/>
        <v>3400</v>
      </c>
      <c r="N228" s="30">
        <f t="shared" si="74"/>
        <v>5334</v>
      </c>
      <c r="O228" s="30">
        <f t="shared" si="74"/>
        <v>2032</v>
      </c>
      <c r="P228" s="30">
        <f t="shared" si="74"/>
        <v>0</v>
      </c>
      <c r="Q228" s="30">
        <f t="shared" si="74"/>
        <v>0</v>
      </c>
      <c r="R228" s="30">
        <f t="shared" ref="R228:S228" si="75">R216+R227</f>
        <v>0</v>
      </c>
      <c r="S228" s="30">
        <f t="shared" si="75"/>
        <v>0</v>
      </c>
      <c r="T228" s="30"/>
      <c r="U228" s="70"/>
    </row>
  </sheetData>
  <sheetProtection selectLockedCells="1" selectUnlockedCells="1"/>
  <customSheetViews>
    <customSheetView guid="{7F1DC213-A29D-4C8C-BAC3-F1BD898020FD}" scale="145" showPageBreaks="1" hiddenRows="1" state="hidden" view="pageBreakPreview">
      <pane xSplit="5" ySplit="3" topLeftCell="N167" activePane="bottomRight" state="frozen"/>
      <selection pane="bottomRight" activeCell="M159" sqref="M159"/>
      <rowBreaks count="2" manualBreakCount="2">
        <brk id="92" max="16383" man="1"/>
        <brk id="180" max="16383" man="1"/>
      </rowBreaks>
      <colBreaks count="1" manualBreakCount="1">
        <brk id="13" max="1048575" man="1"/>
      </colBreaks>
      <pageMargins left="0.15748031496062992" right="0.15748031496062992" top="0.19685039370078741" bottom="0.15748031496062992" header="0.31496062992125984" footer="0.31496062992125984"/>
      <printOptions horizontalCentered="1"/>
      <pageSetup paperSize="8" scale="82" fitToWidth="2" fitToHeight="0" orientation="portrait" useFirstPageNumber="1" copies="2" r:id="rId1"/>
      <headerFooter alignWithMargins="0"/>
    </customSheetView>
    <customSheetView guid="{4DCB1349-1166-4B69-AE14-D6B08F9FCE74}" scale="145" showPageBreaks="1" hiddenRows="1" state="hidden" view="pageBreakPreview">
      <pane xSplit="5" ySplit="3" topLeftCell="N167" activePane="bottomRight" state="frozen"/>
      <selection pane="bottomRight" activeCell="M159" sqref="M159"/>
      <rowBreaks count="2" manualBreakCount="2">
        <brk id="92" max="16383" man="1"/>
        <brk id="180" max="16383" man="1"/>
      </rowBreaks>
      <colBreaks count="1" manualBreakCount="1">
        <brk id="13" max="1048575" man="1"/>
      </colBreaks>
      <pageMargins left="0.15748031496062992" right="0.15748031496062992" top="0.19685039370078741" bottom="0.15748031496062992" header="0.31496062992125984" footer="0.31496062992125984"/>
      <printOptions horizontalCentered="1"/>
      <pageSetup paperSize="8" scale="82" fitToWidth="2" fitToHeight="0" orientation="portrait" useFirstPageNumber="1" copies="2" r:id="rId2"/>
      <headerFooter alignWithMargins="0"/>
    </customSheetView>
  </customSheetViews>
  <mergeCells count="69">
    <mergeCell ref="H2:I2"/>
    <mergeCell ref="B2:B3"/>
    <mergeCell ref="C2:C3"/>
    <mergeCell ref="D2:D3"/>
    <mergeCell ref="E2:E3"/>
    <mergeCell ref="F2:G2"/>
    <mergeCell ref="T212:U212"/>
    <mergeCell ref="R2:S2"/>
    <mergeCell ref="R97:S97"/>
    <mergeCell ref="R185:S185"/>
    <mergeCell ref="R212:S212"/>
    <mergeCell ref="L211:U211"/>
    <mergeCell ref="T2:U2"/>
    <mergeCell ref="T97:U97"/>
    <mergeCell ref="T185:U185"/>
    <mergeCell ref="L185:M185"/>
    <mergeCell ref="N97:O97"/>
    <mergeCell ref="N185:O185"/>
    <mergeCell ref="N212:O212"/>
    <mergeCell ref="P2:Q2"/>
    <mergeCell ref="P97:Q97"/>
    <mergeCell ref="P185:Q185"/>
    <mergeCell ref="A1:K1"/>
    <mergeCell ref="L1:U1"/>
    <mergeCell ref="A96:K96"/>
    <mergeCell ref="L96:U96"/>
    <mergeCell ref="A184:K184"/>
    <mergeCell ref="L184:U184"/>
    <mergeCell ref="A5:I5"/>
    <mergeCell ref="A92:C92"/>
    <mergeCell ref="A97:A98"/>
    <mergeCell ref="B97:B98"/>
    <mergeCell ref="C97:C98"/>
    <mergeCell ref="D97:D98"/>
    <mergeCell ref="E97:E98"/>
    <mergeCell ref="F97:G97"/>
    <mergeCell ref="H97:I97"/>
    <mergeCell ref="A2:A3"/>
    <mergeCell ref="P212:Q212"/>
    <mergeCell ref="N2:O2"/>
    <mergeCell ref="A215:I215"/>
    <mergeCell ref="A228:C228"/>
    <mergeCell ref="J2:K2"/>
    <mergeCell ref="L2:M2"/>
    <mergeCell ref="J97:K97"/>
    <mergeCell ref="J185:K185"/>
    <mergeCell ref="J212:K212"/>
    <mergeCell ref="L97:M97"/>
    <mergeCell ref="A188:I188"/>
    <mergeCell ref="A204:C204"/>
    <mergeCell ref="A206:C206"/>
    <mergeCell ref="A212:A213"/>
    <mergeCell ref="B212:B213"/>
    <mergeCell ref="C212:C213"/>
    <mergeCell ref="D212:D213"/>
    <mergeCell ref="L212:M212"/>
    <mergeCell ref="E212:E213"/>
    <mergeCell ref="F212:G212"/>
    <mergeCell ref="A100:I100"/>
    <mergeCell ref="A180:C180"/>
    <mergeCell ref="A185:A186"/>
    <mergeCell ref="B185:B186"/>
    <mergeCell ref="C185:C186"/>
    <mergeCell ref="D185:D186"/>
    <mergeCell ref="E185:E186"/>
    <mergeCell ref="F185:G185"/>
    <mergeCell ref="H185:I185"/>
    <mergeCell ref="H212:I212"/>
    <mergeCell ref="A211:K211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3"/>
  <headerFooter alignWithMargins="0"/>
  <rowBreaks count="2" manualBreakCount="2">
    <brk id="92" max="16383" man="1"/>
    <brk id="180" max="16383" man="1"/>
  </rowBreaks>
  <colBreaks count="1" manualBreakCount="1">
    <brk id="13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D192"/>
  <sheetViews>
    <sheetView view="pageBreakPreview" zoomScale="150" zoomScaleSheetLayoutView="150" workbookViewId="0">
      <pane xSplit="5" ySplit="3" topLeftCell="S4" activePane="bottomRight" state="frozen"/>
      <selection pane="topRight" activeCell="F1" sqref="F1"/>
      <selection pane="bottomLeft" activeCell="A4" sqref="A4"/>
      <selection pane="bottomRight" activeCell="V9" sqref="V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5703125" style="5"/>
  </cols>
  <sheetData>
    <row r="1" spans="1:21" s="1" customFormat="1" ht="12.75" customHeight="1" x14ac:dyDescent="0.25">
      <c r="A1" s="975" t="s">
        <v>604</v>
      </c>
      <c r="B1" s="976"/>
      <c r="C1" s="976"/>
      <c r="D1" s="976"/>
      <c r="E1" s="976"/>
      <c r="F1" s="976"/>
      <c r="G1" s="976"/>
      <c r="H1" s="976"/>
      <c r="I1" s="976"/>
      <c r="J1" s="976"/>
      <c r="K1" s="976"/>
      <c r="L1" s="976"/>
      <c r="M1" s="976"/>
      <c r="N1" s="976" t="s">
        <v>604</v>
      </c>
      <c r="O1" s="976"/>
      <c r="P1" s="976"/>
      <c r="Q1" s="976"/>
      <c r="R1" s="976"/>
      <c r="S1" s="976"/>
      <c r="T1" s="976"/>
      <c r="U1" s="977"/>
    </row>
    <row r="2" spans="1:21" s="1" customFormat="1" ht="14.1" customHeight="1" x14ac:dyDescent="0.25">
      <c r="A2" s="995" t="s">
        <v>0</v>
      </c>
      <c r="B2" s="996" t="s">
        <v>1</v>
      </c>
      <c r="C2" s="995" t="s">
        <v>2</v>
      </c>
      <c r="D2" s="953" t="s">
        <v>260</v>
      </c>
      <c r="E2" s="992" t="s">
        <v>259</v>
      </c>
      <c r="F2" s="993" t="s">
        <v>605</v>
      </c>
      <c r="G2" s="994"/>
      <c r="H2" s="993" t="s">
        <v>606</v>
      </c>
      <c r="I2" s="997"/>
      <c r="J2" s="1001" t="s">
        <v>607</v>
      </c>
      <c r="K2" s="990"/>
      <c r="L2" s="1007" t="s">
        <v>644</v>
      </c>
      <c r="M2" s="1007"/>
      <c r="N2" s="1007" t="s">
        <v>608</v>
      </c>
      <c r="O2" s="1007"/>
      <c r="P2" s="1008" t="s">
        <v>609</v>
      </c>
      <c r="Q2" s="999"/>
      <c r="R2" s="1005" t="s">
        <v>610</v>
      </c>
      <c r="S2" s="1006"/>
      <c r="T2" s="1005" t="s">
        <v>611</v>
      </c>
      <c r="U2" s="1006"/>
    </row>
    <row r="3" spans="1:21" s="3" customFormat="1" ht="25.5" customHeight="1" x14ac:dyDescent="0.25">
      <c r="A3" s="957"/>
      <c r="B3" s="961"/>
      <c r="C3" s="957"/>
      <c r="D3" s="962"/>
      <c r="E3" s="953"/>
      <c r="F3" s="97" t="s">
        <v>263</v>
      </c>
      <c r="G3" s="97" t="s">
        <v>259</v>
      </c>
      <c r="H3" s="97" t="s">
        <v>260</v>
      </c>
      <c r="I3" s="96" t="s">
        <v>259</v>
      </c>
      <c r="J3" s="62" t="s">
        <v>260</v>
      </c>
      <c r="K3" s="77" t="s">
        <v>259</v>
      </c>
      <c r="L3" s="137" t="s">
        <v>260</v>
      </c>
      <c r="M3" s="137" t="s">
        <v>259</v>
      </c>
      <c r="N3" s="137" t="s">
        <v>260</v>
      </c>
      <c r="O3" s="137" t="s">
        <v>259</v>
      </c>
      <c r="P3" s="84" t="s">
        <v>260</v>
      </c>
      <c r="Q3" s="85" t="s">
        <v>259</v>
      </c>
      <c r="R3" s="131" t="s">
        <v>260</v>
      </c>
      <c r="S3" s="132" t="s">
        <v>259</v>
      </c>
      <c r="T3" s="131" t="s">
        <v>260</v>
      </c>
      <c r="U3" s="132" t="s">
        <v>259</v>
      </c>
    </row>
    <row r="4" spans="1:21" ht="5.65" customHeight="1" x14ac:dyDescent="0.25">
      <c r="J4" s="63"/>
      <c r="K4" s="78"/>
      <c r="L4" s="136"/>
      <c r="M4" s="136"/>
    </row>
    <row r="5" spans="1:21" ht="14.1" customHeight="1" x14ac:dyDescent="0.25">
      <c r="A5" s="956" t="s">
        <v>3</v>
      </c>
      <c r="B5" s="956"/>
      <c r="C5" s="956"/>
      <c r="D5" s="956"/>
      <c r="E5" s="956"/>
      <c r="F5" s="956"/>
      <c r="G5" s="956"/>
      <c r="H5" s="956"/>
      <c r="I5" s="956"/>
      <c r="J5" s="64"/>
      <c r="K5" s="79"/>
      <c r="L5" s="64"/>
      <c r="M5" s="79"/>
      <c r="N5" s="64"/>
      <c r="O5" s="64"/>
      <c r="P5" s="64"/>
      <c r="Q5" s="64"/>
      <c r="R5" s="64"/>
      <c r="S5" s="64"/>
      <c r="T5" s="64"/>
      <c r="U5" s="64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F6+H6+J6+L6+N6+P6+R6+T6</f>
        <v>261300</v>
      </c>
      <c r="E6" s="9">
        <f>G6+I6+K6+M6+O6+Q6+S6+U6</f>
        <v>248292</v>
      </c>
      <c r="F6" s="10">
        <v>236139</v>
      </c>
      <c r="G6" s="10">
        <v>233094</v>
      </c>
      <c r="H6" s="10">
        <v>6600</v>
      </c>
      <c r="I6" s="52"/>
      <c r="J6" s="65">
        <v>1450</v>
      </c>
      <c r="K6" s="65"/>
      <c r="L6" s="65">
        <v>0</v>
      </c>
      <c r="M6" s="52">
        <v>0</v>
      </c>
      <c r="N6" s="65">
        <v>13987</v>
      </c>
      <c r="O6" s="65">
        <v>12074</v>
      </c>
      <c r="P6" s="65">
        <v>3124</v>
      </c>
      <c r="Q6" s="65">
        <v>3124</v>
      </c>
      <c r="R6" s="65">
        <v>0</v>
      </c>
      <c r="S6" s="65">
        <v>0</v>
      </c>
      <c r="T6" s="65">
        <v>0</v>
      </c>
      <c r="U6" s="65">
        <v>0</v>
      </c>
    </row>
    <row r="7" spans="1:21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53"/>
      <c r="J7" s="66"/>
      <c r="K7" s="81"/>
      <c r="L7" s="66"/>
      <c r="M7" s="81"/>
      <c r="N7" s="66"/>
      <c r="O7" s="66"/>
      <c r="P7" s="66"/>
      <c r="Q7" s="66"/>
      <c r="R7" s="66"/>
      <c r="S7" s="66"/>
      <c r="T7" s="66"/>
      <c r="U7" s="66"/>
    </row>
    <row r="8" spans="1:21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 t="shared" ref="D8:E10" si="0">F8+H8+J8+L8+N8+P8+R8+T8</f>
        <v>0</v>
      </c>
      <c r="E8" s="9">
        <f t="shared" si="0"/>
        <v>0</v>
      </c>
      <c r="F8" s="10">
        <v>0</v>
      </c>
      <c r="G8" s="10">
        <v>0</v>
      </c>
      <c r="H8" s="10">
        <v>0</v>
      </c>
      <c r="I8" s="52"/>
      <c r="J8" s="65">
        <v>0</v>
      </c>
      <c r="K8" s="65"/>
      <c r="L8" s="65">
        <v>0</v>
      </c>
      <c r="M8" s="80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</row>
    <row r="9" spans="1:21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 t="shared" si="0"/>
        <v>0</v>
      </c>
      <c r="E9" s="9">
        <f t="shared" si="0"/>
        <v>900</v>
      </c>
      <c r="F9" s="10">
        <v>0</v>
      </c>
      <c r="G9" s="10">
        <v>900</v>
      </c>
      <c r="H9" s="10">
        <v>0</v>
      </c>
      <c r="I9" s="52"/>
      <c r="J9" s="65">
        <v>0</v>
      </c>
      <c r="K9" s="65"/>
      <c r="L9" s="65">
        <v>0</v>
      </c>
      <c r="M9" s="80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</row>
    <row r="10" spans="1:21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 t="shared" si="0"/>
        <v>1123</v>
      </c>
      <c r="E10" s="9">
        <f t="shared" si="0"/>
        <v>1000</v>
      </c>
      <c r="F10" s="10">
        <v>1000</v>
      </c>
      <c r="G10" s="10">
        <f>SUM(G11:G12)</f>
        <v>1000</v>
      </c>
      <c r="H10" s="10">
        <v>0</v>
      </c>
      <c r="I10" s="52"/>
      <c r="J10" s="52">
        <f>SUM(J11:J12)</f>
        <v>123</v>
      </c>
      <c r="K10" s="52"/>
      <c r="L10" s="52">
        <v>0</v>
      </c>
      <c r="M10" s="52">
        <v>0</v>
      </c>
      <c r="N10" s="52">
        <v>0</v>
      </c>
      <c r="O10" s="52">
        <v>0</v>
      </c>
      <c r="P10" s="52">
        <f>SUM(P11:P12)</f>
        <v>0</v>
      </c>
      <c r="Q10" s="65">
        <v>0</v>
      </c>
      <c r="R10" s="52">
        <v>0</v>
      </c>
      <c r="S10" s="65">
        <v>0</v>
      </c>
      <c r="T10" s="52">
        <v>0</v>
      </c>
      <c r="U10" s="65">
        <v>0</v>
      </c>
    </row>
    <row r="11" spans="1:21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>
        <v>1000</v>
      </c>
      <c r="H11" s="14"/>
      <c r="I11" s="53"/>
      <c r="J11" s="66">
        <v>123</v>
      </c>
      <c r="K11" s="81"/>
      <c r="L11" s="66"/>
      <c r="M11" s="81"/>
      <c r="N11" s="66"/>
      <c r="O11" s="66"/>
      <c r="P11" s="66"/>
      <c r="Q11" s="66"/>
      <c r="R11" s="66"/>
      <c r="S11" s="66"/>
      <c r="T11" s="66"/>
      <c r="U11" s="66"/>
    </row>
    <row r="12" spans="1:21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/>
      <c r="I12" s="53"/>
      <c r="J12" s="66"/>
      <c r="K12" s="81"/>
      <c r="L12" s="66"/>
      <c r="M12" s="81"/>
      <c r="N12" s="66"/>
      <c r="O12" s="66"/>
      <c r="P12" s="66"/>
      <c r="Q12" s="66"/>
      <c r="R12" s="66"/>
      <c r="S12" s="66"/>
      <c r="T12" s="66"/>
      <c r="U12" s="66"/>
    </row>
    <row r="13" spans="1:21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 t="shared" ref="D13:E14" si="1">F13+H13+J13+L13+N13+P13+R13+T13</f>
        <v>8000</v>
      </c>
      <c r="E13" s="9">
        <f t="shared" si="1"/>
        <v>5000</v>
      </c>
      <c r="F13" s="10">
        <v>8000</v>
      </c>
      <c r="G13" s="10">
        <v>5000</v>
      </c>
      <c r="H13" s="10">
        <v>0</v>
      </c>
      <c r="I13" s="52"/>
      <c r="J13" s="65">
        <v>0</v>
      </c>
      <c r="K13" s="65"/>
      <c r="L13" s="65">
        <v>0</v>
      </c>
      <c r="M13" s="80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5">
        <v>0</v>
      </c>
    </row>
    <row r="14" spans="1:21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 t="shared" si="1"/>
        <v>1740</v>
      </c>
      <c r="E14" s="9">
        <f t="shared" si="1"/>
        <v>2644</v>
      </c>
      <c r="F14" s="10">
        <v>1740</v>
      </c>
      <c r="G14" s="10">
        <v>2644</v>
      </c>
      <c r="H14" s="10">
        <v>0</v>
      </c>
      <c r="I14" s="52"/>
      <c r="J14" s="65">
        <v>0</v>
      </c>
      <c r="K14" s="65"/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</row>
    <row r="15" spans="1:21" s="3" customFormat="1" ht="12.75" customHeight="1" x14ac:dyDescent="0.25">
      <c r="A15" s="11"/>
      <c r="B15" s="11"/>
      <c r="C15" s="12"/>
      <c r="D15" s="13"/>
      <c r="E15" s="13"/>
      <c r="F15" s="14"/>
      <c r="G15" s="14"/>
      <c r="H15" s="14"/>
      <c r="I15" s="53"/>
      <c r="J15" s="66"/>
      <c r="K15" s="81"/>
      <c r="L15" s="66"/>
      <c r="M15" s="81"/>
      <c r="N15" s="66"/>
      <c r="O15" s="66"/>
      <c r="P15" s="66"/>
      <c r="Q15" s="66"/>
      <c r="R15" s="66"/>
      <c r="S15" s="66"/>
      <c r="T15" s="66"/>
      <c r="U15" s="66"/>
    </row>
    <row r="16" spans="1:21" s="3" customFormat="1" ht="12.75" customHeight="1" x14ac:dyDescent="0.25">
      <c r="A16" s="7" t="s">
        <v>24</v>
      </c>
      <c r="B16" s="7" t="s">
        <v>25</v>
      </c>
      <c r="C16" s="8" t="s">
        <v>26</v>
      </c>
      <c r="D16" s="9">
        <f>F16+H16+J16+L16+N16+P16+R16+T16</f>
        <v>13184</v>
      </c>
      <c r="E16" s="9">
        <f>G16+I16+K16+M16+O16+Q16+S16+U16</f>
        <v>13176</v>
      </c>
      <c r="F16" s="10">
        <f>SUM(F17:F18)</f>
        <v>12088</v>
      </c>
      <c r="G16" s="10">
        <f>SUM(G17:G18)</f>
        <v>12280</v>
      </c>
      <c r="H16" s="52">
        <v>0</v>
      </c>
      <c r="I16" s="52"/>
      <c r="J16" s="52">
        <v>0</v>
      </c>
      <c r="K16" s="52"/>
      <c r="L16" s="52">
        <v>0</v>
      </c>
      <c r="M16" s="52">
        <v>0</v>
      </c>
      <c r="N16" s="52">
        <f>SUM(N17:N18)</f>
        <v>1000</v>
      </c>
      <c r="O16" s="52">
        <f>SUM(O17:O18)</f>
        <v>800</v>
      </c>
      <c r="P16" s="52">
        <f>SUM(P17:P18)</f>
        <v>96</v>
      </c>
      <c r="Q16" s="52">
        <f>SUM(Q17:Q18)</f>
        <v>96</v>
      </c>
      <c r="R16" s="52">
        <v>0</v>
      </c>
      <c r="S16" s="65">
        <v>0</v>
      </c>
      <c r="T16" s="52">
        <v>0</v>
      </c>
      <c r="U16" s="65">
        <v>0</v>
      </c>
    </row>
    <row r="17" spans="1:21" s="15" customFormat="1" ht="11.45" customHeight="1" x14ac:dyDescent="0.25">
      <c r="A17" s="11"/>
      <c r="B17" s="11"/>
      <c r="C17" s="12" t="s">
        <v>278</v>
      </c>
      <c r="D17" s="13"/>
      <c r="E17" s="13"/>
      <c r="F17" s="14">
        <v>288</v>
      </c>
      <c r="G17" s="14">
        <v>480</v>
      </c>
      <c r="H17" s="14"/>
      <c r="I17" s="53"/>
      <c r="J17" s="66"/>
      <c r="K17" s="81"/>
      <c r="L17" s="66"/>
      <c r="M17" s="81"/>
      <c r="N17" s="66"/>
      <c r="O17" s="66"/>
      <c r="P17" s="66">
        <v>96</v>
      </c>
      <c r="Q17" s="66">
        <v>96</v>
      </c>
      <c r="R17" s="66"/>
      <c r="S17" s="66"/>
      <c r="T17" s="66"/>
      <c r="U17" s="66"/>
    </row>
    <row r="18" spans="1:21" s="15" customFormat="1" ht="11.45" customHeight="1" x14ac:dyDescent="0.25">
      <c r="A18" s="11"/>
      <c r="B18" s="11"/>
      <c r="C18" s="12" t="s">
        <v>612</v>
      </c>
      <c r="D18" s="13"/>
      <c r="E18" s="13"/>
      <c r="F18" s="14">
        <v>11800</v>
      </c>
      <c r="G18" s="14">
        <v>11800</v>
      </c>
      <c r="H18" s="14"/>
      <c r="I18" s="53"/>
      <c r="J18" s="66"/>
      <c r="K18" s="81"/>
      <c r="L18" s="66"/>
      <c r="M18" s="81"/>
      <c r="N18" s="66">
        <v>1000</v>
      </c>
      <c r="O18" s="66">
        <v>800</v>
      </c>
      <c r="P18" s="66"/>
      <c r="Q18" s="66"/>
      <c r="R18" s="66"/>
      <c r="S18" s="66"/>
      <c r="T18" s="66"/>
      <c r="U18" s="66"/>
    </row>
    <row r="19" spans="1:21" s="3" customFormat="1" ht="12.75" customHeight="1" x14ac:dyDescent="0.25">
      <c r="A19" s="7" t="s">
        <v>27</v>
      </c>
      <c r="B19" s="7" t="s">
        <v>28</v>
      </c>
      <c r="C19" s="8" t="s">
        <v>29</v>
      </c>
      <c r="D19" s="9">
        <f t="shared" ref="D19:E21" si="2">F19+H19+J19+L19+N19+P19+R19+T19</f>
        <v>0</v>
      </c>
      <c r="E19" s="9">
        <f t="shared" si="2"/>
        <v>0</v>
      </c>
      <c r="F19" s="10">
        <v>0</v>
      </c>
      <c r="G19" s="10">
        <v>0</v>
      </c>
      <c r="H19" s="10">
        <v>0</v>
      </c>
      <c r="I19" s="52"/>
      <c r="J19" s="65">
        <v>0</v>
      </c>
      <c r="K19" s="80"/>
      <c r="L19" s="65">
        <v>0</v>
      </c>
      <c r="M19" s="80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</row>
    <row r="20" spans="1:21" s="3" customFormat="1" ht="12.75" customHeight="1" x14ac:dyDescent="0.25">
      <c r="A20" s="7" t="s">
        <v>30</v>
      </c>
      <c r="B20" s="7" t="s">
        <v>31</v>
      </c>
      <c r="C20" s="8" t="s">
        <v>32</v>
      </c>
      <c r="D20" s="9">
        <f t="shared" si="2"/>
        <v>4810</v>
      </c>
      <c r="E20" s="9">
        <f t="shared" si="2"/>
        <v>4620</v>
      </c>
      <c r="F20" s="10">
        <v>4350</v>
      </c>
      <c r="G20" s="10">
        <v>4350</v>
      </c>
      <c r="H20" s="10">
        <v>150</v>
      </c>
      <c r="I20" s="52"/>
      <c r="J20" s="65">
        <v>30</v>
      </c>
      <c r="K20" s="80"/>
      <c r="L20" s="65">
        <v>0</v>
      </c>
      <c r="M20" s="80">
        <v>0</v>
      </c>
      <c r="N20" s="65">
        <v>270</v>
      </c>
      <c r="O20" s="65">
        <v>270</v>
      </c>
      <c r="P20" s="65">
        <v>10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</row>
    <row r="21" spans="1:21" s="3" customFormat="1" ht="12.75" customHeight="1" x14ac:dyDescent="0.25">
      <c r="A21" s="7" t="s">
        <v>33</v>
      </c>
      <c r="B21" s="7" t="s">
        <v>34</v>
      </c>
      <c r="C21" s="8" t="s">
        <v>35</v>
      </c>
      <c r="D21" s="9">
        <f t="shared" si="2"/>
        <v>1200</v>
      </c>
      <c r="E21" s="9">
        <f t="shared" si="2"/>
        <v>1828</v>
      </c>
      <c r="F21" s="10">
        <v>1200</v>
      </c>
      <c r="G21" s="10">
        <f>G22+G23</f>
        <v>1768</v>
      </c>
      <c r="H21" s="10">
        <v>0</v>
      </c>
      <c r="I21" s="52"/>
      <c r="J21" s="65">
        <v>0</v>
      </c>
      <c r="K21" s="80"/>
      <c r="L21" s="65">
        <v>0</v>
      </c>
      <c r="M21" s="80">
        <v>0</v>
      </c>
      <c r="N21" s="65">
        <v>0</v>
      </c>
      <c r="O21" s="65">
        <f>O22+O23</f>
        <v>48</v>
      </c>
      <c r="P21" s="65">
        <f>P22</f>
        <v>0</v>
      </c>
      <c r="Q21" s="65">
        <f>Q22+Q23</f>
        <v>12</v>
      </c>
      <c r="R21" s="65">
        <v>0</v>
      </c>
      <c r="S21" s="65">
        <v>0</v>
      </c>
      <c r="T21" s="65">
        <v>0</v>
      </c>
      <c r="U21" s="65">
        <v>0</v>
      </c>
    </row>
    <row r="22" spans="1:21" s="3" customFormat="1" ht="12.75" customHeight="1" x14ac:dyDescent="0.25">
      <c r="A22" s="11"/>
      <c r="B22" s="11"/>
      <c r="C22" s="12" t="s">
        <v>998</v>
      </c>
      <c r="D22" s="13"/>
      <c r="E22" s="13"/>
      <c r="F22" s="14"/>
      <c r="G22" s="14">
        <v>1000</v>
      </c>
      <c r="H22" s="14"/>
      <c r="I22" s="53"/>
      <c r="J22" s="66"/>
      <c r="K22" s="81"/>
      <c r="L22" s="66"/>
      <c r="M22" s="81"/>
      <c r="N22" s="66"/>
      <c r="O22" s="66"/>
      <c r="P22" s="66"/>
      <c r="Q22" s="66"/>
      <c r="R22" s="66"/>
      <c r="S22" s="66"/>
      <c r="T22" s="66"/>
      <c r="U22" s="66"/>
    </row>
    <row r="23" spans="1:21" s="3" customFormat="1" ht="12.75" customHeight="1" x14ac:dyDescent="0.25">
      <c r="A23" s="11"/>
      <c r="B23" s="11"/>
      <c r="C23" s="12" t="s">
        <v>1179</v>
      </c>
      <c r="D23" s="13"/>
      <c r="E23" s="13"/>
      <c r="F23" s="14"/>
      <c r="G23" s="14">
        <v>768</v>
      </c>
      <c r="H23" s="14"/>
      <c r="I23" s="53"/>
      <c r="J23" s="66"/>
      <c r="K23" s="81"/>
      <c r="L23" s="66"/>
      <c r="M23" s="81"/>
      <c r="N23" s="66"/>
      <c r="O23" s="66">
        <v>48</v>
      </c>
      <c r="P23" s="66"/>
      <c r="Q23" s="66">
        <v>12</v>
      </c>
      <c r="R23" s="66"/>
      <c r="S23" s="66"/>
      <c r="T23" s="66"/>
      <c r="U23" s="66"/>
    </row>
    <row r="24" spans="1:21" s="3" customFormat="1" ht="12.75" customHeight="1" x14ac:dyDescent="0.25">
      <c r="A24" s="7" t="s">
        <v>36</v>
      </c>
      <c r="B24" s="7" t="s">
        <v>37</v>
      </c>
      <c r="C24" s="8" t="s">
        <v>38</v>
      </c>
      <c r="D24" s="9">
        <f t="shared" ref="D24:E26" si="3">F24+H24+J24+L24+N24+P24+R24+T24</f>
        <v>1440</v>
      </c>
      <c r="E24" s="9">
        <f t="shared" si="3"/>
        <v>3000</v>
      </c>
      <c r="F24" s="10">
        <f>F25</f>
        <v>1440</v>
      </c>
      <c r="G24" s="10">
        <f>G25</f>
        <v>3000</v>
      </c>
      <c r="H24" s="10">
        <v>0</v>
      </c>
      <c r="I24" s="52"/>
      <c r="J24" s="65">
        <v>0</v>
      </c>
      <c r="K24" s="80"/>
      <c r="L24" s="65">
        <v>0</v>
      </c>
      <c r="M24" s="80">
        <v>0</v>
      </c>
      <c r="N24" s="65">
        <v>0</v>
      </c>
      <c r="O24" s="65">
        <v>0</v>
      </c>
      <c r="P24" s="65">
        <f>P25</f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</row>
    <row r="25" spans="1:21" s="3" customFormat="1" ht="12.75" customHeight="1" x14ac:dyDescent="0.25">
      <c r="A25" s="11"/>
      <c r="B25" s="11"/>
      <c r="C25" s="12" t="s">
        <v>613</v>
      </c>
      <c r="D25" s="13"/>
      <c r="E25" s="13"/>
      <c r="F25" s="14">
        <v>1440</v>
      </c>
      <c r="G25" s="14">
        <v>3000</v>
      </c>
      <c r="H25" s="14"/>
      <c r="I25" s="53"/>
      <c r="J25" s="66"/>
      <c r="K25" s="81"/>
      <c r="L25" s="66"/>
      <c r="M25" s="81"/>
      <c r="N25" s="66"/>
      <c r="O25" s="66"/>
      <c r="P25" s="66"/>
      <c r="Q25" s="66"/>
      <c r="R25" s="66"/>
      <c r="S25" s="66"/>
      <c r="T25" s="66"/>
      <c r="U25" s="66"/>
    </row>
    <row r="26" spans="1:21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 t="shared" si="3"/>
        <v>500</v>
      </c>
      <c r="E26" s="9">
        <f t="shared" si="3"/>
        <v>932</v>
      </c>
      <c r="F26" s="10">
        <v>500</v>
      </c>
      <c r="G26" s="10">
        <f>G27</f>
        <v>932</v>
      </c>
      <c r="H26" s="10">
        <v>0</v>
      </c>
      <c r="I26" s="52"/>
      <c r="J26" s="65">
        <v>0</v>
      </c>
      <c r="K26" s="80"/>
      <c r="L26" s="65">
        <v>0</v>
      </c>
      <c r="M26" s="80">
        <v>0</v>
      </c>
      <c r="N26" s="65">
        <v>0</v>
      </c>
      <c r="O26" s="65">
        <v>0</v>
      </c>
      <c r="P26" s="65">
        <f>P27</f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</row>
    <row r="27" spans="1:21" s="3" customFormat="1" ht="12.75" customHeight="1" x14ac:dyDescent="0.25">
      <c r="A27" s="11"/>
      <c r="B27" s="11"/>
      <c r="C27" s="12" t="s">
        <v>280</v>
      </c>
      <c r="D27" s="13"/>
      <c r="E27" s="13"/>
      <c r="F27" s="14"/>
      <c r="G27" s="14">
        <f>ROUND(G6*0.004,0)</f>
        <v>932</v>
      </c>
      <c r="H27" s="14"/>
      <c r="I27" s="14"/>
      <c r="J27" s="66"/>
      <c r="K27" s="81"/>
      <c r="L27" s="66"/>
      <c r="M27" s="14"/>
      <c r="N27" s="66"/>
      <c r="O27" s="66"/>
      <c r="P27" s="66"/>
      <c r="Q27" s="66"/>
      <c r="R27" s="66"/>
      <c r="S27" s="66"/>
      <c r="T27" s="66"/>
      <c r="U27" s="66"/>
    </row>
    <row r="28" spans="1:21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F28+H28+J28+L28+N28+P28+R28+T28</f>
        <v>1500</v>
      </c>
      <c r="E28" s="9">
        <f>G28+I28+K28+M28+O28+Q28+S28+U28</f>
        <v>2200</v>
      </c>
      <c r="F28" s="10">
        <f>F29</f>
        <v>1500</v>
      </c>
      <c r="G28" s="10">
        <f>G29</f>
        <v>2000</v>
      </c>
      <c r="H28" s="10">
        <v>0</v>
      </c>
      <c r="I28" s="52"/>
      <c r="J28" s="65">
        <v>0</v>
      </c>
      <c r="K28" s="80"/>
      <c r="L28" s="65">
        <v>0</v>
      </c>
      <c r="M28" s="52">
        <v>0</v>
      </c>
      <c r="N28" s="65">
        <v>0</v>
      </c>
      <c r="O28" s="65">
        <v>200</v>
      </c>
      <c r="P28" s="65">
        <f>P29</f>
        <v>0</v>
      </c>
      <c r="Q28" s="65">
        <v>0</v>
      </c>
      <c r="R28" s="65">
        <v>0</v>
      </c>
      <c r="S28" s="65">
        <v>0</v>
      </c>
      <c r="T28" s="65">
        <v>0</v>
      </c>
      <c r="U28" s="65">
        <v>0</v>
      </c>
    </row>
    <row r="29" spans="1:21" s="15" customFormat="1" ht="11.45" customHeight="1" x14ac:dyDescent="0.25">
      <c r="A29" s="11"/>
      <c r="B29" s="11"/>
      <c r="C29" s="12" t="s">
        <v>411</v>
      </c>
      <c r="D29" s="13"/>
      <c r="E29" s="13"/>
      <c r="F29" s="14">
        <v>1500</v>
      </c>
      <c r="G29" s="14">
        <v>2000</v>
      </c>
      <c r="H29" s="14"/>
      <c r="I29" s="53"/>
      <c r="J29" s="66"/>
      <c r="K29" s="81"/>
      <c r="L29" s="66"/>
      <c r="M29" s="81"/>
      <c r="N29" s="66"/>
      <c r="O29" s="66"/>
      <c r="P29" s="66"/>
      <c r="Q29" s="66"/>
      <c r="R29" s="66"/>
      <c r="S29" s="66"/>
      <c r="T29" s="66"/>
      <c r="U29" s="66"/>
    </row>
    <row r="30" spans="1:21" s="3" customFormat="1" ht="12.75" customHeight="1" x14ac:dyDescent="0.25">
      <c r="A30" s="16" t="s">
        <v>45</v>
      </c>
      <c r="B30" s="16" t="s">
        <v>46</v>
      </c>
      <c r="C30" s="17" t="s">
        <v>47</v>
      </c>
      <c r="D30" s="18">
        <f>D6+D8+D9+D10+D13+D14+D16+D19+D20+D21+D24+D26+D28</f>
        <v>294797</v>
      </c>
      <c r="E30" s="18">
        <f>E6+E8+E9+E10+E13+E14+E16+E19+E20+E21+E24+E26+E28</f>
        <v>283592</v>
      </c>
      <c r="F30" s="18">
        <f>F6+F8+F9+F10+F13+F14+F16+F19+F20+F21+F24+F26+F28</f>
        <v>267957</v>
      </c>
      <c r="G30" s="18">
        <f t="shared" ref="G30:U30" si="4">G6+G8+G9+G10+G13+G14+G16+G19+G20+G21+G24+G26+G28</f>
        <v>266968</v>
      </c>
      <c r="H30" s="18">
        <f t="shared" si="4"/>
        <v>6750</v>
      </c>
      <c r="I30" s="18">
        <f t="shared" si="4"/>
        <v>0</v>
      </c>
      <c r="J30" s="18">
        <f t="shared" si="4"/>
        <v>1603</v>
      </c>
      <c r="K30" s="18">
        <f t="shared" si="4"/>
        <v>0</v>
      </c>
      <c r="L30" s="18">
        <f t="shared" si="4"/>
        <v>0</v>
      </c>
      <c r="M30" s="18">
        <f t="shared" si="4"/>
        <v>0</v>
      </c>
      <c r="N30" s="18">
        <f t="shared" si="4"/>
        <v>15257</v>
      </c>
      <c r="O30" s="18">
        <f t="shared" si="4"/>
        <v>13392</v>
      </c>
      <c r="P30" s="18">
        <f t="shared" si="4"/>
        <v>3230</v>
      </c>
      <c r="Q30" s="18">
        <f t="shared" si="4"/>
        <v>3232</v>
      </c>
      <c r="R30" s="18">
        <f t="shared" si="4"/>
        <v>0</v>
      </c>
      <c r="S30" s="18">
        <f t="shared" si="4"/>
        <v>0</v>
      </c>
      <c r="T30" s="18">
        <f t="shared" si="4"/>
        <v>0</v>
      </c>
      <c r="U30" s="18">
        <f t="shared" si="4"/>
        <v>0</v>
      </c>
    </row>
    <row r="31" spans="1:21" s="3" customFormat="1" ht="12.75" customHeight="1" x14ac:dyDescent="0.25">
      <c r="A31" s="7" t="s">
        <v>48</v>
      </c>
      <c r="B31" s="7" t="s">
        <v>49</v>
      </c>
      <c r="C31" s="8" t="s">
        <v>50</v>
      </c>
      <c r="D31" s="9">
        <f t="shared" ref="D31:E34" si="5">F31+H31+J31+L31+N31+P31+R31+T31</f>
        <v>18336</v>
      </c>
      <c r="E31" s="9">
        <f t="shared" si="5"/>
        <v>0</v>
      </c>
      <c r="F31" s="10">
        <f>SUM(F32:F33)</f>
        <v>18336</v>
      </c>
      <c r="G31" s="10">
        <f>SUM(G32:G33)</f>
        <v>0</v>
      </c>
      <c r="H31" s="10">
        <v>0</v>
      </c>
      <c r="I31" s="52"/>
      <c r="J31" s="65">
        <v>0</v>
      </c>
      <c r="K31" s="80"/>
      <c r="L31" s="65">
        <v>0</v>
      </c>
      <c r="M31" s="80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</row>
    <row r="32" spans="1:21" s="15" customFormat="1" ht="11.45" customHeight="1" x14ac:dyDescent="0.25">
      <c r="A32" s="11"/>
      <c r="B32" s="11"/>
      <c r="C32" s="12" t="s">
        <v>614</v>
      </c>
      <c r="D32" s="13"/>
      <c r="E32" s="13"/>
      <c r="F32" s="14">
        <v>14016</v>
      </c>
      <c r="G32" s="14">
        <v>0</v>
      </c>
      <c r="H32" s="14"/>
      <c r="I32" s="53"/>
      <c r="J32" s="66"/>
      <c r="K32" s="81"/>
      <c r="L32" s="66"/>
      <c r="M32" s="81"/>
      <c r="N32" s="66"/>
      <c r="O32" s="66"/>
      <c r="P32" s="66"/>
      <c r="Q32" s="66"/>
      <c r="R32" s="66"/>
      <c r="S32" s="66"/>
      <c r="T32" s="66"/>
      <c r="U32" s="66"/>
    </row>
    <row r="33" spans="1:21" s="15" customFormat="1" ht="11.45" customHeight="1" x14ac:dyDescent="0.25">
      <c r="A33" s="11"/>
      <c r="B33" s="11"/>
      <c r="C33" s="12" t="s">
        <v>615</v>
      </c>
      <c r="D33" s="13"/>
      <c r="E33" s="13"/>
      <c r="F33" s="14">
        <v>4320</v>
      </c>
      <c r="G33" s="14">
        <v>0</v>
      </c>
      <c r="H33" s="14"/>
      <c r="I33" s="53"/>
      <c r="J33" s="66"/>
      <c r="K33" s="81"/>
      <c r="L33" s="66"/>
      <c r="M33" s="81"/>
      <c r="N33" s="66"/>
      <c r="O33" s="66"/>
      <c r="P33" s="66"/>
      <c r="Q33" s="66"/>
      <c r="R33" s="66"/>
      <c r="S33" s="66"/>
      <c r="T33" s="66"/>
      <c r="U33" s="66"/>
    </row>
    <row r="34" spans="1:21" s="3" customFormat="1" ht="12.75" customHeight="1" x14ac:dyDescent="0.25">
      <c r="A34" s="7" t="s">
        <v>51</v>
      </c>
      <c r="B34" s="7" t="s">
        <v>52</v>
      </c>
      <c r="C34" s="8" t="s">
        <v>53</v>
      </c>
      <c r="D34" s="9">
        <f t="shared" si="5"/>
        <v>24843</v>
      </c>
      <c r="E34" s="9">
        <f t="shared" si="5"/>
        <v>5922</v>
      </c>
      <c r="F34" s="10">
        <f>F35</f>
        <v>21000</v>
      </c>
      <c r="G34" s="10">
        <f>G35</f>
        <v>5922</v>
      </c>
      <c r="H34" s="10">
        <v>0</v>
      </c>
      <c r="I34" s="52"/>
      <c r="J34" s="65">
        <v>0</v>
      </c>
      <c r="K34" s="80"/>
      <c r="L34" s="65">
        <f>L35</f>
        <v>3818</v>
      </c>
      <c r="M34" s="65">
        <f>M35</f>
        <v>0</v>
      </c>
      <c r="N34" s="65">
        <f>N35</f>
        <v>25</v>
      </c>
      <c r="O34" s="65">
        <v>0</v>
      </c>
      <c r="P34" s="65">
        <v>0</v>
      </c>
      <c r="Q34" s="65">
        <v>0</v>
      </c>
      <c r="R34" s="65">
        <v>0</v>
      </c>
      <c r="S34" s="65">
        <v>0</v>
      </c>
      <c r="T34" s="65">
        <v>0</v>
      </c>
      <c r="U34" s="65">
        <v>0</v>
      </c>
    </row>
    <row r="35" spans="1:21" s="15" customFormat="1" ht="11.45" customHeight="1" x14ac:dyDescent="0.25">
      <c r="A35" s="11"/>
      <c r="B35" s="11"/>
      <c r="C35" s="12" t="s">
        <v>282</v>
      </c>
      <c r="D35" s="13"/>
      <c r="E35" s="13"/>
      <c r="F35" s="14">
        <v>21000</v>
      </c>
      <c r="G35" s="14">
        <f>3000+922+2000</f>
        <v>5922</v>
      </c>
      <c r="H35" s="14"/>
      <c r="I35" s="53"/>
      <c r="J35" s="66"/>
      <c r="K35" s="81"/>
      <c r="L35" s="66">
        <v>3818</v>
      </c>
      <c r="M35" s="81"/>
      <c r="N35" s="66">
        <v>25</v>
      </c>
      <c r="O35" s="66"/>
      <c r="P35" s="66"/>
      <c r="Q35" s="66"/>
      <c r="R35" s="66"/>
      <c r="S35" s="66"/>
      <c r="T35" s="66"/>
      <c r="U35" s="66"/>
    </row>
    <row r="36" spans="1:21" s="3" customFormat="1" ht="12.75" customHeight="1" x14ac:dyDescent="0.25">
      <c r="A36" s="7" t="s">
        <v>54</v>
      </c>
      <c r="B36" s="7" t="s">
        <v>55</v>
      </c>
      <c r="C36" s="8" t="s">
        <v>285</v>
      </c>
      <c r="D36" s="9">
        <f>F36+H36+J36+L36+N36+P36+R36+T36</f>
        <v>22294</v>
      </c>
      <c r="E36" s="9">
        <f>G36+I36+K36+M36+O36+Q36+S36+U36</f>
        <v>3040</v>
      </c>
      <c r="F36" s="10">
        <f>SUM(F37:F38)</f>
        <v>3600</v>
      </c>
      <c r="G36" s="10">
        <f>SUM(G37:G38)</f>
        <v>3000</v>
      </c>
      <c r="H36" s="10">
        <v>0</v>
      </c>
      <c r="I36" s="52"/>
      <c r="J36" s="65">
        <v>0</v>
      </c>
      <c r="K36" s="80"/>
      <c r="L36" s="65">
        <f>SUM(L37:L38)</f>
        <v>18694</v>
      </c>
      <c r="M36" s="65">
        <f>SUM(M37:M38)</f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5">
        <f>SUM(U37:U38)</f>
        <v>40</v>
      </c>
    </row>
    <row r="37" spans="1:21" s="15" customFormat="1" ht="11.45" customHeight="1" x14ac:dyDescent="0.25">
      <c r="A37" s="11"/>
      <c r="B37" s="11"/>
      <c r="C37" s="12" t="s">
        <v>283</v>
      </c>
      <c r="D37" s="13"/>
      <c r="E37" s="13"/>
      <c r="F37" s="14">
        <v>3000</v>
      </c>
      <c r="G37" s="14">
        <v>3000</v>
      </c>
      <c r="H37" s="14"/>
      <c r="I37" s="53"/>
      <c r="J37" s="66"/>
      <c r="K37" s="81"/>
      <c r="L37" s="66"/>
      <c r="M37" s="81"/>
      <c r="N37" s="66"/>
      <c r="O37" s="66"/>
      <c r="P37" s="66"/>
      <c r="Q37" s="66"/>
      <c r="R37" s="66"/>
      <c r="S37" s="66"/>
      <c r="T37" s="66"/>
      <c r="U37" s="66">
        <v>40</v>
      </c>
    </row>
    <row r="38" spans="1:21" s="15" customFormat="1" ht="11.45" customHeight="1" x14ac:dyDescent="0.25">
      <c r="A38" s="11"/>
      <c r="B38" s="11"/>
      <c r="C38" s="12" t="s">
        <v>285</v>
      </c>
      <c r="D38" s="13"/>
      <c r="E38" s="13"/>
      <c r="F38" s="14">
        <v>600</v>
      </c>
      <c r="G38" s="14">
        <v>0</v>
      </c>
      <c r="H38" s="14"/>
      <c r="I38" s="53"/>
      <c r="J38" s="90"/>
      <c r="K38" s="90"/>
      <c r="L38" s="90">
        <v>18694</v>
      </c>
      <c r="M38" s="90"/>
      <c r="N38" s="90"/>
      <c r="O38" s="90"/>
      <c r="P38" s="90"/>
      <c r="Q38" s="66"/>
      <c r="R38" s="90"/>
      <c r="S38" s="66"/>
      <c r="T38" s="90"/>
      <c r="U38" s="66"/>
    </row>
    <row r="39" spans="1:21" s="3" customFormat="1" ht="12.75" customHeight="1" x14ac:dyDescent="0.25">
      <c r="A39" s="16" t="s">
        <v>56</v>
      </c>
      <c r="B39" s="16" t="s">
        <v>57</v>
      </c>
      <c r="C39" s="17" t="s">
        <v>58</v>
      </c>
      <c r="D39" s="18">
        <f>D31+D34+D36</f>
        <v>65473</v>
      </c>
      <c r="E39" s="18">
        <f>E31+E34+E36</f>
        <v>8962</v>
      </c>
      <c r="F39" s="18">
        <f>F31+F34+F36</f>
        <v>42936</v>
      </c>
      <c r="G39" s="18">
        <f t="shared" ref="G39:U39" si="6">G31+G34+G36</f>
        <v>8922</v>
      </c>
      <c r="H39" s="18">
        <f t="shared" si="6"/>
        <v>0</v>
      </c>
      <c r="I39" s="18">
        <f t="shared" si="6"/>
        <v>0</v>
      </c>
      <c r="J39" s="18">
        <f t="shared" si="6"/>
        <v>0</v>
      </c>
      <c r="K39" s="18">
        <f t="shared" si="6"/>
        <v>0</v>
      </c>
      <c r="L39" s="18">
        <f t="shared" si="6"/>
        <v>22512</v>
      </c>
      <c r="M39" s="18">
        <f t="shared" si="6"/>
        <v>0</v>
      </c>
      <c r="N39" s="18">
        <f t="shared" si="6"/>
        <v>25</v>
      </c>
      <c r="O39" s="18">
        <f t="shared" si="6"/>
        <v>0</v>
      </c>
      <c r="P39" s="18">
        <f t="shared" si="6"/>
        <v>0</v>
      </c>
      <c r="Q39" s="18">
        <f t="shared" si="6"/>
        <v>0</v>
      </c>
      <c r="R39" s="18">
        <f t="shared" si="6"/>
        <v>0</v>
      </c>
      <c r="S39" s="18">
        <f t="shared" si="6"/>
        <v>0</v>
      </c>
      <c r="T39" s="18">
        <f t="shared" si="6"/>
        <v>0</v>
      </c>
      <c r="U39" s="18">
        <f t="shared" si="6"/>
        <v>40</v>
      </c>
    </row>
    <row r="40" spans="1:21" s="3" customFormat="1" ht="12.75" customHeight="1" x14ac:dyDescent="0.25">
      <c r="A40" s="20" t="s">
        <v>59</v>
      </c>
      <c r="B40" s="20" t="s">
        <v>60</v>
      </c>
      <c r="C40" s="21" t="s">
        <v>286</v>
      </c>
      <c r="D40" s="22">
        <f t="shared" ref="D40:Q40" si="7">D30+D39</f>
        <v>360270</v>
      </c>
      <c r="E40" s="22">
        <f t="shared" si="7"/>
        <v>292554</v>
      </c>
      <c r="F40" s="22">
        <f t="shared" si="7"/>
        <v>310893</v>
      </c>
      <c r="G40" s="22">
        <f t="shared" si="7"/>
        <v>275890</v>
      </c>
      <c r="H40" s="22">
        <f t="shared" si="7"/>
        <v>6750</v>
      </c>
      <c r="I40" s="55">
        <f t="shared" si="7"/>
        <v>0</v>
      </c>
      <c r="J40" s="55">
        <f t="shared" si="7"/>
        <v>1603</v>
      </c>
      <c r="K40" s="55">
        <f t="shared" si="7"/>
        <v>0</v>
      </c>
      <c r="L40" s="55">
        <f t="shared" si="7"/>
        <v>22512</v>
      </c>
      <c r="M40" s="55">
        <f t="shared" si="7"/>
        <v>0</v>
      </c>
      <c r="N40" s="55">
        <f t="shared" si="7"/>
        <v>15282</v>
      </c>
      <c r="O40" s="55">
        <f t="shared" si="7"/>
        <v>13392</v>
      </c>
      <c r="P40" s="55">
        <f t="shared" si="7"/>
        <v>3230</v>
      </c>
      <c r="Q40" s="55">
        <f t="shared" si="7"/>
        <v>3232</v>
      </c>
      <c r="R40" s="55">
        <f t="shared" ref="R40:U40" si="8">R30+R39</f>
        <v>0</v>
      </c>
      <c r="S40" s="55">
        <f t="shared" si="8"/>
        <v>0</v>
      </c>
      <c r="T40" s="55">
        <f t="shared" si="8"/>
        <v>0</v>
      </c>
      <c r="U40" s="55">
        <f t="shared" si="8"/>
        <v>40</v>
      </c>
    </row>
    <row r="41" spans="1:21" s="15" customFormat="1" ht="11.45" customHeight="1" x14ac:dyDescent="0.25">
      <c r="A41" s="11"/>
      <c r="B41" s="11"/>
      <c r="C41" s="12" t="s">
        <v>284</v>
      </c>
      <c r="D41" s="13">
        <f>H41+F41+L41+N41+P41+R41+T41+J41</f>
        <v>79497</v>
      </c>
      <c r="E41" s="13">
        <f>I41+G41+M41+O41+Q41+S41+U41+K41</f>
        <v>72006</v>
      </c>
      <c r="F41" s="13">
        <v>66593</v>
      </c>
      <c r="G41" s="13">
        <f>ROUND((G6+G8+G9+G10+G13+G14+G26+G28+G34)*0.27,0)</f>
        <v>67903</v>
      </c>
      <c r="H41" s="13">
        <v>1782</v>
      </c>
      <c r="I41" s="56">
        <f>ROUND((I6+I8+I9+I10+I13+I14+I34)*0.27,0)</f>
        <v>0</v>
      </c>
      <c r="J41" s="69">
        <v>425</v>
      </c>
      <c r="K41" s="56">
        <f>ROUND((K6+K8+K9+K10+K13+K14+K34)*0.27,0)</f>
        <v>0</v>
      </c>
      <c r="L41" s="69">
        <v>6078</v>
      </c>
      <c r="M41" s="13">
        <f>ROUND((M6+M8+M9+M10+M13+M14+M26+M28+M34)*0.27,0)</f>
        <v>0</v>
      </c>
      <c r="N41" s="69">
        <v>3776</v>
      </c>
      <c r="O41" s="56">
        <f>ROUND((O6+O8+O9+O10+O13+O14+O34)*0.27,0)</f>
        <v>3260</v>
      </c>
      <c r="P41" s="69">
        <v>843</v>
      </c>
      <c r="Q41" s="56">
        <f>ROUND((Q6+Q8+Q9+Q10+Q13+Q14+Q34)*0.27,0)</f>
        <v>843</v>
      </c>
      <c r="R41" s="69"/>
      <c r="S41" s="69"/>
      <c r="T41" s="69"/>
      <c r="U41" s="13">
        <f>ROUND((U6+U8+U9+U10+U13+U14+U26+U28+U34)*0.27,0)</f>
        <v>0</v>
      </c>
    </row>
    <row r="42" spans="1:21" s="15" customFormat="1" ht="11.45" customHeight="1" x14ac:dyDescent="0.25">
      <c r="A42" s="11"/>
      <c r="B42" s="11"/>
      <c r="C42" s="12" t="s">
        <v>61</v>
      </c>
      <c r="D42" s="13">
        <f t="shared" ref="D42:E44" si="9">H42+F42+L42+N42+P42+R42+T42+J42</f>
        <v>3161</v>
      </c>
      <c r="E42" s="13">
        <f t="shared" si="9"/>
        <v>3268</v>
      </c>
      <c r="F42" s="14">
        <v>2978</v>
      </c>
      <c r="G42" s="13">
        <f>ROUND((G16+G17)*1.19*0.14+(G36)*1.19*0.27,0)</f>
        <v>3090</v>
      </c>
      <c r="H42" s="14">
        <v>0</v>
      </c>
      <c r="I42" s="13">
        <f>ROUND(I16*1.19*0.14+(I36)*1.19*0.27,0)</f>
        <v>0</v>
      </c>
      <c r="J42" s="66"/>
      <c r="K42" s="13">
        <f>ROUND(K16*1.19*0.14+(K36)*1.19*0.27,0)</f>
        <v>0</v>
      </c>
      <c r="L42" s="66">
        <v>0</v>
      </c>
      <c r="M42" s="13">
        <f>ROUND(M16*1.19*0.14+(M36)*1.19*0.27,0)</f>
        <v>0</v>
      </c>
      <c r="N42" s="66">
        <v>167</v>
      </c>
      <c r="O42" s="13">
        <f>ROUND((O16+O17)*1.19*0.14+(O36)*1.19*0.27,0)</f>
        <v>133</v>
      </c>
      <c r="P42" s="66">
        <v>16</v>
      </c>
      <c r="Q42" s="13">
        <f>ROUND((Q16+Q17)*1.19*0.14+(Q36)*1.19*0.27,0)</f>
        <v>32</v>
      </c>
      <c r="R42" s="66"/>
      <c r="S42" s="66"/>
      <c r="T42" s="66"/>
      <c r="U42" s="13">
        <f>ROUND((U16+U17)*1.19*0.14+(U36)*1.19*0.27,0)</f>
        <v>13</v>
      </c>
    </row>
    <row r="43" spans="1:21" s="15" customFormat="1" ht="11.45" customHeight="1" x14ac:dyDescent="0.25">
      <c r="A43" s="11"/>
      <c r="B43" s="11"/>
      <c r="C43" s="12" t="s">
        <v>62</v>
      </c>
      <c r="D43" s="13">
        <f t="shared" si="9"/>
        <v>3545</v>
      </c>
      <c r="E43" s="13">
        <f t="shared" si="9"/>
        <v>3545</v>
      </c>
      <c r="F43" s="14">
        <v>3545</v>
      </c>
      <c r="G43" s="14">
        <v>3545</v>
      </c>
      <c r="H43" s="14">
        <v>0</v>
      </c>
      <c r="I43" s="53"/>
      <c r="J43" s="66"/>
      <c r="K43" s="81"/>
      <c r="L43" s="66">
        <v>0</v>
      </c>
      <c r="M43" s="81">
        <v>0</v>
      </c>
      <c r="N43" s="66"/>
      <c r="O43" s="81"/>
      <c r="P43" s="66"/>
      <c r="Q43" s="81"/>
      <c r="R43" s="66"/>
      <c r="S43" s="66"/>
      <c r="T43" s="66"/>
      <c r="U43" s="14"/>
    </row>
    <row r="44" spans="1:21" s="15" customFormat="1" ht="11.45" customHeight="1" x14ac:dyDescent="0.25">
      <c r="A44" s="11"/>
      <c r="B44" s="11"/>
      <c r="C44" s="12" t="s">
        <v>63</v>
      </c>
      <c r="D44" s="13">
        <f t="shared" si="9"/>
        <v>3081</v>
      </c>
      <c r="E44" s="13">
        <f t="shared" si="9"/>
        <v>3087</v>
      </c>
      <c r="F44" s="14">
        <v>2873</v>
      </c>
      <c r="G44" s="14">
        <f>ROUND((G37+G17+G18)*1.19*0.16,0)</f>
        <v>2909</v>
      </c>
      <c r="H44" s="14">
        <v>0</v>
      </c>
      <c r="I44" s="14">
        <f>ROUND((I37+I17)*1.19*0.16,0)</f>
        <v>0</v>
      </c>
      <c r="J44" s="66"/>
      <c r="K44" s="14">
        <f>ROUND((K37+K17)*1.19*0.16,0)</f>
        <v>0</v>
      </c>
      <c r="L44" s="66">
        <v>0</v>
      </c>
      <c r="M44" s="14">
        <f>ROUND((M37+M17)*1.19*0.16,0)</f>
        <v>0</v>
      </c>
      <c r="N44" s="66">
        <v>190</v>
      </c>
      <c r="O44" s="14">
        <f>ROUND((O37+O17+O18)*1.19*0.16,0)</f>
        <v>152</v>
      </c>
      <c r="P44" s="66">
        <v>18</v>
      </c>
      <c r="Q44" s="14">
        <f>ROUND((Q37+Q17+Q18)*1.19*0.16,0)</f>
        <v>18</v>
      </c>
      <c r="R44" s="66"/>
      <c r="S44" s="66"/>
      <c r="T44" s="66"/>
      <c r="U44" s="14">
        <f>ROUND((U37+U17+U18)*1.19*0.16,0)</f>
        <v>8</v>
      </c>
    </row>
    <row r="45" spans="1:21" s="3" customFormat="1" ht="12.75" customHeight="1" x14ac:dyDescent="0.25">
      <c r="A45" s="20" t="s">
        <v>64</v>
      </c>
      <c r="B45" s="20" t="s">
        <v>65</v>
      </c>
      <c r="C45" s="21" t="s">
        <v>287</v>
      </c>
      <c r="D45" s="22">
        <f>D41+D42+D43+D44</f>
        <v>89284</v>
      </c>
      <c r="E45" s="22">
        <f>E41+E42+E43+E44</f>
        <v>81906</v>
      </c>
      <c r="F45" s="22">
        <f t="shared" ref="F45:Q45" si="10">F41+F42+F43+F44</f>
        <v>75989</v>
      </c>
      <c r="G45" s="22">
        <f t="shared" si="10"/>
        <v>77447</v>
      </c>
      <c r="H45" s="22">
        <f t="shared" si="10"/>
        <v>1782</v>
      </c>
      <c r="I45" s="55">
        <f t="shared" si="10"/>
        <v>0</v>
      </c>
      <c r="J45" s="55">
        <f t="shared" si="10"/>
        <v>425</v>
      </c>
      <c r="K45" s="55">
        <f t="shared" si="10"/>
        <v>0</v>
      </c>
      <c r="L45" s="22">
        <f t="shared" si="10"/>
        <v>6078</v>
      </c>
      <c r="M45" s="22">
        <f t="shared" si="10"/>
        <v>0</v>
      </c>
      <c r="N45" s="22">
        <f t="shared" si="10"/>
        <v>4133</v>
      </c>
      <c r="O45" s="22">
        <f t="shared" si="10"/>
        <v>3545</v>
      </c>
      <c r="P45" s="22">
        <f t="shared" si="10"/>
        <v>877</v>
      </c>
      <c r="Q45" s="22">
        <f t="shared" si="10"/>
        <v>893</v>
      </c>
      <c r="R45" s="22">
        <f t="shared" ref="R45:U45" si="11">R41+R42+R43+R44</f>
        <v>0</v>
      </c>
      <c r="S45" s="22">
        <f t="shared" si="11"/>
        <v>0</v>
      </c>
      <c r="T45" s="22">
        <f t="shared" si="11"/>
        <v>0</v>
      </c>
      <c r="U45" s="22">
        <f t="shared" si="11"/>
        <v>21</v>
      </c>
    </row>
    <row r="46" spans="1:21" s="3" customFormat="1" ht="14.1" customHeight="1" x14ac:dyDescent="0.25">
      <c r="A46" s="1002" t="s">
        <v>66</v>
      </c>
      <c r="B46" s="1003"/>
      <c r="C46" s="1004"/>
      <c r="D46" s="86">
        <f>D40+D45</f>
        <v>449554</v>
      </c>
      <c r="E46" s="86">
        <f>E40+E45</f>
        <v>374460</v>
      </c>
      <c r="F46" s="86">
        <f t="shared" ref="F46:Q46" si="12">F40+F45</f>
        <v>386882</v>
      </c>
      <c r="G46" s="86">
        <f t="shared" si="12"/>
        <v>353337</v>
      </c>
      <c r="H46" s="86">
        <f t="shared" si="12"/>
        <v>8532</v>
      </c>
      <c r="I46" s="87">
        <f t="shared" si="12"/>
        <v>0</v>
      </c>
      <c r="J46" s="87">
        <f t="shared" si="12"/>
        <v>2028</v>
      </c>
      <c r="K46" s="87">
        <f t="shared" si="12"/>
        <v>0</v>
      </c>
      <c r="L46" s="86">
        <f t="shared" si="12"/>
        <v>28590</v>
      </c>
      <c r="M46" s="86">
        <f t="shared" si="12"/>
        <v>0</v>
      </c>
      <c r="N46" s="86">
        <f t="shared" si="12"/>
        <v>19415</v>
      </c>
      <c r="O46" s="86">
        <f t="shared" si="12"/>
        <v>16937</v>
      </c>
      <c r="P46" s="86">
        <f t="shared" si="12"/>
        <v>4107</v>
      </c>
      <c r="Q46" s="86">
        <f t="shared" si="12"/>
        <v>4125</v>
      </c>
      <c r="R46" s="86">
        <f t="shared" ref="R46:U46" si="13">R40+R45</f>
        <v>0</v>
      </c>
      <c r="S46" s="86">
        <f t="shared" si="13"/>
        <v>0</v>
      </c>
      <c r="T46" s="86">
        <f t="shared" si="13"/>
        <v>0</v>
      </c>
      <c r="U46" s="86">
        <f t="shared" si="13"/>
        <v>61</v>
      </c>
    </row>
    <row r="47" spans="1:21" s="3" customFormat="1" ht="14.1" customHeight="1" x14ac:dyDescent="0.2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</row>
    <row r="48" spans="1:21" s="3" customFormat="1" ht="14.1" customHeight="1" x14ac:dyDescent="0.2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</row>
    <row r="49" spans="1:21" s="3" customFormat="1" ht="14.1" customHeight="1" x14ac:dyDescent="0.2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</row>
    <row r="50" spans="1:21" s="1" customFormat="1" ht="12.75" customHeight="1" x14ac:dyDescent="0.25">
      <c r="A50" s="975" t="s">
        <v>604</v>
      </c>
      <c r="B50" s="976"/>
      <c r="C50" s="976"/>
      <c r="D50" s="976"/>
      <c r="E50" s="976"/>
      <c r="F50" s="976"/>
      <c r="G50" s="976"/>
      <c r="H50" s="976"/>
      <c r="I50" s="976"/>
      <c r="J50" s="976"/>
      <c r="K50" s="976"/>
      <c r="L50" s="976"/>
      <c r="M50" s="976"/>
      <c r="N50" s="976" t="s">
        <v>604</v>
      </c>
      <c r="O50" s="976"/>
      <c r="P50" s="976"/>
      <c r="Q50" s="976"/>
      <c r="R50" s="976"/>
      <c r="S50" s="976"/>
      <c r="T50" s="976"/>
      <c r="U50" s="977"/>
    </row>
    <row r="51" spans="1:21" s="1" customFormat="1" ht="14.1" customHeight="1" x14ac:dyDescent="0.25">
      <c r="A51" s="995" t="s">
        <v>0</v>
      </c>
      <c r="B51" s="996" t="s">
        <v>1</v>
      </c>
      <c r="C51" s="995" t="s">
        <v>2</v>
      </c>
      <c r="D51" s="953" t="s">
        <v>260</v>
      </c>
      <c r="E51" s="992" t="s">
        <v>259</v>
      </c>
      <c r="F51" s="993" t="s">
        <v>605</v>
      </c>
      <c r="G51" s="994"/>
      <c r="H51" s="993" t="s">
        <v>606</v>
      </c>
      <c r="I51" s="997"/>
      <c r="J51" s="1001" t="s">
        <v>607</v>
      </c>
      <c r="K51" s="990"/>
      <c r="L51" s="1007" t="s">
        <v>644</v>
      </c>
      <c r="M51" s="1007"/>
      <c r="N51" s="998" t="s">
        <v>608</v>
      </c>
      <c r="O51" s="999"/>
      <c r="P51" s="998" t="s">
        <v>609</v>
      </c>
      <c r="Q51" s="999"/>
      <c r="R51" s="1005" t="s">
        <v>610</v>
      </c>
      <c r="S51" s="1006"/>
      <c r="T51" s="1005" t="s">
        <v>611</v>
      </c>
      <c r="U51" s="1006"/>
    </row>
    <row r="52" spans="1:21" s="3" customFormat="1" ht="33" customHeight="1" x14ac:dyDescent="0.25">
      <c r="A52" s="957"/>
      <c r="B52" s="961"/>
      <c r="C52" s="957"/>
      <c r="D52" s="962"/>
      <c r="E52" s="953"/>
      <c r="F52" s="97" t="s">
        <v>263</v>
      </c>
      <c r="G52" s="97" t="s">
        <v>259</v>
      </c>
      <c r="H52" s="97" t="s">
        <v>260</v>
      </c>
      <c r="I52" s="96" t="s">
        <v>259</v>
      </c>
      <c r="J52" s="62" t="s">
        <v>260</v>
      </c>
      <c r="K52" s="77" t="s">
        <v>259</v>
      </c>
      <c r="L52" s="137" t="s">
        <v>260</v>
      </c>
      <c r="M52" s="137" t="s">
        <v>259</v>
      </c>
      <c r="N52" s="84" t="s">
        <v>260</v>
      </c>
      <c r="O52" s="85" t="s">
        <v>259</v>
      </c>
      <c r="P52" s="84" t="s">
        <v>260</v>
      </c>
      <c r="Q52" s="85" t="s">
        <v>259</v>
      </c>
      <c r="R52" s="131" t="s">
        <v>260</v>
      </c>
      <c r="S52" s="132" t="s">
        <v>259</v>
      </c>
      <c r="T52" s="131" t="s">
        <v>260</v>
      </c>
      <c r="U52" s="132" t="s">
        <v>259</v>
      </c>
    </row>
    <row r="53" spans="1:21" ht="5.65" customHeight="1" x14ac:dyDescent="0.25">
      <c r="J53" s="63"/>
      <c r="K53" s="78"/>
      <c r="L53" s="63"/>
      <c r="M53" s="78"/>
      <c r="N53" s="63"/>
      <c r="O53" s="63"/>
      <c r="P53" s="63"/>
      <c r="Q53" s="63"/>
      <c r="R53" s="63"/>
      <c r="S53" s="63"/>
      <c r="T53" s="63"/>
      <c r="U53" s="63"/>
    </row>
    <row r="54" spans="1:21" ht="14.1" customHeight="1" x14ac:dyDescent="0.25">
      <c r="A54" s="956" t="s">
        <v>288</v>
      </c>
      <c r="B54" s="956"/>
      <c r="C54" s="956"/>
      <c r="D54" s="956"/>
      <c r="E54" s="956"/>
      <c r="F54" s="956"/>
      <c r="G54" s="956"/>
      <c r="H54" s="956"/>
      <c r="I54" s="956"/>
      <c r="J54" s="64"/>
      <c r="K54" s="79"/>
      <c r="L54" s="64"/>
      <c r="M54" s="79"/>
      <c r="N54" s="64"/>
      <c r="O54" s="64"/>
      <c r="P54" s="64"/>
      <c r="Q54" s="64"/>
      <c r="R54" s="64"/>
      <c r="S54" s="64"/>
      <c r="T54" s="64"/>
      <c r="U54" s="64"/>
    </row>
    <row r="55" spans="1:21" s="3" customFormat="1" ht="14.1" customHeight="1" x14ac:dyDescent="0.25">
      <c r="A55" s="7" t="s">
        <v>67</v>
      </c>
      <c r="B55" s="7" t="s">
        <v>68</v>
      </c>
      <c r="C55" s="8" t="s">
        <v>69</v>
      </c>
      <c r="D55" s="9">
        <f>F55+H55+J55+L55+N55+P55+R55+T55</f>
        <v>1650</v>
      </c>
      <c r="E55" s="9">
        <f>G55+I55+K55+M55+O55+Q55+S55+U55</f>
        <v>400</v>
      </c>
      <c r="F55" s="10">
        <f>SUM(F56:F61)</f>
        <v>1650</v>
      </c>
      <c r="G55" s="10">
        <f>SUM(G56:G61)</f>
        <v>400</v>
      </c>
      <c r="H55" s="10">
        <v>0</v>
      </c>
      <c r="I55" s="52"/>
      <c r="J55" s="52">
        <v>0</v>
      </c>
      <c r="K55" s="52"/>
      <c r="L55" s="65">
        <v>0</v>
      </c>
      <c r="M55" s="65">
        <v>0</v>
      </c>
      <c r="N55" s="52">
        <v>0</v>
      </c>
      <c r="O55" s="65">
        <v>0</v>
      </c>
      <c r="P55" s="65">
        <f>SUM(P56:P61)</f>
        <v>0</v>
      </c>
      <c r="Q55" s="65">
        <v>0</v>
      </c>
      <c r="R55" s="65">
        <v>0</v>
      </c>
      <c r="S55" s="65">
        <v>0</v>
      </c>
      <c r="T55" s="65">
        <f>SUM(T56:T61)</f>
        <v>0</v>
      </c>
      <c r="U55" s="65">
        <f>SUM(U56:U61)</f>
        <v>0</v>
      </c>
    </row>
    <row r="56" spans="1:21" ht="14.1" customHeight="1" x14ac:dyDescent="0.25">
      <c r="A56" s="24"/>
      <c r="B56" s="24"/>
      <c r="C56" s="25" t="s">
        <v>70</v>
      </c>
      <c r="D56" s="26"/>
      <c r="E56" s="26"/>
      <c r="F56" s="26"/>
      <c r="G56" s="26"/>
      <c r="H56" s="26"/>
      <c r="I56" s="58"/>
      <c r="J56" s="63"/>
      <c r="K56" s="78"/>
      <c r="L56" s="63"/>
      <c r="M56" s="78"/>
      <c r="N56" s="63"/>
      <c r="O56" s="63"/>
      <c r="P56" s="63"/>
      <c r="Q56" s="63"/>
      <c r="R56" s="63"/>
      <c r="S56" s="63"/>
      <c r="T56" s="63"/>
      <c r="U56" s="63"/>
    </row>
    <row r="57" spans="1:21" ht="14.1" customHeight="1" x14ac:dyDescent="0.25">
      <c r="A57" s="24"/>
      <c r="B57" s="24"/>
      <c r="C57" s="25" t="s">
        <v>71</v>
      </c>
      <c r="D57" s="26"/>
      <c r="E57" s="26"/>
      <c r="F57" s="26"/>
      <c r="G57" s="26"/>
      <c r="H57" s="26"/>
      <c r="I57" s="58"/>
      <c r="J57" s="63"/>
      <c r="K57" s="78"/>
      <c r="L57" s="63"/>
      <c r="M57" s="78"/>
      <c r="N57" s="63"/>
      <c r="O57" s="63"/>
      <c r="P57" s="63"/>
      <c r="Q57" s="63"/>
      <c r="R57" s="63"/>
      <c r="S57" s="63"/>
      <c r="T57" s="63"/>
      <c r="U57" s="63"/>
    </row>
    <row r="58" spans="1:21" ht="14.1" customHeight="1" x14ac:dyDescent="0.25">
      <c r="A58" s="24"/>
      <c r="B58" s="24"/>
      <c r="C58" s="25" t="s">
        <v>72</v>
      </c>
      <c r="D58" s="26"/>
      <c r="E58" s="26"/>
      <c r="F58" s="26">
        <v>150</v>
      </c>
      <c r="G58" s="26">
        <v>100</v>
      </c>
      <c r="H58" s="26"/>
      <c r="I58" s="58"/>
      <c r="J58" s="63"/>
      <c r="K58" s="78"/>
      <c r="L58" s="63"/>
      <c r="M58" s="78"/>
      <c r="N58" s="63"/>
      <c r="O58" s="63"/>
      <c r="P58" s="63"/>
      <c r="Q58" s="63"/>
      <c r="R58" s="63"/>
      <c r="S58" s="63"/>
      <c r="T58" s="63"/>
      <c r="U58" s="63"/>
    </row>
    <row r="59" spans="1:21" ht="14.1" customHeight="1" x14ac:dyDescent="0.25">
      <c r="A59" s="24"/>
      <c r="B59" s="24"/>
      <c r="C59" s="25" t="s">
        <v>73</v>
      </c>
      <c r="D59" s="26"/>
      <c r="E59" s="26"/>
      <c r="F59" s="26">
        <v>100</v>
      </c>
      <c r="G59" s="26">
        <v>200</v>
      </c>
      <c r="H59" s="26"/>
      <c r="I59" s="58"/>
      <c r="J59" s="63"/>
      <c r="K59" s="78"/>
      <c r="L59" s="63"/>
      <c r="M59" s="78"/>
      <c r="N59" s="63"/>
      <c r="O59" s="63"/>
      <c r="P59" s="63"/>
      <c r="Q59" s="63"/>
      <c r="R59" s="63"/>
      <c r="S59" s="63"/>
      <c r="T59" s="63"/>
      <c r="U59" s="63"/>
    </row>
    <row r="60" spans="1:21" ht="14.1" customHeight="1" x14ac:dyDescent="0.25">
      <c r="A60" s="24"/>
      <c r="B60" s="24"/>
      <c r="C60" s="25" t="s">
        <v>74</v>
      </c>
      <c r="D60" s="26"/>
      <c r="E60" s="26"/>
      <c r="F60" s="26">
        <v>1350</v>
      </c>
      <c r="G60" s="26">
        <v>50</v>
      </c>
      <c r="H60" s="26"/>
      <c r="I60" s="58"/>
      <c r="J60" s="63"/>
      <c r="K60" s="78"/>
      <c r="L60" s="63"/>
      <c r="M60" s="78"/>
      <c r="N60" s="63"/>
      <c r="O60" s="63"/>
      <c r="P60" s="63"/>
      <c r="Q60" s="63"/>
      <c r="R60" s="63"/>
      <c r="S60" s="63"/>
      <c r="T60" s="63"/>
      <c r="U60" s="63"/>
    </row>
    <row r="61" spans="1:21" ht="14.1" customHeight="1" x14ac:dyDescent="0.25">
      <c r="A61" s="24"/>
      <c r="B61" s="24"/>
      <c r="C61" s="25" t="s">
        <v>75</v>
      </c>
      <c r="D61" s="26"/>
      <c r="E61" s="26"/>
      <c r="F61" s="26">
        <v>50</v>
      </c>
      <c r="G61" s="26">
        <v>50</v>
      </c>
      <c r="H61" s="26"/>
      <c r="I61" s="58"/>
      <c r="J61" s="63"/>
      <c r="K61" s="78"/>
      <c r="L61" s="63"/>
      <c r="M61" s="78"/>
      <c r="N61" s="63"/>
      <c r="O61" s="63"/>
      <c r="P61" s="63"/>
      <c r="Q61" s="63"/>
      <c r="R61" s="63"/>
      <c r="S61" s="63"/>
      <c r="T61" s="63"/>
      <c r="U61" s="63"/>
    </row>
    <row r="62" spans="1:21" s="3" customFormat="1" ht="14.1" customHeight="1" x14ac:dyDescent="0.25">
      <c r="A62" s="7" t="s">
        <v>76</v>
      </c>
      <c r="B62" s="7" t="s">
        <v>77</v>
      </c>
      <c r="C62" s="8" t="s">
        <v>78</v>
      </c>
      <c r="D62" s="9">
        <f>F62+H62+J62+L62+N62+P62+R62+T62</f>
        <v>7530</v>
      </c>
      <c r="E62" s="9">
        <f>G62+I62+K62+M62+O62+Q62+S62+U62</f>
        <v>8370</v>
      </c>
      <c r="F62" s="10">
        <f>SUM(F63:F68)</f>
        <v>6000</v>
      </c>
      <c r="G62" s="10">
        <f>SUM(G63:G68)</f>
        <v>6600</v>
      </c>
      <c r="H62" s="10">
        <v>0</v>
      </c>
      <c r="I62" s="52"/>
      <c r="J62" s="52">
        <v>0</v>
      </c>
      <c r="K62" s="52"/>
      <c r="L62" s="65">
        <v>0</v>
      </c>
      <c r="M62" s="65">
        <v>0</v>
      </c>
      <c r="N62" s="10">
        <f>SUM(N63:N68)</f>
        <v>950</v>
      </c>
      <c r="O62" s="10">
        <f>SUM(O63:O68)</f>
        <v>1000</v>
      </c>
      <c r="P62" s="65">
        <f>SUM(P63:P68)</f>
        <v>420</v>
      </c>
      <c r="Q62" s="65">
        <f>SUM(Q63:Q68)</f>
        <v>300</v>
      </c>
      <c r="R62" s="65">
        <v>0</v>
      </c>
      <c r="S62" s="65">
        <v>0</v>
      </c>
      <c r="T62" s="65">
        <f>SUM(T63:T68)</f>
        <v>160</v>
      </c>
      <c r="U62" s="65">
        <f>SUM(U63:U68)</f>
        <v>470</v>
      </c>
    </row>
    <row r="63" spans="1:21" ht="14.1" customHeight="1" x14ac:dyDescent="0.25">
      <c r="A63" s="24"/>
      <c r="B63" s="24"/>
      <c r="C63" s="25" t="s">
        <v>79</v>
      </c>
      <c r="D63" s="26"/>
      <c r="E63" s="26"/>
      <c r="F63" s="26"/>
      <c r="G63" s="26"/>
      <c r="H63" s="26"/>
      <c r="I63" s="58"/>
      <c r="J63" s="63"/>
      <c r="K63" s="78"/>
      <c r="L63" s="63"/>
      <c r="M63" s="78"/>
      <c r="N63" s="63"/>
      <c r="O63" s="63"/>
      <c r="P63" s="63"/>
      <c r="Q63" s="63"/>
      <c r="R63" s="63"/>
      <c r="S63" s="63"/>
      <c r="T63" s="63"/>
      <c r="U63" s="63"/>
    </row>
    <row r="64" spans="1:21" ht="14.1" customHeight="1" x14ac:dyDescent="0.25">
      <c r="A64" s="24"/>
      <c r="B64" s="24"/>
      <c r="C64" s="25" t="s">
        <v>80</v>
      </c>
      <c r="D64" s="26"/>
      <c r="E64" s="26"/>
      <c r="F64" s="26">
        <v>2550</v>
      </c>
      <c r="G64" s="26">
        <v>3500</v>
      </c>
      <c r="H64" s="26"/>
      <c r="I64" s="58"/>
      <c r="J64" s="63"/>
      <c r="K64" s="78"/>
      <c r="L64" s="63"/>
      <c r="M64" s="78"/>
      <c r="N64" s="63"/>
      <c r="O64" s="63"/>
      <c r="P64" s="63"/>
      <c r="Q64" s="63"/>
      <c r="R64" s="63"/>
      <c r="S64" s="63"/>
      <c r="T64" s="63">
        <v>150</v>
      </c>
      <c r="U64" s="63">
        <v>150</v>
      </c>
    </row>
    <row r="65" spans="1:21" ht="14.1" customHeight="1" x14ac:dyDescent="0.25">
      <c r="A65" s="24"/>
      <c r="B65" s="24"/>
      <c r="C65" s="25" t="s">
        <v>81</v>
      </c>
      <c r="D65" s="26"/>
      <c r="E65" s="26"/>
      <c r="F65" s="26"/>
      <c r="G65" s="26"/>
      <c r="H65" s="26"/>
      <c r="I65" s="58"/>
      <c r="J65" s="63"/>
      <c r="K65" s="78"/>
      <c r="L65" s="63"/>
      <c r="M65" s="78"/>
      <c r="N65" s="63"/>
      <c r="O65" s="63"/>
      <c r="P65" s="63"/>
      <c r="Q65" s="63"/>
      <c r="R65" s="63"/>
      <c r="S65" s="63"/>
      <c r="T65" s="63"/>
      <c r="U65" s="63"/>
    </row>
    <row r="66" spans="1:21" ht="14.1" customHeight="1" x14ac:dyDescent="0.25">
      <c r="A66" s="24"/>
      <c r="B66" s="24"/>
      <c r="C66" s="25" t="s">
        <v>82</v>
      </c>
      <c r="D66" s="26"/>
      <c r="E66" s="26"/>
      <c r="F66" s="26">
        <v>950</v>
      </c>
      <c r="G66" s="26">
        <v>1500</v>
      </c>
      <c r="H66" s="26"/>
      <c r="I66" s="58"/>
      <c r="J66" s="63"/>
      <c r="K66" s="78"/>
      <c r="L66" s="63"/>
      <c r="M66" s="78"/>
      <c r="N66" s="63">
        <v>500</v>
      </c>
      <c r="O66" s="63">
        <v>500</v>
      </c>
      <c r="P66" s="63">
        <v>300</v>
      </c>
      <c r="Q66" s="63">
        <v>150</v>
      </c>
      <c r="R66" s="63"/>
      <c r="S66" s="63"/>
      <c r="T66" s="63"/>
      <c r="U66" s="63"/>
    </row>
    <row r="67" spans="1:21" ht="14.1" customHeight="1" x14ac:dyDescent="0.25">
      <c r="A67" s="24"/>
      <c r="B67" s="24"/>
      <c r="C67" s="25" t="s">
        <v>83</v>
      </c>
      <c r="D67" s="26"/>
      <c r="E67" s="26"/>
      <c r="F67" s="26"/>
      <c r="G67" s="26"/>
      <c r="H67" s="26"/>
      <c r="I67" s="58"/>
      <c r="J67" s="63"/>
      <c r="K67" s="78"/>
      <c r="L67" s="63"/>
      <c r="M67" s="78"/>
      <c r="N67" s="63">
        <v>400</v>
      </c>
      <c r="O67" s="63">
        <v>400</v>
      </c>
      <c r="P67" s="63">
        <v>100</v>
      </c>
      <c r="Q67" s="63">
        <v>100</v>
      </c>
      <c r="R67" s="63"/>
      <c r="S67" s="63"/>
      <c r="T67" s="63"/>
      <c r="U67" s="63">
        <v>300</v>
      </c>
    </row>
    <row r="68" spans="1:21" ht="14.1" customHeight="1" x14ac:dyDescent="0.25">
      <c r="A68" s="24"/>
      <c r="B68" s="24"/>
      <c r="C68" s="25" t="s">
        <v>84</v>
      </c>
      <c r="D68" s="26"/>
      <c r="E68" s="26"/>
      <c r="F68" s="26">
        <v>2500</v>
      </c>
      <c r="G68" s="26">
        <v>1600</v>
      </c>
      <c r="H68" s="26"/>
      <c r="I68" s="58"/>
      <c r="J68" s="63"/>
      <c r="K68" s="78"/>
      <c r="L68" s="63"/>
      <c r="M68" s="78"/>
      <c r="N68" s="63">
        <v>50</v>
      </c>
      <c r="O68" s="63">
        <v>100</v>
      </c>
      <c r="P68" s="63">
        <v>20</v>
      </c>
      <c r="Q68" s="63">
        <v>50</v>
      </c>
      <c r="R68" s="63"/>
      <c r="S68" s="63"/>
      <c r="T68" s="63">
        <v>10</v>
      </c>
      <c r="U68" s="63">
        <v>20</v>
      </c>
    </row>
    <row r="69" spans="1:21" s="3" customFormat="1" ht="14.1" customHeight="1" x14ac:dyDescent="0.25">
      <c r="A69" s="7" t="s">
        <v>85</v>
      </c>
      <c r="B69" s="7" t="s">
        <v>86</v>
      </c>
      <c r="C69" s="8" t="s">
        <v>87</v>
      </c>
      <c r="D69" s="9">
        <f>F69+H69+J69+L69+N69+P69+R69+T69</f>
        <v>0</v>
      </c>
      <c r="E69" s="9">
        <f>G69+I69+K69+M69+O69+Q69+S69+U69</f>
        <v>0</v>
      </c>
      <c r="F69" s="10">
        <f>SUM(F70:F71)</f>
        <v>0</v>
      </c>
      <c r="G69" s="10">
        <f>SUM(G70:G71)</f>
        <v>0</v>
      </c>
      <c r="H69" s="10">
        <v>0</v>
      </c>
      <c r="I69" s="52"/>
      <c r="J69" s="52">
        <v>0</v>
      </c>
      <c r="K69" s="52"/>
      <c r="L69" s="52">
        <v>0</v>
      </c>
      <c r="M69" s="52">
        <v>0</v>
      </c>
      <c r="N69" s="52">
        <v>0</v>
      </c>
      <c r="O69" s="52">
        <v>0</v>
      </c>
      <c r="P69" s="52">
        <f>SUM(P70:P71)</f>
        <v>0</v>
      </c>
      <c r="Q69" s="52">
        <f>SUM(Q70:Q71)</f>
        <v>0</v>
      </c>
      <c r="R69" s="52">
        <v>0</v>
      </c>
      <c r="S69" s="65">
        <v>0</v>
      </c>
      <c r="T69" s="52">
        <v>0</v>
      </c>
      <c r="U69" s="52">
        <v>0</v>
      </c>
    </row>
    <row r="70" spans="1:21" ht="14.1" customHeight="1" x14ac:dyDescent="0.25">
      <c r="A70" s="24"/>
      <c r="B70" s="24"/>
      <c r="C70" s="25" t="s">
        <v>88</v>
      </c>
      <c r="D70" s="26"/>
      <c r="E70" s="26"/>
      <c r="F70" s="26"/>
      <c r="G70" s="26"/>
      <c r="H70" s="26"/>
      <c r="I70" s="58"/>
      <c r="J70" s="63"/>
      <c r="K70" s="78"/>
      <c r="L70" s="63"/>
      <c r="M70" s="78"/>
      <c r="N70" s="63"/>
      <c r="O70" s="63"/>
      <c r="P70" s="63"/>
      <c r="Q70" s="63"/>
      <c r="R70" s="63"/>
      <c r="S70" s="63"/>
      <c r="T70" s="63"/>
      <c r="U70" s="63"/>
    </row>
    <row r="71" spans="1:21" ht="14.1" customHeight="1" x14ac:dyDescent="0.25">
      <c r="A71" s="24"/>
      <c r="B71" s="24"/>
      <c r="C71" s="25" t="s">
        <v>89</v>
      </c>
      <c r="D71" s="26"/>
      <c r="E71" s="26"/>
      <c r="F71" s="26"/>
      <c r="G71" s="26"/>
      <c r="H71" s="26"/>
      <c r="I71" s="58"/>
      <c r="J71" s="63"/>
      <c r="K71" s="78"/>
      <c r="L71" s="63"/>
      <c r="M71" s="78"/>
      <c r="N71" s="63"/>
      <c r="O71" s="63"/>
      <c r="P71" s="63"/>
      <c r="Q71" s="63"/>
      <c r="R71" s="63"/>
      <c r="S71" s="63"/>
      <c r="T71" s="63"/>
      <c r="U71" s="63"/>
    </row>
    <row r="72" spans="1:21" s="3" customFormat="1" ht="14.1" customHeight="1" x14ac:dyDescent="0.25">
      <c r="A72" s="16" t="s">
        <v>90</v>
      </c>
      <c r="B72" s="16" t="s">
        <v>91</v>
      </c>
      <c r="C72" s="17" t="s">
        <v>92</v>
      </c>
      <c r="D72" s="19">
        <f>D55+D62</f>
        <v>9180</v>
      </c>
      <c r="E72" s="19">
        <f>E55+E62</f>
        <v>8770</v>
      </c>
      <c r="F72" s="19">
        <f>F55+F62</f>
        <v>7650</v>
      </c>
      <c r="G72" s="19">
        <f t="shared" ref="G72:U72" si="14">G55+G62</f>
        <v>7000</v>
      </c>
      <c r="H72" s="19">
        <f t="shared" si="14"/>
        <v>0</v>
      </c>
      <c r="I72" s="19">
        <f t="shared" si="14"/>
        <v>0</v>
      </c>
      <c r="J72" s="19">
        <f t="shared" si="14"/>
        <v>0</v>
      </c>
      <c r="K72" s="19">
        <f t="shared" si="14"/>
        <v>0</v>
      </c>
      <c r="L72" s="19">
        <f t="shared" si="14"/>
        <v>0</v>
      </c>
      <c r="M72" s="19">
        <f t="shared" si="14"/>
        <v>0</v>
      </c>
      <c r="N72" s="19">
        <f t="shared" si="14"/>
        <v>950</v>
      </c>
      <c r="O72" s="19">
        <f t="shared" si="14"/>
        <v>1000</v>
      </c>
      <c r="P72" s="19">
        <f t="shared" si="14"/>
        <v>420</v>
      </c>
      <c r="Q72" s="19">
        <f t="shared" si="14"/>
        <v>300</v>
      </c>
      <c r="R72" s="19">
        <f t="shared" si="14"/>
        <v>0</v>
      </c>
      <c r="S72" s="19">
        <f t="shared" si="14"/>
        <v>0</v>
      </c>
      <c r="T72" s="19">
        <f t="shared" si="14"/>
        <v>160</v>
      </c>
      <c r="U72" s="19">
        <f t="shared" si="14"/>
        <v>470</v>
      </c>
    </row>
    <row r="73" spans="1:21" s="3" customFormat="1" ht="14.1" customHeight="1" x14ac:dyDescent="0.25">
      <c r="A73" s="7" t="s">
        <v>93</v>
      </c>
      <c r="B73" s="7" t="s">
        <v>94</v>
      </c>
      <c r="C73" s="8" t="s">
        <v>95</v>
      </c>
      <c r="D73" s="9">
        <f>F73+H73+J73+L73+N73+P73+R73+T73</f>
        <v>22253</v>
      </c>
      <c r="E73" s="9">
        <f>G73+I73+K73+M73+O73+Q73+S73+U73</f>
        <v>22192</v>
      </c>
      <c r="F73" s="10">
        <f>SUM(F74:F79)</f>
        <v>20753</v>
      </c>
      <c r="G73" s="10">
        <f>SUM(G74:G79)</f>
        <v>21592</v>
      </c>
      <c r="H73" s="10">
        <v>0</v>
      </c>
      <c r="I73" s="52"/>
      <c r="J73" s="52">
        <v>0</v>
      </c>
      <c r="K73" s="52"/>
      <c r="L73" s="52">
        <v>0</v>
      </c>
      <c r="M73" s="52">
        <v>0</v>
      </c>
      <c r="N73" s="10">
        <f>SUM(N74:N79)</f>
        <v>0</v>
      </c>
      <c r="O73" s="52">
        <v>0</v>
      </c>
      <c r="P73" s="52">
        <f>SUM(P74:P79)</f>
        <v>0</v>
      </c>
      <c r="Q73" s="52">
        <f>SUM(Q74:Q79)</f>
        <v>0</v>
      </c>
      <c r="R73" s="52">
        <v>0</v>
      </c>
      <c r="S73" s="65">
        <v>0</v>
      </c>
      <c r="T73" s="52">
        <f>SUM(T74:T79)</f>
        <v>1500</v>
      </c>
      <c r="U73" s="52">
        <f>SUM(U74:U79)</f>
        <v>600</v>
      </c>
    </row>
    <row r="74" spans="1:21" ht="14.1" customHeight="1" x14ac:dyDescent="0.25">
      <c r="A74" s="24"/>
      <c r="B74" s="24"/>
      <c r="C74" s="25" t="s">
        <v>96</v>
      </c>
      <c r="D74" s="26"/>
      <c r="E74" s="26"/>
      <c r="F74" s="26"/>
      <c r="G74" s="26"/>
      <c r="H74" s="26"/>
      <c r="I74" s="58"/>
      <c r="J74" s="63"/>
      <c r="K74" s="78"/>
      <c r="L74" s="63"/>
      <c r="M74" s="78"/>
      <c r="N74" s="63"/>
      <c r="O74" s="63"/>
      <c r="P74" s="63" t="s">
        <v>617</v>
      </c>
      <c r="Q74" s="63"/>
      <c r="R74" s="63"/>
      <c r="S74" s="63"/>
      <c r="T74" s="63"/>
      <c r="U74" s="63"/>
    </row>
    <row r="75" spans="1:21" ht="14.1" customHeight="1" x14ac:dyDescent="0.25">
      <c r="A75" s="24"/>
      <c r="B75" s="24"/>
      <c r="C75" s="25" t="s">
        <v>97</v>
      </c>
      <c r="D75" s="26"/>
      <c r="E75" s="26"/>
      <c r="F75" s="26">
        <v>12241</v>
      </c>
      <c r="G75" s="26"/>
      <c r="H75" s="26"/>
      <c r="I75" s="58"/>
      <c r="J75" s="63"/>
      <c r="K75" s="78"/>
      <c r="L75" s="63"/>
      <c r="M75" s="78"/>
      <c r="N75" s="63"/>
      <c r="O75" s="63"/>
      <c r="P75" s="63"/>
      <c r="Q75" s="63"/>
      <c r="R75" s="63"/>
      <c r="S75" s="63"/>
      <c r="T75" s="63">
        <v>1500</v>
      </c>
      <c r="U75" s="63">
        <v>600</v>
      </c>
    </row>
    <row r="76" spans="1:21" ht="14.1" customHeight="1" x14ac:dyDescent="0.25">
      <c r="A76" s="24"/>
      <c r="B76" s="24"/>
      <c r="C76" s="25" t="s">
        <v>98</v>
      </c>
      <c r="D76" s="26"/>
      <c r="E76" s="26"/>
      <c r="F76" s="26">
        <v>4752</v>
      </c>
      <c r="G76" s="26"/>
      <c r="H76" s="26"/>
      <c r="I76" s="58"/>
      <c r="J76" s="63"/>
      <c r="K76" s="78"/>
      <c r="L76" s="63"/>
      <c r="M76" s="78"/>
      <c r="N76" s="63"/>
      <c r="O76" s="63"/>
      <c r="P76" s="63"/>
      <c r="Q76" s="63"/>
      <c r="R76" s="63"/>
      <c r="S76" s="63"/>
      <c r="T76" s="63"/>
      <c r="U76" s="63"/>
    </row>
    <row r="77" spans="1:21" ht="14.1" customHeight="1" x14ac:dyDescent="0.25">
      <c r="A77" s="24"/>
      <c r="B77" s="24"/>
      <c r="C77" s="25" t="s">
        <v>99</v>
      </c>
      <c r="D77" s="26"/>
      <c r="E77" s="26"/>
      <c r="F77" s="26">
        <v>200</v>
      </c>
      <c r="G77" s="26"/>
      <c r="H77" s="26"/>
      <c r="I77" s="58"/>
      <c r="J77" s="63"/>
      <c r="K77" s="78"/>
      <c r="L77" s="63"/>
      <c r="M77" s="78"/>
      <c r="N77" s="63"/>
      <c r="O77" s="63"/>
      <c r="P77" s="63"/>
      <c r="Q77" s="63"/>
      <c r="R77" s="63"/>
      <c r="S77" s="63"/>
      <c r="T77" s="63"/>
      <c r="U77" s="63"/>
    </row>
    <row r="78" spans="1:21" ht="14.1" customHeight="1" x14ac:dyDescent="0.25">
      <c r="A78" s="24"/>
      <c r="B78" s="24"/>
      <c r="C78" s="25" t="s">
        <v>100</v>
      </c>
      <c r="D78" s="26"/>
      <c r="E78" s="26"/>
      <c r="F78" s="26">
        <v>3530</v>
      </c>
      <c r="G78" s="26"/>
      <c r="H78" s="26"/>
      <c r="I78" s="58"/>
      <c r="J78" s="63"/>
      <c r="K78" s="78"/>
      <c r="L78" s="63"/>
      <c r="M78" s="78"/>
      <c r="N78" s="63"/>
      <c r="O78" s="63"/>
      <c r="P78" s="63"/>
      <c r="Q78" s="63"/>
      <c r="R78" s="63"/>
      <c r="S78" s="63"/>
      <c r="T78" s="63"/>
      <c r="U78" s="63"/>
    </row>
    <row r="79" spans="1:21" ht="14.1" customHeight="1" x14ac:dyDescent="0.25">
      <c r="A79" s="24"/>
      <c r="B79" s="24"/>
      <c r="C79" s="25" t="s">
        <v>101</v>
      </c>
      <c r="D79" s="26"/>
      <c r="E79" s="26"/>
      <c r="F79" s="26">
        <v>30</v>
      </c>
      <c r="G79" s="26">
        <v>21592</v>
      </c>
      <c r="H79" s="26"/>
      <c r="I79" s="58"/>
      <c r="J79" s="63"/>
      <c r="K79" s="78"/>
      <c r="L79" s="63"/>
      <c r="M79" s="78"/>
      <c r="N79" s="63"/>
      <c r="O79" s="63"/>
      <c r="P79" s="63"/>
      <c r="Q79" s="63"/>
      <c r="R79" s="63"/>
      <c r="S79" s="63"/>
      <c r="T79" s="63"/>
      <c r="U79" s="63"/>
    </row>
    <row r="80" spans="1:21" s="3" customFormat="1" ht="14.1" customHeight="1" x14ac:dyDescent="0.25">
      <c r="A80" s="7" t="s">
        <v>102</v>
      </c>
      <c r="B80" s="7" t="s">
        <v>103</v>
      </c>
      <c r="C80" s="8" t="s">
        <v>104</v>
      </c>
      <c r="D80" s="9">
        <f>F80+H80+J80+L80+N80+P80+R80+T80</f>
        <v>3514</v>
      </c>
      <c r="E80" s="9">
        <f>G80+I80+K80+M80+O80+Q80+S80+U80</f>
        <v>3510</v>
      </c>
      <c r="F80" s="10">
        <f>SUM(F81:F82)</f>
        <v>2684</v>
      </c>
      <c r="G80" s="10">
        <f>SUM(G81:G82)</f>
        <v>2600</v>
      </c>
      <c r="H80" s="10">
        <v>0</v>
      </c>
      <c r="I80" s="52"/>
      <c r="J80" s="52">
        <v>0</v>
      </c>
      <c r="K80" s="52"/>
      <c r="L80" s="52">
        <v>0</v>
      </c>
      <c r="M80" s="52">
        <v>0</v>
      </c>
      <c r="N80" s="10">
        <f>SUM(N81:N82)</f>
        <v>230</v>
      </c>
      <c r="O80" s="10">
        <f>SUM(O81:O82)</f>
        <v>200</v>
      </c>
      <c r="P80" s="52">
        <f>SUM(P81:P82)</f>
        <v>50</v>
      </c>
      <c r="Q80" s="52">
        <f>SUM(Q81:Q82)</f>
        <v>50</v>
      </c>
      <c r="R80" s="52">
        <v>0</v>
      </c>
      <c r="S80" s="65">
        <v>0</v>
      </c>
      <c r="T80" s="52">
        <f>SUM(T81:T82)</f>
        <v>550</v>
      </c>
      <c r="U80" s="52">
        <f>SUM(U81:U82)</f>
        <v>660</v>
      </c>
    </row>
    <row r="81" spans="1:21" ht="14.1" customHeight="1" x14ac:dyDescent="0.25">
      <c r="A81" s="24"/>
      <c r="B81" s="24"/>
      <c r="C81" s="25" t="s">
        <v>105</v>
      </c>
      <c r="D81" s="26"/>
      <c r="E81" s="26"/>
      <c r="F81" s="26">
        <v>2234</v>
      </c>
      <c r="G81" s="26">
        <v>2600</v>
      </c>
      <c r="H81" s="26"/>
      <c r="I81" s="58"/>
      <c r="J81" s="63"/>
      <c r="K81" s="78"/>
      <c r="L81" s="63"/>
      <c r="M81" s="78"/>
      <c r="N81" s="63">
        <v>230</v>
      </c>
      <c r="O81" s="63">
        <v>200</v>
      </c>
      <c r="P81" s="63">
        <v>50</v>
      </c>
      <c r="Q81" s="63">
        <v>50</v>
      </c>
      <c r="R81" s="63"/>
      <c r="S81" s="63"/>
      <c r="T81" s="63">
        <v>550</v>
      </c>
      <c r="U81" s="63">
        <v>660</v>
      </c>
    </row>
    <row r="82" spans="1:21" ht="14.1" customHeight="1" x14ac:dyDescent="0.25">
      <c r="A82" s="24"/>
      <c r="B82" s="24"/>
      <c r="C82" s="25" t="s">
        <v>106</v>
      </c>
      <c r="D82" s="26"/>
      <c r="E82" s="26"/>
      <c r="F82" s="26">
        <v>450</v>
      </c>
      <c r="G82" s="26">
        <v>0</v>
      </c>
      <c r="H82" s="26"/>
      <c r="I82" s="58"/>
      <c r="J82" s="63"/>
      <c r="K82" s="78"/>
      <c r="L82" s="63"/>
      <c r="M82" s="78"/>
      <c r="N82" s="63"/>
      <c r="O82" s="63"/>
      <c r="P82" s="63"/>
      <c r="Q82" s="63"/>
      <c r="R82" s="63"/>
      <c r="S82" s="63"/>
      <c r="T82" s="63"/>
      <c r="U82" s="63"/>
    </row>
    <row r="83" spans="1:21" s="3" customFormat="1" ht="14.1" customHeight="1" x14ac:dyDescent="0.25">
      <c r="A83" s="16" t="s">
        <v>107</v>
      </c>
      <c r="B83" s="16" t="s">
        <v>108</v>
      </c>
      <c r="C83" s="17" t="s">
        <v>109</v>
      </c>
      <c r="D83" s="19">
        <f>D73+D80</f>
        <v>25767</v>
      </c>
      <c r="E83" s="19">
        <f>E73+E80</f>
        <v>25702</v>
      </c>
      <c r="F83" s="19">
        <f>F73+F80</f>
        <v>23437</v>
      </c>
      <c r="G83" s="19">
        <f t="shared" ref="G83:U83" si="15">G73+G80</f>
        <v>24192</v>
      </c>
      <c r="H83" s="19">
        <f t="shared" si="15"/>
        <v>0</v>
      </c>
      <c r="I83" s="19">
        <f t="shared" si="15"/>
        <v>0</v>
      </c>
      <c r="J83" s="19">
        <f t="shared" si="15"/>
        <v>0</v>
      </c>
      <c r="K83" s="19">
        <f t="shared" si="15"/>
        <v>0</v>
      </c>
      <c r="L83" s="19">
        <f t="shared" si="15"/>
        <v>0</v>
      </c>
      <c r="M83" s="19">
        <f t="shared" si="15"/>
        <v>0</v>
      </c>
      <c r="N83" s="19">
        <f t="shared" si="15"/>
        <v>230</v>
      </c>
      <c r="O83" s="19">
        <f t="shared" si="15"/>
        <v>200</v>
      </c>
      <c r="P83" s="19">
        <f t="shared" si="15"/>
        <v>50</v>
      </c>
      <c r="Q83" s="19">
        <f t="shared" si="15"/>
        <v>50</v>
      </c>
      <c r="R83" s="19">
        <f t="shared" si="15"/>
        <v>0</v>
      </c>
      <c r="S83" s="19">
        <f t="shared" si="15"/>
        <v>0</v>
      </c>
      <c r="T83" s="19">
        <f t="shared" si="15"/>
        <v>2050</v>
      </c>
      <c r="U83" s="19">
        <f t="shared" si="15"/>
        <v>1260</v>
      </c>
    </row>
    <row r="84" spans="1:21" s="3" customFormat="1" ht="14.1" customHeight="1" x14ac:dyDescent="0.25">
      <c r="A84" s="7" t="s">
        <v>110</v>
      </c>
      <c r="B84" s="7" t="s">
        <v>111</v>
      </c>
      <c r="C84" s="8" t="s">
        <v>112</v>
      </c>
      <c r="D84" s="9">
        <f>F84+H84+J84+L84+N84+P84+R84+T84</f>
        <v>7850</v>
      </c>
      <c r="E84" s="9">
        <f>G84+I84+K84+M84+O84+Q84+S84+U84</f>
        <v>7750</v>
      </c>
      <c r="F84" s="10">
        <f>SUM(F85:F87)</f>
        <v>7850</v>
      </c>
      <c r="G84" s="10">
        <f>SUM(G85:G87)</f>
        <v>7750</v>
      </c>
      <c r="H84" s="10">
        <v>0</v>
      </c>
      <c r="I84" s="52"/>
      <c r="J84" s="52">
        <v>0</v>
      </c>
      <c r="K84" s="52"/>
      <c r="L84" s="52">
        <v>0</v>
      </c>
      <c r="M84" s="52">
        <v>0</v>
      </c>
      <c r="N84" s="10">
        <f>SUM(N85:N87)</f>
        <v>0</v>
      </c>
      <c r="O84" s="52">
        <v>0</v>
      </c>
      <c r="P84" s="52">
        <f>SUM(P85:P87)</f>
        <v>0</v>
      </c>
      <c r="Q84" s="52">
        <f>SUM(Q85:Q87)</f>
        <v>0</v>
      </c>
      <c r="R84" s="52">
        <v>0</v>
      </c>
      <c r="S84" s="65">
        <v>0</v>
      </c>
      <c r="T84" s="52">
        <f>SUM(T85:T87)</f>
        <v>0</v>
      </c>
      <c r="U84" s="52">
        <f>SUM(U85:U87)</f>
        <v>0</v>
      </c>
    </row>
    <row r="85" spans="1:21" ht="14.1" customHeight="1" x14ac:dyDescent="0.25">
      <c r="A85" s="24"/>
      <c r="B85" s="24"/>
      <c r="C85" s="25" t="s">
        <v>113</v>
      </c>
      <c r="D85" s="26"/>
      <c r="E85" s="26"/>
      <c r="F85" s="26">
        <v>3300</v>
      </c>
      <c r="G85" s="26">
        <v>3300</v>
      </c>
      <c r="H85" s="26"/>
      <c r="I85" s="58"/>
      <c r="J85" s="63"/>
      <c r="K85" s="78"/>
      <c r="L85" s="63"/>
      <c r="M85" s="78"/>
      <c r="N85" s="63"/>
      <c r="O85" s="63"/>
      <c r="P85" s="63"/>
      <c r="Q85" s="63"/>
      <c r="R85" s="63"/>
      <c r="S85" s="63"/>
      <c r="T85" s="63"/>
      <c r="U85" s="63"/>
    </row>
    <row r="86" spans="1:21" ht="14.1" customHeight="1" x14ac:dyDescent="0.25">
      <c r="A86" s="24"/>
      <c r="B86" s="24"/>
      <c r="C86" s="25" t="s">
        <v>114</v>
      </c>
      <c r="D86" s="26"/>
      <c r="E86" s="26"/>
      <c r="F86" s="26">
        <v>4000</v>
      </c>
      <c r="G86" s="26">
        <v>4000</v>
      </c>
      <c r="H86" s="26"/>
      <c r="I86" s="58"/>
      <c r="J86" s="63"/>
      <c r="K86" s="78"/>
      <c r="L86" s="63"/>
      <c r="M86" s="78"/>
      <c r="N86" s="63"/>
      <c r="O86" s="63"/>
      <c r="P86" s="63"/>
      <c r="Q86" s="63"/>
      <c r="R86" s="63"/>
      <c r="S86" s="63"/>
      <c r="T86" s="63"/>
      <c r="U86" s="63"/>
    </row>
    <row r="87" spans="1:21" ht="14.1" customHeight="1" x14ac:dyDescent="0.25">
      <c r="A87" s="24"/>
      <c r="B87" s="24"/>
      <c r="C87" s="25" t="s">
        <v>115</v>
      </c>
      <c r="D87" s="26"/>
      <c r="E87" s="26"/>
      <c r="F87" s="26">
        <v>550</v>
      </c>
      <c r="G87" s="26">
        <v>450</v>
      </c>
      <c r="H87" s="26"/>
      <c r="I87" s="58"/>
      <c r="J87" s="63"/>
      <c r="K87" s="78"/>
      <c r="L87" s="63"/>
      <c r="M87" s="78"/>
      <c r="N87" s="63"/>
      <c r="O87" s="63"/>
      <c r="P87" s="63"/>
      <c r="Q87" s="63"/>
      <c r="R87" s="63"/>
      <c r="S87" s="63"/>
      <c r="T87" s="63"/>
      <c r="U87" s="63"/>
    </row>
    <row r="88" spans="1:21" s="3" customFormat="1" ht="14.1" customHeight="1" x14ac:dyDescent="0.25">
      <c r="A88" s="7" t="s">
        <v>116</v>
      </c>
      <c r="B88" s="7" t="s">
        <v>117</v>
      </c>
      <c r="C88" s="8" t="s">
        <v>118</v>
      </c>
      <c r="D88" s="9">
        <f>F88+H88+J88+L88+N88+P88+R88+T88</f>
        <v>0</v>
      </c>
      <c r="E88" s="9">
        <f>G88+I88+K88+M88+O88+Q88+S88+U88</f>
        <v>0</v>
      </c>
      <c r="F88" s="10">
        <v>0</v>
      </c>
      <c r="G88" s="10">
        <v>0</v>
      </c>
      <c r="H88" s="10">
        <v>0</v>
      </c>
      <c r="I88" s="52"/>
      <c r="J88" s="52">
        <v>0</v>
      </c>
      <c r="K88" s="52"/>
      <c r="L88" s="52">
        <v>0</v>
      </c>
      <c r="M88" s="80">
        <v>0</v>
      </c>
      <c r="N88" s="52">
        <v>0</v>
      </c>
      <c r="O88" s="52">
        <v>0</v>
      </c>
      <c r="P88" s="52">
        <v>0</v>
      </c>
      <c r="Q88" s="65">
        <v>0</v>
      </c>
      <c r="R88" s="52">
        <v>0</v>
      </c>
      <c r="S88" s="65">
        <v>0</v>
      </c>
      <c r="T88" s="52">
        <v>0</v>
      </c>
      <c r="U88" s="52">
        <v>0</v>
      </c>
    </row>
    <row r="89" spans="1:21" s="3" customFormat="1" ht="14.1" customHeight="1" x14ac:dyDescent="0.25">
      <c r="A89" s="7" t="s">
        <v>119</v>
      </c>
      <c r="B89" s="7" t="s">
        <v>120</v>
      </c>
      <c r="C89" s="8" t="s">
        <v>121</v>
      </c>
      <c r="D89" s="9">
        <f>F89+H89+J89+L89+N89+P89+R89+T89</f>
        <v>9290</v>
      </c>
      <c r="E89" s="9">
        <f>G89+I89+K89+M89+O89+Q89+S89+U89</f>
        <v>9115</v>
      </c>
      <c r="F89" s="10">
        <f>SUM(F90:F91)</f>
        <v>9290</v>
      </c>
      <c r="G89" s="10">
        <f>SUM(G90:G91)</f>
        <v>9115</v>
      </c>
      <c r="H89" s="10">
        <v>0</v>
      </c>
      <c r="I89" s="52"/>
      <c r="J89" s="52">
        <v>0</v>
      </c>
      <c r="K89" s="52"/>
      <c r="L89" s="52">
        <v>0</v>
      </c>
      <c r="M89" s="52">
        <v>0</v>
      </c>
      <c r="N89" s="10">
        <f>SUM(N90:N91)</f>
        <v>0</v>
      </c>
      <c r="O89" s="52">
        <v>0</v>
      </c>
      <c r="P89" s="52">
        <f>SUM(P90:P91)</f>
        <v>0</v>
      </c>
      <c r="Q89" s="52">
        <f>SUM(Q90:Q91)</f>
        <v>0</v>
      </c>
      <c r="R89" s="52">
        <v>0</v>
      </c>
      <c r="S89" s="65">
        <v>0</v>
      </c>
      <c r="T89" s="52">
        <f>SUM(T90:T91)</f>
        <v>0</v>
      </c>
      <c r="U89" s="52">
        <f>SUM(U90:U91)</f>
        <v>0</v>
      </c>
    </row>
    <row r="90" spans="1:21" ht="14.1" customHeight="1" x14ac:dyDescent="0.25">
      <c r="A90" s="24"/>
      <c r="B90" s="24"/>
      <c r="C90" s="25" t="s">
        <v>122</v>
      </c>
      <c r="D90" s="26"/>
      <c r="E90" s="26"/>
      <c r="F90" s="26"/>
      <c r="G90" s="26"/>
      <c r="H90" s="26"/>
      <c r="I90" s="58"/>
      <c r="J90" s="63"/>
      <c r="K90" s="78"/>
      <c r="L90" s="63"/>
      <c r="M90" s="78"/>
      <c r="N90" s="63"/>
      <c r="O90" s="63"/>
      <c r="P90" s="63"/>
      <c r="Q90" s="63"/>
      <c r="R90" s="63"/>
      <c r="S90" s="63"/>
      <c r="T90" s="63"/>
      <c r="U90" s="63"/>
    </row>
    <row r="91" spans="1:21" ht="14.1" customHeight="1" x14ac:dyDescent="0.25">
      <c r="A91" s="24"/>
      <c r="B91" s="24"/>
      <c r="C91" s="25" t="s">
        <v>123</v>
      </c>
      <c r="D91" s="26"/>
      <c r="E91" s="26"/>
      <c r="F91" s="26">
        <v>9290</v>
      </c>
      <c r="G91" s="26">
        <v>9115</v>
      </c>
      <c r="H91" s="26"/>
      <c r="I91" s="58"/>
      <c r="J91" s="63"/>
      <c r="K91" s="78"/>
      <c r="L91" s="63"/>
      <c r="M91" s="78"/>
      <c r="N91" s="63"/>
      <c r="O91" s="63"/>
      <c r="P91" s="63"/>
      <c r="Q91" s="63"/>
      <c r="R91" s="63"/>
      <c r="S91" s="63"/>
      <c r="T91" s="63"/>
      <c r="U91" s="63"/>
    </row>
    <row r="92" spans="1:21" s="3" customFormat="1" ht="14.1" customHeight="1" x14ac:dyDescent="0.25">
      <c r="A92" s="7" t="s">
        <v>124</v>
      </c>
      <c r="B92" s="7" t="s">
        <v>125</v>
      </c>
      <c r="C92" s="8" t="s">
        <v>126</v>
      </c>
      <c r="D92" s="9">
        <f t="shared" ref="D92:E93" si="16">F92+H92+J92+L92+N92+P92+R92+T92</f>
        <v>1650</v>
      </c>
      <c r="E92" s="9">
        <f t="shared" si="16"/>
        <v>1895</v>
      </c>
      <c r="F92" s="10">
        <v>1450</v>
      </c>
      <c r="G92" s="10">
        <v>1650</v>
      </c>
      <c r="H92" s="10">
        <v>0</v>
      </c>
      <c r="I92" s="52"/>
      <c r="J92" s="65">
        <v>0</v>
      </c>
      <c r="K92" s="80"/>
      <c r="L92" s="65">
        <v>0</v>
      </c>
      <c r="M92" s="80">
        <v>0</v>
      </c>
      <c r="N92" s="65">
        <v>100</v>
      </c>
      <c r="O92" s="65">
        <f>100+55+40</f>
        <v>195</v>
      </c>
      <c r="P92" s="65">
        <v>100</v>
      </c>
      <c r="Q92" s="65">
        <f>50</f>
        <v>50</v>
      </c>
      <c r="R92" s="65">
        <v>0</v>
      </c>
      <c r="S92" s="65">
        <v>0</v>
      </c>
      <c r="T92" s="65">
        <v>0</v>
      </c>
      <c r="U92" s="65">
        <v>0</v>
      </c>
    </row>
    <row r="93" spans="1:21" s="3" customFormat="1" ht="14.1" customHeight="1" x14ac:dyDescent="0.25">
      <c r="A93" s="7" t="s">
        <v>127</v>
      </c>
      <c r="B93" s="7" t="s">
        <v>128</v>
      </c>
      <c r="C93" s="8" t="s">
        <v>129</v>
      </c>
      <c r="D93" s="9">
        <f t="shared" si="16"/>
        <v>1160</v>
      </c>
      <c r="E93" s="9">
        <f t="shared" si="16"/>
        <v>1160</v>
      </c>
      <c r="F93" s="10">
        <f>SUM(F94:F95)</f>
        <v>1000</v>
      </c>
      <c r="G93" s="10">
        <f>SUM(G94:G95)</f>
        <v>1000</v>
      </c>
      <c r="H93" s="10">
        <v>0</v>
      </c>
      <c r="I93" s="52"/>
      <c r="J93" s="52">
        <v>0</v>
      </c>
      <c r="K93" s="52"/>
      <c r="L93" s="52">
        <v>0</v>
      </c>
      <c r="M93" s="52">
        <v>0</v>
      </c>
      <c r="N93" s="10">
        <f>SUM(N94:N95)</f>
        <v>0</v>
      </c>
      <c r="O93" s="10">
        <f>SUM(O94:O95)</f>
        <v>0</v>
      </c>
      <c r="P93" s="52">
        <f>SUM(P94:P95)</f>
        <v>0</v>
      </c>
      <c r="Q93" s="65">
        <v>0</v>
      </c>
      <c r="R93" s="52">
        <v>0</v>
      </c>
      <c r="S93" s="65">
        <v>0</v>
      </c>
      <c r="T93" s="52">
        <f>SUM(T94:T95)</f>
        <v>160</v>
      </c>
      <c r="U93" s="52">
        <f>SUM(U94:U95)</f>
        <v>160</v>
      </c>
    </row>
    <row r="94" spans="1:21" ht="14.1" customHeight="1" x14ac:dyDescent="0.25">
      <c r="A94" s="24"/>
      <c r="B94" s="24"/>
      <c r="C94" s="25" t="s">
        <v>130</v>
      </c>
      <c r="D94" s="26"/>
      <c r="E94" s="26"/>
      <c r="F94" s="26">
        <v>500</v>
      </c>
      <c r="G94" s="26">
        <v>500</v>
      </c>
      <c r="H94" s="26"/>
      <c r="I94" s="58"/>
      <c r="J94" s="63"/>
      <c r="K94" s="78"/>
      <c r="L94" s="63"/>
      <c r="M94" s="78"/>
      <c r="N94" s="63"/>
      <c r="O94" s="63"/>
      <c r="P94" s="63"/>
      <c r="Q94" s="63"/>
      <c r="R94" s="63"/>
      <c r="S94" s="63"/>
      <c r="T94" s="63"/>
      <c r="U94" s="63"/>
    </row>
    <row r="95" spans="1:21" ht="14.1" customHeight="1" x14ac:dyDescent="0.25">
      <c r="A95" s="24"/>
      <c r="B95" s="24"/>
      <c r="C95" s="25" t="s">
        <v>131</v>
      </c>
      <c r="D95" s="26"/>
      <c r="E95" s="26"/>
      <c r="F95" s="26">
        <v>500</v>
      </c>
      <c r="G95" s="26">
        <v>500</v>
      </c>
      <c r="H95" s="26"/>
      <c r="I95" s="58"/>
      <c r="J95" s="63"/>
      <c r="K95" s="78"/>
      <c r="L95" s="63"/>
      <c r="M95" s="78"/>
      <c r="N95" s="63"/>
      <c r="O95" s="63"/>
      <c r="P95" s="63"/>
      <c r="Q95" s="63"/>
      <c r="R95" s="63"/>
      <c r="S95" s="63"/>
      <c r="T95" s="63">
        <v>160</v>
      </c>
      <c r="U95" s="63">
        <v>160</v>
      </c>
    </row>
    <row r="96" spans="1:21" s="3" customFormat="1" ht="14.1" customHeight="1" x14ac:dyDescent="0.25">
      <c r="A96" s="7" t="s">
        <v>132</v>
      </c>
      <c r="B96" s="7" t="s">
        <v>133</v>
      </c>
      <c r="C96" s="8" t="s">
        <v>134</v>
      </c>
      <c r="D96" s="9">
        <f>F96+H96+J96+L96+N96+P96+R96+T96</f>
        <v>10115</v>
      </c>
      <c r="E96" s="9">
        <f>G96+I96+K96+M96+O96+Q96+S96+U96</f>
        <v>13000</v>
      </c>
      <c r="F96" s="10">
        <f>SUM(F97:F99)</f>
        <v>8490</v>
      </c>
      <c r="G96" s="10">
        <f>SUM(G97:G99)</f>
        <v>13000</v>
      </c>
      <c r="H96" s="10">
        <v>0</v>
      </c>
      <c r="I96" s="52"/>
      <c r="J96" s="52">
        <v>0</v>
      </c>
      <c r="K96" s="52"/>
      <c r="L96" s="52">
        <v>0</v>
      </c>
      <c r="M96" s="52">
        <v>0</v>
      </c>
      <c r="N96" s="10">
        <f>SUM(N97:N99)</f>
        <v>0</v>
      </c>
      <c r="O96" s="10">
        <f>SUM(O97:O99)</f>
        <v>0</v>
      </c>
      <c r="P96" s="52">
        <f>SUM(P97:P99)</f>
        <v>25</v>
      </c>
      <c r="Q96" s="65">
        <v>0</v>
      </c>
      <c r="R96" s="52">
        <v>0</v>
      </c>
      <c r="S96" s="65">
        <v>0</v>
      </c>
      <c r="T96" s="52">
        <f>SUM(T97:T99)</f>
        <v>1600</v>
      </c>
      <c r="U96" s="52">
        <f>SUM(U97:U99)</f>
        <v>0</v>
      </c>
    </row>
    <row r="97" spans="1:21" ht="14.1" customHeight="1" x14ac:dyDescent="0.25">
      <c r="A97" s="24"/>
      <c r="B97" s="24"/>
      <c r="C97" s="25" t="s">
        <v>135</v>
      </c>
      <c r="D97" s="26"/>
      <c r="E97" s="26"/>
      <c r="F97" s="26"/>
      <c r="G97" s="26"/>
      <c r="H97" s="26"/>
      <c r="I97" s="58"/>
      <c r="J97" s="63"/>
      <c r="K97" s="78"/>
      <c r="L97" s="63"/>
      <c r="M97" s="78"/>
      <c r="N97" s="63"/>
      <c r="O97" s="63"/>
      <c r="P97" s="63"/>
      <c r="Q97" s="63"/>
      <c r="R97" s="63"/>
      <c r="S97" s="63"/>
      <c r="T97" s="63"/>
      <c r="U97" s="63"/>
    </row>
    <row r="98" spans="1:21" ht="14.1" customHeight="1" x14ac:dyDescent="0.25">
      <c r="A98" s="24"/>
      <c r="B98" s="24"/>
      <c r="C98" s="25" t="s">
        <v>136</v>
      </c>
      <c r="D98" s="26"/>
      <c r="E98" s="26"/>
      <c r="F98" s="26"/>
      <c r="G98" s="26"/>
      <c r="H98" s="26"/>
      <c r="I98" s="58"/>
      <c r="J98" s="63"/>
      <c r="K98" s="78"/>
      <c r="L98" s="63"/>
      <c r="M98" s="78"/>
      <c r="N98" s="63"/>
      <c r="O98" s="63"/>
      <c r="P98" s="63"/>
      <c r="Q98" s="63"/>
      <c r="R98" s="63"/>
      <c r="S98" s="63"/>
      <c r="T98" s="63"/>
      <c r="U98" s="63"/>
    </row>
    <row r="99" spans="1:21" ht="14.1" customHeight="1" x14ac:dyDescent="0.25">
      <c r="A99" s="24"/>
      <c r="B99" s="24"/>
      <c r="C99" s="25" t="s">
        <v>137</v>
      </c>
      <c r="D99" s="26"/>
      <c r="E99" s="26"/>
      <c r="F99" s="26">
        <v>8490</v>
      </c>
      <c r="G99" s="26">
        <v>13000</v>
      </c>
      <c r="H99" s="26"/>
      <c r="I99" s="58"/>
      <c r="J99" s="63"/>
      <c r="K99" s="78"/>
      <c r="L99" s="63"/>
      <c r="M99" s="78"/>
      <c r="N99" s="63"/>
      <c r="O99" s="63"/>
      <c r="P99" s="63">
        <v>25</v>
      </c>
      <c r="Q99" s="63"/>
      <c r="R99" s="63"/>
      <c r="S99" s="63"/>
      <c r="T99" s="63">
        <v>1600</v>
      </c>
      <c r="U99" s="63">
        <v>0</v>
      </c>
    </row>
    <row r="100" spans="1:21" s="3" customFormat="1" ht="14.1" customHeight="1" x14ac:dyDescent="0.25">
      <c r="A100" s="7" t="s">
        <v>138</v>
      </c>
      <c r="B100" s="7" t="s">
        <v>139</v>
      </c>
      <c r="C100" s="8" t="s">
        <v>140</v>
      </c>
      <c r="D100" s="9">
        <f>F100+H100+J100+L100+N100+P100+R100+T100</f>
        <v>21218</v>
      </c>
      <c r="E100" s="9">
        <f>G100+I100+K100+M100+O100+Q100+S100+U100</f>
        <v>25742</v>
      </c>
      <c r="F100" s="10">
        <f>SUM(F101:F104)</f>
        <v>21023</v>
      </c>
      <c r="G100" s="10">
        <f>SUM(G101:G104)</f>
        <v>23357</v>
      </c>
      <c r="H100" s="10">
        <v>0</v>
      </c>
      <c r="I100" s="52"/>
      <c r="J100" s="52">
        <v>0</v>
      </c>
      <c r="K100" s="52"/>
      <c r="L100" s="52">
        <v>0</v>
      </c>
      <c r="M100" s="52">
        <v>0</v>
      </c>
      <c r="N100" s="10">
        <f>SUM(N101:N104)</f>
        <v>170</v>
      </c>
      <c r="O100" s="10">
        <f>SUM(O101:O104)</f>
        <v>320</v>
      </c>
      <c r="P100" s="52">
        <f>SUM(P101:P104)</f>
        <v>25</v>
      </c>
      <c r="Q100" s="52">
        <f>SUM(Q101:Q104)</f>
        <v>25</v>
      </c>
      <c r="R100" s="52">
        <v>0</v>
      </c>
      <c r="S100" s="65">
        <v>0</v>
      </c>
      <c r="T100" s="52">
        <f>SUM(T101:T104)</f>
        <v>0</v>
      </c>
      <c r="U100" s="52">
        <f>SUM(U101:U104)</f>
        <v>2040</v>
      </c>
    </row>
    <row r="101" spans="1:21" ht="14.1" customHeight="1" x14ac:dyDescent="0.25">
      <c r="A101" s="24"/>
      <c r="B101" s="24"/>
      <c r="C101" s="25" t="s">
        <v>141</v>
      </c>
      <c r="D101" s="26"/>
      <c r="E101" s="26"/>
      <c r="F101" s="26">
        <v>447</v>
      </c>
      <c r="G101" s="26"/>
      <c r="H101" s="26"/>
      <c r="I101" s="58"/>
      <c r="J101" s="63"/>
      <c r="K101" s="78"/>
      <c r="L101" s="63"/>
      <c r="M101" s="78"/>
      <c r="N101" s="63">
        <v>120</v>
      </c>
      <c r="O101" s="63">
        <v>120</v>
      </c>
      <c r="P101" s="63">
        <v>6</v>
      </c>
      <c r="Q101" s="63">
        <v>6</v>
      </c>
      <c r="R101" s="63"/>
      <c r="S101" s="63"/>
      <c r="T101" s="63"/>
      <c r="U101" s="63"/>
    </row>
    <row r="102" spans="1:21" ht="14.1" customHeight="1" x14ac:dyDescent="0.25">
      <c r="A102" s="24"/>
      <c r="B102" s="24"/>
      <c r="C102" s="25" t="s">
        <v>142</v>
      </c>
      <c r="D102" s="26"/>
      <c r="E102" s="26"/>
      <c r="F102" s="26">
        <v>900</v>
      </c>
      <c r="G102" s="26"/>
      <c r="H102" s="26"/>
      <c r="I102" s="58"/>
      <c r="J102" s="63"/>
      <c r="K102" s="78"/>
      <c r="L102" s="63"/>
      <c r="M102" s="78"/>
      <c r="N102" s="63"/>
      <c r="O102" s="63"/>
      <c r="P102" s="63"/>
      <c r="Q102" s="63"/>
      <c r="R102" s="63"/>
      <c r="S102" s="63"/>
      <c r="T102" s="63"/>
      <c r="U102" s="63"/>
    </row>
    <row r="103" spans="1:21" ht="14.1" customHeight="1" x14ac:dyDescent="0.25">
      <c r="A103" s="24"/>
      <c r="B103" s="24"/>
      <c r="C103" s="25" t="s">
        <v>143</v>
      </c>
      <c r="D103" s="26"/>
      <c r="E103" s="26"/>
      <c r="F103" s="26"/>
      <c r="G103" s="26"/>
      <c r="H103" s="26"/>
      <c r="I103" s="58"/>
      <c r="J103" s="63"/>
      <c r="K103" s="78"/>
      <c r="L103" s="63"/>
      <c r="M103" s="78"/>
      <c r="N103" s="63"/>
      <c r="O103" s="63"/>
      <c r="P103" s="63"/>
      <c r="Q103" s="63"/>
      <c r="R103" s="63"/>
      <c r="S103" s="63"/>
      <c r="T103" s="63"/>
      <c r="U103" s="63"/>
    </row>
    <row r="104" spans="1:21" ht="14.1" customHeight="1" x14ac:dyDescent="0.25">
      <c r="A104" s="24"/>
      <c r="B104" s="24"/>
      <c r="C104" s="25" t="s">
        <v>144</v>
      </c>
      <c r="D104" s="26"/>
      <c r="E104" s="26"/>
      <c r="F104" s="26">
        <v>19676</v>
      </c>
      <c r="G104" s="26">
        <v>23357</v>
      </c>
      <c r="H104" s="26"/>
      <c r="I104" s="58"/>
      <c r="J104" s="63"/>
      <c r="K104" s="78"/>
      <c r="L104" s="63"/>
      <c r="M104" s="78"/>
      <c r="N104" s="63">
        <v>50</v>
      </c>
      <c r="O104" s="63">
        <v>200</v>
      </c>
      <c r="P104" s="63">
        <v>19</v>
      </c>
      <c r="Q104" s="63">
        <v>19</v>
      </c>
      <c r="R104" s="63"/>
      <c r="S104" s="63"/>
      <c r="T104" s="63"/>
      <c r="U104" s="63">
        <f>680*3</f>
        <v>2040</v>
      </c>
    </row>
    <row r="105" spans="1:21" s="3" customFormat="1" ht="14.1" customHeight="1" x14ac:dyDescent="0.25">
      <c r="A105" s="16" t="s">
        <v>145</v>
      </c>
      <c r="B105" s="16" t="s">
        <v>146</v>
      </c>
      <c r="C105" s="17" t="s">
        <v>147</v>
      </c>
      <c r="D105" s="19">
        <f>D84+D88+D89+D92+D93+D96+D100</f>
        <v>51283</v>
      </c>
      <c r="E105" s="19">
        <f>E84+E88+E89+E92+E93+E96+E100</f>
        <v>58662</v>
      </c>
      <c r="F105" s="19">
        <f>F84+F88+F89+F92+F93+F96+F100</f>
        <v>49103</v>
      </c>
      <c r="G105" s="19">
        <f t="shared" ref="G105:U105" si="17">G84+G88+G89+G92+G93+G96+G100</f>
        <v>55872</v>
      </c>
      <c r="H105" s="19">
        <f t="shared" si="17"/>
        <v>0</v>
      </c>
      <c r="I105" s="19">
        <f t="shared" si="17"/>
        <v>0</v>
      </c>
      <c r="J105" s="19">
        <f t="shared" si="17"/>
        <v>0</v>
      </c>
      <c r="K105" s="19">
        <f t="shared" si="17"/>
        <v>0</v>
      </c>
      <c r="L105" s="19">
        <f t="shared" si="17"/>
        <v>0</v>
      </c>
      <c r="M105" s="19">
        <f t="shared" si="17"/>
        <v>0</v>
      </c>
      <c r="N105" s="19">
        <f t="shared" si="17"/>
        <v>270</v>
      </c>
      <c r="O105" s="19">
        <f t="shared" si="17"/>
        <v>515</v>
      </c>
      <c r="P105" s="19">
        <f t="shared" si="17"/>
        <v>150</v>
      </c>
      <c r="Q105" s="19">
        <f t="shared" si="17"/>
        <v>75</v>
      </c>
      <c r="R105" s="19">
        <f t="shared" si="17"/>
        <v>0</v>
      </c>
      <c r="S105" s="19">
        <f t="shared" si="17"/>
        <v>0</v>
      </c>
      <c r="T105" s="19">
        <f t="shared" si="17"/>
        <v>1760</v>
      </c>
      <c r="U105" s="19">
        <f t="shared" si="17"/>
        <v>2200</v>
      </c>
    </row>
    <row r="106" spans="1:21" s="3" customFormat="1" ht="14.1" customHeight="1" x14ac:dyDescent="0.25">
      <c r="A106" s="7" t="s">
        <v>148</v>
      </c>
      <c r="B106" s="7" t="s">
        <v>149</v>
      </c>
      <c r="C106" s="8" t="s">
        <v>150</v>
      </c>
      <c r="D106" s="9">
        <f>F106+H106+J106+L106+N106+P106+R106+T106</f>
        <v>460</v>
      </c>
      <c r="E106" s="9">
        <f>G106+I106+K106+M106+O106+Q106+S106+U106</f>
        <v>350</v>
      </c>
      <c r="F106" s="10">
        <f>SUM(F107:F108)</f>
        <v>400</v>
      </c>
      <c r="G106" s="10">
        <f>SUM(G107:G108)</f>
        <v>300</v>
      </c>
      <c r="H106" s="10">
        <v>0</v>
      </c>
      <c r="I106" s="52"/>
      <c r="J106" s="52">
        <v>0</v>
      </c>
      <c r="K106" s="52"/>
      <c r="L106" s="52">
        <v>0</v>
      </c>
      <c r="M106" s="52">
        <v>0</v>
      </c>
      <c r="N106" s="52">
        <f>SUM(N107:N108)</f>
        <v>60</v>
      </c>
      <c r="O106" s="52">
        <f>SUM(O107:O108)</f>
        <v>50</v>
      </c>
      <c r="P106" s="52">
        <f>SUM(P107:P108)</f>
        <v>0</v>
      </c>
      <c r="Q106" s="52">
        <f>SUM(Q107:Q108)</f>
        <v>0</v>
      </c>
      <c r="R106" s="52">
        <v>0</v>
      </c>
      <c r="S106" s="65">
        <v>0</v>
      </c>
      <c r="T106" s="52">
        <f>SUM(T107:T108)</f>
        <v>0</v>
      </c>
      <c r="U106" s="52">
        <f>SUM(U107:U108)</f>
        <v>0</v>
      </c>
    </row>
    <row r="107" spans="1:21" ht="14.1" customHeight="1" x14ac:dyDescent="0.25">
      <c r="A107" s="24"/>
      <c r="B107" s="24"/>
      <c r="C107" s="25" t="s">
        <v>151</v>
      </c>
      <c r="D107" s="26"/>
      <c r="E107" s="26"/>
      <c r="F107" s="26">
        <v>400</v>
      </c>
      <c r="G107" s="26">
        <v>300</v>
      </c>
      <c r="H107" s="26"/>
      <c r="I107" s="58"/>
      <c r="J107" s="63"/>
      <c r="K107" s="78"/>
      <c r="L107" s="63"/>
      <c r="M107" s="78"/>
      <c r="N107" s="63">
        <v>60</v>
      </c>
      <c r="O107" s="63">
        <v>50</v>
      </c>
      <c r="P107" s="63"/>
      <c r="Q107" s="63"/>
      <c r="R107" s="63"/>
      <c r="S107" s="63"/>
      <c r="T107" s="63"/>
      <c r="U107" s="63"/>
    </row>
    <row r="108" spans="1:21" ht="14.1" customHeight="1" x14ac:dyDescent="0.25">
      <c r="A108" s="24"/>
      <c r="B108" s="24"/>
      <c r="C108" s="25" t="s">
        <v>152</v>
      </c>
      <c r="D108" s="26"/>
      <c r="E108" s="26"/>
      <c r="F108" s="26">
        <v>0</v>
      </c>
      <c r="G108" s="26"/>
      <c r="H108" s="26"/>
      <c r="I108" s="58"/>
      <c r="J108" s="63"/>
      <c r="K108" s="78"/>
      <c r="L108" s="63"/>
      <c r="M108" s="78"/>
      <c r="N108" s="63"/>
      <c r="O108" s="63"/>
      <c r="P108" s="63"/>
      <c r="Q108" s="63"/>
      <c r="R108" s="63"/>
      <c r="S108" s="63"/>
      <c r="T108" s="63"/>
      <c r="U108" s="63"/>
    </row>
    <row r="109" spans="1:21" s="3" customFormat="1" ht="14.1" customHeight="1" x14ac:dyDescent="0.25">
      <c r="A109" s="7" t="s">
        <v>153</v>
      </c>
      <c r="B109" s="7" t="s">
        <v>154</v>
      </c>
      <c r="C109" s="8" t="s">
        <v>155</v>
      </c>
      <c r="D109" s="9">
        <f>F109+H109+J109+L109+N109+P109+R109+T109</f>
        <v>0</v>
      </c>
      <c r="E109" s="9">
        <f>G109+I109+K109+M109+O109+Q109+S109+U109</f>
        <v>0</v>
      </c>
      <c r="F109" s="10">
        <v>0</v>
      </c>
      <c r="G109" s="10">
        <v>0</v>
      </c>
      <c r="H109" s="10">
        <v>0</v>
      </c>
      <c r="I109" s="52"/>
      <c r="J109" s="52">
        <v>0</v>
      </c>
      <c r="K109" s="80"/>
      <c r="L109" s="65">
        <v>0</v>
      </c>
      <c r="M109" s="80">
        <v>0</v>
      </c>
      <c r="N109" s="65">
        <v>0</v>
      </c>
      <c r="O109" s="65">
        <v>0</v>
      </c>
      <c r="P109" s="65">
        <v>0</v>
      </c>
      <c r="Q109" s="65"/>
      <c r="R109" s="65">
        <v>0</v>
      </c>
      <c r="S109" s="65">
        <v>0</v>
      </c>
      <c r="T109" s="65">
        <v>0</v>
      </c>
      <c r="U109" s="65">
        <v>0</v>
      </c>
    </row>
    <row r="110" spans="1:21" s="3" customFormat="1" ht="14.1" customHeight="1" x14ac:dyDescent="0.25">
      <c r="A110" s="16" t="s">
        <v>156</v>
      </c>
      <c r="B110" s="16" t="s">
        <v>157</v>
      </c>
      <c r="C110" s="17" t="s">
        <v>158</v>
      </c>
      <c r="D110" s="19">
        <f>D106+D109</f>
        <v>460</v>
      </c>
      <c r="E110" s="19">
        <f>E106+E109</f>
        <v>350</v>
      </c>
      <c r="F110" s="19">
        <f>F106+F109</f>
        <v>400</v>
      </c>
      <c r="G110" s="19">
        <f t="shared" ref="G110:U110" si="18">G106+G109</f>
        <v>300</v>
      </c>
      <c r="H110" s="19">
        <f t="shared" si="18"/>
        <v>0</v>
      </c>
      <c r="I110" s="19">
        <f t="shared" si="18"/>
        <v>0</v>
      </c>
      <c r="J110" s="19">
        <f t="shared" si="18"/>
        <v>0</v>
      </c>
      <c r="K110" s="19">
        <f t="shared" si="18"/>
        <v>0</v>
      </c>
      <c r="L110" s="19">
        <f t="shared" si="18"/>
        <v>0</v>
      </c>
      <c r="M110" s="19">
        <f t="shared" si="18"/>
        <v>0</v>
      </c>
      <c r="N110" s="19">
        <f t="shared" si="18"/>
        <v>60</v>
      </c>
      <c r="O110" s="19">
        <f t="shared" si="18"/>
        <v>50</v>
      </c>
      <c r="P110" s="19">
        <f t="shared" si="18"/>
        <v>0</v>
      </c>
      <c r="Q110" s="19">
        <f t="shared" si="18"/>
        <v>0</v>
      </c>
      <c r="R110" s="19">
        <f t="shared" si="18"/>
        <v>0</v>
      </c>
      <c r="S110" s="19">
        <f t="shared" si="18"/>
        <v>0</v>
      </c>
      <c r="T110" s="19">
        <f t="shared" si="18"/>
        <v>0</v>
      </c>
      <c r="U110" s="19">
        <f t="shared" si="18"/>
        <v>0</v>
      </c>
    </row>
    <row r="111" spans="1:21" s="3" customFormat="1" ht="14.1" customHeight="1" x14ac:dyDescent="0.25">
      <c r="A111" s="7" t="s">
        <v>159</v>
      </c>
      <c r="B111" s="7" t="s">
        <v>160</v>
      </c>
      <c r="C111" s="8" t="s">
        <v>161</v>
      </c>
      <c r="D111" s="9">
        <f>F111+H111+J111+L111+N111+P111+R111+T111</f>
        <v>22742</v>
      </c>
      <c r="E111" s="9">
        <f>G111+I111+K111+M111+O111+Q111+S111+U111</f>
        <v>25146</v>
      </c>
      <c r="F111" s="10">
        <f>SUM(F112:F113)</f>
        <v>21543</v>
      </c>
      <c r="G111" s="10">
        <f t="shared" ref="G111:Q111" si="19">SUM(G112:G113)</f>
        <v>23507</v>
      </c>
      <c r="H111" s="10">
        <f t="shared" si="19"/>
        <v>0</v>
      </c>
      <c r="I111" s="52">
        <f t="shared" si="19"/>
        <v>0</v>
      </c>
      <c r="J111" s="52">
        <f t="shared" si="19"/>
        <v>0</v>
      </c>
      <c r="K111" s="52">
        <f t="shared" si="19"/>
        <v>0</v>
      </c>
      <c r="L111" s="52">
        <f t="shared" si="19"/>
        <v>0</v>
      </c>
      <c r="M111" s="80">
        <v>0</v>
      </c>
      <c r="N111" s="52">
        <f t="shared" si="19"/>
        <v>392</v>
      </c>
      <c r="O111" s="52">
        <f t="shared" si="19"/>
        <v>463</v>
      </c>
      <c r="P111" s="52">
        <f t="shared" si="19"/>
        <v>167</v>
      </c>
      <c r="Q111" s="52">
        <f t="shared" si="19"/>
        <v>115</v>
      </c>
      <c r="R111" s="52">
        <f t="shared" ref="R111" si="20">SUM(R112:R113)</f>
        <v>0</v>
      </c>
      <c r="S111" s="65">
        <v>0</v>
      </c>
      <c r="T111" s="52">
        <f>SUM(T112:T113)</f>
        <v>640</v>
      </c>
      <c r="U111" s="52">
        <f>SUM(U112:U113)</f>
        <v>1061</v>
      </c>
    </row>
    <row r="112" spans="1:21" ht="14.1" customHeight="1" x14ac:dyDescent="0.25">
      <c r="A112" s="24"/>
      <c r="B112" s="24"/>
      <c r="C112" s="25" t="s">
        <v>162</v>
      </c>
      <c r="D112" s="26"/>
      <c r="E112" s="26"/>
      <c r="F112" s="26"/>
      <c r="G112" s="26"/>
      <c r="H112" s="26"/>
      <c r="I112" s="58"/>
      <c r="J112" s="63"/>
      <c r="K112" s="78"/>
      <c r="L112" s="63"/>
      <c r="M112" s="78"/>
      <c r="N112" s="63"/>
      <c r="O112" s="63"/>
      <c r="P112" s="63"/>
      <c r="Q112" s="63"/>
      <c r="R112" s="63"/>
      <c r="S112" s="63"/>
      <c r="T112" s="63"/>
      <c r="U112" s="63"/>
    </row>
    <row r="113" spans="1:21" ht="14.1" customHeight="1" x14ac:dyDescent="0.25">
      <c r="A113" s="24"/>
      <c r="B113" s="24"/>
      <c r="C113" s="25" t="s">
        <v>163</v>
      </c>
      <c r="D113" s="26"/>
      <c r="E113" s="26"/>
      <c r="F113" s="26">
        <v>21543</v>
      </c>
      <c r="G113" s="26">
        <f>ROUND((G72+G83+G105+G109)*0.27,0)</f>
        <v>23507</v>
      </c>
      <c r="H113" s="26"/>
      <c r="I113" s="58"/>
      <c r="J113" s="63"/>
      <c r="K113" s="58"/>
      <c r="L113" s="63"/>
      <c r="M113" s="58"/>
      <c r="N113" s="63">
        <v>392</v>
      </c>
      <c r="O113" s="26">
        <f>ROUND((O72+O83+O105+O109)*0.27,0)</f>
        <v>463</v>
      </c>
      <c r="P113" s="63">
        <v>167</v>
      </c>
      <c r="Q113" s="26">
        <f>ROUND((Q72+Q83+Q105+Q109)*0.27,0)</f>
        <v>115</v>
      </c>
      <c r="R113" s="63"/>
      <c r="S113" s="63"/>
      <c r="T113" s="63">
        <v>640</v>
      </c>
      <c r="U113" s="26">
        <f>ROUND((U72+U83+U105+U109)*0.27,0)</f>
        <v>1061</v>
      </c>
    </row>
    <row r="114" spans="1:21" s="3" customFormat="1" ht="14.1" customHeight="1" x14ac:dyDescent="0.25">
      <c r="A114" s="7" t="s">
        <v>164</v>
      </c>
      <c r="B114" s="7" t="s">
        <v>165</v>
      </c>
      <c r="C114" s="8" t="s">
        <v>166</v>
      </c>
      <c r="D114" s="9">
        <f>F114+H114+J114+L114+N114+P114+R114+T114</f>
        <v>0</v>
      </c>
      <c r="E114" s="9">
        <f>G114+I114+K114+M114+O114+Q114+S114+U114</f>
        <v>400</v>
      </c>
      <c r="F114" s="10">
        <f>SUM(F115:F117)</f>
        <v>0</v>
      </c>
      <c r="G114" s="10">
        <f>SUM(G115:G117)</f>
        <v>400</v>
      </c>
      <c r="H114" s="10">
        <v>0</v>
      </c>
      <c r="I114" s="52"/>
      <c r="J114" s="52">
        <v>0</v>
      </c>
      <c r="K114" s="52"/>
      <c r="L114" s="52">
        <v>0</v>
      </c>
      <c r="M114" s="52">
        <v>0</v>
      </c>
      <c r="N114" s="52">
        <v>0</v>
      </c>
      <c r="O114" s="52">
        <v>0</v>
      </c>
      <c r="P114" s="52">
        <f>SUM(P115:P117)</f>
        <v>0</v>
      </c>
      <c r="Q114" s="52">
        <f>SUM(Q115:Q117)</f>
        <v>0</v>
      </c>
      <c r="R114" s="52">
        <v>0</v>
      </c>
      <c r="S114" s="65">
        <v>0</v>
      </c>
      <c r="T114" s="52">
        <f>SUM(T115:T117)</f>
        <v>0</v>
      </c>
      <c r="U114" s="52">
        <f>SUM(U115:U117)</f>
        <v>0</v>
      </c>
    </row>
    <row r="115" spans="1:21" ht="14.1" customHeight="1" x14ac:dyDescent="0.25">
      <c r="A115" s="24"/>
      <c r="B115" s="24"/>
      <c r="C115" s="25" t="s">
        <v>167</v>
      </c>
      <c r="D115" s="26"/>
      <c r="E115" s="26"/>
      <c r="F115" s="26"/>
      <c r="G115" s="26">
        <v>400</v>
      </c>
      <c r="H115" s="26"/>
      <c r="I115" s="58"/>
      <c r="J115" s="63"/>
      <c r="K115" s="78"/>
      <c r="L115" s="63"/>
      <c r="M115" s="78"/>
      <c r="N115" s="63"/>
      <c r="O115" s="63"/>
      <c r="P115" s="63"/>
      <c r="Q115" s="63"/>
      <c r="R115" s="63"/>
      <c r="S115" s="63"/>
      <c r="T115" s="63"/>
      <c r="U115" s="63"/>
    </row>
    <row r="116" spans="1:21" ht="14.1" customHeight="1" x14ac:dyDescent="0.25">
      <c r="A116" s="24"/>
      <c r="B116" s="24"/>
      <c r="C116" s="25" t="s">
        <v>168</v>
      </c>
      <c r="D116" s="26"/>
      <c r="E116" s="26"/>
      <c r="F116" s="26"/>
      <c r="G116" s="26"/>
      <c r="H116" s="26"/>
      <c r="I116" s="58"/>
      <c r="J116" s="63"/>
      <c r="K116" s="78"/>
      <c r="L116" s="63"/>
      <c r="M116" s="78"/>
      <c r="N116" s="63"/>
      <c r="O116" s="63"/>
      <c r="P116" s="63"/>
      <c r="Q116" s="63"/>
      <c r="R116" s="63"/>
      <c r="S116" s="63"/>
      <c r="T116" s="63"/>
      <c r="U116" s="63"/>
    </row>
    <row r="117" spans="1:21" ht="14.1" customHeight="1" x14ac:dyDescent="0.25">
      <c r="A117" s="24"/>
      <c r="B117" s="24"/>
      <c r="C117" s="25" t="s">
        <v>169</v>
      </c>
      <c r="D117" s="26"/>
      <c r="E117" s="26"/>
      <c r="F117" s="26"/>
      <c r="G117" s="26"/>
      <c r="H117" s="26"/>
      <c r="I117" s="58"/>
      <c r="J117" s="63"/>
      <c r="K117" s="78"/>
      <c r="L117" s="63"/>
      <c r="M117" s="78"/>
      <c r="N117" s="63"/>
      <c r="O117" s="63"/>
      <c r="P117" s="63"/>
      <c r="Q117" s="63"/>
      <c r="R117" s="63"/>
      <c r="S117" s="63"/>
      <c r="T117" s="63"/>
      <c r="U117" s="63"/>
    </row>
    <row r="118" spans="1:21" s="3" customFormat="1" ht="14.1" customHeight="1" x14ac:dyDescent="0.25">
      <c r="A118" s="7" t="s">
        <v>170</v>
      </c>
      <c r="B118" s="7" t="s">
        <v>171</v>
      </c>
      <c r="C118" s="8" t="s">
        <v>172</v>
      </c>
      <c r="D118" s="9">
        <f>F118+H118+J118+L118+N118+P118+R118+T118</f>
        <v>0</v>
      </c>
      <c r="E118" s="9">
        <f>G118+I118+K118+M118+O118+Q118+S118+U118</f>
        <v>0</v>
      </c>
      <c r="F118" s="10">
        <f>SUM(F119:F122)</f>
        <v>0</v>
      </c>
      <c r="G118" s="10">
        <f>SUM(G119:G122)</f>
        <v>0</v>
      </c>
      <c r="H118" s="10">
        <v>0</v>
      </c>
      <c r="I118" s="52"/>
      <c r="J118" s="52">
        <v>0</v>
      </c>
      <c r="K118" s="52"/>
      <c r="L118" s="52">
        <v>0</v>
      </c>
      <c r="M118" s="52">
        <v>0</v>
      </c>
      <c r="N118" s="52">
        <v>0</v>
      </c>
      <c r="O118" s="52">
        <v>0</v>
      </c>
      <c r="P118" s="52">
        <f>SUM(P119:P122)</f>
        <v>0</v>
      </c>
      <c r="Q118" s="52">
        <f>SUM(Q119:Q122)</f>
        <v>0</v>
      </c>
      <c r="R118" s="52">
        <v>0</v>
      </c>
      <c r="S118" s="65">
        <v>0</v>
      </c>
      <c r="T118" s="52">
        <f>SUM(T119:T122)</f>
        <v>0</v>
      </c>
      <c r="U118" s="52">
        <f>SUM(U119:U122)</f>
        <v>0</v>
      </c>
    </row>
    <row r="119" spans="1:21" ht="14.1" customHeight="1" x14ac:dyDescent="0.25">
      <c r="A119" s="24"/>
      <c r="B119" s="24"/>
      <c r="C119" s="25" t="s">
        <v>173</v>
      </c>
      <c r="D119" s="26"/>
      <c r="E119" s="26"/>
      <c r="F119" s="26"/>
      <c r="G119" s="26"/>
      <c r="H119" s="26"/>
      <c r="I119" s="58"/>
      <c r="J119" s="63"/>
      <c r="K119" s="78"/>
      <c r="L119" s="63"/>
      <c r="M119" s="78"/>
      <c r="N119" s="63"/>
      <c r="O119" s="63"/>
      <c r="P119" s="63"/>
      <c r="Q119" s="63"/>
      <c r="R119" s="63"/>
      <c r="S119" s="63"/>
      <c r="T119" s="63"/>
      <c r="U119" s="63"/>
    </row>
    <row r="120" spans="1:21" ht="14.1" customHeight="1" x14ac:dyDescent="0.25">
      <c r="A120" s="24"/>
      <c r="B120" s="24"/>
      <c r="C120" s="25" t="s">
        <v>174</v>
      </c>
      <c r="D120" s="26"/>
      <c r="E120" s="26"/>
      <c r="F120" s="26"/>
      <c r="G120" s="26"/>
      <c r="H120" s="26"/>
      <c r="I120" s="58"/>
      <c r="J120" s="63"/>
      <c r="K120" s="78"/>
      <c r="L120" s="63"/>
      <c r="M120" s="78"/>
      <c r="N120" s="63"/>
      <c r="O120" s="63"/>
      <c r="P120" s="63"/>
      <c r="Q120" s="63"/>
      <c r="R120" s="63"/>
      <c r="S120" s="63"/>
      <c r="T120" s="63"/>
      <c r="U120" s="63"/>
    </row>
    <row r="121" spans="1:21" ht="14.1" customHeight="1" x14ac:dyDescent="0.25">
      <c r="A121" s="24"/>
      <c r="B121" s="24"/>
      <c r="C121" s="25" t="s">
        <v>175</v>
      </c>
      <c r="D121" s="26"/>
      <c r="E121" s="26"/>
      <c r="F121" s="26"/>
      <c r="G121" s="26"/>
      <c r="H121" s="26"/>
      <c r="I121" s="58"/>
      <c r="J121" s="63"/>
      <c r="K121" s="78"/>
      <c r="L121" s="63"/>
      <c r="M121" s="78"/>
      <c r="N121" s="63"/>
      <c r="O121" s="63"/>
      <c r="P121" s="63"/>
      <c r="Q121" s="63"/>
      <c r="R121" s="63"/>
      <c r="S121" s="63"/>
      <c r="T121" s="63"/>
      <c r="U121" s="63"/>
    </row>
    <row r="122" spans="1:21" ht="14.1" customHeight="1" x14ac:dyDescent="0.25">
      <c r="A122" s="24"/>
      <c r="B122" s="24"/>
      <c r="C122" s="25" t="s">
        <v>176</v>
      </c>
      <c r="D122" s="26"/>
      <c r="E122" s="26"/>
      <c r="F122" s="26"/>
      <c r="G122" s="26"/>
      <c r="H122" s="26"/>
      <c r="I122" s="58"/>
      <c r="J122" s="63"/>
      <c r="K122" s="78"/>
      <c r="L122" s="63"/>
      <c r="M122" s="78"/>
      <c r="N122" s="63"/>
      <c r="O122" s="63"/>
      <c r="P122" s="63"/>
      <c r="Q122" s="63"/>
      <c r="R122" s="63"/>
      <c r="S122" s="63"/>
      <c r="T122" s="63"/>
      <c r="U122" s="63"/>
    </row>
    <row r="123" spans="1:21" s="3" customFormat="1" ht="14.1" customHeight="1" x14ac:dyDescent="0.25">
      <c r="A123" s="7" t="s">
        <v>177</v>
      </c>
      <c r="B123" s="7" t="s">
        <v>178</v>
      </c>
      <c r="C123" s="8" t="s">
        <v>179</v>
      </c>
      <c r="D123" s="9">
        <f>F123+H123+J123+L123+N123+P123+R123+T123</f>
        <v>0</v>
      </c>
      <c r="E123" s="9">
        <f>G123+I123+K123+M123+O123+Q123+S123+U123</f>
        <v>0</v>
      </c>
      <c r="F123" s="10">
        <f>SUM(F124:F125)</f>
        <v>0</v>
      </c>
      <c r="G123" s="10">
        <f>SUM(G124:G125)</f>
        <v>0</v>
      </c>
      <c r="H123" s="10">
        <v>0</v>
      </c>
      <c r="I123" s="52"/>
      <c r="J123" s="52">
        <v>0</v>
      </c>
      <c r="K123" s="52"/>
      <c r="L123" s="52">
        <v>0</v>
      </c>
      <c r="M123" s="52">
        <v>0</v>
      </c>
      <c r="N123" s="52">
        <v>0</v>
      </c>
      <c r="O123" s="52">
        <v>0</v>
      </c>
      <c r="P123" s="52">
        <f>SUM(P124:P125)</f>
        <v>0</v>
      </c>
      <c r="Q123" s="52">
        <f>SUM(Q124:Q125)</f>
        <v>0</v>
      </c>
      <c r="R123" s="52">
        <v>0</v>
      </c>
      <c r="S123" s="65">
        <v>0</v>
      </c>
      <c r="T123" s="52">
        <f>SUM(T124:T125)</f>
        <v>0</v>
      </c>
      <c r="U123" s="52">
        <f>SUM(U124:U125)</f>
        <v>0</v>
      </c>
    </row>
    <row r="124" spans="1:21" ht="14.1" customHeight="1" x14ac:dyDescent="0.25">
      <c r="A124" s="24"/>
      <c r="B124" s="24"/>
      <c r="C124" s="25" t="s">
        <v>180</v>
      </c>
      <c r="D124" s="26"/>
      <c r="E124" s="26"/>
      <c r="F124" s="26"/>
      <c r="G124" s="26"/>
      <c r="H124" s="26"/>
      <c r="I124" s="58"/>
      <c r="J124" s="63"/>
      <c r="K124" s="78"/>
      <c r="L124" s="63"/>
      <c r="M124" s="78"/>
      <c r="N124" s="63"/>
      <c r="O124" s="63"/>
      <c r="P124" s="63"/>
      <c r="Q124" s="63"/>
      <c r="R124" s="63"/>
      <c r="S124" s="63"/>
      <c r="T124" s="63"/>
      <c r="U124" s="63"/>
    </row>
    <row r="125" spans="1:21" ht="14.1" customHeight="1" x14ac:dyDescent="0.25">
      <c r="A125" s="24"/>
      <c r="B125" s="24"/>
      <c r="C125" s="25" t="s">
        <v>181</v>
      </c>
      <c r="D125" s="26"/>
      <c r="E125" s="26"/>
      <c r="F125" s="26"/>
      <c r="G125" s="26"/>
      <c r="H125" s="26"/>
      <c r="I125" s="58"/>
      <c r="J125" s="63"/>
      <c r="K125" s="78"/>
      <c r="L125" s="63"/>
      <c r="M125" s="78"/>
      <c r="N125" s="63"/>
      <c r="O125" s="63"/>
      <c r="P125" s="63"/>
      <c r="Q125" s="63"/>
      <c r="R125" s="63"/>
      <c r="S125" s="63"/>
      <c r="T125" s="63"/>
      <c r="U125" s="63"/>
    </row>
    <row r="126" spans="1:21" s="3" customFormat="1" ht="14.1" customHeight="1" x14ac:dyDescent="0.25">
      <c r="A126" s="7" t="s">
        <v>182</v>
      </c>
      <c r="B126" s="7" t="s">
        <v>183</v>
      </c>
      <c r="C126" s="8" t="s">
        <v>184</v>
      </c>
      <c r="D126" s="9">
        <f>F126+H126+J126+L126+N126+P126+R126+T126</f>
        <v>1140</v>
      </c>
      <c r="E126" s="9">
        <f>G126+I126+K126+M126+O126+Q126+S126+U126</f>
        <v>2600</v>
      </c>
      <c r="F126" s="10">
        <f>SUM(F127:F130)</f>
        <v>1110</v>
      </c>
      <c r="G126" s="10">
        <f>SUM(G127:G130)</f>
        <v>2530</v>
      </c>
      <c r="H126" s="10">
        <v>0</v>
      </c>
      <c r="I126" s="52"/>
      <c r="J126" s="52">
        <v>0</v>
      </c>
      <c r="K126" s="52"/>
      <c r="L126" s="52">
        <v>0</v>
      </c>
      <c r="M126" s="52">
        <v>0</v>
      </c>
      <c r="N126" s="52">
        <f>SUM(N127:N130)</f>
        <v>20</v>
      </c>
      <c r="O126" s="52">
        <f>SUM(O127:O130)</f>
        <v>70</v>
      </c>
      <c r="P126" s="52">
        <f>SUM(P127:P130)</f>
        <v>10</v>
      </c>
      <c r="Q126" s="52">
        <f>SUM(Q127:Q130)</f>
        <v>0</v>
      </c>
      <c r="R126" s="52">
        <v>0</v>
      </c>
      <c r="S126" s="65">
        <v>0</v>
      </c>
      <c r="T126" s="52">
        <f>SUM(T127:T130)</f>
        <v>0</v>
      </c>
      <c r="U126" s="52">
        <f>SUM(U127:U130)</f>
        <v>0</v>
      </c>
    </row>
    <row r="127" spans="1:21" ht="14.1" customHeight="1" x14ac:dyDescent="0.25">
      <c r="A127" s="24"/>
      <c r="B127" s="24"/>
      <c r="C127" s="25" t="s">
        <v>185</v>
      </c>
      <c r="D127" s="26"/>
      <c r="E127" s="26"/>
      <c r="F127" s="26">
        <v>450</v>
      </c>
      <c r="G127" s="26">
        <v>530</v>
      </c>
      <c r="H127" s="26"/>
      <c r="I127" s="58"/>
      <c r="J127" s="63"/>
      <c r="K127" s="78"/>
      <c r="L127" s="63"/>
      <c r="M127" s="78"/>
      <c r="N127" s="63"/>
      <c r="O127" s="63"/>
      <c r="P127" s="63"/>
      <c r="Q127" s="63"/>
      <c r="R127" s="63"/>
      <c r="S127" s="63"/>
      <c r="T127" s="63"/>
      <c r="U127" s="63"/>
    </row>
    <row r="128" spans="1:21" ht="14.1" customHeight="1" x14ac:dyDescent="0.25">
      <c r="A128" s="24"/>
      <c r="B128" s="24"/>
      <c r="C128" s="25" t="s">
        <v>186</v>
      </c>
      <c r="D128" s="26"/>
      <c r="E128" s="26"/>
      <c r="F128" s="26">
        <v>560</v>
      </c>
      <c r="G128" s="26">
        <v>1500</v>
      </c>
      <c r="H128" s="26"/>
      <c r="I128" s="58"/>
      <c r="J128" s="63"/>
      <c r="K128" s="78"/>
      <c r="L128" s="63"/>
      <c r="M128" s="78"/>
      <c r="N128" s="63">
        <v>20</v>
      </c>
      <c r="O128" s="63">
        <v>20</v>
      </c>
      <c r="P128" s="63"/>
      <c r="Q128" s="63"/>
      <c r="R128" s="63"/>
      <c r="S128" s="63"/>
      <c r="T128" s="63"/>
      <c r="U128" s="63"/>
    </row>
    <row r="129" spans="1:264" ht="14.1" customHeight="1" x14ac:dyDescent="0.25">
      <c r="A129" s="24"/>
      <c r="B129" s="24"/>
      <c r="C129" s="25" t="s">
        <v>187</v>
      </c>
      <c r="D129" s="26"/>
      <c r="E129" s="26"/>
      <c r="F129" s="26"/>
      <c r="G129" s="26"/>
      <c r="H129" s="26"/>
      <c r="I129" s="58"/>
      <c r="J129" s="63"/>
      <c r="K129" s="78"/>
      <c r="L129" s="63"/>
      <c r="M129" s="78"/>
      <c r="N129" s="63"/>
      <c r="O129" s="63"/>
      <c r="P129" s="63"/>
      <c r="Q129" s="63"/>
      <c r="R129" s="63"/>
      <c r="S129" s="63"/>
      <c r="T129" s="63"/>
      <c r="U129" s="63"/>
    </row>
    <row r="130" spans="1:264" ht="14.1" customHeight="1" x14ac:dyDescent="0.25">
      <c r="A130" s="24"/>
      <c r="B130" s="24"/>
      <c r="C130" s="25" t="s">
        <v>188</v>
      </c>
      <c r="D130" s="26"/>
      <c r="E130" s="26"/>
      <c r="F130" s="26">
        <v>100</v>
      </c>
      <c r="G130" s="26">
        <v>500</v>
      </c>
      <c r="H130" s="26"/>
      <c r="I130" s="58"/>
      <c r="J130" s="63"/>
      <c r="K130" s="78"/>
      <c r="L130" s="63"/>
      <c r="M130" s="78"/>
      <c r="N130" s="63"/>
      <c r="O130" s="63">
        <v>50</v>
      </c>
      <c r="P130" s="63">
        <v>10</v>
      </c>
      <c r="Q130" s="63"/>
      <c r="R130" s="63"/>
      <c r="S130" s="63"/>
      <c r="T130" s="63"/>
      <c r="U130" s="63"/>
    </row>
    <row r="131" spans="1:264" s="3" customFormat="1" ht="14.1" customHeight="1" x14ac:dyDescent="0.25">
      <c r="A131" s="16" t="s">
        <v>189</v>
      </c>
      <c r="B131" s="16" t="s">
        <v>190</v>
      </c>
      <c r="C131" s="17" t="s">
        <v>191</v>
      </c>
      <c r="D131" s="19">
        <f>D111+D114+D118+D123+D126</f>
        <v>23882</v>
      </c>
      <c r="E131" s="19">
        <f>E111+E114+E118+E123+E126</f>
        <v>28146</v>
      </c>
      <c r="F131" s="19">
        <f>F111+F114+F118+F123+F126</f>
        <v>22653</v>
      </c>
      <c r="G131" s="19">
        <f t="shared" ref="G131:U131" si="21">G111+G114+G118+G123+G126</f>
        <v>26437</v>
      </c>
      <c r="H131" s="19">
        <f t="shared" si="21"/>
        <v>0</v>
      </c>
      <c r="I131" s="19">
        <f t="shared" si="21"/>
        <v>0</v>
      </c>
      <c r="J131" s="19">
        <f t="shared" si="21"/>
        <v>0</v>
      </c>
      <c r="K131" s="19">
        <f t="shared" si="21"/>
        <v>0</v>
      </c>
      <c r="L131" s="19">
        <f t="shared" si="21"/>
        <v>0</v>
      </c>
      <c r="M131" s="19">
        <f t="shared" si="21"/>
        <v>0</v>
      </c>
      <c r="N131" s="19">
        <f t="shared" si="21"/>
        <v>412</v>
      </c>
      <c r="O131" s="19">
        <f t="shared" si="21"/>
        <v>533</v>
      </c>
      <c r="P131" s="19">
        <f t="shared" si="21"/>
        <v>177</v>
      </c>
      <c r="Q131" s="19">
        <f t="shared" si="21"/>
        <v>115</v>
      </c>
      <c r="R131" s="19">
        <f t="shared" si="21"/>
        <v>0</v>
      </c>
      <c r="S131" s="19">
        <f t="shared" si="21"/>
        <v>0</v>
      </c>
      <c r="T131" s="19">
        <f t="shared" si="21"/>
        <v>640</v>
      </c>
      <c r="U131" s="19">
        <f t="shared" si="21"/>
        <v>1061</v>
      </c>
    </row>
    <row r="132" spans="1:264" s="3" customFormat="1" ht="14.1" customHeight="1" x14ac:dyDescent="0.25">
      <c r="A132" s="20" t="s">
        <v>192</v>
      </c>
      <c r="B132" s="20" t="s">
        <v>193</v>
      </c>
      <c r="C132" s="21" t="s">
        <v>292</v>
      </c>
      <c r="D132" s="23">
        <f>D72+D83+D105+D110+D131</f>
        <v>110572</v>
      </c>
      <c r="E132" s="23">
        <f>E72+E83+E105+E110+E131</f>
        <v>121630</v>
      </c>
      <c r="F132" s="23">
        <f>F72+F83+F105+F110+F131</f>
        <v>103243</v>
      </c>
      <c r="G132" s="23">
        <f t="shared" ref="G132:U132" si="22">G72+G83+G105+G110+G131</f>
        <v>113801</v>
      </c>
      <c r="H132" s="23">
        <f t="shared" si="22"/>
        <v>0</v>
      </c>
      <c r="I132" s="23">
        <f t="shared" si="22"/>
        <v>0</v>
      </c>
      <c r="J132" s="23">
        <f t="shared" si="22"/>
        <v>0</v>
      </c>
      <c r="K132" s="23">
        <f t="shared" si="22"/>
        <v>0</v>
      </c>
      <c r="L132" s="23">
        <f t="shared" si="22"/>
        <v>0</v>
      </c>
      <c r="M132" s="23">
        <f t="shared" si="22"/>
        <v>0</v>
      </c>
      <c r="N132" s="23">
        <f t="shared" si="22"/>
        <v>1922</v>
      </c>
      <c r="O132" s="23">
        <f t="shared" si="22"/>
        <v>2298</v>
      </c>
      <c r="P132" s="23">
        <f t="shared" si="22"/>
        <v>797</v>
      </c>
      <c r="Q132" s="23">
        <f t="shared" si="22"/>
        <v>540</v>
      </c>
      <c r="R132" s="23">
        <f t="shared" si="22"/>
        <v>0</v>
      </c>
      <c r="S132" s="23">
        <f t="shared" si="22"/>
        <v>0</v>
      </c>
      <c r="T132" s="23">
        <f t="shared" si="22"/>
        <v>4610</v>
      </c>
      <c r="U132" s="23">
        <f t="shared" si="22"/>
        <v>4991</v>
      </c>
    </row>
    <row r="133" spans="1:264" ht="14.1" customHeight="1" x14ac:dyDescent="0.25">
      <c r="A133" s="24" t="s">
        <v>620</v>
      </c>
      <c r="B133" s="24" t="s">
        <v>628</v>
      </c>
      <c r="C133" s="25" t="s">
        <v>636</v>
      </c>
      <c r="D133" s="26">
        <f>F133+H133+J133+L133+N133+P133+R133+T133</f>
        <v>0</v>
      </c>
      <c r="E133" s="26">
        <f>G133+I133+K133+M133+O133+Q133+S133+U133</f>
        <v>0</v>
      </c>
      <c r="F133" s="26"/>
      <c r="G133" s="26"/>
      <c r="H133" s="26"/>
      <c r="I133" s="58"/>
      <c r="J133" s="63"/>
      <c r="K133" s="78"/>
      <c r="L133" s="63"/>
      <c r="M133" s="78"/>
      <c r="N133" s="63"/>
      <c r="O133" s="63"/>
      <c r="P133" s="63"/>
      <c r="Q133" s="63"/>
      <c r="R133" s="63"/>
      <c r="S133" s="63"/>
      <c r="T133" s="63"/>
      <c r="U133" s="63"/>
    </row>
    <row r="134" spans="1:264" ht="14.1" customHeight="1" x14ac:dyDescent="0.25">
      <c r="A134" s="24" t="s">
        <v>621</v>
      </c>
      <c r="B134" s="24" t="s">
        <v>629</v>
      </c>
      <c r="C134" s="25" t="s">
        <v>637</v>
      </c>
      <c r="D134" s="26">
        <f t="shared" ref="D134:E140" si="23">F134+H134+J134+L134+N134+P134+R134+T134</f>
        <v>20</v>
      </c>
      <c r="E134" s="26">
        <f t="shared" si="23"/>
        <v>0</v>
      </c>
      <c r="F134" s="26"/>
      <c r="G134" s="26"/>
      <c r="H134" s="26"/>
      <c r="I134" s="58"/>
      <c r="J134" s="63"/>
      <c r="K134" s="78"/>
      <c r="L134" s="63"/>
      <c r="M134" s="78"/>
      <c r="N134" s="63"/>
      <c r="O134" s="63"/>
      <c r="P134" s="63"/>
      <c r="Q134" s="63"/>
      <c r="R134" s="63">
        <v>20</v>
      </c>
      <c r="S134" s="63"/>
      <c r="T134" s="63"/>
      <c r="U134" s="63"/>
    </row>
    <row r="135" spans="1:264" ht="14.1" customHeight="1" x14ac:dyDescent="0.25">
      <c r="A135" s="24" t="s">
        <v>622</v>
      </c>
      <c r="B135" s="24" t="s">
        <v>630</v>
      </c>
      <c r="C135" s="25" t="s">
        <v>638</v>
      </c>
      <c r="D135" s="26">
        <f t="shared" si="23"/>
        <v>0</v>
      </c>
      <c r="E135" s="26">
        <f t="shared" si="23"/>
        <v>0</v>
      </c>
      <c r="F135" s="26"/>
      <c r="G135" s="26"/>
      <c r="H135" s="26"/>
      <c r="I135" s="58"/>
      <c r="J135" s="63"/>
      <c r="K135" s="78"/>
      <c r="L135" s="63"/>
      <c r="M135" s="78"/>
      <c r="N135" s="63"/>
      <c r="O135" s="63"/>
      <c r="P135" s="63"/>
      <c r="Q135" s="63"/>
      <c r="R135" s="63"/>
      <c r="S135" s="63"/>
      <c r="T135" s="63"/>
      <c r="U135" s="63"/>
    </row>
    <row r="136" spans="1:264" ht="14.1" customHeight="1" x14ac:dyDescent="0.25">
      <c r="A136" s="24" t="s">
        <v>623</v>
      </c>
      <c r="B136" s="24" t="s">
        <v>631</v>
      </c>
      <c r="C136" s="25" t="s">
        <v>639</v>
      </c>
      <c r="D136" s="26">
        <f t="shared" si="23"/>
        <v>0</v>
      </c>
      <c r="E136" s="26">
        <f t="shared" si="23"/>
        <v>0</v>
      </c>
      <c r="F136" s="26"/>
      <c r="G136" s="26"/>
      <c r="H136" s="26"/>
      <c r="I136" s="58"/>
      <c r="J136" s="63"/>
      <c r="K136" s="78"/>
      <c r="L136" s="63"/>
      <c r="M136" s="78"/>
      <c r="N136" s="63"/>
      <c r="O136" s="63"/>
      <c r="P136" s="63"/>
      <c r="Q136" s="63"/>
      <c r="R136" s="63"/>
      <c r="S136" s="63"/>
      <c r="T136" s="63"/>
      <c r="U136" s="63"/>
    </row>
    <row r="137" spans="1:264" ht="14.1" customHeight="1" x14ac:dyDescent="0.25">
      <c r="A137" s="24" t="s">
        <v>624</v>
      </c>
      <c r="B137" s="24" t="s">
        <v>632</v>
      </c>
      <c r="C137" s="25" t="s">
        <v>640</v>
      </c>
      <c r="D137" s="26">
        <f t="shared" si="23"/>
        <v>2000</v>
      </c>
      <c r="E137" s="26">
        <f t="shared" si="23"/>
        <v>0</v>
      </c>
      <c r="F137" s="26"/>
      <c r="G137" s="26"/>
      <c r="H137" s="26"/>
      <c r="I137" s="58"/>
      <c r="J137" s="63"/>
      <c r="K137" s="78"/>
      <c r="L137" s="63"/>
      <c r="M137" s="78"/>
      <c r="N137" s="63"/>
      <c r="O137" s="63"/>
      <c r="P137" s="63"/>
      <c r="Q137" s="63"/>
      <c r="R137" s="63">
        <v>2000</v>
      </c>
      <c r="S137" s="63"/>
      <c r="T137" s="63"/>
      <c r="U137" s="63"/>
    </row>
    <row r="138" spans="1:264" ht="14.1" customHeight="1" x14ac:dyDescent="0.25">
      <c r="A138" s="24" t="s">
        <v>625</v>
      </c>
      <c r="B138" s="24" t="s">
        <v>633</v>
      </c>
      <c r="C138" s="25" t="s">
        <v>641</v>
      </c>
      <c r="D138" s="26">
        <f t="shared" si="23"/>
        <v>0</v>
      </c>
      <c r="E138" s="26">
        <f t="shared" si="23"/>
        <v>0</v>
      </c>
      <c r="F138" s="26"/>
      <c r="G138" s="26"/>
      <c r="H138" s="26"/>
      <c r="I138" s="58"/>
      <c r="J138" s="63"/>
      <c r="K138" s="78"/>
      <c r="L138" s="63"/>
      <c r="M138" s="78"/>
      <c r="N138" s="63"/>
      <c r="O138" s="63"/>
      <c r="P138" s="63"/>
      <c r="Q138" s="63"/>
      <c r="R138" s="63"/>
      <c r="S138" s="63"/>
      <c r="T138" s="63"/>
      <c r="U138" s="63"/>
    </row>
    <row r="139" spans="1:264" ht="14.1" customHeight="1" x14ac:dyDescent="0.25">
      <c r="A139" s="24" t="s">
        <v>626</v>
      </c>
      <c r="B139" s="24" t="s">
        <v>634</v>
      </c>
      <c r="C139" s="25" t="s">
        <v>642</v>
      </c>
      <c r="D139" s="26">
        <f t="shared" si="23"/>
        <v>0</v>
      </c>
      <c r="E139" s="26">
        <f t="shared" si="23"/>
        <v>0</v>
      </c>
      <c r="F139" s="26"/>
      <c r="G139" s="26"/>
      <c r="H139" s="26"/>
      <c r="I139" s="58"/>
      <c r="J139" s="63"/>
      <c r="K139" s="78"/>
      <c r="L139" s="63"/>
      <c r="M139" s="78"/>
      <c r="N139" s="63"/>
      <c r="O139" s="63"/>
      <c r="P139" s="63"/>
      <c r="Q139" s="63"/>
      <c r="R139" s="63"/>
      <c r="S139" s="63"/>
      <c r="T139" s="63"/>
      <c r="U139" s="63"/>
    </row>
    <row r="140" spans="1:264" ht="14.1" customHeight="1" x14ac:dyDescent="0.25">
      <c r="A140" s="24" t="s">
        <v>627</v>
      </c>
      <c r="B140" s="24" t="s">
        <v>635</v>
      </c>
      <c r="C140" s="25" t="s">
        <v>643</v>
      </c>
      <c r="D140" s="26">
        <f t="shared" si="23"/>
        <v>2600</v>
      </c>
      <c r="E140" s="26">
        <f t="shared" si="23"/>
        <v>0</v>
      </c>
      <c r="F140" s="26"/>
      <c r="G140" s="26"/>
      <c r="H140" s="26"/>
      <c r="I140" s="58"/>
      <c r="J140" s="63"/>
      <c r="K140" s="78"/>
      <c r="L140" s="63"/>
      <c r="M140" s="78"/>
      <c r="N140" s="63"/>
      <c r="O140" s="63"/>
      <c r="P140" s="63"/>
      <c r="Q140" s="63"/>
      <c r="R140" s="63">
        <v>2600</v>
      </c>
      <c r="S140" s="63"/>
      <c r="T140" s="63"/>
      <c r="U140" s="63"/>
    </row>
    <row r="141" spans="1:264" s="3" customFormat="1" ht="14.1" customHeight="1" x14ac:dyDescent="0.25">
      <c r="A141" s="133" t="s">
        <v>618</v>
      </c>
      <c r="B141" s="134" t="s">
        <v>619</v>
      </c>
      <c r="C141" s="135" t="s">
        <v>337</v>
      </c>
      <c r="D141" s="23">
        <f>SUM(D133:D140)</f>
        <v>4620</v>
      </c>
      <c r="E141" s="23">
        <f t="shared" ref="E141:U141" si="24">SUM(E133:E140)</f>
        <v>0</v>
      </c>
      <c r="F141" s="23">
        <f t="shared" si="24"/>
        <v>0</v>
      </c>
      <c r="G141" s="23">
        <f t="shared" si="24"/>
        <v>0</v>
      </c>
      <c r="H141" s="23">
        <f t="shared" si="24"/>
        <v>0</v>
      </c>
      <c r="I141" s="23">
        <f t="shared" si="24"/>
        <v>0</v>
      </c>
      <c r="J141" s="23">
        <f t="shared" si="24"/>
        <v>0</v>
      </c>
      <c r="K141" s="23">
        <f t="shared" si="24"/>
        <v>0</v>
      </c>
      <c r="L141" s="23">
        <f t="shared" si="24"/>
        <v>0</v>
      </c>
      <c r="M141" s="23">
        <f t="shared" si="24"/>
        <v>0</v>
      </c>
      <c r="N141" s="23">
        <f t="shared" si="24"/>
        <v>0</v>
      </c>
      <c r="O141" s="23">
        <f t="shared" si="24"/>
        <v>0</v>
      </c>
      <c r="P141" s="23">
        <f t="shared" si="24"/>
        <v>0</v>
      </c>
      <c r="Q141" s="23">
        <f t="shared" si="24"/>
        <v>0</v>
      </c>
      <c r="R141" s="23">
        <f t="shared" si="24"/>
        <v>4620</v>
      </c>
      <c r="S141" s="23">
        <f t="shared" si="24"/>
        <v>0</v>
      </c>
      <c r="T141" s="23">
        <f t="shared" si="24"/>
        <v>0</v>
      </c>
      <c r="U141" s="23">
        <f t="shared" si="24"/>
        <v>0</v>
      </c>
    </row>
    <row r="142" spans="1:264" ht="14.1" customHeight="1" x14ac:dyDescent="0.2">
      <c r="A142" s="963" t="s">
        <v>291</v>
      </c>
      <c r="B142" s="964"/>
      <c r="C142" s="965"/>
      <c r="D142" s="28">
        <f>D46+D132+D141</f>
        <v>564746</v>
      </c>
      <c r="E142" s="28">
        <f t="shared" ref="E142:U142" si="25">E46+E132+E141</f>
        <v>496090</v>
      </c>
      <c r="F142" s="28">
        <f t="shared" si="25"/>
        <v>490125</v>
      </c>
      <c r="G142" s="28">
        <f t="shared" si="25"/>
        <v>467138</v>
      </c>
      <c r="H142" s="28">
        <f t="shared" si="25"/>
        <v>8532</v>
      </c>
      <c r="I142" s="28">
        <f t="shared" si="25"/>
        <v>0</v>
      </c>
      <c r="J142" s="28">
        <f t="shared" si="25"/>
        <v>2028</v>
      </c>
      <c r="K142" s="28">
        <f t="shared" si="25"/>
        <v>0</v>
      </c>
      <c r="L142" s="28">
        <f t="shared" si="25"/>
        <v>28590</v>
      </c>
      <c r="M142" s="28">
        <f t="shared" si="25"/>
        <v>0</v>
      </c>
      <c r="N142" s="28">
        <f t="shared" si="25"/>
        <v>21337</v>
      </c>
      <c r="O142" s="28">
        <f t="shared" si="25"/>
        <v>19235</v>
      </c>
      <c r="P142" s="28">
        <f t="shared" si="25"/>
        <v>4904</v>
      </c>
      <c r="Q142" s="28">
        <f t="shared" si="25"/>
        <v>4665</v>
      </c>
      <c r="R142" s="28">
        <f t="shared" si="25"/>
        <v>4620</v>
      </c>
      <c r="S142" s="28">
        <f t="shared" si="25"/>
        <v>0</v>
      </c>
      <c r="T142" s="28">
        <f t="shared" si="25"/>
        <v>4610</v>
      </c>
      <c r="U142" s="28">
        <f t="shared" si="25"/>
        <v>5052</v>
      </c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  <c r="HX142" s="27"/>
      <c r="HY142" s="27"/>
      <c r="HZ142" s="27"/>
      <c r="IA142" s="27"/>
      <c r="IB142" s="27"/>
      <c r="IC142" s="27"/>
      <c r="ID142" s="27"/>
      <c r="IE142" s="27"/>
      <c r="IF142" s="27"/>
      <c r="IG142" s="27"/>
      <c r="IH142" s="27"/>
      <c r="II142" s="27"/>
      <c r="IJ142" s="27"/>
      <c r="IK142" s="27"/>
      <c r="IL142" s="27"/>
      <c r="IM142" s="27"/>
      <c r="IN142" s="27"/>
      <c r="IO142" s="27"/>
      <c r="IP142" s="27"/>
      <c r="IQ142" s="27"/>
      <c r="IR142" s="27"/>
      <c r="IS142" s="27"/>
      <c r="IT142" s="27"/>
      <c r="IU142" s="27"/>
      <c r="IV142" s="27"/>
      <c r="IW142" s="27"/>
      <c r="IX142" s="27"/>
      <c r="IY142" s="27"/>
      <c r="IZ142" s="27"/>
      <c r="JA142" s="27"/>
      <c r="JB142" s="27"/>
      <c r="JC142" s="27"/>
      <c r="JD142" s="27"/>
    </row>
    <row r="143" spans="1:264" ht="12.75" customHeight="1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  <c r="GY143" s="27"/>
      <c r="GZ143" s="27"/>
      <c r="HA143" s="27"/>
      <c r="HB143" s="27"/>
      <c r="HC143" s="27"/>
      <c r="HD143" s="27"/>
      <c r="HE143" s="27"/>
      <c r="HF143" s="27"/>
      <c r="HG143" s="27"/>
      <c r="HH143" s="27"/>
      <c r="HI143" s="27"/>
      <c r="HJ143" s="27"/>
      <c r="HK143" s="27"/>
      <c r="HL143" s="27"/>
      <c r="HM143" s="27"/>
      <c r="HN143" s="27"/>
      <c r="HO143" s="27"/>
      <c r="HP143" s="27"/>
      <c r="HQ143" s="27"/>
      <c r="HR143" s="27"/>
      <c r="HS143" s="27"/>
      <c r="HT143" s="27"/>
      <c r="HU143" s="27"/>
      <c r="HV143" s="27"/>
      <c r="HW143" s="27"/>
      <c r="HX143" s="27"/>
      <c r="HY143" s="27"/>
      <c r="HZ143" s="27"/>
      <c r="IA143" s="27"/>
      <c r="IB143" s="27"/>
      <c r="IC143" s="27"/>
      <c r="ID143" s="27"/>
      <c r="IE143" s="27"/>
      <c r="IF143" s="27"/>
      <c r="IG143" s="27"/>
      <c r="IH143" s="27"/>
      <c r="II143" s="27"/>
      <c r="IJ143" s="27"/>
      <c r="IK143" s="27"/>
      <c r="IL143" s="27"/>
      <c r="IM143" s="27"/>
      <c r="IN143" s="27"/>
      <c r="IO143" s="27"/>
      <c r="IP143" s="27"/>
      <c r="IQ143" s="27"/>
      <c r="IR143" s="27"/>
      <c r="IS143" s="27"/>
      <c r="IT143" s="27"/>
      <c r="IU143" s="27"/>
      <c r="IV143" s="27"/>
      <c r="IW143" s="27"/>
      <c r="IX143" s="27"/>
      <c r="IY143" s="27"/>
      <c r="IZ143" s="27"/>
      <c r="JA143" s="27"/>
      <c r="JB143" s="27"/>
      <c r="JC143" s="27"/>
      <c r="JD143" s="27"/>
    </row>
    <row r="144" spans="1:264" ht="14.1" customHeight="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  <c r="HX144" s="27"/>
      <c r="HY144" s="27"/>
      <c r="HZ144" s="27"/>
      <c r="IA144" s="27"/>
      <c r="IB144" s="27"/>
      <c r="IC144" s="27"/>
      <c r="ID144" s="27"/>
      <c r="IE144" s="27"/>
      <c r="IF144" s="27"/>
      <c r="IG144" s="27"/>
      <c r="IH144" s="27"/>
      <c r="II144" s="27"/>
      <c r="IJ144" s="27"/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  <c r="IW144" s="27"/>
      <c r="IX144" s="27"/>
      <c r="IY144" s="27"/>
      <c r="IZ144" s="27"/>
      <c r="JA144" s="27"/>
      <c r="JB144" s="27"/>
      <c r="JC144" s="27"/>
      <c r="JD144" s="27"/>
    </row>
    <row r="145" spans="1:21" ht="14.1" customHeight="1" x14ac:dyDescent="0.25">
      <c r="J145" s="51"/>
      <c r="K145" s="51"/>
      <c r="L145" s="51"/>
      <c r="M145" s="51"/>
      <c r="N145" s="51"/>
      <c r="O145" s="51"/>
      <c r="P145" s="51"/>
      <c r="Q145" s="51"/>
      <c r="R145" s="51"/>
      <c r="S145" s="51"/>
    </row>
    <row r="146" spans="1:21" s="1" customFormat="1" ht="12.75" customHeight="1" x14ac:dyDescent="0.25">
      <c r="A146" s="975" t="s">
        <v>604</v>
      </c>
      <c r="B146" s="976"/>
      <c r="C146" s="976"/>
      <c r="D146" s="976"/>
      <c r="E146" s="976"/>
      <c r="F146" s="976"/>
      <c r="G146" s="976"/>
      <c r="H146" s="976"/>
      <c r="I146" s="976"/>
      <c r="J146" s="976"/>
      <c r="K146" s="976"/>
      <c r="L146" s="976"/>
      <c r="M146" s="976"/>
      <c r="N146" s="976" t="s">
        <v>604</v>
      </c>
      <c r="O146" s="976"/>
      <c r="P146" s="976"/>
      <c r="Q146" s="976"/>
      <c r="R146" s="976"/>
      <c r="S146" s="976"/>
      <c r="T146" s="976"/>
      <c r="U146" s="977"/>
    </row>
    <row r="147" spans="1:21" s="1" customFormat="1" ht="14.1" customHeight="1" x14ac:dyDescent="0.25">
      <c r="A147" s="995" t="s">
        <v>0</v>
      </c>
      <c r="B147" s="996" t="s">
        <v>1</v>
      </c>
      <c r="C147" s="995" t="s">
        <v>2</v>
      </c>
      <c r="D147" s="953" t="s">
        <v>260</v>
      </c>
      <c r="E147" s="992" t="s">
        <v>259</v>
      </c>
      <c r="F147" s="993" t="s">
        <v>605</v>
      </c>
      <c r="G147" s="994"/>
      <c r="H147" s="993" t="s">
        <v>606</v>
      </c>
      <c r="I147" s="997"/>
      <c r="J147" s="1001" t="s">
        <v>607</v>
      </c>
      <c r="K147" s="990"/>
      <c r="L147" s="1007" t="s">
        <v>644</v>
      </c>
      <c r="M147" s="1007"/>
      <c r="N147" s="998" t="s">
        <v>608</v>
      </c>
      <c r="O147" s="999"/>
      <c r="P147" s="998" t="s">
        <v>609</v>
      </c>
      <c r="Q147" s="999"/>
      <c r="R147" s="1005" t="s">
        <v>610</v>
      </c>
      <c r="S147" s="1006"/>
      <c r="T147" s="1005" t="s">
        <v>611</v>
      </c>
      <c r="U147" s="1006"/>
    </row>
    <row r="148" spans="1:21" s="3" customFormat="1" ht="27" customHeight="1" x14ac:dyDescent="0.25">
      <c r="A148" s="957"/>
      <c r="B148" s="961"/>
      <c r="C148" s="957"/>
      <c r="D148" s="962"/>
      <c r="E148" s="953"/>
      <c r="F148" s="97" t="s">
        <v>263</v>
      </c>
      <c r="G148" s="97" t="s">
        <v>259</v>
      </c>
      <c r="H148" s="97" t="s">
        <v>260</v>
      </c>
      <c r="I148" s="96" t="s">
        <v>259</v>
      </c>
      <c r="J148" s="62" t="s">
        <v>260</v>
      </c>
      <c r="K148" s="77" t="s">
        <v>259</v>
      </c>
      <c r="L148" s="137" t="s">
        <v>260</v>
      </c>
      <c r="M148" s="137" t="s">
        <v>259</v>
      </c>
      <c r="N148" s="84" t="s">
        <v>260</v>
      </c>
      <c r="O148" s="85" t="s">
        <v>259</v>
      </c>
      <c r="P148" s="84" t="s">
        <v>260</v>
      </c>
      <c r="Q148" s="85" t="s">
        <v>259</v>
      </c>
      <c r="R148" s="131" t="s">
        <v>260</v>
      </c>
      <c r="S148" s="132" t="s">
        <v>259</v>
      </c>
      <c r="T148" s="131" t="s">
        <v>260</v>
      </c>
      <c r="U148" s="132" t="s">
        <v>259</v>
      </c>
    </row>
    <row r="149" spans="1:21" ht="5.65" customHeight="1" x14ac:dyDescent="0.25">
      <c r="J149" s="63"/>
      <c r="K149" s="78"/>
      <c r="L149" s="63"/>
      <c r="M149" s="78"/>
      <c r="N149" s="63"/>
      <c r="O149" s="63"/>
      <c r="P149" s="63"/>
      <c r="Q149" s="63"/>
      <c r="R149" s="63"/>
      <c r="S149" s="63"/>
      <c r="T149" s="63"/>
      <c r="U149" s="63"/>
    </row>
    <row r="150" spans="1:21" ht="14.1" customHeight="1" x14ac:dyDescent="0.25">
      <c r="A150" s="956" t="s">
        <v>194</v>
      </c>
      <c r="B150" s="956"/>
      <c r="C150" s="956"/>
      <c r="D150" s="956"/>
      <c r="E150" s="956"/>
      <c r="F150" s="956"/>
      <c r="G150" s="956"/>
      <c r="H150" s="956"/>
      <c r="I150" s="956"/>
      <c r="J150" s="64"/>
      <c r="K150" s="79"/>
      <c r="L150" s="64"/>
      <c r="M150" s="79"/>
      <c r="N150" s="64"/>
      <c r="O150" s="64"/>
      <c r="P150" s="64"/>
      <c r="Q150" s="64"/>
      <c r="R150" s="64"/>
      <c r="S150" s="64"/>
      <c r="T150" s="64"/>
      <c r="U150" s="64"/>
    </row>
    <row r="151" spans="1:21" ht="14.1" customHeight="1" x14ac:dyDescent="0.25">
      <c r="A151" s="24" t="s">
        <v>195</v>
      </c>
      <c r="B151" s="24" t="s">
        <v>196</v>
      </c>
      <c r="C151" s="25" t="s">
        <v>197</v>
      </c>
      <c r="D151" s="26">
        <f>F151+H151+J151+L151+N151+P151+R151+T151</f>
        <v>0</v>
      </c>
      <c r="E151" s="26">
        <f>G151+I151+K151+M151+O151+Q151+S151+U151</f>
        <v>2083</v>
      </c>
      <c r="F151" s="26"/>
      <c r="G151" s="26">
        <v>2083</v>
      </c>
      <c r="H151" s="26"/>
      <c r="I151" s="58"/>
      <c r="J151" s="63"/>
      <c r="K151" s="78"/>
      <c r="L151" s="63"/>
      <c r="M151" s="78"/>
      <c r="N151" s="63"/>
      <c r="O151" s="63"/>
      <c r="P151" s="63"/>
      <c r="Q151" s="63"/>
      <c r="R151" s="63"/>
      <c r="S151" s="63"/>
      <c r="T151" s="63"/>
      <c r="U151" s="63"/>
    </row>
    <row r="152" spans="1:21" ht="14.1" customHeight="1" x14ac:dyDescent="0.25">
      <c r="A152" s="24" t="s">
        <v>198</v>
      </c>
      <c r="B152" s="24" t="s">
        <v>199</v>
      </c>
      <c r="C152" s="25" t="s">
        <v>200</v>
      </c>
      <c r="D152" s="26">
        <f t="shared" ref="D152:E158" si="26">F152+H152+J152+L152+N152+P152+R152+T152</f>
        <v>0</v>
      </c>
      <c r="E152" s="26">
        <f t="shared" si="26"/>
        <v>0</v>
      </c>
      <c r="F152" s="26"/>
      <c r="G152" s="26"/>
      <c r="H152" s="26"/>
      <c r="I152" s="58"/>
      <c r="J152" s="63"/>
      <c r="K152" s="78"/>
      <c r="L152" s="63"/>
      <c r="M152" s="78"/>
      <c r="N152" s="63"/>
      <c r="O152" s="63"/>
      <c r="P152" s="63"/>
      <c r="Q152" s="63"/>
      <c r="R152" s="63"/>
      <c r="S152" s="63"/>
      <c r="T152" s="63"/>
      <c r="U152" s="63"/>
    </row>
    <row r="153" spans="1:21" ht="14.1" customHeight="1" x14ac:dyDescent="0.25">
      <c r="A153" s="24" t="s">
        <v>201</v>
      </c>
      <c r="B153" s="24" t="s">
        <v>202</v>
      </c>
      <c r="C153" s="25" t="s">
        <v>203</v>
      </c>
      <c r="D153" s="26">
        <f t="shared" si="26"/>
        <v>1000</v>
      </c>
      <c r="E153" s="26">
        <f t="shared" si="26"/>
        <v>1000</v>
      </c>
      <c r="F153" s="26">
        <v>1000</v>
      </c>
      <c r="G153" s="26">
        <v>1000</v>
      </c>
      <c r="H153" s="26"/>
      <c r="I153" s="58"/>
      <c r="J153" s="63"/>
      <c r="K153" s="78"/>
      <c r="L153" s="63"/>
      <c r="M153" s="78"/>
      <c r="N153" s="63"/>
      <c r="O153" s="63"/>
      <c r="P153" s="63"/>
      <c r="Q153" s="63"/>
      <c r="R153" s="63"/>
      <c r="S153" s="63"/>
      <c r="T153" s="63"/>
      <c r="U153" s="63"/>
    </row>
    <row r="154" spans="1:21" ht="14.1" customHeight="1" x14ac:dyDescent="0.25">
      <c r="A154" s="24" t="s">
        <v>204</v>
      </c>
      <c r="B154" s="24" t="s">
        <v>205</v>
      </c>
      <c r="C154" s="25" t="s">
        <v>206</v>
      </c>
      <c r="D154" s="26">
        <f t="shared" si="26"/>
        <v>900</v>
      </c>
      <c r="E154" s="26">
        <f t="shared" si="26"/>
        <v>4220</v>
      </c>
      <c r="F154" s="26">
        <v>800</v>
      </c>
      <c r="G154" s="26">
        <f>1000+3150</f>
        <v>4150</v>
      </c>
      <c r="H154" s="26"/>
      <c r="I154" s="58"/>
      <c r="J154" s="63"/>
      <c r="K154" s="78"/>
      <c r="L154" s="63"/>
      <c r="M154" s="78"/>
      <c r="N154" s="63">
        <v>100</v>
      </c>
      <c r="O154" s="63">
        <v>40</v>
      </c>
      <c r="P154" s="63"/>
      <c r="Q154" s="63"/>
      <c r="R154" s="63"/>
      <c r="S154" s="63"/>
      <c r="T154" s="63"/>
      <c r="U154" s="63">
        <v>30</v>
      </c>
    </row>
    <row r="155" spans="1:21" ht="14.1" customHeight="1" x14ac:dyDescent="0.25">
      <c r="A155" s="24"/>
      <c r="B155" s="24" t="s">
        <v>207</v>
      </c>
      <c r="C155" s="25" t="s">
        <v>208</v>
      </c>
      <c r="D155" s="26">
        <f t="shared" si="26"/>
        <v>5000</v>
      </c>
      <c r="E155" s="26">
        <f t="shared" si="26"/>
        <v>0</v>
      </c>
      <c r="F155" s="26">
        <v>5000</v>
      </c>
      <c r="G155" s="26"/>
      <c r="H155" s="26"/>
      <c r="I155" s="58"/>
      <c r="J155" s="63"/>
      <c r="K155" s="78"/>
      <c r="L155" s="63"/>
      <c r="M155" s="78"/>
      <c r="N155" s="63"/>
      <c r="O155" s="63"/>
      <c r="P155" s="63"/>
      <c r="Q155" s="63"/>
      <c r="R155" s="63"/>
      <c r="S155" s="63"/>
      <c r="T155" s="63"/>
      <c r="U155" s="63"/>
    </row>
    <row r="156" spans="1:21" ht="14.1" customHeight="1" x14ac:dyDescent="0.25">
      <c r="A156" s="24" t="s">
        <v>209</v>
      </c>
      <c r="B156" s="24" t="s">
        <v>210</v>
      </c>
      <c r="C156" s="25" t="s">
        <v>211</v>
      </c>
      <c r="D156" s="26">
        <f t="shared" si="26"/>
        <v>0</v>
      </c>
      <c r="E156" s="26">
        <f t="shared" si="26"/>
        <v>0</v>
      </c>
      <c r="F156" s="26"/>
      <c r="G156" s="26"/>
      <c r="H156" s="26"/>
      <c r="I156" s="58"/>
      <c r="J156" s="63"/>
      <c r="K156" s="78"/>
      <c r="L156" s="63"/>
      <c r="M156" s="78"/>
      <c r="N156" s="63"/>
      <c r="O156" s="63"/>
      <c r="P156" s="63"/>
      <c r="Q156" s="63"/>
      <c r="R156" s="63"/>
      <c r="S156" s="63"/>
      <c r="T156" s="63"/>
      <c r="U156" s="63"/>
    </row>
    <row r="157" spans="1:21" ht="14.1" customHeight="1" x14ac:dyDescent="0.25">
      <c r="A157" s="24" t="s">
        <v>212</v>
      </c>
      <c r="B157" s="24" t="s">
        <v>213</v>
      </c>
      <c r="C157" s="25" t="s">
        <v>214</v>
      </c>
      <c r="D157" s="26">
        <f t="shared" si="26"/>
        <v>0</v>
      </c>
      <c r="E157" s="26">
        <f t="shared" si="26"/>
        <v>0</v>
      </c>
      <c r="F157" s="26"/>
      <c r="G157" s="26"/>
      <c r="H157" s="26"/>
      <c r="I157" s="58"/>
      <c r="J157" s="63"/>
      <c r="K157" s="78"/>
      <c r="L157" s="63"/>
      <c r="M157" s="78"/>
      <c r="N157" s="63"/>
      <c r="O157" s="63"/>
      <c r="P157" s="63"/>
      <c r="Q157" s="63"/>
      <c r="R157" s="63"/>
      <c r="S157" s="63"/>
      <c r="T157" s="63"/>
      <c r="U157" s="63"/>
    </row>
    <row r="158" spans="1:21" ht="14.1" customHeight="1" x14ac:dyDescent="0.25">
      <c r="A158" s="24" t="s">
        <v>215</v>
      </c>
      <c r="B158" s="24" t="s">
        <v>216</v>
      </c>
      <c r="C158" s="25" t="s">
        <v>217</v>
      </c>
      <c r="D158" s="26">
        <f t="shared" si="26"/>
        <v>1863</v>
      </c>
      <c r="E158" s="26">
        <f t="shared" si="26"/>
        <v>1972</v>
      </c>
      <c r="F158" s="26">
        <v>1836</v>
      </c>
      <c r="G158" s="26">
        <f>ROUND((G151+G152+G153+G154+G155)*0.27,0)</f>
        <v>1953</v>
      </c>
      <c r="H158" s="26"/>
      <c r="I158" s="58"/>
      <c r="J158" s="63"/>
      <c r="K158" s="78"/>
      <c r="L158" s="63"/>
      <c r="M158" s="58"/>
      <c r="N158" s="63">
        <v>27</v>
      </c>
      <c r="O158" s="26">
        <f>ROUND((O151+O152+O153+O154+O155)*0.27,0)</f>
        <v>11</v>
      </c>
      <c r="P158" s="63"/>
      <c r="Q158" s="63"/>
      <c r="R158" s="63"/>
      <c r="S158" s="63"/>
      <c r="T158" s="63"/>
      <c r="U158" s="26">
        <f>ROUND((U151+U152+U153+U154+U155)*0.27,0)</f>
        <v>8</v>
      </c>
    </row>
    <row r="159" spans="1:21" s="3" customFormat="1" ht="14.1" customHeight="1" x14ac:dyDescent="0.25">
      <c r="A159" s="20" t="s">
        <v>218</v>
      </c>
      <c r="B159" s="20" t="s">
        <v>219</v>
      </c>
      <c r="C159" s="21" t="s">
        <v>220</v>
      </c>
      <c r="D159" s="22">
        <f>SUM(D151:D158)</f>
        <v>8763</v>
      </c>
      <c r="E159" s="22">
        <f>SUM(E151:E158)</f>
        <v>9275</v>
      </c>
      <c r="F159" s="22">
        <f t="shared" ref="F159:U159" si="27">SUM(F151:F158)</f>
        <v>8636</v>
      </c>
      <c r="G159" s="22">
        <f t="shared" si="27"/>
        <v>9186</v>
      </c>
      <c r="H159" s="22">
        <f t="shared" si="27"/>
        <v>0</v>
      </c>
      <c r="I159" s="22">
        <f t="shared" si="27"/>
        <v>0</v>
      </c>
      <c r="J159" s="22">
        <f t="shared" si="27"/>
        <v>0</v>
      </c>
      <c r="K159" s="22">
        <f t="shared" si="27"/>
        <v>0</v>
      </c>
      <c r="L159" s="22">
        <f t="shared" si="27"/>
        <v>0</v>
      </c>
      <c r="M159" s="22">
        <f t="shared" si="27"/>
        <v>0</v>
      </c>
      <c r="N159" s="22">
        <f t="shared" si="27"/>
        <v>127</v>
      </c>
      <c r="O159" s="22">
        <f t="shared" si="27"/>
        <v>51</v>
      </c>
      <c r="P159" s="22">
        <f t="shared" si="27"/>
        <v>0</v>
      </c>
      <c r="Q159" s="22">
        <f t="shared" si="27"/>
        <v>0</v>
      </c>
      <c r="R159" s="22">
        <f t="shared" si="27"/>
        <v>0</v>
      </c>
      <c r="S159" s="22">
        <f t="shared" si="27"/>
        <v>0</v>
      </c>
      <c r="T159" s="22">
        <f t="shared" si="27"/>
        <v>0</v>
      </c>
      <c r="U159" s="22">
        <f t="shared" si="27"/>
        <v>38</v>
      </c>
    </row>
    <row r="160" spans="1:21" ht="14.1" customHeight="1" x14ac:dyDescent="0.25">
      <c r="A160" s="24" t="s">
        <v>221</v>
      </c>
      <c r="B160" s="24" t="s">
        <v>222</v>
      </c>
      <c r="C160" s="25" t="s">
        <v>223</v>
      </c>
      <c r="D160" s="26">
        <f>F160+H160+J160+L160+N160+P160+R160+T160</f>
        <v>0</v>
      </c>
      <c r="E160" s="26">
        <f>G160+I160+K160+M160+O160+Q160+S160+U160</f>
        <v>0</v>
      </c>
      <c r="F160" s="26"/>
      <c r="G160" s="26"/>
      <c r="H160" s="26"/>
      <c r="I160" s="58"/>
      <c r="J160" s="63"/>
      <c r="K160" s="78"/>
      <c r="L160" s="63"/>
      <c r="M160" s="78"/>
      <c r="N160" s="63"/>
      <c r="O160" s="63"/>
      <c r="P160" s="63"/>
      <c r="Q160" s="63"/>
      <c r="R160" s="63"/>
      <c r="S160" s="63"/>
      <c r="T160" s="63"/>
      <c r="U160" s="63"/>
    </row>
    <row r="161" spans="1:21" ht="14.1" customHeight="1" x14ac:dyDescent="0.25">
      <c r="A161" s="24" t="s">
        <v>224</v>
      </c>
      <c r="B161" s="24" t="s">
        <v>225</v>
      </c>
      <c r="C161" s="25" t="s">
        <v>226</v>
      </c>
      <c r="D161" s="26">
        <f t="shared" ref="D161:E164" si="28">F161+H161+J161+L161+N161+P161+R161+T161</f>
        <v>0</v>
      </c>
      <c r="E161" s="26">
        <f t="shared" si="28"/>
        <v>0</v>
      </c>
      <c r="F161" s="26"/>
      <c r="G161" s="26"/>
      <c r="H161" s="26"/>
      <c r="I161" s="58"/>
      <c r="J161" s="63"/>
      <c r="K161" s="78"/>
      <c r="L161" s="63"/>
      <c r="M161" s="78"/>
      <c r="N161" s="63"/>
      <c r="O161" s="63"/>
      <c r="P161" s="63"/>
      <c r="Q161" s="63"/>
      <c r="R161" s="63"/>
      <c r="S161" s="63"/>
      <c r="T161" s="63"/>
      <c r="U161" s="63"/>
    </row>
    <row r="162" spans="1:21" ht="14.1" customHeight="1" x14ac:dyDescent="0.25">
      <c r="A162" s="24" t="s">
        <v>227</v>
      </c>
      <c r="B162" s="24" t="s">
        <v>228</v>
      </c>
      <c r="C162" s="25" t="s">
        <v>229</v>
      </c>
      <c r="D162" s="26">
        <f t="shared" si="28"/>
        <v>0</v>
      </c>
      <c r="E162" s="26">
        <f t="shared" si="28"/>
        <v>0</v>
      </c>
      <c r="F162" s="26"/>
      <c r="G162" s="26"/>
      <c r="H162" s="26"/>
      <c r="I162" s="58"/>
      <c r="J162" s="63"/>
      <c r="K162" s="78"/>
      <c r="L162" s="63"/>
      <c r="M162" s="78"/>
      <c r="N162" s="63"/>
      <c r="O162" s="63"/>
      <c r="P162" s="63"/>
      <c r="Q162" s="63"/>
      <c r="R162" s="63"/>
      <c r="S162" s="63"/>
      <c r="T162" s="63"/>
      <c r="U162" s="63"/>
    </row>
    <row r="163" spans="1:21" ht="14.1" customHeight="1" x14ac:dyDescent="0.25">
      <c r="A163" s="24"/>
      <c r="B163" s="24" t="s">
        <v>230</v>
      </c>
      <c r="C163" s="25" t="s">
        <v>231</v>
      </c>
      <c r="D163" s="26">
        <f t="shared" si="28"/>
        <v>0</v>
      </c>
      <c r="E163" s="26">
        <f t="shared" si="28"/>
        <v>0</v>
      </c>
      <c r="F163" s="26"/>
      <c r="G163" s="26"/>
      <c r="H163" s="26"/>
      <c r="I163" s="58"/>
      <c r="J163" s="63"/>
      <c r="K163" s="78"/>
      <c r="L163" s="63"/>
      <c r="M163" s="78"/>
      <c r="N163" s="63"/>
      <c r="O163" s="63"/>
      <c r="P163" s="63"/>
      <c r="Q163" s="63"/>
      <c r="R163" s="63"/>
      <c r="S163" s="63"/>
      <c r="T163" s="63"/>
      <c r="U163" s="63"/>
    </row>
    <row r="164" spans="1:21" ht="14.1" customHeight="1" x14ac:dyDescent="0.25">
      <c r="A164" s="24" t="s">
        <v>232</v>
      </c>
      <c r="B164" s="24" t="s">
        <v>233</v>
      </c>
      <c r="C164" s="25" t="s">
        <v>234</v>
      </c>
      <c r="D164" s="26">
        <f t="shared" si="28"/>
        <v>0</v>
      </c>
      <c r="E164" s="26">
        <f t="shared" si="28"/>
        <v>0</v>
      </c>
      <c r="F164" s="26"/>
      <c r="G164" s="26">
        <f>ROUND((G160+G161+G162+G163)*0.27,0)</f>
        <v>0</v>
      </c>
      <c r="H164" s="26"/>
      <c r="I164" s="58"/>
      <c r="J164" s="63"/>
      <c r="K164" s="78"/>
      <c r="L164" s="63"/>
      <c r="M164" s="78"/>
      <c r="N164" s="63"/>
      <c r="O164" s="63"/>
      <c r="P164" s="63"/>
      <c r="Q164" s="63"/>
      <c r="R164" s="63"/>
      <c r="S164" s="63"/>
      <c r="T164" s="63"/>
      <c r="U164" s="63"/>
    </row>
    <row r="165" spans="1:21" s="3" customFormat="1" ht="14.1" customHeight="1" x14ac:dyDescent="0.25">
      <c r="A165" s="20" t="s">
        <v>235</v>
      </c>
      <c r="B165" s="20" t="s">
        <v>236</v>
      </c>
      <c r="C165" s="21" t="s">
        <v>237</v>
      </c>
      <c r="D165" s="22">
        <f>SUM(D160:D164)</f>
        <v>0</v>
      </c>
      <c r="E165" s="22">
        <f>SUM(E160:E164)</f>
        <v>0</v>
      </c>
      <c r="F165" s="22">
        <f t="shared" ref="F165:U165" si="29">SUM(F160:F164)</f>
        <v>0</v>
      </c>
      <c r="G165" s="22">
        <f t="shared" si="29"/>
        <v>0</v>
      </c>
      <c r="H165" s="22">
        <f t="shared" si="29"/>
        <v>0</v>
      </c>
      <c r="I165" s="22">
        <f t="shared" si="29"/>
        <v>0</v>
      </c>
      <c r="J165" s="22">
        <f t="shared" si="29"/>
        <v>0</v>
      </c>
      <c r="K165" s="22">
        <f t="shared" si="29"/>
        <v>0</v>
      </c>
      <c r="L165" s="22">
        <f t="shared" si="29"/>
        <v>0</v>
      </c>
      <c r="M165" s="22">
        <f t="shared" si="29"/>
        <v>0</v>
      </c>
      <c r="N165" s="22">
        <f t="shared" si="29"/>
        <v>0</v>
      </c>
      <c r="O165" s="22">
        <f t="shared" si="29"/>
        <v>0</v>
      </c>
      <c r="P165" s="22">
        <f t="shared" si="29"/>
        <v>0</v>
      </c>
      <c r="Q165" s="22">
        <f t="shared" si="29"/>
        <v>0</v>
      </c>
      <c r="R165" s="22">
        <f t="shared" si="29"/>
        <v>0</v>
      </c>
      <c r="S165" s="22">
        <f t="shared" si="29"/>
        <v>0</v>
      </c>
      <c r="T165" s="22">
        <f t="shared" si="29"/>
        <v>0</v>
      </c>
      <c r="U165" s="22">
        <f t="shared" si="29"/>
        <v>0</v>
      </c>
    </row>
    <row r="166" spans="1:21" s="3" customFormat="1" ht="14.1" customHeight="1" x14ac:dyDescent="0.25">
      <c r="A166" s="963" t="s">
        <v>293</v>
      </c>
      <c r="B166" s="964"/>
      <c r="C166" s="965" t="s">
        <v>238</v>
      </c>
      <c r="D166" s="28">
        <f>D159+D165</f>
        <v>8763</v>
      </c>
      <c r="E166" s="28">
        <f>E159+E165</f>
        <v>9275</v>
      </c>
      <c r="F166" s="28">
        <f t="shared" ref="F166:U166" si="30">F159+F165</f>
        <v>8636</v>
      </c>
      <c r="G166" s="28">
        <f t="shared" si="30"/>
        <v>9186</v>
      </c>
      <c r="H166" s="28">
        <f t="shared" si="30"/>
        <v>0</v>
      </c>
      <c r="I166" s="28">
        <f t="shared" si="30"/>
        <v>0</v>
      </c>
      <c r="J166" s="28">
        <f t="shared" si="30"/>
        <v>0</v>
      </c>
      <c r="K166" s="28">
        <f t="shared" si="30"/>
        <v>0</v>
      </c>
      <c r="L166" s="28">
        <f t="shared" si="30"/>
        <v>0</v>
      </c>
      <c r="M166" s="28">
        <f t="shared" si="30"/>
        <v>0</v>
      </c>
      <c r="N166" s="28">
        <f t="shared" si="30"/>
        <v>127</v>
      </c>
      <c r="O166" s="28">
        <f t="shared" si="30"/>
        <v>51</v>
      </c>
      <c r="P166" s="28">
        <f t="shared" si="30"/>
        <v>0</v>
      </c>
      <c r="Q166" s="28">
        <f t="shared" si="30"/>
        <v>0</v>
      </c>
      <c r="R166" s="28">
        <f t="shared" si="30"/>
        <v>0</v>
      </c>
      <c r="S166" s="28">
        <f t="shared" si="30"/>
        <v>0</v>
      </c>
      <c r="T166" s="28">
        <f t="shared" si="30"/>
        <v>0</v>
      </c>
      <c r="U166" s="28">
        <f t="shared" si="30"/>
        <v>38</v>
      </c>
    </row>
    <row r="167" spans="1:21" ht="6.75" customHeight="1" x14ac:dyDescent="0.25">
      <c r="J167" s="63"/>
      <c r="K167" s="78"/>
      <c r="L167" s="63"/>
      <c r="M167" s="78"/>
      <c r="N167" s="63"/>
      <c r="O167" s="63"/>
      <c r="P167" s="63"/>
      <c r="Q167" s="63"/>
      <c r="R167" s="63"/>
      <c r="S167" s="63"/>
      <c r="T167" s="63"/>
      <c r="U167" s="63"/>
    </row>
    <row r="168" spans="1:21" ht="14.1" customHeight="1" x14ac:dyDescent="0.25">
      <c r="A168" s="958" t="s">
        <v>294</v>
      </c>
      <c r="B168" s="959"/>
      <c r="C168" s="960"/>
      <c r="D168" s="30">
        <f>D166+D142</f>
        <v>573509</v>
      </c>
      <c r="E168" s="30">
        <f>E166+E142</f>
        <v>505365</v>
      </c>
      <c r="F168" s="30">
        <f t="shared" ref="F168:U168" si="31">F166+F142</f>
        <v>498761</v>
      </c>
      <c r="G168" s="30">
        <f t="shared" si="31"/>
        <v>476324</v>
      </c>
      <c r="H168" s="30">
        <f t="shared" si="31"/>
        <v>8532</v>
      </c>
      <c r="I168" s="30">
        <f t="shared" si="31"/>
        <v>0</v>
      </c>
      <c r="J168" s="30">
        <f t="shared" si="31"/>
        <v>2028</v>
      </c>
      <c r="K168" s="30">
        <f t="shared" si="31"/>
        <v>0</v>
      </c>
      <c r="L168" s="30">
        <f t="shared" si="31"/>
        <v>28590</v>
      </c>
      <c r="M168" s="30">
        <f t="shared" si="31"/>
        <v>0</v>
      </c>
      <c r="N168" s="30">
        <f t="shared" si="31"/>
        <v>21464</v>
      </c>
      <c r="O168" s="30">
        <f t="shared" si="31"/>
        <v>19286</v>
      </c>
      <c r="P168" s="30">
        <f t="shared" si="31"/>
        <v>4904</v>
      </c>
      <c r="Q168" s="30">
        <f t="shared" si="31"/>
        <v>4665</v>
      </c>
      <c r="R168" s="30">
        <f t="shared" si="31"/>
        <v>4620</v>
      </c>
      <c r="S168" s="30">
        <f t="shared" si="31"/>
        <v>0</v>
      </c>
      <c r="T168" s="30">
        <f t="shared" si="31"/>
        <v>4610</v>
      </c>
      <c r="U168" s="30">
        <f t="shared" si="31"/>
        <v>5090</v>
      </c>
    </row>
    <row r="169" spans="1:21" ht="14.1" customHeight="1" x14ac:dyDescent="0.25">
      <c r="J169" s="76"/>
      <c r="K169" s="76"/>
      <c r="L169" s="76"/>
      <c r="M169" s="76"/>
      <c r="N169" s="76"/>
      <c r="O169" s="76"/>
      <c r="P169" s="76"/>
      <c r="Q169" s="76"/>
      <c r="R169" s="76"/>
      <c r="S169" s="76"/>
    </row>
    <row r="170" spans="1:21" ht="14.1" customHeight="1" x14ac:dyDescent="0.25">
      <c r="J170" s="51"/>
      <c r="K170" s="51"/>
      <c r="L170" s="51"/>
      <c r="M170" s="51"/>
      <c r="N170" s="51"/>
      <c r="O170" s="51"/>
      <c r="P170" s="51"/>
      <c r="Q170" s="51"/>
      <c r="R170" s="51"/>
      <c r="S170" s="51"/>
    </row>
    <row r="171" spans="1:21" ht="14.1" customHeight="1" x14ac:dyDescent="0.25">
      <c r="J171" s="51"/>
      <c r="K171" s="51"/>
      <c r="L171" s="51"/>
      <c r="M171" s="51"/>
      <c r="N171" s="51"/>
      <c r="O171" s="51"/>
      <c r="P171" s="51"/>
      <c r="Q171" s="51"/>
      <c r="R171" s="51"/>
      <c r="S171" s="51"/>
    </row>
    <row r="172" spans="1:21" ht="14.1" customHeight="1" x14ac:dyDescent="0.25">
      <c r="J172" s="51"/>
      <c r="K172" s="51"/>
      <c r="L172" s="51"/>
      <c r="M172" s="51"/>
      <c r="N172" s="51"/>
      <c r="O172" s="51"/>
      <c r="P172" s="51"/>
      <c r="Q172" s="51"/>
      <c r="R172" s="51"/>
      <c r="S172" s="51"/>
    </row>
    <row r="173" spans="1:21" s="1" customFormat="1" ht="12.75" customHeight="1" x14ac:dyDescent="0.25">
      <c r="A173" s="975" t="s">
        <v>604</v>
      </c>
      <c r="B173" s="976"/>
      <c r="C173" s="976"/>
      <c r="D173" s="976"/>
      <c r="E173" s="976"/>
      <c r="F173" s="976"/>
      <c r="G173" s="976"/>
      <c r="H173" s="976"/>
      <c r="I173" s="976"/>
      <c r="J173" s="976"/>
      <c r="K173" s="976"/>
      <c r="L173" s="976"/>
      <c r="M173" s="976"/>
      <c r="N173" s="976" t="s">
        <v>604</v>
      </c>
      <c r="O173" s="976"/>
      <c r="P173" s="976"/>
      <c r="Q173" s="976"/>
      <c r="R173" s="976"/>
      <c r="S173" s="976"/>
      <c r="T173" s="976"/>
      <c r="U173" s="977"/>
    </row>
    <row r="174" spans="1:21" s="1" customFormat="1" ht="14.1" customHeight="1" x14ac:dyDescent="0.25">
      <c r="A174" s="995" t="s">
        <v>0</v>
      </c>
      <c r="B174" s="996" t="s">
        <v>1</v>
      </c>
      <c r="C174" s="995" t="s">
        <v>2</v>
      </c>
      <c r="D174" s="953" t="s">
        <v>260</v>
      </c>
      <c r="E174" s="992" t="s">
        <v>259</v>
      </c>
      <c r="F174" s="993" t="s">
        <v>605</v>
      </c>
      <c r="G174" s="994"/>
      <c r="H174" s="993" t="s">
        <v>606</v>
      </c>
      <c r="I174" s="997"/>
      <c r="J174" s="1001" t="s">
        <v>607</v>
      </c>
      <c r="K174" s="990"/>
      <c r="L174" s="1007" t="s">
        <v>644</v>
      </c>
      <c r="M174" s="1007"/>
      <c r="N174" s="998" t="s">
        <v>608</v>
      </c>
      <c r="O174" s="999"/>
      <c r="P174" s="998" t="s">
        <v>609</v>
      </c>
      <c r="Q174" s="999"/>
      <c r="R174" s="1005" t="s">
        <v>610</v>
      </c>
      <c r="S174" s="1006"/>
      <c r="T174" s="1005" t="s">
        <v>611</v>
      </c>
      <c r="U174" s="1006"/>
    </row>
    <row r="175" spans="1:21" s="3" customFormat="1" ht="23.25" customHeight="1" x14ac:dyDescent="0.25">
      <c r="A175" s="957"/>
      <c r="B175" s="961"/>
      <c r="C175" s="957"/>
      <c r="D175" s="962"/>
      <c r="E175" s="953"/>
      <c r="F175" s="97" t="s">
        <v>263</v>
      </c>
      <c r="G175" s="97" t="s">
        <v>259</v>
      </c>
      <c r="H175" s="97" t="s">
        <v>260</v>
      </c>
      <c r="I175" s="96" t="s">
        <v>259</v>
      </c>
      <c r="J175" s="62" t="s">
        <v>260</v>
      </c>
      <c r="K175" s="77" t="s">
        <v>259</v>
      </c>
      <c r="L175" s="137" t="s">
        <v>260</v>
      </c>
      <c r="M175" s="137" t="s">
        <v>259</v>
      </c>
      <c r="N175" s="84" t="s">
        <v>260</v>
      </c>
      <c r="O175" s="85" t="s">
        <v>259</v>
      </c>
      <c r="P175" s="84" t="s">
        <v>260</v>
      </c>
      <c r="Q175" s="85" t="s">
        <v>259</v>
      </c>
      <c r="R175" s="131" t="s">
        <v>260</v>
      </c>
      <c r="S175" s="132" t="s">
        <v>259</v>
      </c>
      <c r="T175" s="131" t="s">
        <v>260</v>
      </c>
      <c r="U175" s="132" t="s">
        <v>259</v>
      </c>
    </row>
    <row r="176" spans="1:21" ht="5.65" customHeight="1" x14ac:dyDescent="0.25">
      <c r="J176" s="63"/>
      <c r="K176" s="78"/>
      <c r="L176" s="63"/>
      <c r="M176" s="78"/>
      <c r="N176" s="63"/>
      <c r="O176" s="63"/>
      <c r="P176" s="63"/>
      <c r="Q176" s="63"/>
      <c r="R176" s="63"/>
      <c r="S176" s="63"/>
      <c r="T176" s="63"/>
      <c r="U176" s="63"/>
    </row>
    <row r="177" spans="1:21" ht="14.1" customHeight="1" x14ac:dyDescent="0.25">
      <c r="A177" s="956" t="s">
        <v>239</v>
      </c>
      <c r="B177" s="956"/>
      <c r="C177" s="956"/>
      <c r="D177" s="956"/>
      <c r="E177" s="956"/>
      <c r="F177" s="956"/>
      <c r="G177" s="956"/>
      <c r="H177" s="956"/>
      <c r="I177" s="956"/>
      <c r="J177" s="64"/>
      <c r="K177" s="79"/>
      <c r="L177" s="64"/>
      <c r="M177" s="79"/>
      <c r="N177" s="64"/>
      <c r="O177" s="64"/>
      <c r="P177" s="64"/>
      <c r="Q177" s="64"/>
      <c r="R177" s="64"/>
      <c r="S177" s="64"/>
      <c r="T177" s="64"/>
      <c r="U177" s="64"/>
    </row>
    <row r="178" spans="1:21" s="3" customFormat="1" ht="14.1" customHeight="1" x14ac:dyDescent="0.25">
      <c r="A178" s="20" t="s">
        <v>616</v>
      </c>
      <c r="B178" s="20"/>
      <c r="C178" s="21" t="s">
        <v>484</v>
      </c>
      <c r="D178" s="23">
        <f>D179</f>
        <v>1000</v>
      </c>
      <c r="E178" s="23">
        <f t="shared" ref="E178:U178" si="32">E179</f>
        <v>1000</v>
      </c>
      <c r="F178" s="23">
        <f t="shared" si="32"/>
        <v>1000</v>
      </c>
      <c r="G178" s="23">
        <f t="shared" si="32"/>
        <v>1000</v>
      </c>
      <c r="H178" s="23">
        <f t="shared" si="32"/>
        <v>0</v>
      </c>
      <c r="I178" s="23">
        <f t="shared" si="32"/>
        <v>0</v>
      </c>
      <c r="J178" s="23">
        <f t="shared" si="32"/>
        <v>0</v>
      </c>
      <c r="K178" s="23">
        <f t="shared" si="32"/>
        <v>0</v>
      </c>
      <c r="L178" s="23">
        <f t="shared" si="32"/>
        <v>0</v>
      </c>
      <c r="M178" s="23">
        <f t="shared" si="32"/>
        <v>0</v>
      </c>
      <c r="N178" s="23">
        <f t="shared" si="32"/>
        <v>0</v>
      </c>
      <c r="O178" s="23">
        <f t="shared" si="32"/>
        <v>0</v>
      </c>
      <c r="P178" s="23">
        <f t="shared" si="32"/>
        <v>0</v>
      </c>
      <c r="Q178" s="23">
        <f t="shared" si="32"/>
        <v>0</v>
      </c>
      <c r="R178" s="23">
        <f t="shared" si="32"/>
        <v>0</v>
      </c>
      <c r="S178" s="23">
        <f t="shared" si="32"/>
        <v>0</v>
      </c>
      <c r="T178" s="23">
        <f t="shared" si="32"/>
        <v>0</v>
      </c>
      <c r="U178" s="23">
        <f t="shared" si="32"/>
        <v>0</v>
      </c>
    </row>
    <row r="179" spans="1:21" ht="14.1" customHeight="1" x14ac:dyDescent="0.25">
      <c r="A179" s="24"/>
      <c r="B179" s="24"/>
      <c r="C179" s="25" t="s">
        <v>496</v>
      </c>
      <c r="D179" s="26">
        <f>F179+H179+J179+L179+N179+P179+R179+T179</f>
        <v>1000</v>
      </c>
      <c r="E179" s="26">
        <f t="shared" ref="E179:E190" si="33">G179+I179+K179+M179+O179+Q179+S179</f>
        <v>1000</v>
      </c>
      <c r="F179" s="26">
        <v>1000</v>
      </c>
      <c r="G179" s="26">
        <v>1000</v>
      </c>
      <c r="H179" s="26"/>
      <c r="I179" s="58"/>
      <c r="J179" s="63"/>
      <c r="K179" s="78"/>
      <c r="L179" s="63"/>
      <c r="M179" s="78"/>
      <c r="N179" s="63"/>
      <c r="O179" s="63"/>
      <c r="P179" s="63"/>
      <c r="Q179" s="63"/>
      <c r="R179" s="63"/>
      <c r="S179" s="63"/>
      <c r="T179" s="63"/>
      <c r="U179" s="63"/>
    </row>
    <row r="180" spans="1:21" s="3" customFormat="1" ht="14.1" customHeight="1" x14ac:dyDescent="0.25">
      <c r="A180" s="20" t="s">
        <v>240</v>
      </c>
      <c r="B180" s="20"/>
      <c r="C180" s="21" t="s">
        <v>241</v>
      </c>
      <c r="D180" s="23">
        <f>SUM(D181:D190)</f>
        <v>1473</v>
      </c>
      <c r="E180" s="23">
        <f t="shared" ref="E180:U180" si="34">SUM(E181:E190)</f>
        <v>1270</v>
      </c>
      <c r="F180" s="23">
        <f t="shared" si="34"/>
        <v>1270</v>
      </c>
      <c r="G180" s="23">
        <f t="shared" si="34"/>
        <v>1270</v>
      </c>
      <c r="H180" s="23">
        <f t="shared" si="34"/>
        <v>0</v>
      </c>
      <c r="I180" s="23">
        <f t="shared" si="34"/>
        <v>0</v>
      </c>
      <c r="J180" s="23">
        <f t="shared" si="34"/>
        <v>0</v>
      </c>
      <c r="K180" s="23">
        <f t="shared" si="34"/>
        <v>0</v>
      </c>
      <c r="L180" s="23">
        <f t="shared" si="34"/>
        <v>0</v>
      </c>
      <c r="M180" s="23">
        <f t="shared" si="34"/>
        <v>0</v>
      </c>
      <c r="N180" s="23">
        <f t="shared" si="34"/>
        <v>0</v>
      </c>
      <c r="O180" s="23">
        <f t="shared" si="34"/>
        <v>0</v>
      </c>
      <c r="P180" s="23">
        <f t="shared" si="34"/>
        <v>0</v>
      </c>
      <c r="Q180" s="23">
        <f t="shared" si="34"/>
        <v>0</v>
      </c>
      <c r="R180" s="23">
        <f t="shared" si="34"/>
        <v>0</v>
      </c>
      <c r="S180" s="23">
        <f t="shared" si="34"/>
        <v>0</v>
      </c>
      <c r="T180" s="23">
        <f t="shared" si="34"/>
        <v>203</v>
      </c>
      <c r="U180" s="23">
        <f t="shared" si="34"/>
        <v>0</v>
      </c>
    </row>
    <row r="181" spans="1:21" ht="14.1" customHeight="1" x14ac:dyDescent="0.25">
      <c r="A181" s="24" t="s">
        <v>242</v>
      </c>
      <c r="B181" s="24"/>
      <c r="C181" s="25" t="s">
        <v>243</v>
      </c>
      <c r="D181" s="26">
        <f>F181+H181+J181+L181+N181+P181+R181+T181</f>
        <v>0</v>
      </c>
      <c r="E181" s="26">
        <f t="shared" si="33"/>
        <v>0</v>
      </c>
      <c r="F181" s="26"/>
      <c r="G181" s="26"/>
      <c r="H181" s="26"/>
      <c r="I181" s="58"/>
      <c r="J181" s="63"/>
      <c r="K181" s="78"/>
      <c r="L181" s="63"/>
      <c r="M181" s="78"/>
      <c r="N181" s="63"/>
      <c r="O181" s="63"/>
      <c r="P181" s="63"/>
      <c r="Q181" s="63"/>
      <c r="R181" s="63"/>
      <c r="S181" s="63"/>
      <c r="T181" s="63"/>
      <c r="U181" s="63"/>
    </row>
    <row r="182" spans="1:21" ht="14.1" customHeight="1" x14ac:dyDescent="0.25">
      <c r="A182" s="24" t="s">
        <v>244</v>
      </c>
      <c r="B182" s="24"/>
      <c r="C182" s="25" t="s">
        <v>245</v>
      </c>
      <c r="D182" s="26">
        <f t="shared" ref="D182:D190" si="35">F182+H182+J182+L182+N182+P182+R182+T182</f>
        <v>0</v>
      </c>
      <c r="E182" s="26">
        <f t="shared" si="33"/>
        <v>0</v>
      </c>
      <c r="F182" s="26"/>
      <c r="G182" s="26"/>
      <c r="H182" s="26"/>
      <c r="I182" s="58"/>
      <c r="J182" s="63"/>
      <c r="K182" s="78"/>
      <c r="L182" s="63"/>
      <c r="M182" s="78"/>
      <c r="N182" s="63"/>
      <c r="O182" s="63"/>
      <c r="P182" s="63"/>
      <c r="Q182" s="63"/>
      <c r="R182" s="63"/>
      <c r="S182" s="63"/>
      <c r="T182" s="63"/>
      <c r="U182" s="63"/>
    </row>
    <row r="183" spans="1:21" ht="14.1" customHeight="1" x14ac:dyDescent="0.25">
      <c r="A183" s="24" t="s">
        <v>246</v>
      </c>
      <c r="B183" s="24"/>
      <c r="C183" s="25" t="s">
        <v>247</v>
      </c>
      <c r="D183" s="26">
        <f>F183+H183+J183+L183+N183+P183+R183+T183</f>
        <v>1160</v>
      </c>
      <c r="E183" s="26">
        <f t="shared" si="33"/>
        <v>1000</v>
      </c>
      <c r="F183" s="26">
        <v>1000</v>
      </c>
      <c r="G183" s="26">
        <v>1000</v>
      </c>
      <c r="H183" s="26"/>
      <c r="I183" s="58"/>
      <c r="J183" s="63"/>
      <c r="K183" s="78"/>
      <c r="L183" s="63"/>
      <c r="M183" s="78"/>
      <c r="N183" s="63"/>
      <c r="O183" s="63"/>
      <c r="P183" s="63"/>
      <c r="Q183" s="63"/>
      <c r="R183" s="63"/>
      <c r="S183" s="63"/>
      <c r="T183" s="63">
        <v>160</v>
      </c>
      <c r="U183" s="63"/>
    </row>
    <row r="184" spans="1:21" ht="14.1" customHeight="1" x14ac:dyDescent="0.25">
      <c r="A184" s="24" t="s">
        <v>248</v>
      </c>
      <c r="B184" s="24"/>
      <c r="C184" s="25" t="s">
        <v>249</v>
      </c>
      <c r="D184" s="26">
        <f t="shared" si="35"/>
        <v>0</v>
      </c>
      <c r="E184" s="26">
        <f t="shared" si="33"/>
        <v>0</v>
      </c>
      <c r="F184" s="26"/>
      <c r="G184" s="26"/>
      <c r="H184" s="26"/>
      <c r="I184" s="58"/>
      <c r="J184" s="63"/>
      <c r="K184" s="78"/>
      <c r="L184" s="63"/>
      <c r="M184" s="78"/>
      <c r="N184" s="63"/>
      <c r="O184" s="63"/>
      <c r="P184" s="63"/>
      <c r="Q184" s="63"/>
      <c r="R184" s="63"/>
      <c r="S184" s="63"/>
      <c r="T184" s="63"/>
      <c r="U184" s="63"/>
    </row>
    <row r="185" spans="1:21" ht="14.1" customHeight="1" x14ac:dyDescent="0.25">
      <c r="A185" s="24" t="s">
        <v>296</v>
      </c>
      <c r="B185" s="24"/>
      <c r="C185" s="25" t="s">
        <v>297</v>
      </c>
      <c r="D185" s="26">
        <f t="shared" si="35"/>
        <v>0</v>
      </c>
      <c r="E185" s="26">
        <f t="shared" si="33"/>
        <v>0</v>
      </c>
      <c r="F185" s="26"/>
      <c r="G185" s="26"/>
      <c r="H185" s="26"/>
      <c r="I185" s="58"/>
      <c r="J185" s="63"/>
      <c r="K185" s="78"/>
      <c r="L185" s="63"/>
      <c r="M185" s="78"/>
      <c r="N185" s="63"/>
      <c r="O185" s="63"/>
      <c r="P185" s="63"/>
      <c r="Q185" s="63"/>
      <c r="R185" s="63"/>
      <c r="S185" s="63"/>
      <c r="T185" s="63"/>
      <c r="U185" s="63"/>
    </row>
    <row r="186" spans="1:21" ht="14.1" customHeight="1" x14ac:dyDescent="0.25">
      <c r="A186" s="24" t="s">
        <v>250</v>
      </c>
      <c r="B186" s="24"/>
      <c r="C186" s="25" t="s">
        <v>251</v>
      </c>
      <c r="D186" s="26">
        <f t="shared" si="35"/>
        <v>313</v>
      </c>
      <c r="E186" s="26">
        <f t="shared" si="33"/>
        <v>270</v>
      </c>
      <c r="F186" s="26">
        <v>270</v>
      </c>
      <c r="G186" s="26">
        <f>ROUND((G181+G182+G183+G184+G185)*0.27,0)</f>
        <v>270</v>
      </c>
      <c r="H186" s="26"/>
      <c r="I186" s="58"/>
      <c r="J186" s="63"/>
      <c r="K186" s="58"/>
      <c r="L186" s="63"/>
      <c r="M186" s="58"/>
      <c r="N186" s="63"/>
      <c r="O186" s="58"/>
      <c r="P186" s="63"/>
      <c r="Q186" s="63"/>
      <c r="R186" s="63"/>
      <c r="S186" s="63"/>
      <c r="T186" s="63">
        <v>43</v>
      </c>
      <c r="U186" s="63"/>
    </row>
    <row r="187" spans="1:21" ht="14.1" customHeight="1" x14ac:dyDescent="0.25">
      <c r="A187" s="24" t="s">
        <v>298</v>
      </c>
      <c r="B187" s="24"/>
      <c r="C187" s="25" t="s">
        <v>299</v>
      </c>
      <c r="D187" s="26">
        <f t="shared" si="35"/>
        <v>0</v>
      </c>
      <c r="E187" s="26">
        <f t="shared" si="33"/>
        <v>0</v>
      </c>
      <c r="F187" s="26"/>
      <c r="G187" s="26"/>
      <c r="H187" s="26"/>
      <c r="I187" s="58"/>
      <c r="J187" s="63"/>
      <c r="K187" s="78"/>
      <c r="L187" s="63"/>
      <c r="M187" s="78"/>
      <c r="N187" s="63"/>
      <c r="O187" s="63"/>
      <c r="P187" s="63"/>
      <c r="Q187" s="63"/>
      <c r="R187" s="63"/>
      <c r="S187" s="63"/>
      <c r="T187" s="63"/>
      <c r="U187" s="63"/>
    </row>
    <row r="188" spans="1:21" ht="14.1" customHeight="1" x14ac:dyDescent="0.25">
      <c r="A188" s="24" t="s">
        <v>252</v>
      </c>
      <c r="B188" s="24"/>
      <c r="C188" s="25" t="s">
        <v>253</v>
      </c>
      <c r="D188" s="26">
        <f t="shared" si="35"/>
        <v>0</v>
      </c>
      <c r="E188" s="26">
        <f t="shared" si="33"/>
        <v>0</v>
      </c>
      <c r="F188" s="26"/>
      <c r="G188" s="26"/>
      <c r="H188" s="26"/>
      <c r="I188" s="58"/>
      <c r="J188" s="63"/>
      <c r="K188" s="78"/>
      <c r="L188" s="63"/>
      <c r="M188" s="78"/>
      <c r="N188" s="63"/>
      <c r="O188" s="63"/>
      <c r="P188" s="63"/>
      <c r="Q188" s="63"/>
      <c r="R188" s="63"/>
      <c r="S188" s="63"/>
      <c r="T188" s="63"/>
      <c r="U188" s="63"/>
    </row>
    <row r="189" spans="1:21" ht="14.1" customHeight="1" x14ac:dyDescent="0.25">
      <c r="A189" s="24" t="s">
        <v>300</v>
      </c>
      <c r="B189" s="24"/>
      <c r="C189" s="25" t="s">
        <v>301</v>
      </c>
      <c r="D189" s="26">
        <f t="shared" si="35"/>
        <v>0</v>
      </c>
      <c r="E189" s="26">
        <f t="shared" si="33"/>
        <v>0</v>
      </c>
      <c r="F189" s="26"/>
      <c r="G189" s="26"/>
      <c r="H189" s="26"/>
      <c r="I189" s="58"/>
      <c r="J189" s="63"/>
      <c r="K189" s="78"/>
      <c r="L189" s="63"/>
      <c r="M189" s="78"/>
      <c r="N189" s="63"/>
      <c r="O189" s="63"/>
      <c r="P189" s="63"/>
      <c r="Q189" s="63"/>
      <c r="R189" s="63"/>
      <c r="S189" s="63"/>
      <c r="T189" s="63"/>
      <c r="U189" s="63"/>
    </row>
    <row r="190" spans="1:21" ht="14.1" customHeight="1" x14ac:dyDescent="0.25">
      <c r="A190" s="24" t="s">
        <v>254</v>
      </c>
      <c r="B190" s="24"/>
      <c r="C190" s="25" t="s">
        <v>255</v>
      </c>
      <c r="D190" s="26">
        <f t="shared" si="35"/>
        <v>0</v>
      </c>
      <c r="E190" s="26">
        <f t="shared" si="33"/>
        <v>0</v>
      </c>
      <c r="F190" s="26"/>
      <c r="G190" s="26"/>
      <c r="H190" s="26"/>
      <c r="I190" s="58"/>
      <c r="J190" s="63"/>
      <c r="K190" s="78"/>
      <c r="L190" s="63"/>
      <c r="M190" s="78"/>
      <c r="N190" s="63"/>
      <c r="O190" s="63"/>
      <c r="P190" s="63"/>
      <c r="Q190" s="63"/>
      <c r="R190" s="63"/>
      <c r="S190" s="63"/>
      <c r="T190" s="63"/>
      <c r="U190" s="63"/>
    </row>
    <row r="191" spans="1:21" s="3" customFormat="1" ht="14.1" customHeight="1" x14ac:dyDescent="0.25">
      <c r="A191" s="20" t="s">
        <v>256</v>
      </c>
      <c r="B191" s="20"/>
      <c r="C191" s="21" t="s">
        <v>257</v>
      </c>
      <c r="D191" s="23">
        <f>F191+H191+J191+L191+N191+P191+R191</f>
        <v>0</v>
      </c>
      <c r="E191" s="23">
        <f>G191+I191</f>
        <v>0</v>
      </c>
      <c r="F191" s="23">
        <v>0</v>
      </c>
      <c r="G191" s="23">
        <v>0</v>
      </c>
      <c r="H191" s="23">
        <v>0</v>
      </c>
      <c r="I191" s="60">
        <v>0</v>
      </c>
      <c r="J191" s="72">
        <v>0</v>
      </c>
      <c r="K191" s="82">
        <v>0</v>
      </c>
      <c r="L191" s="72">
        <v>0</v>
      </c>
      <c r="M191" s="82">
        <v>0</v>
      </c>
      <c r="N191" s="72">
        <v>0</v>
      </c>
      <c r="O191" s="72">
        <v>0</v>
      </c>
      <c r="P191" s="72">
        <v>0</v>
      </c>
      <c r="Q191" s="72">
        <v>0</v>
      </c>
      <c r="R191" s="72">
        <v>0</v>
      </c>
      <c r="S191" s="72">
        <v>0</v>
      </c>
      <c r="T191" s="72">
        <v>0</v>
      </c>
      <c r="U191" s="72">
        <v>0</v>
      </c>
    </row>
    <row r="192" spans="1:21" s="3" customFormat="1" ht="14.1" customHeight="1" x14ac:dyDescent="0.25">
      <c r="A192" s="958" t="s">
        <v>295</v>
      </c>
      <c r="B192" s="959"/>
      <c r="C192" s="960"/>
      <c r="D192" s="30">
        <f>D180+D191+D178</f>
        <v>2473</v>
      </c>
      <c r="E192" s="30">
        <f t="shared" ref="E192:U192" si="36">E180+E191+E178</f>
        <v>2270</v>
      </c>
      <c r="F192" s="30">
        <f t="shared" si="36"/>
        <v>2270</v>
      </c>
      <c r="G192" s="30">
        <f t="shared" si="36"/>
        <v>2270</v>
      </c>
      <c r="H192" s="30">
        <f t="shared" si="36"/>
        <v>0</v>
      </c>
      <c r="I192" s="30">
        <f t="shared" si="36"/>
        <v>0</v>
      </c>
      <c r="J192" s="30">
        <f t="shared" si="36"/>
        <v>0</v>
      </c>
      <c r="K192" s="30">
        <f t="shared" si="36"/>
        <v>0</v>
      </c>
      <c r="L192" s="30">
        <f t="shared" si="36"/>
        <v>0</v>
      </c>
      <c r="M192" s="30">
        <f t="shared" si="36"/>
        <v>0</v>
      </c>
      <c r="N192" s="30">
        <f t="shared" si="36"/>
        <v>0</v>
      </c>
      <c r="O192" s="30">
        <f t="shared" si="36"/>
        <v>0</v>
      </c>
      <c r="P192" s="30">
        <f t="shared" si="36"/>
        <v>0</v>
      </c>
      <c r="Q192" s="30">
        <f t="shared" si="36"/>
        <v>0</v>
      </c>
      <c r="R192" s="30">
        <f t="shared" si="36"/>
        <v>0</v>
      </c>
      <c r="S192" s="30">
        <f t="shared" si="36"/>
        <v>0</v>
      </c>
      <c r="T192" s="30">
        <f t="shared" si="36"/>
        <v>203</v>
      </c>
      <c r="U192" s="30">
        <f t="shared" si="36"/>
        <v>0</v>
      </c>
    </row>
  </sheetData>
  <sheetProtection selectLockedCells="1" selectUnlockedCells="1"/>
  <customSheetViews>
    <customSheetView guid="{7F1DC213-A29D-4C8C-BAC3-F1BD898020FD}" scale="150" showPageBreaks="1" state="hidden" view="pageBreakPreview">
      <pane xSplit="5" ySplit="3" topLeftCell="S4" activePane="bottomRight" state="frozen"/>
      <selection pane="bottomRight" activeCell="V9" sqref="V9"/>
      <rowBreaks count="2" manualBreakCount="2">
        <brk id="46" max="16383" man="1"/>
        <brk id="110" max="16383" man="1"/>
      </rowBreaks>
      <colBreaks count="1" manualBreakCount="1">
        <brk id="13" max="1048575" man="1"/>
      </colBreaks>
      <pageMargins left="0.15748031496062992" right="0.15748031496062992" top="0.19685039370078741" bottom="0.15748031496062992" header="0.31496062992125984" footer="0.31496062992125984"/>
      <printOptions horizontalCentered="1"/>
      <pageSetup paperSize="8" scale="82" fitToWidth="2" fitToHeight="0" orientation="portrait" useFirstPageNumber="1" copies="2" r:id="rId1"/>
      <headerFooter alignWithMargins="0"/>
    </customSheetView>
    <customSheetView guid="{4DCB1349-1166-4B69-AE14-D6B08F9FCE74}" scale="150" showPageBreaks="1" state="hidden" view="pageBreakPreview">
      <pane xSplit="5" ySplit="3" topLeftCell="S4" activePane="bottomRight" state="frozen"/>
      <selection pane="bottomRight" activeCell="V9" sqref="V9"/>
      <rowBreaks count="2" manualBreakCount="2">
        <brk id="46" max="16383" man="1"/>
        <brk id="110" max="16383" man="1"/>
      </rowBreaks>
      <colBreaks count="1" manualBreakCount="1">
        <brk id="13" max="1048575" man="1"/>
      </colBreaks>
      <pageMargins left="0.15748031496062992" right="0.15748031496062992" top="0.19685039370078741" bottom="0.15748031496062992" header="0.31496062992125984" footer="0.31496062992125984"/>
      <printOptions horizontalCentered="1"/>
      <pageSetup paperSize="8" scale="82" fitToWidth="2" fitToHeight="0" orientation="portrait" useFirstPageNumber="1" copies="2" r:id="rId2"/>
      <headerFooter alignWithMargins="0"/>
    </customSheetView>
  </customSheetViews>
  <mergeCells count="69">
    <mergeCell ref="H2:I2"/>
    <mergeCell ref="B2:B3"/>
    <mergeCell ref="C2:C3"/>
    <mergeCell ref="D2:D3"/>
    <mergeCell ref="E2:E3"/>
    <mergeCell ref="F2:G2"/>
    <mergeCell ref="F147:G147"/>
    <mergeCell ref="T51:U51"/>
    <mergeCell ref="A46:C46"/>
    <mergeCell ref="A51:A52"/>
    <mergeCell ref="B51:B52"/>
    <mergeCell ref="C51:C52"/>
    <mergeCell ref="D51:D52"/>
    <mergeCell ref="E51:E52"/>
    <mergeCell ref="F51:G51"/>
    <mergeCell ref="H51:I51"/>
    <mergeCell ref="J51:K51"/>
    <mergeCell ref="L51:M51"/>
    <mergeCell ref="N51:O51"/>
    <mergeCell ref="P51:Q51"/>
    <mergeCell ref="R51:S51"/>
    <mergeCell ref="T147:U147"/>
    <mergeCell ref="A150:I150"/>
    <mergeCell ref="A166:C166"/>
    <mergeCell ref="A168:C168"/>
    <mergeCell ref="N173:U173"/>
    <mergeCell ref="H147:I147"/>
    <mergeCell ref="J147:K147"/>
    <mergeCell ref="L147:M147"/>
    <mergeCell ref="N147:O147"/>
    <mergeCell ref="P147:Q147"/>
    <mergeCell ref="R147:S147"/>
    <mergeCell ref="A147:A148"/>
    <mergeCell ref="B147:B148"/>
    <mergeCell ref="C147:C148"/>
    <mergeCell ref="D147:D148"/>
    <mergeCell ref="E147:E148"/>
    <mergeCell ref="A173:M173"/>
    <mergeCell ref="N1:U1"/>
    <mergeCell ref="A50:M50"/>
    <mergeCell ref="N50:U50"/>
    <mergeCell ref="A146:M146"/>
    <mergeCell ref="N146:U146"/>
    <mergeCell ref="A54:I54"/>
    <mergeCell ref="A142:C142"/>
    <mergeCell ref="L2:M2"/>
    <mergeCell ref="N2:O2"/>
    <mergeCell ref="P2:Q2"/>
    <mergeCell ref="R2:S2"/>
    <mergeCell ref="T2:U2"/>
    <mergeCell ref="J2:K2"/>
    <mergeCell ref="A5:I5"/>
    <mergeCell ref="A2:A3"/>
    <mergeCell ref="A1:M1"/>
    <mergeCell ref="R174:S174"/>
    <mergeCell ref="E174:E175"/>
    <mergeCell ref="T174:U174"/>
    <mergeCell ref="A177:I177"/>
    <mergeCell ref="A192:C192"/>
    <mergeCell ref="P174:Q174"/>
    <mergeCell ref="A174:A175"/>
    <mergeCell ref="B174:B175"/>
    <mergeCell ref="C174:C175"/>
    <mergeCell ref="D174:D175"/>
    <mergeCell ref="H174:I174"/>
    <mergeCell ref="J174:K174"/>
    <mergeCell ref="L174:M174"/>
    <mergeCell ref="N174:O174"/>
    <mergeCell ref="F174:G174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3"/>
  <headerFooter alignWithMargins="0"/>
  <rowBreaks count="2" manualBreakCount="2">
    <brk id="46" max="16383" man="1"/>
    <brk id="110" max="16383" man="1"/>
  </rowBreaks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N52"/>
  <sheetViews>
    <sheetView view="pageLayout" zoomScaleNormal="100" zoomScaleSheetLayoutView="75" workbookViewId="0">
      <selection activeCell="Y1" sqref="Y1:AJ1"/>
    </sheetView>
  </sheetViews>
  <sheetFormatPr defaultRowHeight="15" x14ac:dyDescent="0.25"/>
  <cols>
    <col min="1" max="1" width="5.7109375" style="465" customWidth="1"/>
    <col min="2" max="2" width="35.7109375" style="466" customWidth="1"/>
    <col min="3" max="3" width="12.7109375" style="467" hidden="1" customWidth="1"/>
    <col min="4" max="10" width="9.85546875" style="467" hidden="1" customWidth="1"/>
    <col min="11" max="12" width="11" style="467" hidden="1" customWidth="1"/>
    <col min="13" max="13" width="10.140625" style="467" hidden="1" customWidth="1"/>
    <col min="14" max="14" width="9.5703125" style="467" hidden="1" customWidth="1"/>
    <col min="15" max="15" width="10.28515625" style="467" hidden="1" customWidth="1"/>
    <col min="16" max="16" width="11" style="467" hidden="1" customWidth="1"/>
    <col min="17" max="17" width="9.7109375" style="467" hidden="1" customWidth="1"/>
    <col min="18" max="18" width="9.5703125" style="467" hidden="1" customWidth="1"/>
    <col min="19" max="19" width="11" style="467" hidden="1" customWidth="1"/>
    <col min="20" max="20" width="13.85546875" style="467" hidden="1" customWidth="1"/>
    <col min="21" max="21" width="11.42578125" style="467" hidden="1" customWidth="1"/>
    <col min="22" max="22" width="11.140625" style="467" hidden="1" customWidth="1"/>
    <col min="23" max="23" width="12.28515625" style="467" hidden="1" customWidth="1"/>
    <col min="24" max="24" width="9.140625" style="467" hidden="1" customWidth="1"/>
    <col min="25" max="25" width="11" style="467" customWidth="1"/>
    <col min="26" max="26" width="10.140625" style="467" customWidth="1"/>
    <col min="27" max="27" width="9.5703125" style="467" customWidth="1"/>
    <col min="28" max="29" width="10.28515625" style="467" customWidth="1"/>
    <col min="30" max="30" width="11" style="467" customWidth="1"/>
    <col min="31" max="31" width="10.42578125" style="467" customWidth="1"/>
    <col min="32" max="32" width="11.28515625" style="467" customWidth="1"/>
    <col min="33" max="33" width="11.42578125" style="467" customWidth="1"/>
    <col min="34" max="34" width="10.85546875" style="467" customWidth="1"/>
    <col min="35" max="35" width="10" style="467" customWidth="1"/>
    <col min="36" max="36" width="10.28515625" style="467" customWidth="1"/>
    <col min="37" max="39" width="11.140625" style="467" hidden="1" customWidth="1"/>
    <col min="40" max="40" width="11.85546875" style="467" hidden="1" customWidth="1"/>
    <col min="41" max="16384" width="9.140625" style="467"/>
  </cols>
  <sheetData>
    <row r="1" spans="1:40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Y1" s="742" t="s">
        <v>1366</v>
      </c>
      <c r="Z1" s="742" t="s">
        <v>1376</v>
      </c>
      <c r="AA1" s="742" t="s">
        <v>1377</v>
      </c>
      <c r="AB1" s="745" t="s">
        <v>1378</v>
      </c>
      <c r="AC1" s="745" t="s">
        <v>1379</v>
      </c>
      <c r="AD1" s="745" t="s">
        <v>1380</v>
      </c>
      <c r="AE1" s="745" t="s">
        <v>1381</v>
      </c>
      <c r="AF1" s="745" t="s">
        <v>1382</v>
      </c>
      <c r="AG1" s="745" t="s">
        <v>1383</v>
      </c>
      <c r="AH1" s="745" t="s">
        <v>1384</v>
      </c>
      <c r="AI1" s="745" t="s">
        <v>1385</v>
      </c>
      <c r="AJ1" s="745" t="s">
        <v>1386</v>
      </c>
      <c r="AK1" s="745"/>
      <c r="AL1" s="745"/>
      <c r="AM1" s="745"/>
      <c r="AN1" s="745"/>
    </row>
    <row r="2" spans="1:40" ht="30" customHeight="1" x14ac:dyDescent="0.25">
      <c r="A2" s="903" t="s">
        <v>305</v>
      </c>
      <c r="B2" s="903" t="s">
        <v>581</v>
      </c>
      <c r="C2" s="626" t="s">
        <v>1193</v>
      </c>
      <c r="D2" s="898" t="s">
        <v>1279</v>
      </c>
      <c r="E2" s="904"/>
      <c r="F2" s="904"/>
      <c r="G2" s="905"/>
      <c r="H2" s="898" t="s">
        <v>1391</v>
      </c>
      <c r="I2" s="899"/>
      <c r="J2" s="899"/>
      <c r="K2" s="900"/>
      <c r="L2" s="898" t="s">
        <v>1392</v>
      </c>
      <c r="M2" s="899"/>
      <c r="N2" s="899"/>
      <c r="O2" s="900"/>
      <c r="P2" s="898" t="s">
        <v>1280</v>
      </c>
      <c r="Q2" s="901"/>
      <c r="R2" s="901"/>
      <c r="S2" s="902"/>
      <c r="T2" s="898" t="s">
        <v>1387</v>
      </c>
      <c r="U2" s="901"/>
      <c r="V2" s="901"/>
      <c r="W2" s="902"/>
      <c r="Y2" s="898" t="s">
        <v>1423</v>
      </c>
      <c r="Z2" s="899"/>
      <c r="AA2" s="899"/>
      <c r="AB2" s="900"/>
      <c r="AC2" s="897" t="s">
        <v>1455</v>
      </c>
      <c r="AD2" s="897"/>
      <c r="AE2" s="897"/>
      <c r="AF2" s="897"/>
      <c r="AG2" s="897" t="s">
        <v>1445</v>
      </c>
      <c r="AH2" s="897"/>
      <c r="AI2" s="897"/>
      <c r="AJ2" s="897"/>
      <c r="AK2" s="897" t="s">
        <v>1456</v>
      </c>
      <c r="AL2" s="897"/>
      <c r="AM2" s="897"/>
      <c r="AN2" s="897"/>
    </row>
    <row r="3" spans="1:40" ht="45" x14ac:dyDescent="0.25">
      <c r="A3" s="903"/>
      <c r="B3" s="903"/>
      <c r="C3" s="626" t="s">
        <v>546</v>
      </c>
      <c r="D3" s="626" t="s">
        <v>1209</v>
      </c>
      <c r="E3" s="626" t="s">
        <v>1210</v>
      </c>
      <c r="F3" s="626" t="s">
        <v>1211</v>
      </c>
      <c r="G3" s="626" t="s">
        <v>546</v>
      </c>
      <c r="H3" s="626" t="s">
        <v>1209</v>
      </c>
      <c r="I3" s="626" t="s">
        <v>1210</v>
      </c>
      <c r="J3" s="626" t="s">
        <v>1211</v>
      </c>
      <c r="K3" s="626" t="s">
        <v>546</v>
      </c>
      <c r="L3" s="626" t="s">
        <v>1209</v>
      </c>
      <c r="M3" s="626" t="s">
        <v>1210</v>
      </c>
      <c r="N3" s="626" t="s">
        <v>1211</v>
      </c>
      <c r="O3" s="626" t="s">
        <v>546</v>
      </c>
      <c r="P3" s="626" t="s">
        <v>1209</v>
      </c>
      <c r="Q3" s="626" t="s">
        <v>1210</v>
      </c>
      <c r="R3" s="626" t="s">
        <v>1211</v>
      </c>
      <c r="S3" s="626" t="s">
        <v>546</v>
      </c>
      <c r="T3" s="626" t="s">
        <v>1209</v>
      </c>
      <c r="U3" s="626" t="s">
        <v>1210</v>
      </c>
      <c r="V3" s="626" t="s">
        <v>1211</v>
      </c>
      <c r="W3" s="626" t="s">
        <v>546</v>
      </c>
      <c r="Y3" s="626" t="s">
        <v>1209</v>
      </c>
      <c r="Z3" s="626" t="s">
        <v>1210</v>
      </c>
      <c r="AA3" s="626" t="s">
        <v>1211</v>
      </c>
      <c r="AB3" s="626" t="s">
        <v>546</v>
      </c>
      <c r="AC3" s="856" t="s">
        <v>1209</v>
      </c>
      <c r="AD3" s="856" t="s">
        <v>1210</v>
      </c>
      <c r="AE3" s="856" t="s">
        <v>1211</v>
      </c>
      <c r="AF3" s="856" t="s">
        <v>546</v>
      </c>
      <c r="AG3" s="882" t="s">
        <v>1209</v>
      </c>
      <c r="AH3" s="882" t="s">
        <v>1210</v>
      </c>
      <c r="AI3" s="882" t="s">
        <v>1211</v>
      </c>
      <c r="AJ3" s="882" t="s">
        <v>546</v>
      </c>
      <c r="AK3" s="882" t="s">
        <v>1209</v>
      </c>
      <c r="AL3" s="882" t="s">
        <v>1210</v>
      </c>
      <c r="AM3" s="882" t="s">
        <v>1211</v>
      </c>
      <c r="AN3" s="882" t="s">
        <v>546</v>
      </c>
    </row>
    <row r="4" spans="1:40" x14ac:dyDescent="0.25">
      <c r="A4" s="468" t="s">
        <v>309</v>
      </c>
      <c r="B4" s="469" t="s">
        <v>334</v>
      </c>
      <c r="C4" s="470">
        <f t="shared" ref="C4" si="0">SUM(C5:C9)</f>
        <v>0</v>
      </c>
      <c r="D4" s="470" t="e">
        <f t="shared" ref="D4:F4" si="1">SUM(D5:D9)</f>
        <v>#REF!</v>
      </c>
      <c r="E4" s="470">
        <f t="shared" si="1"/>
        <v>76673</v>
      </c>
      <c r="F4" s="470">
        <f t="shared" si="1"/>
        <v>93015</v>
      </c>
      <c r="G4" s="470" t="e">
        <f>SUM(D4:F4)</f>
        <v>#REF!</v>
      </c>
      <c r="H4" s="470">
        <f t="shared" ref="H4:J4" si="2">SUM(H5:H9)</f>
        <v>2651104</v>
      </c>
      <c r="I4" s="470">
        <f t="shared" si="2"/>
        <v>78753</v>
      </c>
      <c r="J4" s="470">
        <f t="shared" si="2"/>
        <v>99193</v>
      </c>
      <c r="K4" s="470">
        <f>SUM(H4:J4)</f>
        <v>2829050</v>
      </c>
      <c r="L4" s="470">
        <f t="shared" ref="L4:N4" si="3">SUM(L5:L9)</f>
        <v>2806375</v>
      </c>
      <c r="M4" s="470">
        <f t="shared" si="3"/>
        <v>75778</v>
      </c>
      <c r="N4" s="470">
        <f t="shared" si="3"/>
        <v>103243</v>
      </c>
      <c r="O4" s="470">
        <f>SUM(L4:N4)</f>
        <v>2985396</v>
      </c>
      <c r="P4" s="470">
        <f t="shared" ref="P4:R4" si="4">SUM(P5:P9)</f>
        <v>0</v>
      </c>
      <c r="Q4" s="470">
        <f t="shared" si="4"/>
        <v>0</v>
      </c>
      <c r="R4" s="470">
        <f t="shared" si="4"/>
        <v>0</v>
      </c>
      <c r="S4" s="470">
        <f>SUM(P4:R4)</f>
        <v>0</v>
      </c>
      <c r="T4" s="470">
        <f t="shared" ref="T4:V4" si="5">SUM(T5:T9)</f>
        <v>808187</v>
      </c>
      <c r="U4" s="470">
        <f>SUM(U5:U9)</f>
        <v>25907</v>
      </c>
      <c r="V4" s="470">
        <f t="shared" si="5"/>
        <v>1431924</v>
      </c>
      <c r="W4" s="470">
        <f>SUM(T4:V4)</f>
        <v>2266018</v>
      </c>
      <c r="Y4" s="470">
        <f t="shared" ref="Y4:AE4" si="6">SUM(Y5:Y9)</f>
        <v>2507112</v>
      </c>
      <c r="Z4" s="470">
        <f t="shared" si="6"/>
        <v>92155</v>
      </c>
      <c r="AA4" s="470">
        <f t="shared" si="6"/>
        <v>99368</v>
      </c>
      <c r="AB4" s="470">
        <f>SUM(Y4:AA4)</f>
        <v>2698635</v>
      </c>
      <c r="AC4" s="470">
        <f t="shared" si="6"/>
        <v>3100657</v>
      </c>
      <c r="AD4" s="470">
        <f t="shared" si="6"/>
        <v>92155</v>
      </c>
      <c r="AE4" s="470">
        <f t="shared" si="6"/>
        <v>99368</v>
      </c>
      <c r="AF4" s="470">
        <f>SUM(AC4:AE4)</f>
        <v>3292180</v>
      </c>
      <c r="AG4" s="470">
        <f t="shared" ref="AG4:AI4" si="7">SUM(AG5:AG9)</f>
        <v>3443891</v>
      </c>
      <c r="AH4" s="470">
        <f t="shared" si="7"/>
        <v>124906</v>
      </c>
      <c r="AI4" s="470">
        <f t="shared" si="7"/>
        <v>102312</v>
      </c>
      <c r="AJ4" s="470">
        <f>SUM(AG4:AI4)</f>
        <v>3671109</v>
      </c>
      <c r="AK4" s="470">
        <f t="shared" ref="AK4:AM4" si="8">SUM(AK5:AK9)</f>
        <v>1641056</v>
      </c>
      <c r="AL4" s="470">
        <f t="shared" si="8"/>
        <v>42467</v>
      </c>
      <c r="AM4" s="470">
        <f t="shared" si="8"/>
        <v>47565</v>
      </c>
      <c r="AN4" s="470">
        <f>SUM(AK4:AM4)</f>
        <v>1731088</v>
      </c>
    </row>
    <row r="5" spans="1:40" x14ac:dyDescent="0.25">
      <c r="A5" s="627" t="s">
        <v>311</v>
      </c>
      <c r="B5" s="628" t="s">
        <v>286</v>
      </c>
      <c r="C5" s="629"/>
      <c r="D5" s="629">
        <f>'2.2. Önk kiad'!D8+'3.1. PH'!D40+'4.1. Vesz'!D37+'5. Eszi'!D37+'6.1. Óvoda'!D37+'6.2. Kalandpark'!D37+'6.3. KLMK'!D37+'6.4. Könyvtár'!D37</f>
        <v>1086608</v>
      </c>
      <c r="E5" s="629">
        <f>'2.2. Önk kiad'!E8+'3.1. PH'!E40+'4.1. Vesz'!E37+'5. Eszi'!E37+'6.1. Óvoda'!E37+'6.2. Kalandpark'!E37+'6.3. KLMK'!E37+'6.4. Könyvtár'!E37+'5F Segítő Kéz'!E37+'5G Szérüskert'!E37</f>
        <v>16183</v>
      </c>
      <c r="F5" s="629">
        <f>'2.2. Önk kiad'!F8+'3.1. PH'!F40+'4.1. Vesz'!F37+'5. Eszi'!F37+'6.1. Óvoda'!F37+'6.2. Kalandpark'!F37+'6.3. KLMK'!F37+'6.4. Könyvtár'!F37+'5F Segítő Kéz'!F37+'5G Szérüskert'!F37</f>
        <v>60551</v>
      </c>
      <c r="G5" s="629">
        <f>SUM(D5:F5)</f>
        <v>1163342</v>
      </c>
      <c r="H5" s="629">
        <f>'2.2. Önk kiad'!H8+'3.1. PH'!H40+'4.1. Vesz'!H37+'5. Eszi'!H37+'6.1. Óvoda'!H37+'6.2. Kalandpark'!H37+'6.3. KLMK'!H37+'6.4. Könyvtár'!H37</f>
        <v>1282394</v>
      </c>
      <c r="I5" s="629">
        <f>'2.2. Önk kiad'!I8+'3.1. PH'!I40+'4.1. Vesz'!I37+'5. Eszi'!I37+'6.1. Óvoda'!I37+'6.2. Kalandpark'!I37+'6.3. KLMK'!I37+'6.4. Könyvtár'!I37+'5F Segítő Kéz'!I37+'5G Szérüskert'!I37</f>
        <v>16183</v>
      </c>
      <c r="J5" s="629">
        <f>'2.2. Önk kiad'!J8+'3.1. PH'!J40+'4.1. Vesz'!J37+'5. Eszi'!J37+'6.1. Óvoda'!J37+'6.2. Kalandpark'!J37+'6.3. KLMK'!J37+'6.4. Könyvtár'!J37+'5F Segítő Kéz'!J37+'5G Szérüskert'!J37</f>
        <v>60551</v>
      </c>
      <c r="K5" s="629">
        <f>SUM(H5:J5)</f>
        <v>1359128</v>
      </c>
      <c r="L5" s="629">
        <f>'2.2. Önk kiad'!L8+'3.1. PH'!L40+'4.1. Vesz'!L37+'5. Eszi'!L37+'6.1. Óvoda'!L37+'6.2. Kalandpark'!L37+'6.3. KLMK'!L37+'6.4. Könyvtár'!L37</f>
        <v>1348003</v>
      </c>
      <c r="M5" s="629">
        <f>'2.2. Önk kiad'!M8+'3.1. PH'!M40+'4.1. Vesz'!M37+'5. Eszi'!M37+'6.1. Óvoda'!M37+'6.2. Kalandpark'!M37+'6.3. KLMK'!M37+'6.4. Könyvtár'!M37</f>
        <v>16396</v>
      </c>
      <c r="N5" s="629">
        <f>'2.2. Önk kiad'!N8+'3.1. PH'!N40+'4.1. Vesz'!N37+'5. Eszi'!N37+'6.1. Óvoda'!N37+'6.2. Kalandpark'!N37+'6.3. KLMK'!N37+'6.4. Könyvtár'!N37</f>
        <v>61470</v>
      </c>
      <c r="O5" s="629">
        <f>SUM(L5:N5)</f>
        <v>1425869</v>
      </c>
      <c r="P5" s="629"/>
      <c r="Q5" s="629"/>
      <c r="R5" s="629"/>
      <c r="S5" s="629"/>
      <c r="T5" s="629">
        <f>'2.2. Önk kiad'!T8+'3.1. PH'!T40+'4.1. Vesz'!T37+'5. Eszi'!T37+'6.1. Óvoda'!T37+'6.2. Kalandpark'!T37+'6.3. KLMK'!T37+'6.4. Könyvtár'!T37+'5F Segítő Kéz'!T37+'5G Szérüskert'!T37</f>
        <v>482969</v>
      </c>
      <c r="U5" s="629">
        <f>'2.2. Önk kiad'!U8+'3.1. PH'!U40+'4.1. Vesz'!U37+'5. Eszi'!U37+'6.1. Óvoda'!U37+'6.2. Kalandpark'!U37+'6.3. KLMK'!U37+'6.4. Könyvtár'!U37+'5F Segítő Kéz'!U37+'5G Szérüskert'!U37</f>
        <v>4664</v>
      </c>
      <c r="V5" s="629">
        <f>'2.2. Önk kiad'!V8+'3.1. PH'!V40+'4.1. Vesz'!V37+'5. Eszi'!V37+'6.1. Óvoda'!V37+'6.2. Kalandpark'!V37+'6.3. KLMK'!V37+'6.4. Könyvtár'!V37+'5F Segítő Kéz'!V37+'5G Szérüskert'!V37</f>
        <v>216794</v>
      </c>
      <c r="W5" s="629">
        <f t="shared" ref="W5:W6" si="9">SUM(T5:V5)</f>
        <v>704427</v>
      </c>
      <c r="X5" s="479"/>
      <c r="Y5" s="629">
        <f>+'2.2. Önk kiad'!AA8+'3.1. PH'!Y40+'4.1. Vesz'!X37+'5. Eszi'!X37+'6.1. Óvoda'!X37+'6.2. Kalandpark'!X37+'6.3. KLMK'!Y37+'6.4. Könyvtár'!X37</f>
        <v>1234365</v>
      </c>
      <c r="Z5" s="629">
        <f>+'2.2. Önk kiad'!AB8+'3.1. PH'!Z40+'6.3. KLMK'!Z37</f>
        <v>17525</v>
      </c>
      <c r="AA5" s="629">
        <f>+'3.1. PH'!AA40</f>
        <v>65862</v>
      </c>
      <c r="AB5" s="629">
        <f>SUM(Y5:AA5)</f>
        <v>1317752</v>
      </c>
      <c r="AC5" s="629">
        <f>+'2.2. Önk kiad'!AE8+'3.1. PH'!AC40+'4.1. Vesz'!AB37+'5. Eszi'!AB37+'6.1. Óvoda'!AB37+'6.2. Kalandpark'!AB37+'6.3. KLMK'!AC37+'6.4. Könyvtár'!AB37</f>
        <v>1422037</v>
      </c>
      <c r="AD5" s="629">
        <f>+'2.2. Önk kiad'!AF8+'3.1. PH'!AD40+'4.1. Vesz'!AC37+'5. Eszi'!AC37+'6.1. Óvoda'!AC37+'6.2. Kalandpark'!AC37+'6.3. KLMK'!AD37+'6.4. Könyvtár'!AC37</f>
        <v>17525</v>
      </c>
      <c r="AE5" s="629">
        <f>+'2.2. Önk kiad'!AG8+'3.1. PH'!AE40+'4.1. Vesz'!AD37+'5. Eszi'!AD37+'6.1. Óvoda'!AD37+'6.2. Kalandpark'!AD37+'6.3. KLMK'!AE37+'6.4. Könyvtár'!AD37</f>
        <v>65862</v>
      </c>
      <c r="AF5" s="629">
        <f>SUM(AC5:AE5)</f>
        <v>1505424</v>
      </c>
      <c r="AG5" s="629">
        <f>+'2.2. Önk kiad'!AI8+'3.1. PH'!AG40+'4.1. Vesz'!AF37+'5. Eszi'!AF37+'6.1. Óvoda'!AF37+'6.2. Kalandpark'!AF37+'6.3. KLMK'!AG37+'6.4. Könyvtár'!AF37</f>
        <v>1578191</v>
      </c>
      <c r="AH5" s="629">
        <f>+'2.2. Önk kiad'!AJ8+'3.1. PH'!AH40+'6.3. KLMK'!AH37</f>
        <v>17525</v>
      </c>
      <c r="AI5" s="629">
        <f>'3.2. PH fel'!Z37</f>
        <v>65862</v>
      </c>
      <c r="AJ5" s="629">
        <f>SUM(AG5:AI5)</f>
        <v>1661578</v>
      </c>
      <c r="AK5" s="629">
        <f>+'2.2. Önk kiad'!AM8+'3.1. PH'!AK40+'4.1. Vesz'!AJ37+'5. Eszi'!AJ37+'6.1. Óvoda'!AJ37+'6.2. Kalandpark'!AJ37+'6.3. KLMK'!AK37+'6.4. Könyvtár'!AJ37</f>
        <v>788160</v>
      </c>
      <c r="AL5" s="629">
        <f>+'2.2. Önk kiad'!AN8+'3.1. PH'!AL40+'6.3. KLMK'!AL37</f>
        <v>9042</v>
      </c>
      <c r="AM5" s="629">
        <f>+'2.2. Önk kiad'!AO8+'3.1. PH'!AM40+'6.3. KLMK'!AM37</f>
        <v>34248</v>
      </c>
      <c r="AN5" s="629">
        <f>SUM(AK5:AM5)</f>
        <v>831450</v>
      </c>
    </row>
    <row r="6" spans="1:40" ht="30" x14ac:dyDescent="0.25">
      <c r="A6" s="627" t="s">
        <v>322</v>
      </c>
      <c r="B6" s="628" t="s">
        <v>335</v>
      </c>
      <c r="C6" s="629"/>
      <c r="D6" s="629">
        <f>'2.2. Önk kiad'!D9+'3.1. PH'!D41+'4.1. Vesz'!D38+'5. Eszi'!D38+'6.1. Óvoda'!D38+'6.2. Kalandpark'!D38+'6.3. KLMK'!D38+'6.4. Könyvtár'!D38</f>
        <v>214494</v>
      </c>
      <c r="E6" s="629">
        <f>'2.2. Önk kiad'!E9+'3.1. PH'!E41+'4.1. Vesz'!E38+'5. Eszi'!E38+'6.1. Óvoda'!E38+'6.2. Kalandpark'!E38+'6.3. KLMK'!E38+'6.4. Könyvtár'!E38+'5F Segítő Kéz'!E38+'5G Szérüskert'!E38</f>
        <v>3159</v>
      </c>
      <c r="F6" s="629">
        <f>'2.2. Önk kiad'!F9+'3.1. PH'!F41+'4.1. Vesz'!F38+'5. Eszi'!F38+'6.1. Óvoda'!F38+'6.2. Kalandpark'!F38+'6.3. KLMK'!F38+'6.4. Könyvtár'!F38+'5F Segítő Kéz'!F38+'5G Szérüskert'!F38</f>
        <v>10464</v>
      </c>
      <c r="G6" s="629">
        <f t="shared" ref="G6:G9" si="10">SUM(D6:F6)</f>
        <v>228117</v>
      </c>
      <c r="H6" s="629">
        <f>'2.2. Önk kiad'!H9+'3.1. PH'!H41+'4.1. Vesz'!H38+'5. Eszi'!H38+'6.1. Óvoda'!H38+'6.2. Kalandpark'!H38+'6.3. KLMK'!H38+'6.4. Könyvtár'!H38</f>
        <v>246197</v>
      </c>
      <c r="I6" s="629">
        <f>'2.2. Önk kiad'!I9+'3.1. PH'!I41+'4.1. Vesz'!I38+'5. Eszi'!I38+'6.1. Óvoda'!I38+'6.2. Kalandpark'!I38+'6.3. KLMK'!I38+'6.4. Könyvtár'!I38+'5F Segítő Kéz'!I38+'5G Szérüskert'!I38</f>
        <v>3159</v>
      </c>
      <c r="J6" s="629">
        <f>'2.2. Önk kiad'!J9+'3.1. PH'!J41+'4.1. Vesz'!J38+'5. Eszi'!J38+'6.1. Óvoda'!J38+'6.2. Kalandpark'!J38+'6.3. KLMK'!J38+'6.4. Könyvtár'!J38+'5F Segítő Kéz'!J38+'5G Szérüskert'!J38</f>
        <v>10464</v>
      </c>
      <c r="K6" s="629">
        <f t="shared" ref="K6:K9" si="11">SUM(H6:J6)</f>
        <v>259820</v>
      </c>
      <c r="L6" s="629">
        <f>'2.2. Önk kiad'!L9+'3.1. PH'!L41+'4.1. Vesz'!L38+'5. Eszi'!L38+'6.1. Óvoda'!L38+'6.2. Kalandpark'!L38+'6.3. KLMK'!L38+'6.4. Könyvtár'!L38</f>
        <v>253019</v>
      </c>
      <c r="M6" s="629">
        <f>'2.2. Önk kiad'!M9+'3.1. PH'!M41+'4.1. Vesz'!M38+'5. Eszi'!M38+'6.1. Óvoda'!M38+'6.2. Kalandpark'!M38+'6.3. KLMK'!M38+'6.4. Könyvtár'!M38</f>
        <v>3159</v>
      </c>
      <c r="N6" s="629">
        <f>'2.2. Önk kiad'!N9+'3.1. PH'!N41+'4.1. Vesz'!N38+'5. Eszi'!N38+'6.1. Óvoda'!N38+'6.2. Kalandpark'!N38+'6.3. KLMK'!N38+'6.4. Könyvtár'!N38</f>
        <v>10464</v>
      </c>
      <c r="O6" s="629">
        <f t="shared" ref="O6:O8" si="12">SUM(L6:N6)</f>
        <v>266642</v>
      </c>
      <c r="P6" s="629"/>
      <c r="Q6" s="629"/>
      <c r="R6" s="629"/>
      <c r="S6" s="629"/>
      <c r="T6" s="629">
        <f>'2.2. Önk kiad'!T9+'3.1. PH'!T41+'4.1. Vesz'!T38+'5. Eszi'!T38+'6.1. Óvoda'!T38+'6.2. Kalandpark'!T38+'6.3. KLMK'!T38+'6.4. Könyvtár'!T38+'5F Segítő Kéz'!T38+'5G Szérüskert'!T38</f>
        <v>87851</v>
      </c>
      <c r="U6" s="629">
        <f>'2.2. Önk kiad'!U9+'3.1. PH'!U41+'4.1. Vesz'!U38+'5. Eszi'!U38+'6.1. Óvoda'!U38+'6.2. Kalandpark'!U38+'6.3. KLMK'!U38+'6.4. Könyvtár'!U38+'5F Segítő Kéz'!U38+'5G Szérüskert'!U38</f>
        <v>960</v>
      </c>
      <c r="V6" s="629">
        <f>'2.2. Önk kiad'!V9+'3.1. PH'!V41+'4.1. Vesz'!V38+'5. Eszi'!V38+'6.1. Óvoda'!V38+'6.2. Kalandpark'!V38+'6.3. KLMK'!V38+'6.4. Könyvtár'!V38+'5F Segítő Kéz'!V38+'5G Szérüskert'!V38</f>
        <v>313199</v>
      </c>
      <c r="W6" s="629">
        <f t="shared" si="9"/>
        <v>402010</v>
      </c>
      <c r="Y6" s="629">
        <f>+'2.2. Önk kiad'!AA9+'3.1. PH'!Y41+'4.1. Vesz'!X38+'5. Eszi'!X38+'6.1. Óvoda'!X38+'6.2. Kalandpark'!X38+'6.3. KLMK'!Y38+'6.4. Könyvtár'!X38</f>
        <v>246621</v>
      </c>
      <c r="Z6" s="629">
        <f>+'2.2. Önk kiad'!AB9+'3.1. PH'!Z41+'6.3. KLMK'!Z38</f>
        <v>3430</v>
      </c>
      <c r="AA6" s="629">
        <f>+'3.1. PH'!AA41</f>
        <v>11506</v>
      </c>
      <c r="AB6" s="629">
        <f t="shared" ref="AB6:AB8" si="13">SUM(Y6:AA6)</f>
        <v>261557</v>
      </c>
      <c r="AC6" s="629">
        <f>+'2.2. Önk kiad'!AE9+'3.1. PH'!AC41+'4.1. Vesz'!AB38+'5. Eszi'!AB38+'6.1. Óvoda'!AB38+'6.2. Kalandpark'!AB38+'6.3. KLMK'!AC38+'6.4. Könyvtár'!AB38</f>
        <v>269305</v>
      </c>
      <c r="AD6" s="629">
        <f>+'2.2. Önk kiad'!AF9+'3.1. PH'!AD41+'4.1. Vesz'!AC38+'5. Eszi'!AC38+'6.1. Óvoda'!AC38+'6.2. Kalandpark'!AC38+'6.3. KLMK'!AD38+'6.4. Könyvtár'!AC38</f>
        <v>3430</v>
      </c>
      <c r="AE6" s="629">
        <f>+'2.2. Önk kiad'!AG9+'3.1. PH'!AE41+'4.1. Vesz'!AD38+'5. Eszi'!AD38+'6.1. Óvoda'!AD38+'6.2. Kalandpark'!AD38+'6.3. KLMK'!AE38+'6.4. Könyvtár'!AD38</f>
        <v>11506</v>
      </c>
      <c r="AF6" s="629">
        <f t="shared" ref="AF6:AF9" si="14">SUM(AC6:AE6)</f>
        <v>284241</v>
      </c>
      <c r="AG6" s="629">
        <f>+'2.2. Önk kiad'!AI9+'3.1. PH'!AG41+'4.1. Vesz'!AF38+'5. Eszi'!AF38+'6.1. Óvoda'!AF38+'6.2. Kalandpark'!AF38+'6.3. KLMK'!AG38+'6.4. Könyvtár'!AF38</f>
        <v>287426</v>
      </c>
      <c r="AH6" s="629">
        <f>+'2.2. Önk kiad'!AJ9+'3.1. PH'!AH41+'6.3. KLMK'!AH38</f>
        <v>3430</v>
      </c>
      <c r="AI6" s="629">
        <f>'3.2. PH fel'!Z38</f>
        <v>11506</v>
      </c>
      <c r="AJ6" s="629">
        <f t="shared" ref="AJ6:AJ9" si="15">SUM(AG6:AI6)</f>
        <v>302362</v>
      </c>
      <c r="AK6" s="629">
        <f>+'2.2. Önk kiad'!AM9+'3.1. PH'!AK41+'4.1. Vesz'!AJ38+'5. Eszi'!AJ38+'6.1. Óvoda'!AJ38+'6.2. Kalandpark'!AJ38+'6.3. KLMK'!AK38+'6.4. Könyvtár'!AJ38</f>
        <v>143744</v>
      </c>
      <c r="AL6" s="629">
        <f>+'2.2. Önk kiad'!AN9+'3.1. PH'!AL41+'6.3. KLMK'!AL38</f>
        <v>1860</v>
      </c>
      <c r="AM6" s="629">
        <f>+'2.2. Önk kiad'!AO9+'3.1. PH'!AM41+'6.3. KLMK'!AM38</f>
        <v>7047</v>
      </c>
      <c r="AN6" s="629">
        <f>SUM(AK6:AM6)+3</f>
        <v>152654</v>
      </c>
    </row>
    <row r="7" spans="1:40" x14ac:dyDescent="0.25">
      <c r="A7" s="627" t="s">
        <v>315</v>
      </c>
      <c r="B7" s="628" t="s">
        <v>292</v>
      </c>
      <c r="C7" s="629"/>
      <c r="D7" s="629">
        <f>'2.2. Önk kiad'!D10+'3.1. PH'!D42+'4.1. Vesz'!D39+'5. Eszi'!D39+'6.1. Óvoda'!D39+'6.2. Kalandpark'!D39+'6.3. KLMK'!D39+'6.4. Könyvtár'!D39</f>
        <v>881820</v>
      </c>
      <c r="E7" s="629">
        <f>'2.2. Önk kiad'!E10+'3.1. PH'!E42+'4.1. Vesz'!E39+'5. Eszi'!E39+'6.1. Óvoda'!E39+'6.2. Kalandpark'!E39+'6.3. KLMK'!E39+'6.4. Könyvtár'!E39+'5F Segítő Kéz'!E39+'5G Szérüskert'!E39</f>
        <v>22481</v>
      </c>
      <c r="F7" s="629">
        <f>'2.2. Önk kiad'!F10+'3.1. PH'!F42+'4.1. Vesz'!F39+'5. Eszi'!F39+'6.1. Óvoda'!F39+'6.2. Kalandpark'!F39+'6.3. KLMK'!F39+'6.4. Könyvtár'!F39+'5F Segítő Kéz'!F39+'5G Szérüskert'!F39</f>
        <v>22000</v>
      </c>
      <c r="G7" s="629">
        <f t="shared" si="10"/>
        <v>926301</v>
      </c>
      <c r="H7" s="629">
        <f>'2.2. Önk kiad'!H10+'3.1. PH'!H42+'4.1. Vesz'!H39+'5. Eszi'!H39+'6.1. Óvoda'!H39+'6.2. Kalandpark'!H39+'6.3. KLMK'!H39+'6.4. Könyvtár'!H39</f>
        <v>995569</v>
      </c>
      <c r="I7" s="629">
        <f>'2.2. Önk kiad'!I10+'3.1. PH'!I42+'4.1. Vesz'!I39+'5. Eszi'!I39+'6.1. Óvoda'!I39+'6.2. Kalandpark'!I39+'6.3. KLMK'!I39+'6.4. Könyvtár'!I39+'5F Segítő Kéz'!I39+'5G Szérüskert'!I39</f>
        <v>22481</v>
      </c>
      <c r="J7" s="629">
        <f>'2.2. Önk kiad'!J10+'3.1. PH'!J42+'4.1. Vesz'!J39+'5. Eszi'!J39+'6.1. Óvoda'!J39+'6.2. Kalandpark'!J39+'6.3. KLMK'!J39+'6.4. Könyvtár'!J39+'5F Segítő Kéz'!J39+'5G Szérüskert'!J39</f>
        <v>28178</v>
      </c>
      <c r="K7" s="629">
        <f t="shared" si="11"/>
        <v>1046228</v>
      </c>
      <c r="L7" s="630">
        <f>'2.2. Önk kiad'!L10+'3.1. PH'!L42+'4.1. Vesz'!L39+'5. Eszi'!L39+'6.1. Óvoda'!L39+'6.2. Kalandpark'!L39+'6.3. KLMK'!L39+'6.4. Könyvtár'!L39</f>
        <v>1091356</v>
      </c>
      <c r="M7" s="630">
        <f>'2.2. Önk kiad'!M10+'3.1. PH'!M42+'4.1. Vesz'!M39+'5. Eszi'!M39+'6.1. Óvoda'!M39+'6.2. Kalandpark'!M39+'6.3. KLMK'!M39+'6.4. Könyvtár'!M39</f>
        <v>14701</v>
      </c>
      <c r="N7" s="630">
        <f>'2.2. Önk kiad'!N10+'3.1. PH'!N42+'4.1. Vesz'!N39+'5. Eszi'!N39+'6.1. Óvoda'!N39+'6.2. Kalandpark'!N39+'6.3. KLMK'!N39+'6.4. Könyvtár'!N39</f>
        <v>31309</v>
      </c>
      <c r="O7" s="629">
        <f t="shared" si="12"/>
        <v>1137366</v>
      </c>
      <c r="P7" s="630"/>
      <c r="Q7" s="630"/>
      <c r="R7" s="630"/>
      <c r="S7" s="630"/>
      <c r="T7" s="629">
        <f>'2.2. Önk kiad'!T10+'3.1. PH'!T42+'4.1. Vesz'!T39+'5. Eszi'!T39+'6.1. Óvoda'!T39+'6.2. Kalandpark'!T39+'6.3. KLMK'!T39+'6.4. Könyvtár'!T39+'5F Segítő Kéz'!T39+'5G Szérüskert'!T39</f>
        <v>228406</v>
      </c>
      <c r="U7" s="629">
        <f>'2.2. Önk kiad'!U10+'3.1. PH'!U42+'4.1. Vesz'!U39+'5. Eszi'!U39+'6.1. Óvoda'!U39+'6.2. Kalandpark'!U39+'6.3. KLMK'!U39+'6.4. Könyvtár'!U39+'5F Segítő Kéz'!U39+'5G Szérüskert'!U39</f>
        <v>6977</v>
      </c>
      <c r="V7" s="629">
        <f>'2.2. Önk kiad'!V10+'3.1. PH'!V42+'4.1. Vesz'!V39+'5. Eszi'!V39+'6.1. Óvoda'!V39+'6.2. Kalandpark'!V39+'6.3. KLMK'!V39+'6.4. Könyvtár'!V39+'5F Segítő Kéz'!V39+'5G Szérüskert'!V39</f>
        <v>291286</v>
      </c>
      <c r="W7" s="630">
        <f>SUM(T7:V7)</f>
        <v>526669</v>
      </c>
      <c r="Y7" s="629">
        <f>+'2.2. Önk kiad'!AA10+'3.1. PH'!Y42+'4.1. Vesz'!X39+'5. Eszi'!X39+'6.1. Óvoda'!X39+'6.2. Kalandpark'!X39+'6.3. KLMK'!Y39+'6.4. Könyvtár'!X39</f>
        <v>934155</v>
      </c>
      <c r="Z7" s="629">
        <f>+'2.2. Önk kiad'!AB10+'3.1. PH'!Z42+'6.3. KLMK'!Z39</f>
        <v>38000</v>
      </c>
      <c r="AA7" s="629">
        <f>+'3.1. PH'!AA42</f>
        <v>22000</v>
      </c>
      <c r="AB7" s="629">
        <f t="shared" si="13"/>
        <v>994155</v>
      </c>
      <c r="AC7" s="629">
        <f>+'2.2. Önk kiad'!AE10+'3.1. PH'!AC42+'4.1. Vesz'!AB39+'5. Eszi'!AB39+'6.1. Óvoda'!AB39+'6.2. Kalandpark'!AB39+'6.3. KLMK'!AC39+'6.4. Könyvtár'!AB39</f>
        <v>1237269</v>
      </c>
      <c r="AD7" s="629">
        <f>+'2.2. Önk kiad'!AF10+'3.1. PH'!AD42+'4.1. Vesz'!AC39+'5. Eszi'!AC39+'6.1. Óvoda'!AC39+'6.2. Kalandpark'!AC39+'6.3. KLMK'!AD39+'6.4. Könyvtár'!AC39</f>
        <v>38000</v>
      </c>
      <c r="AE7" s="629">
        <f>+'2.2. Önk kiad'!AG10+'3.1. PH'!AE42+'4.1. Vesz'!AD39+'5. Eszi'!AD39+'6.1. Óvoda'!AD39+'6.2. Kalandpark'!AD39+'6.3. KLMK'!AE39+'6.4. Könyvtár'!AD39</f>
        <v>22000</v>
      </c>
      <c r="AF7" s="629">
        <f t="shared" si="14"/>
        <v>1297269</v>
      </c>
      <c r="AG7" s="629">
        <f>+'2.2. Önk kiad'!AI10+'3.1. PH'!AG42+'4.1. Vesz'!AF39+'5. Eszi'!AF39+'6.1. Óvoda'!AF39+'6.2. Kalandpark'!AF39+'6.3. KLMK'!AG39+'6.4. Könyvtár'!AF39+2</f>
        <v>1454365</v>
      </c>
      <c r="AH7" s="629">
        <f>+'2.2. Önk kiad'!AJ10+'3.1. PH'!AH42+'6.3. KLMK'!AH39</f>
        <v>38000</v>
      </c>
      <c r="AI7" s="629">
        <f>'3.2. PH fel'!Z39</f>
        <v>24944</v>
      </c>
      <c r="AJ7" s="629">
        <f t="shared" si="15"/>
        <v>1517309</v>
      </c>
      <c r="AK7" s="629">
        <f>+'2.2. Önk kiad'!AM10+'3.1. PH'!AK42+'4.1. Vesz'!AJ39+'5. Eszi'!AJ39+'6.1. Óvoda'!AJ39+'6.2. Kalandpark'!AJ39+'6.3. KLMK'!AK39+'6.4. Könyvtár'!AJ39</f>
        <v>634321</v>
      </c>
      <c r="AL7" s="629">
        <f>+'2.2. Önk kiad'!AN10+'3.1. PH'!AL42+'6.3. KLMK'!AL39</f>
        <v>20179</v>
      </c>
      <c r="AM7" s="629">
        <f>+'2.2. Önk kiad'!AO10+'3.1. PH'!AM42+'6.3. KLMK'!AM39</f>
        <v>6270</v>
      </c>
      <c r="AN7" s="629">
        <f t="shared" ref="AN7:AN9" si="16">SUM(AK7:AM7)</f>
        <v>660770</v>
      </c>
    </row>
    <row r="8" spans="1:40" x14ac:dyDescent="0.25">
      <c r="A8" s="627" t="s">
        <v>336</v>
      </c>
      <c r="B8" s="628" t="s">
        <v>337</v>
      </c>
      <c r="C8" s="629"/>
      <c r="D8" s="629">
        <f>'2.2. Önk kiad'!D11+'3.1. PH'!D43+'4.1. Vesz'!D40+'5. Eszi'!D40+'6.1. Óvoda'!D40+'6.2. Kalandpark'!D40+'6.3. KLMK'!D40+'6.4. Könyvtár'!D40</f>
        <v>34037</v>
      </c>
      <c r="E8" s="629">
        <f>'2.2. Önk kiad'!E11+'3.1. PH'!E43+'4.1. Vesz'!E40+'5. Eszi'!E40+'6.1. Óvoda'!E40+'6.2. Kalandpark'!E40+'6.3. KLMK'!E40+'6.4. Könyvtár'!E40+'5F Segítő Kéz'!E40+'5G Szérüskert'!E40</f>
        <v>0</v>
      </c>
      <c r="F8" s="629">
        <f>'2.2. Önk kiad'!F11+'3.1. PH'!F43+'4.1. Vesz'!F40+'5. Eszi'!F40+'6.1. Óvoda'!F40+'6.2. Kalandpark'!F40+'6.3. KLMK'!F40+'6.4. Könyvtár'!F40+'5F Segítő Kéz'!F40+'5G Szérüskert'!F40</f>
        <v>0</v>
      </c>
      <c r="G8" s="629">
        <f t="shared" si="10"/>
        <v>34037</v>
      </c>
      <c r="H8" s="629">
        <f>'2.2. Önk kiad'!H11+'3.1. PH'!H43+'4.1. Vesz'!H40+'5. Eszi'!H40+'6.1. Óvoda'!H40+'6.2. Kalandpark'!H40+'6.3. KLMK'!H40+'6.4. Könyvtár'!H40</f>
        <v>34037</v>
      </c>
      <c r="I8" s="629">
        <f>'2.2. Önk kiad'!I11+'3.1. PH'!I43+'4.1. Vesz'!I40+'5. Eszi'!I40+'6.1. Óvoda'!I40+'6.2. Kalandpark'!I40+'6.3. KLMK'!I40+'6.4. Könyvtár'!I40+'5F Segítő Kéz'!I40+'5G Szérüskert'!I40</f>
        <v>0</v>
      </c>
      <c r="J8" s="629">
        <f>'2.2. Önk kiad'!J11+'3.1. PH'!J43+'4.1. Vesz'!J40+'5. Eszi'!J40+'6.1. Óvoda'!J40+'6.2. Kalandpark'!J40+'6.3. KLMK'!J40+'6.4. Könyvtár'!J40+'5F Segítő Kéz'!J40+'5G Szérüskert'!J40</f>
        <v>0</v>
      </c>
      <c r="K8" s="629">
        <f t="shared" si="11"/>
        <v>34037</v>
      </c>
      <c r="L8" s="630">
        <f>'2.2. Önk kiad'!L11+'3.1. PH'!L43+'4.1. Vesz'!L40+'5. Eszi'!L40+'6.1. Óvoda'!L40+'6.2. Kalandpark'!L40+'6.3. KLMK'!L40+'6.4. Könyvtár'!L40</f>
        <v>34037</v>
      </c>
      <c r="M8" s="630">
        <f>'2.2. Önk kiad'!M11+'3.1. PH'!M43+'4.1. Vesz'!M40+'5. Eszi'!M40+'6.1. Óvoda'!M40+'6.2. Kalandpark'!M40+'6.3. KLMK'!M40+'6.4. Könyvtár'!M40</f>
        <v>0</v>
      </c>
      <c r="N8" s="630">
        <f>'2.2. Önk kiad'!N11+'3.1. PH'!N43+'4.1. Vesz'!N40+'5. Eszi'!N40+'6.1. Óvoda'!N40+'6.2. Kalandpark'!N40+'6.3. KLMK'!N40+'6.4. Könyvtár'!N40</f>
        <v>0</v>
      </c>
      <c r="O8" s="629">
        <f t="shared" si="12"/>
        <v>34037</v>
      </c>
      <c r="P8" s="630"/>
      <c r="Q8" s="630"/>
      <c r="R8" s="630"/>
      <c r="S8" s="630"/>
      <c r="T8" s="629">
        <f>'2.2. Önk kiad'!T11+'3.1. PH'!T43+'4.1. Vesz'!T40+'5. Eszi'!T40+'6.1. Óvoda'!T40+'6.2. Kalandpark'!T40+'6.3. KLMK'!T40+'6.4. Könyvtár'!T40+'5F Segítő Kéz'!T40+'5G Szérüskert'!T40</f>
        <v>5804</v>
      </c>
      <c r="U8" s="629">
        <f>'2.2. Önk kiad'!U11+'3.1. PH'!U43+'4.1. Vesz'!U40+'5. Eszi'!U40+'6.1. Óvoda'!U40+'6.2. Kalandpark'!U40+'6.3. KLMK'!U40+'6.4. Könyvtár'!U40+'5F Segítő Kéz'!U40+'5G Szérüskert'!U40</f>
        <v>0</v>
      </c>
      <c r="V8" s="629">
        <f>'2.2. Önk kiad'!V11+'3.1. PH'!V43+'4.1. Vesz'!V40+'5. Eszi'!V40+'6.1. Óvoda'!V40+'6.2. Kalandpark'!V40+'6.3. KLMK'!V40+'6.4. Könyvtár'!V40+'5F Segítő Kéz'!V40+'5G Szérüskert'!V40</f>
        <v>610645</v>
      </c>
      <c r="W8" s="630">
        <f t="shared" ref="W8:W14" si="17">SUM(T8:V8)</f>
        <v>616449</v>
      </c>
      <c r="Y8" s="630">
        <f>+'2.2. Önk kiad'!AA11+'5. Eszi'!X40</f>
        <v>34871</v>
      </c>
      <c r="Z8" s="630">
        <f>'2.2. Önk kiad'!Z11+'3.1. PH'!Z43+'4.1. Vesz'!Z40+'5. Eszi'!Z40+'6.1. Óvoda'!Z40+'6.2. Kalandpark'!Z40+'6.3. KLMK'!Z40+'6.4. Könyvtár'!Z40</f>
        <v>0</v>
      </c>
      <c r="AA8" s="630"/>
      <c r="AB8" s="629">
        <f t="shared" si="13"/>
        <v>34871</v>
      </c>
      <c r="AC8" s="630">
        <f>+'2.2. Önk kiad'!AE11+'5. Eszi'!AB40</f>
        <v>34871</v>
      </c>
      <c r="AD8" s="630">
        <f>+'2.2. Önk kiad'!AF11+'5. Eszi'!AC40</f>
        <v>0</v>
      </c>
      <c r="AE8" s="630">
        <f>+'2.2. Önk kiad'!AG11+'5. Eszi'!AD40</f>
        <v>0</v>
      </c>
      <c r="AF8" s="629">
        <f t="shared" si="14"/>
        <v>34871</v>
      </c>
      <c r="AG8" s="630">
        <f>+'2.2. Önk kiad'!AI11+'5. Eszi'!AF40</f>
        <v>34871</v>
      </c>
      <c r="AH8" s="630">
        <v>0</v>
      </c>
      <c r="AI8" s="629">
        <f>'3.2. PH fel'!Z40</f>
        <v>0</v>
      </c>
      <c r="AJ8" s="629">
        <f t="shared" si="15"/>
        <v>34871</v>
      </c>
      <c r="AK8" s="630">
        <f>+'2.2. Önk kiad'!AM11+'5. Eszi'!AJ40</f>
        <v>7898</v>
      </c>
      <c r="AL8" s="630">
        <v>0</v>
      </c>
      <c r="AM8" s="630">
        <v>0</v>
      </c>
      <c r="AN8" s="629">
        <f>SUM(AK8:AM8)</f>
        <v>7898</v>
      </c>
    </row>
    <row r="9" spans="1:40" x14ac:dyDescent="0.25">
      <c r="A9" s="627" t="s">
        <v>338</v>
      </c>
      <c r="B9" s="628" t="s">
        <v>339</v>
      </c>
      <c r="C9" s="629"/>
      <c r="D9" s="629" t="e">
        <f>'2.2. Önk kiad'!D12+'3.1. PH'!D44+'4.1. Vesz'!D41+'5. Eszi'!D41+'6.1. Óvoda'!D41+'6.2. Kalandpark'!D41+'6.3. KLMK'!D41+'6.4. Könyvtár'!D41</f>
        <v>#REF!</v>
      </c>
      <c r="E9" s="629">
        <f>'2.2. Önk kiad'!E12+'3.1. PH'!E44+'4.1. Vesz'!E41+'5. Eszi'!E41+'6.1. Óvoda'!E41+'6.2. Kalandpark'!E41+'6.3. KLMK'!E41+'6.4. Könyvtár'!E41</f>
        <v>34850</v>
      </c>
      <c r="F9" s="629">
        <f>'2.2. Önk kiad'!F12+'3.1. PH'!F44+'4.1. Vesz'!F41+'5. Eszi'!F41+'6.1. Óvoda'!F41+'6.2. Kalandpark'!F41+'6.3. KLMK'!F41+'6.4. Könyvtár'!F41+'5F Segítő Kéz'!F41+'5G Szérüskert'!F41</f>
        <v>0</v>
      </c>
      <c r="G9" s="629" t="e">
        <f t="shared" si="10"/>
        <v>#REF!</v>
      </c>
      <c r="H9" s="629">
        <f>'2.2. Önk kiad'!H12+'3.1. PH'!H44+'4.1. Vesz'!H41+'5. Eszi'!H41+'6.1. Óvoda'!H41+'6.2. Kalandpark'!H41+'6.3. KLMK'!H41+'6.4. Könyvtár'!H41</f>
        <v>92907</v>
      </c>
      <c r="I9" s="629">
        <f>'2.2. Önk kiad'!I12+'3.1. PH'!I44+'4.1. Vesz'!I41+'5. Eszi'!I41+'6.1. Óvoda'!I41+'6.2. Kalandpark'!I41+'6.3. KLMK'!I41+'6.4. Könyvtár'!I41+'5F Segítő Kéz'!I41+'5G Szérüskert'!I41</f>
        <v>36930</v>
      </c>
      <c r="J9" s="629">
        <f>'2.2. Önk kiad'!J12+'3.1. PH'!J44+'4.1. Vesz'!J41+'5. Eszi'!J41+'6.1. Óvoda'!J41+'6.2. Kalandpark'!J41+'6.3. KLMK'!J41+'6.4. Könyvtár'!J41+'5F Segítő Kéz'!J41+'5G Szérüskert'!J41</f>
        <v>0</v>
      </c>
      <c r="K9" s="629">
        <f t="shared" si="11"/>
        <v>129837</v>
      </c>
      <c r="L9" s="630">
        <f>'2.2. Önk kiad'!L12+'3.1. PH'!L44+'4.1. Vesz'!L41+'5. Eszi'!L41+'6.1. Óvoda'!L41+'6.2. Kalandpark'!L41+'6.3. KLMK'!L41+'6.4. Könyvtár'!L41</f>
        <v>79960</v>
      </c>
      <c r="M9" s="630">
        <f>'2.2. Önk kiad'!M12+'3.1. PH'!M44+'4.1. Vesz'!M41+'5. Eszi'!M41+'6.1. Óvoda'!M41+'6.2. Kalandpark'!M41+'6.3. KLMK'!M41+'6.4. Könyvtár'!M41</f>
        <v>41522</v>
      </c>
      <c r="N9" s="630">
        <f>'2.2. Önk kiad'!N12+'3.1. PH'!N44+'4.1. Vesz'!N41+'5. Eszi'!N41+'6.1. Óvoda'!N41+'6.2. Kalandpark'!N41+'6.3. KLMK'!N41+'6.4. Könyvtár'!N41</f>
        <v>0</v>
      </c>
      <c r="O9" s="629">
        <f>SUM(L9:N9)</f>
        <v>121482</v>
      </c>
      <c r="P9" s="630"/>
      <c r="Q9" s="630"/>
      <c r="R9" s="630"/>
      <c r="S9" s="630"/>
      <c r="T9" s="629">
        <f>'2.2. Önk kiad'!T12+'3.1. PH'!T44+'4.1. Vesz'!T41+'5. Eszi'!T41+'6.1. Óvoda'!T41+'6.2. Kalandpark'!T41+'6.3. KLMK'!T41+'6.4. Könyvtár'!T41+'5F Segítő Kéz'!T41+'5G Szérüskert'!T41</f>
        <v>3157</v>
      </c>
      <c r="U9" s="629">
        <f>'2.2. Önk kiad'!U12+'3.1. PH'!U44+'6.3. KLMK'!U41</f>
        <v>13306</v>
      </c>
      <c r="V9" s="629">
        <f>'2.2. Önk kiad'!V12+'3.1. PH'!V44+'6.3. KLMK'!V41</f>
        <v>0</v>
      </c>
      <c r="W9" s="630">
        <f t="shared" si="17"/>
        <v>16463</v>
      </c>
      <c r="Y9" s="630">
        <f>+'2.2. Önk kiad'!AA12+'6.2. Kalandpark'!X41</f>
        <v>57100</v>
      </c>
      <c r="Z9" s="630">
        <f>+'2.2. Önk kiad'!AB12</f>
        <v>33200</v>
      </c>
      <c r="AA9" s="630"/>
      <c r="AB9" s="629">
        <f>SUM(Y9:AA9)</f>
        <v>90300</v>
      </c>
      <c r="AC9" s="630">
        <f>+'2.2. Önk kiad'!AE12+'6.2. Kalandpark'!AB41+'5. Eszi'!AB41+'6.3. KLMK'!AC41</f>
        <v>137175</v>
      </c>
      <c r="AD9" s="630">
        <f>+'2.2. Önk kiad'!AF12+'6.2. Kalandpark'!AC41+'5. Eszi'!AC41+'6.3. KLMK'!AD41</f>
        <v>33200</v>
      </c>
      <c r="AE9" s="630">
        <f>+'2.2. Önk kiad'!AG12+'6.2. Kalandpark'!AD41+'5. Eszi'!AD41+'6.3. KLMK'!AE41</f>
        <v>0</v>
      </c>
      <c r="AF9" s="629">
        <f t="shared" si="14"/>
        <v>170375</v>
      </c>
      <c r="AG9" s="630">
        <f>+'2.2. Önk kiad'!AI12+'6.2. Kalandpark'!AF41+'5. Eszi'!AF41+'6.3. KLMK'!AG41+104</f>
        <v>89038</v>
      </c>
      <c r="AH9" s="630">
        <f>+'2.2. Önk kiad'!AJ12</f>
        <v>65951</v>
      </c>
      <c r="AI9" s="629">
        <f>'3.2. PH fel'!Z41</f>
        <v>0</v>
      </c>
      <c r="AJ9" s="629">
        <f t="shared" si="15"/>
        <v>154989</v>
      </c>
      <c r="AK9" s="630">
        <f>+'2.2. Önk kiad'!AM12+'6.2. Kalandpark'!AJ41+'5. Eszi'!AJ41+'6.3. KLMK'!AK41</f>
        <v>66933</v>
      </c>
      <c r="AL9" s="630">
        <f>+'2.2. Önk kiad'!AN12</f>
        <v>11386</v>
      </c>
      <c r="AM9" s="630">
        <f>+'2.2. Önk kiad'!AO12</f>
        <v>0</v>
      </c>
      <c r="AN9" s="629">
        <f t="shared" si="16"/>
        <v>78319</v>
      </c>
    </row>
    <row r="10" spans="1:40" hidden="1" x14ac:dyDescent="0.25">
      <c r="A10" s="471"/>
      <c r="B10" s="472" t="s">
        <v>667</v>
      </c>
      <c r="C10" s="473"/>
      <c r="D10" s="474"/>
      <c r="E10" s="474"/>
      <c r="F10" s="474"/>
      <c r="G10" s="474">
        <f t="shared" ref="G10:G35" si="18">SUM(D10:F10)</f>
        <v>0</v>
      </c>
      <c r="H10" s="474"/>
      <c r="I10" s="474"/>
      <c r="J10" s="629">
        <f>'2.2. Önk kiad'!J13+'3.1. PH'!J45+'4.1. Vesz'!J42+'5. Eszi'!J42+'6.1. Óvoda'!J42+'6.2. Kalandpark'!J42+'6.3. KLMK'!J42+'6.4. Könyvtár'!J42+'5F Segítő Kéz'!J42+'5G Szérüskert'!J42</f>
        <v>0</v>
      </c>
      <c r="K10" s="629">
        <f t="shared" ref="K10:K14" si="19">SUM(H10:J10)</f>
        <v>0</v>
      </c>
      <c r="L10" s="474"/>
      <c r="M10" s="474"/>
      <c r="N10" s="474"/>
      <c r="O10" s="474">
        <f t="shared" ref="O10:O14" si="20">SUM(L10:N10)</f>
        <v>0</v>
      </c>
      <c r="P10" s="474"/>
      <c r="Q10" s="474"/>
      <c r="R10" s="474"/>
      <c r="S10" s="474">
        <f t="shared" ref="S10:S14" si="21">SUM(P10:R10)</f>
        <v>0</v>
      </c>
      <c r="T10" s="474"/>
      <c r="U10" s="474"/>
      <c r="V10" s="474"/>
      <c r="W10" s="474">
        <f t="shared" si="17"/>
        <v>0</v>
      </c>
      <c r="Y10" s="474"/>
      <c r="Z10" s="474"/>
      <c r="AA10" s="474"/>
      <c r="AB10" s="474">
        <f t="shared" ref="AB10:AB14" si="22">SUM(Y10:AA10)</f>
        <v>0</v>
      </c>
      <c r="AC10" s="474"/>
      <c r="AD10" s="474"/>
      <c r="AE10" s="474"/>
      <c r="AF10" s="474">
        <v>0</v>
      </c>
      <c r="AG10" s="474"/>
      <c r="AH10" s="474"/>
      <c r="AI10" s="474"/>
      <c r="AJ10" s="474">
        <v>0</v>
      </c>
      <c r="AK10" s="474"/>
      <c r="AL10" s="474"/>
      <c r="AM10" s="474"/>
      <c r="AN10" s="474">
        <v>0</v>
      </c>
    </row>
    <row r="11" spans="1:40" s="466" customFormat="1" ht="30" hidden="1" x14ac:dyDescent="0.25">
      <c r="A11" s="471"/>
      <c r="B11" s="472" t="s">
        <v>668</v>
      </c>
      <c r="C11" s="473"/>
      <c r="D11" s="474"/>
      <c r="E11" s="474"/>
      <c r="F11" s="474"/>
      <c r="G11" s="474">
        <f t="shared" si="18"/>
        <v>0</v>
      </c>
      <c r="H11" s="474"/>
      <c r="I11" s="474"/>
      <c r="J11" s="629">
        <f>'2.2. Önk kiad'!J14+'3.1. PH'!J46+'4.1. Vesz'!J43+'5. Eszi'!J43+'6.1. Óvoda'!J43+'6.2. Kalandpark'!J43+'6.3. KLMK'!J43+'6.4. Könyvtár'!J43+'5F Segítő Kéz'!J43+'5G Szérüskert'!J43</f>
        <v>0</v>
      </c>
      <c r="K11" s="629">
        <f t="shared" si="19"/>
        <v>0</v>
      </c>
      <c r="L11" s="474"/>
      <c r="M11" s="474"/>
      <c r="N11" s="474"/>
      <c r="O11" s="474">
        <f t="shared" si="20"/>
        <v>0</v>
      </c>
      <c r="P11" s="474"/>
      <c r="Q11" s="474"/>
      <c r="R11" s="474"/>
      <c r="S11" s="474">
        <f t="shared" si="21"/>
        <v>0</v>
      </c>
      <c r="T11" s="474"/>
      <c r="U11" s="474"/>
      <c r="V11" s="474"/>
      <c r="W11" s="474">
        <f t="shared" si="17"/>
        <v>0</v>
      </c>
      <c r="Y11" s="474"/>
      <c r="Z11" s="474"/>
      <c r="AA11" s="474"/>
      <c r="AB11" s="474">
        <f t="shared" si="22"/>
        <v>0</v>
      </c>
      <c r="AC11" s="474"/>
      <c r="AD11" s="474"/>
      <c r="AE11" s="474"/>
      <c r="AF11" s="474">
        <v>0</v>
      </c>
      <c r="AG11" s="474"/>
      <c r="AH11" s="474"/>
      <c r="AI11" s="474"/>
      <c r="AJ11" s="474">
        <v>0</v>
      </c>
      <c r="AK11" s="474"/>
      <c r="AL11" s="474"/>
      <c r="AM11" s="474"/>
      <c r="AN11" s="474">
        <v>0</v>
      </c>
    </row>
    <row r="12" spans="1:40" s="466" customFormat="1" ht="30" hidden="1" x14ac:dyDescent="0.25">
      <c r="A12" s="471"/>
      <c r="B12" s="472" t="s">
        <v>669</v>
      </c>
      <c r="C12" s="473"/>
      <c r="D12" s="474"/>
      <c r="E12" s="474"/>
      <c r="F12" s="474"/>
      <c r="G12" s="474">
        <f t="shared" si="18"/>
        <v>0</v>
      </c>
      <c r="H12" s="474"/>
      <c r="I12" s="474"/>
      <c r="J12" s="629">
        <f>'2.2. Önk kiad'!J15+'3.1. PH'!J47+'4.1. Vesz'!J44+'5. Eszi'!J44+'6.1. Óvoda'!J44+'6.2. Kalandpark'!J44+'6.3. KLMK'!J44+'6.4. Könyvtár'!J44+'5F Segítő Kéz'!J44+'5G Szérüskert'!J44</f>
        <v>0</v>
      </c>
      <c r="K12" s="629">
        <f t="shared" si="19"/>
        <v>0</v>
      </c>
      <c r="L12" s="474"/>
      <c r="M12" s="474"/>
      <c r="N12" s="474"/>
      <c r="O12" s="474">
        <f t="shared" si="20"/>
        <v>0</v>
      </c>
      <c r="P12" s="474"/>
      <c r="Q12" s="474"/>
      <c r="R12" s="474"/>
      <c r="S12" s="474">
        <f t="shared" si="21"/>
        <v>0</v>
      </c>
      <c r="T12" s="474"/>
      <c r="U12" s="474"/>
      <c r="V12" s="474"/>
      <c r="W12" s="474">
        <f t="shared" si="17"/>
        <v>0</v>
      </c>
      <c r="Y12" s="474"/>
      <c r="Z12" s="474"/>
      <c r="AA12" s="474"/>
      <c r="AB12" s="474">
        <f t="shared" si="22"/>
        <v>0</v>
      </c>
      <c r="AC12" s="474"/>
      <c r="AD12" s="474"/>
      <c r="AE12" s="474"/>
      <c r="AF12" s="474">
        <v>0</v>
      </c>
      <c r="AG12" s="474"/>
      <c r="AH12" s="474"/>
      <c r="AI12" s="474"/>
      <c r="AJ12" s="474">
        <v>0</v>
      </c>
      <c r="AK12" s="474"/>
      <c r="AL12" s="474"/>
      <c r="AM12" s="474"/>
      <c r="AN12" s="474">
        <v>0</v>
      </c>
    </row>
    <row r="13" spans="1:40" ht="30" hidden="1" x14ac:dyDescent="0.25">
      <c r="A13" s="471"/>
      <c r="B13" s="472" t="s">
        <v>670</v>
      </c>
      <c r="C13" s="475"/>
      <c r="D13" s="476"/>
      <c r="E13" s="476"/>
      <c r="F13" s="476"/>
      <c r="G13" s="476">
        <f t="shared" si="18"/>
        <v>0</v>
      </c>
      <c r="H13" s="476"/>
      <c r="I13" s="476"/>
      <c r="J13" s="629">
        <f>'2.2. Önk kiad'!J16+'3.1. PH'!J48+'4.1. Vesz'!J45+'5. Eszi'!J45+'6.1. Óvoda'!J45+'6.2. Kalandpark'!J45+'6.3. KLMK'!J45+'6.4. Könyvtár'!J45+'5F Segítő Kéz'!J45+'5G Szérüskert'!J45</f>
        <v>0</v>
      </c>
      <c r="K13" s="629">
        <f t="shared" si="19"/>
        <v>0</v>
      </c>
      <c r="L13" s="476"/>
      <c r="M13" s="476"/>
      <c r="N13" s="476"/>
      <c r="O13" s="476">
        <f t="shared" si="20"/>
        <v>0</v>
      </c>
      <c r="P13" s="476"/>
      <c r="Q13" s="476"/>
      <c r="R13" s="476"/>
      <c r="S13" s="476">
        <f t="shared" si="21"/>
        <v>0</v>
      </c>
      <c r="T13" s="476"/>
      <c r="U13" s="476"/>
      <c r="V13" s="476"/>
      <c r="W13" s="476">
        <f t="shared" si="17"/>
        <v>0</v>
      </c>
      <c r="Y13" s="476"/>
      <c r="Z13" s="476"/>
      <c r="AA13" s="476"/>
      <c r="AB13" s="476">
        <f t="shared" si="22"/>
        <v>0</v>
      </c>
      <c r="AC13" s="476"/>
      <c r="AD13" s="476"/>
      <c r="AE13" s="476"/>
      <c r="AF13" s="476">
        <v>0</v>
      </c>
      <c r="AG13" s="476"/>
      <c r="AH13" s="476"/>
      <c r="AI13" s="476"/>
      <c r="AJ13" s="476">
        <v>0</v>
      </c>
      <c r="AK13" s="476"/>
      <c r="AL13" s="476"/>
      <c r="AM13" s="476"/>
      <c r="AN13" s="476">
        <v>0</v>
      </c>
    </row>
    <row r="14" spans="1:40" hidden="1" x14ac:dyDescent="0.25">
      <c r="A14" s="471"/>
      <c r="B14" s="472" t="s">
        <v>671</v>
      </c>
      <c r="C14" s="473"/>
      <c r="D14" s="474"/>
      <c r="E14" s="474"/>
      <c r="F14" s="474"/>
      <c r="G14" s="474">
        <f t="shared" si="18"/>
        <v>0</v>
      </c>
      <c r="H14" s="474"/>
      <c r="I14" s="474"/>
      <c r="J14" s="629">
        <f>'2.2. Önk kiad'!J17+'3.1. PH'!J49+'4.1. Vesz'!J46+'5. Eszi'!J46+'6.1. Óvoda'!J46+'6.2. Kalandpark'!J46+'6.3. KLMK'!J46+'6.4. Könyvtár'!J46+'5F Segítő Kéz'!J46+'5G Szérüskert'!J46</f>
        <v>99193</v>
      </c>
      <c r="K14" s="629">
        <f t="shared" si="19"/>
        <v>99193</v>
      </c>
      <c r="L14" s="474"/>
      <c r="M14" s="474"/>
      <c r="N14" s="474"/>
      <c r="O14" s="474">
        <f t="shared" si="20"/>
        <v>0</v>
      </c>
      <c r="P14" s="474"/>
      <c r="Q14" s="474"/>
      <c r="R14" s="474"/>
      <c r="S14" s="474">
        <f t="shared" si="21"/>
        <v>0</v>
      </c>
      <c r="T14" s="474"/>
      <c r="U14" s="474"/>
      <c r="V14" s="474"/>
      <c r="W14" s="474">
        <f t="shared" si="17"/>
        <v>0</v>
      </c>
      <c r="Y14" s="474"/>
      <c r="Z14" s="474"/>
      <c r="AA14" s="474"/>
      <c r="AB14" s="474">
        <f t="shared" si="22"/>
        <v>0</v>
      </c>
      <c r="AC14" s="474"/>
      <c r="AD14" s="474"/>
      <c r="AE14" s="474"/>
      <c r="AF14" s="474">
        <v>0</v>
      </c>
      <c r="AG14" s="474"/>
      <c r="AH14" s="474"/>
      <c r="AI14" s="474"/>
      <c r="AJ14" s="474">
        <v>0</v>
      </c>
      <c r="AK14" s="474"/>
      <c r="AL14" s="474"/>
      <c r="AM14" s="474"/>
      <c r="AN14" s="474">
        <v>0</v>
      </c>
    </row>
    <row r="15" spans="1:40" ht="30" x14ac:dyDescent="0.25">
      <c r="A15" s="468" t="s">
        <v>318</v>
      </c>
      <c r="B15" s="469" t="s">
        <v>340</v>
      </c>
      <c r="C15" s="470">
        <f t="shared" ref="C15" si="23">SUM(C16:C18)</f>
        <v>0</v>
      </c>
      <c r="D15" s="477">
        <f t="shared" ref="D15:F15" si="24">SUM(D16:D18)</f>
        <v>4609840</v>
      </c>
      <c r="E15" s="477">
        <f t="shared" si="24"/>
        <v>3600</v>
      </c>
      <c r="F15" s="477">
        <f t="shared" si="24"/>
        <v>0</v>
      </c>
      <c r="G15" s="477">
        <f t="shared" si="18"/>
        <v>4613440</v>
      </c>
      <c r="H15" s="477">
        <f t="shared" ref="H15:J15" si="25">SUM(H16:H18)</f>
        <v>5306701</v>
      </c>
      <c r="I15" s="477">
        <f t="shared" si="25"/>
        <v>3600</v>
      </c>
      <c r="J15" s="477">
        <f t="shared" si="25"/>
        <v>0</v>
      </c>
      <c r="K15" s="477">
        <f>SUM(H15:J15)</f>
        <v>5310301</v>
      </c>
      <c r="L15" s="477">
        <f t="shared" ref="L15:N15" si="26">SUM(L16:L18)</f>
        <v>5503337</v>
      </c>
      <c r="M15" s="477">
        <f t="shared" si="26"/>
        <v>4551</v>
      </c>
      <c r="N15" s="477">
        <f t="shared" si="26"/>
        <v>0</v>
      </c>
      <c r="O15" s="477">
        <f>SUM(L15:N15)</f>
        <v>5507888</v>
      </c>
      <c r="P15" s="477">
        <f t="shared" ref="P15:R15" si="27">SUM(P16:P18)</f>
        <v>0</v>
      </c>
      <c r="Q15" s="477">
        <f t="shared" si="27"/>
        <v>0</v>
      </c>
      <c r="R15" s="477">
        <f t="shared" si="27"/>
        <v>0</v>
      </c>
      <c r="S15" s="477">
        <f>SUM(P15:R15)</f>
        <v>0</v>
      </c>
      <c r="T15" s="477">
        <f t="shared" ref="T15:V15" si="28">SUM(T16:T18)</f>
        <v>346865</v>
      </c>
      <c r="U15" s="477">
        <f t="shared" si="28"/>
        <v>0</v>
      </c>
      <c r="V15" s="477">
        <f t="shared" si="28"/>
        <v>0</v>
      </c>
      <c r="W15" s="477">
        <f>SUM(T15:V15)</f>
        <v>346865</v>
      </c>
      <c r="Y15" s="477">
        <f t="shared" ref="Y15:AE15" si="29">SUM(Y16:Y18)</f>
        <v>4911294</v>
      </c>
      <c r="Z15" s="477">
        <f t="shared" si="29"/>
        <v>3600</v>
      </c>
      <c r="AA15" s="477">
        <f t="shared" si="29"/>
        <v>0</v>
      </c>
      <c r="AB15" s="477">
        <f>SUM(Y15:AA15)</f>
        <v>4914894</v>
      </c>
      <c r="AC15" s="477">
        <f t="shared" si="29"/>
        <v>6007517</v>
      </c>
      <c r="AD15" s="477">
        <f t="shared" si="29"/>
        <v>3600</v>
      </c>
      <c r="AE15" s="477">
        <f t="shared" si="29"/>
        <v>0</v>
      </c>
      <c r="AF15" s="477">
        <f>SUM(AC15:AE15)</f>
        <v>6011117</v>
      </c>
      <c r="AG15" s="477">
        <f t="shared" ref="AG15:AI15" si="30">SUM(AG16:AG18)</f>
        <v>6159160</v>
      </c>
      <c r="AH15" s="477">
        <f t="shared" si="30"/>
        <v>3600</v>
      </c>
      <c r="AI15" s="477">
        <f t="shared" si="30"/>
        <v>0</v>
      </c>
      <c r="AJ15" s="477">
        <f>SUM(AG15:AI15)</f>
        <v>6162760</v>
      </c>
      <c r="AK15" s="477">
        <f t="shared" ref="AK15:AM15" si="31">SUM(AK16:AK18)</f>
        <v>1013242</v>
      </c>
      <c r="AL15" s="477">
        <f t="shared" si="31"/>
        <v>600</v>
      </c>
      <c r="AM15" s="477">
        <f t="shared" si="31"/>
        <v>78</v>
      </c>
      <c r="AN15" s="477">
        <f>SUM(AK15:AM15)</f>
        <v>1013920</v>
      </c>
    </row>
    <row r="16" spans="1:40" x14ac:dyDescent="0.25">
      <c r="A16" s="627" t="s">
        <v>311</v>
      </c>
      <c r="B16" s="628" t="s">
        <v>351</v>
      </c>
      <c r="C16" s="629"/>
      <c r="D16" s="630">
        <f>'2.2. Önk kiad'!D22+'3.1. PH'!D46+'4.1. Vesz'!D43+'5. Eszi'!D43+'6.1. Óvoda'!D43+'6.2. Kalandpark'!D43+'6.3. KLMK'!D43+'6.4. Könyvtár'!D43</f>
        <v>4556640</v>
      </c>
      <c r="E16" s="630">
        <f>'2.2. Önk kiad'!E22+'3.1. PH'!E46+'4.1. Vesz'!E43+'5. Eszi'!E43+'6.1. Óvoda'!E43+'6.2. Kalandpark'!E43+'6.3. KLMK'!E43+'6.4. Könyvtár'!E43+'5F Segítő Kéz'!E43+'5G Szérüskert'!E43</f>
        <v>0</v>
      </c>
      <c r="F16" s="630">
        <f>'2.2. Önk kiad'!F22+'3.1. PH'!F46+'4.1. Vesz'!F43+'5. Eszi'!F43+'6.1. Óvoda'!F43+'6.2. Kalandpark'!F43+'6.3. KLMK'!F43+'6.4. Könyvtár'!F43+'5F Segítő Kéz'!F43+'5G Szérüskert'!F43</f>
        <v>0</v>
      </c>
      <c r="G16" s="630">
        <f>SUM(D16:F16)</f>
        <v>4556640</v>
      </c>
      <c r="H16" s="630">
        <f>'2.2. Önk kiad'!H22+'3.1. PH'!H46+'4.1. Vesz'!H43+'5. Eszi'!H43+'6.1. Óvoda'!H43+'6.2. Kalandpark'!H43+'6.3. KLMK'!H43+'6.4. Könyvtár'!H43</f>
        <v>3493729</v>
      </c>
      <c r="I16" s="630">
        <f>'2.2. Önk kiad'!I22+'3.1. PH'!I46+'4.1. Vesz'!I43+'5. Eszi'!I43+'6.1. Óvoda'!I43+'6.2. Kalandpark'!I43+'6.3. KLMK'!I43+'6.4. Könyvtár'!I43+'5F Segítő Kéz'!I43+'5G Szérüskert'!I43</f>
        <v>0</v>
      </c>
      <c r="J16" s="630">
        <f>'2.2. Önk kiad'!J22+'3.1. PH'!J46+'4.1. Vesz'!J43+'5. Eszi'!J43+'6.1. Óvoda'!J43+'6.2. Kalandpark'!J43+'6.3. KLMK'!J43+'6.4. Könyvtár'!J43+'5F Segítő Kéz'!J43+'5G Szérüskert'!J43</f>
        <v>0</v>
      </c>
      <c r="K16" s="630">
        <f>SUM(H16:J16)</f>
        <v>3493729</v>
      </c>
      <c r="L16" s="630">
        <f>'2.2. Önk kiad'!L22+'3.1. PH'!L46+'4.1. Vesz'!L43+'5. Eszi'!L43+'6.1. Óvoda'!L43+'6.2. Kalandpark'!L43+'6.3. KLMK'!L43+'6.4. Könyvtár'!L43</f>
        <v>3671765</v>
      </c>
      <c r="M16" s="630">
        <f>'2.2. Önk kiad'!M22+'3.1. PH'!M46+'4.1. Vesz'!M43+'5. Eszi'!M43+'6.1. Óvoda'!M43+'6.2. Kalandpark'!M43+'6.3. KLMK'!M43+'6.4. Könyvtár'!M43</f>
        <v>451</v>
      </c>
      <c r="N16" s="630">
        <f>'2.2. Önk kiad'!N22+'3.1. PH'!N46+'4.1. Vesz'!N43+'5. Eszi'!N43+'6.1. Óvoda'!N43+'6.2. Kalandpark'!N43+'6.3. KLMK'!N43+'6.4. Könyvtár'!N43</f>
        <v>0</v>
      </c>
      <c r="O16" s="630">
        <f>SUM(L16:N16)</f>
        <v>3672216</v>
      </c>
      <c r="P16" s="630"/>
      <c r="Q16" s="630"/>
      <c r="R16" s="630"/>
      <c r="S16" s="630"/>
      <c r="T16" s="630">
        <f>'2.2. Önk kiad'!T22+'3.1. PH'!T46+'4.1. Vesz'!T43+'5. Eszi'!T43+'6.1. Óvoda'!T43+'6.2. Kalandpark'!T43+'6.3. KLMK'!T43+'6.4. Könyvtár'!T43+'5F Segítő Kéz'!T43+'5G Szérüskert'!T43</f>
        <v>151643</v>
      </c>
      <c r="U16" s="630">
        <f>'2.2. Önk kiad'!U22+'3.1. PH'!U46+'4.1. Vesz'!U43+'5. Eszi'!U43+'6.1. Óvoda'!U43+'6.2. Kalandpark'!U43+'6.3. KLMK'!U43+'6.4. Könyvtár'!U43+'5F Segítő Kéz'!U43+'5G Szérüskert'!U43</f>
        <v>0</v>
      </c>
      <c r="V16" s="630">
        <f>'2.2. Önk kiad'!V22+'3.1. PH'!V46+'4.1. Vesz'!V43+'5. Eszi'!V43+'6.1. Óvoda'!V43+'6.2. Kalandpark'!V43+'6.3. KLMK'!V43+'6.4. Könyvtár'!V43+'5F Segítő Kéz'!V43+'5G Szérüskert'!V43</f>
        <v>0</v>
      </c>
      <c r="W16" s="630">
        <f>SUM(T16:V16)</f>
        <v>151643</v>
      </c>
      <c r="Y16" s="630">
        <f>+'2.2. Önk kiad'!AA22+'3.1. PH'!Y46+'4.1. Vesz'!X43+'5. Eszi'!X43+'6.1. Óvoda'!X43+'6.2. Kalandpark'!X43+'6.3. KLMK'!Y43+'6.4. Könyvtár'!X43</f>
        <v>4768834</v>
      </c>
      <c r="Z16" s="630">
        <f>'2.2. Önk kiad'!Z22+'3.1. PH'!Z46+'4.1. Vesz'!Z43+'5. Eszi'!Z43+'6.1. Óvoda'!Z43+'6.2. Kalandpark'!Z43+'6.3. KLMK'!Z43+'6.4. Könyvtár'!Z43</f>
        <v>0</v>
      </c>
      <c r="AA16" s="630"/>
      <c r="AB16" s="630">
        <f>SUM(Y16:AA16)</f>
        <v>4768834</v>
      </c>
      <c r="AC16" s="630">
        <f>+'2.2. Önk kiad'!AE22+'3.1. PH'!AC46+'4.1. Vesz'!AB43+'5. Eszi'!AB43+'6.1. Óvoda'!AB43+'6.2. Kalandpark'!AB43+'6.3. KLMK'!AC43+'6.4. Könyvtár'!AB43+78</f>
        <v>4986987</v>
      </c>
      <c r="AD16" s="630">
        <v>0</v>
      </c>
      <c r="AE16" s="630">
        <v>0</v>
      </c>
      <c r="AF16" s="630">
        <f>SUM(AC16:AE16)</f>
        <v>4986987</v>
      </c>
      <c r="AG16" s="630">
        <f>+'2.2. Önk kiad'!AI22+'3.1. PH'!AG46+'4.1. Vesz'!AF43+'5. Eszi'!AF43+'6.1. Óvoda'!AF43+'6.2. Kalandpark'!AF43+'6.3. KLMK'!AG43+'6.4. Könyvtár'!AF43+1</f>
        <v>4405300</v>
      </c>
      <c r="AH16" s="630">
        <f>+'2.2. Önk kiad'!AJ22+'3.1. PH'!AH46+'4.1. Vesz'!AG43+'5. Eszi'!AG43+'6.1. Óvoda'!AG43+'6.2. Kalandpark'!AG43+'6.3. KLMK'!AH43+'6.4. Könyvtár'!AG43</f>
        <v>0</v>
      </c>
      <c r="AI16" s="630"/>
      <c r="AJ16" s="630">
        <f>SUM(AG16:AI16)</f>
        <v>4405300</v>
      </c>
      <c r="AK16" s="630">
        <f>+'2.2. Önk kiad'!AM22+'3.1. PH'!AK46+'4.1. Vesz'!AJ43+'5. Eszi'!AJ43+'6.1. Óvoda'!AJ43+'6.2. Kalandpark'!AJ43+'6.3. KLMK'!AK43+'6.4. Könyvtár'!AJ43</f>
        <v>457733</v>
      </c>
      <c r="AL16" s="630">
        <v>0</v>
      </c>
      <c r="AM16" s="630">
        <f>+'2.2. Önk kiad'!AO22+'3.1. PH'!AM46+'4.1. Vesz'!AL43+'5. Eszi'!AL43+'6.1. Óvoda'!AL43+'6.2. Kalandpark'!AL43+'6.3. KLMK'!AM43+'6.4. Könyvtár'!AL43+78</f>
        <v>78</v>
      </c>
      <c r="AN16" s="630">
        <f>SUM(AK16:AM16)-2</f>
        <v>457809</v>
      </c>
    </row>
    <row r="17" spans="1:40" x14ac:dyDescent="0.25">
      <c r="A17" s="627" t="s">
        <v>322</v>
      </c>
      <c r="B17" s="628" t="s">
        <v>342</v>
      </c>
      <c r="C17" s="629"/>
      <c r="D17" s="630">
        <f>'2.2. Önk kiad'!D23+'3.1. PH'!D47+'4.1. Vesz'!D44+'5. Eszi'!D44+'6.1. Óvoda'!D44+'6.2. Kalandpark'!D44+'6.3. KLMK'!D44+'6.4. Könyvtár'!D44</f>
        <v>50000</v>
      </c>
      <c r="E17" s="630">
        <f>'2.2. Önk kiad'!E23+'3.1. PH'!E47+'4.1. Vesz'!E44+'5. Eszi'!E44+'6.1. Óvoda'!E44+'6.2. Kalandpark'!E44+'6.3. KLMK'!E44+'6.4. Könyvtár'!E44+'5F Segítő Kéz'!E44+'5G Szérüskert'!E44</f>
        <v>0</v>
      </c>
      <c r="F17" s="630">
        <f>'2.2. Önk kiad'!F23+'3.1. PH'!F47+'4.1. Vesz'!F44+'5. Eszi'!F44+'6.1. Óvoda'!F44+'6.2. Kalandpark'!F44+'6.3. KLMK'!F44+'6.4. Könyvtár'!F44+'5F Segítő Kéz'!F44+'5G Szérüskert'!F44</f>
        <v>0</v>
      </c>
      <c r="G17" s="630">
        <f t="shared" ref="G17:G18" si="32">SUM(D17:F17)</f>
        <v>50000</v>
      </c>
      <c r="H17" s="630">
        <f>'2.2. Önk kiad'!H23+'3.1. PH'!H47+'4.1. Vesz'!H44+'5. Eszi'!H44+'6.1. Óvoda'!H44+'6.2. Kalandpark'!H44+'6.3. KLMK'!H44+'6.4. Könyvtár'!H44</f>
        <v>1810736</v>
      </c>
      <c r="I17" s="630">
        <f>'2.2. Önk kiad'!I23+'3.1. PH'!I47+'4.1. Vesz'!I44+'5. Eszi'!I44+'6.1. Óvoda'!I44+'6.2. Kalandpark'!I44+'6.3. KLMK'!I44+'6.4. Könyvtár'!I44+'5F Segítő Kéz'!I44+'5G Szérüskert'!I44</f>
        <v>0</v>
      </c>
      <c r="J17" s="630">
        <f>'2.2. Önk kiad'!J23+'3.1. PH'!J47+'4.1. Vesz'!J44+'5. Eszi'!J44+'6.1. Óvoda'!J44+'6.2. Kalandpark'!J44+'6.3. KLMK'!J44+'6.4. Könyvtár'!J44+'5F Segítő Kéz'!J44+'5G Szérüskert'!J44</f>
        <v>0</v>
      </c>
      <c r="K17" s="630">
        <f t="shared" ref="K17:K18" si="33">SUM(H17:J17)</f>
        <v>1810736</v>
      </c>
      <c r="L17" s="630">
        <f>'2.2. Önk kiad'!L23+'3.1. PH'!L47+'4.1. Vesz'!L44+'5. Eszi'!L44+'6.1. Óvoda'!L44+'6.2. Kalandpark'!L44+'6.3. KLMK'!L44+'6.4. Könyvtár'!L44</f>
        <v>1829836</v>
      </c>
      <c r="M17" s="630">
        <f>'2.2. Önk kiad'!M23+'3.1. PH'!M47+'4.1. Vesz'!M44+'5. Eszi'!M44+'6.1. Óvoda'!M44+'6.2. Kalandpark'!M44+'6.3. KLMK'!M44+'6.4. Könyvtár'!M44</f>
        <v>0</v>
      </c>
      <c r="N17" s="630">
        <f>'2.2. Önk kiad'!N23+'3.1. PH'!N47+'4.1. Vesz'!N44+'5. Eszi'!N44+'6.1. Óvoda'!N44+'6.2. Kalandpark'!N44+'6.3. KLMK'!N44+'6.4. Könyvtár'!N44</f>
        <v>0</v>
      </c>
      <c r="O17" s="630">
        <f t="shared" ref="O17:O18" si="34">SUM(L17:N17)</f>
        <v>1829836</v>
      </c>
      <c r="P17" s="630"/>
      <c r="Q17" s="630"/>
      <c r="R17" s="630"/>
      <c r="S17" s="630"/>
      <c r="T17" s="630">
        <f>'2.2. Önk kiad'!T23+'3.1. PH'!T47+'4.1. Vesz'!T44+'5. Eszi'!T44+'6.1. Óvoda'!T44+'6.2. Kalandpark'!T44+'6.3. KLMK'!T44+'6.4. Könyvtár'!T44+'5F Segítő Kéz'!T44+'5G Szérüskert'!T44</f>
        <v>195222</v>
      </c>
      <c r="U17" s="630">
        <f>'2.2. Önk kiad'!U23+'3.1. PH'!U47+'4.1. Vesz'!U44+'5. Eszi'!U44+'6.1. Óvoda'!U44+'6.2. Kalandpark'!U44+'6.3. KLMK'!U44+'6.4. Könyvtár'!U44+'5F Segítő Kéz'!U44+'5G Szérüskert'!U44</f>
        <v>0</v>
      </c>
      <c r="V17" s="630">
        <f>'2.2. Önk kiad'!V23+'3.1. PH'!V47+'4.1. Vesz'!V44+'5. Eszi'!V44+'6.1. Óvoda'!V44+'6.2. Kalandpark'!V44+'6.3. KLMK'!V44+'6.4. Könyvtár'!V44+'5F Segítő Kéz'!V44+'5G Szérüskert'!V44</f>
        <v>0</v>
      </c>
      <c r="W17" s="630">
        <f t="shared" ref="W17:W23" si="35">SUM(T17:V17)</f>
        <v>195222</v>
      </c>
      <c r="Y17" s="630">
        <f>+'2.2. Önk kiad'!AA23+'3.1. PH'!Y47+'4.1. Vesz'!X44+'5. Eszi'!X44+'6.1. Óvoda'!X44+'6.2. Kalandpark'!X44+'6.3. KLMK'!Y44+'6.4. Könyvtár'!X44</f>
        <v>139260</v>
      </c>
      <c r="Z17" s="630">
        <f>'2.2. Önk kiad'!Z23+'3.1. PH'!Z47+'4.1. Vesz'!Z44+'5. Eszi'!Z44+'6.1. Óvoda'!Z44+'6.2. Kalandpark'!Z44+'6.3. KLMK'!Z44+'6.4. Könyvtár'!Z44</f>
        <v>0</v>
      </c>
      <c r="AA17" s="630"/>
      <c r="AB17" s="630">
        <f t="shared" ref="AB17:AB18" si="36">SUM(Y17:AA17)</f>
        <v>139260</v>
      </c>
      <c r="AC17" s="630">
        <f>+'2.2. Önk kiad'!AE23+'3.1. PH'!AC47+'4.1. Vesz'!AB44+'5. Eszi'!AB44+'6.1. Óvoda'!AB44+'6.2. Kalandpark'!AB44+'6.3. KLMK'!AC44+'6.4. Könyvtár'!AB44</f>
        <v>1018980</v>
      </c>
      <c r="AD17" s="630">
        <f>+'2.2. Önk kiad'!AF23+'3.1. PH'!AD47+'4.1. Vesz'!AC44+'5. Eszi'!AC44+'6.1. Óvoda'!AC44+'6.2. Kalandpark'!AC44+'6.3. KLMK'!AD44+'6.4. Könyvtár'!AC44</f>
        <v>0</v>
      </c>
      <c r="AE17" s="630">
        <f>+'2.2. Önk kiad'!AG23+'3.1. PH'!AE47+'4.1. Vesz'!AD44+'5. Eszi'!AD44+'6.1. Óvoda'!AD44+'6.2. Kalandpark'!AD44+'6.3. KLMK'!AE44+'6.4. Könyvtár'!AD44</f>
        <v>0</v>
      </c>
      <c r="AF17" s="630">
        <f t="shared" ref="AF17:AF18" si="37">SUM(AC17:AE17)</f>
        <v>1018980</v>
      </c>
      <c r="AG17" s="630">
        <f>+'2.2. Önk kiad'!AI23+'3.1. PH'!AG47+'4.1. Vesz'!AF44+'5. Eszi'!AF44+'6.1. Óvoda'!AF44+'6.2. Kalandpark'!AF44+'6.3. KLMK'!AG44+'6.4. Könyvtár'!AF44-1</f>
        <v>1751810</v>
      </c>
      <c r="AH17" s="630">
        <f>+'2.2. Önk kiad'!AJ23+'3.1. PH'!AH47+'4.1. Vesz'!AG44+'5. Eszi'!AG44+'6.1. Óvoda'!AG44+'6.2. Kalandpark'!AG44+'6.3. KLMK'!AH44+'6.4. Könyvtár'!AG44</f>
        <v>0</v>
      </c>
      <c r="AI17" s="630"/>
      <c r="AJ17" s="630">
        <f t="shared" ref="AJ17:AJ18" si="38">SUM(AG17:AI17)</f>
        <v>1751810</v>
      </c>
      <c r="AK17" s="630">
        <f>+'2.2. Önk kiad'!AM23+'3.1. PH'!AK47+'4.1. Vesz'!AJ44+'5. Eszi'!AJ44+'6.1. Óvoda'!AJ44+'6.2. Kalandpark'!AJ44+'6.3. KLMK'!AK44+'6.4. Könyvtár'!AJ44</f>
        <v>555509</v>
      </c>
      <c r="AL17" s="630">
        <f>+'2.2. Önk kiad'!AN23+'3.1. PH'!AL47+'4.1. Vesz'!AK44+'5. Eszi'!AK44+'6.1. Óvoda'!AK44+'6.2. Kalandpark'!AK44+'6.3. KLMK'!AL44+'6.4. Könyvtár'!AK44</f>
        <v>0</v>
      </c>
      <c r="AM17" s="630">
        <f>+'2.2. Önk kiad'!AO23+'3.1. PH'!AM47+'4.1. Vesz'!AL44+'5. Eszi'!AL44+'6.1. Óvoda'!AL44+'6.2. Kalandpark'!AL44+'6.3. KLMK'!AM44+'6.4. Könyvtár'!AL44</f>
        <v>0</v>
      </c>
      <c r="AN17" s="630">
        <f t="shared" ref="AN17:AN18" si="39">SUM(AK17:AM17)</f>
        <v>555509</v>
      </c>
    </row>
    <row r="18" spans="1:40" x14ac:dyDescent="0.25">
      <c r="A18" s="627" t="s">
        <v>315</v>
      </c>
      <c r="B18" s="628" t="s">
        <v>343</v>
      </c>
      <c r="C18" s="629"/>
      <c r="D18" s="630">
        <f>'2.2. Önk kiad'!D24+'3.1. PH'!D48+'4.1. Vesz'!D45+'5. Eszi'!D45+'6.1. Óvoda'!D45+'6.2. Kalandpark'!D45+'6.3. KLMK'!D45+'6.4. Könyvtár'!D45</f>
        <v>3200</v>
      </c>
      <c r="E18" s="630">
        <f>'2.2. Önk kiad'!E24+'3.1. PH'!E48+'4.1. Vesz'!E45+'5. Eszi'!E45+'6.1. Óvoda'!E45+'6.2. Kalandpark'!E45+'6.3. KLMK'!E45+'6.4. Könyvtár'!E45+'5F Segítő Kéz'!E45+'5G Szérüskert'!E45</f>
        <v>3600</v>
      </c>
      <c r="F18" s="630">
        <f>'2.2. Önk kiad'!F24+'3.1. PH'!F48+'4.1. Vesz'!F45+'5. Eszi'!F45+'6.1. Óvoda'!F45+'6.2. Kalandpark'!F45+'6.3. KLMK'!F45+'6.4. Könyvtár'!F45+'5F Segítő Kéz'!F45+'5G Szérüskert'!F45</f>
        <v>0</v>
      </c>
      <c r="G18" s="630">
        <f t="shared" si="32"/>
        <v>6800</v>
      </c>
      <c r="H18" s="630">
        <f>'2.2. Önk kiad'!H24+'3.1. PH'!H48+'4.1. Vesz'!H45+'5. Eszi'!H45+'6.1. Óvoda'!H45+'6.2. Kalandpark'!H45+'6.3. KLMK'!H45+'6.4. Könyvtár'!H45</f>
        <v>2236</v>
      </c>
      <c r="I18" s="630">
        <f>'2.2. Önk kiad'!I24+'3.1. PH'!I48+'4.1. Vesz'!I45+'5. Eszi'!I45+'6.1. Óvoda'!I45+'6.2. Kalandpark'!I45+'6.3. KLMK'!I45+'6.4. Könyvtár'!I45+'5F Segítő Kéz'!I45+'5G Szérüskert'!I45</f>
        <v>3600</v>
      </c>
      <c r="J18" s="630">
        <f>'2.2. Önk kiad'!J24+'3.1. PH'!J48+'4.1. Vesz'!J45+'5. Eszi'!J45+'6.1. Óvoda'!J45+'6.2. Kalandpark'!J45+'6.3. KLMK'!J45+'6.4. Könyvtár'!J45+'5F Segítő Kéz'!J45+'5G Szérüskert'!J45</f>
        <v>0</v>
      </c>
      <c r="K18" s="630">
        <f t="shared" si="33"/>
        <v>5836</v>
      </c>
      <c r="L18" s="629">
        <f>'2.2. Önk kiad'!L24+'3.1. PH'!L48+'4.1. Vesz'!L45+'5. Eszi'!L45+'6.1. Óvoda'!L45+'6.2. Kalandpark'!L45+'6.3. KLMK'!L45+'6.4. Könyvtár'!L45</f>
        <v>1736</v>
      </c>
      <c r="M18" s="629">
        <f>'2.2. Önk kiad'!M24+'3.1. PH'!M48+'4.1. Vesz'!M45+'5. Eszi'!M45+'6.1. Óvoda'!M45+'6.2. Kalandpark'!M45+'6.3. KLMK'!M45+'6.4. Könyvtár'!M45</f>
        <v>4100</v>
      </c>
      <c r="N18" s="629">
        <f>'2.2. Önk kiad'!N24+'3.1. PH'!N48+'4.1. Vesz'!N45+'5. Eszi'!N45+'6.1. Óvoda'!N45+'6.2. Kalandpark'!N45+'6.3. KLMK'!N45+'6.4. Könyvtár'!N45</f>
        <v>0</v>
      </c>
      <c r="O18" s="630">
        <f t="shared" si="34"/>
        <v>5836</v>
      </c>
      <c r="P18" s="629"/>
      <c r="Q18" s="629"/>
      <c r="R18" s="629"/>
      <c r="S18" s="629"/>
      <c r="T18" s="629">
        <f>'2.2. Önk kiad'!T24+'3.1. PH'!T48+'4.1. Vesz'!T45+'5. Eszi'!T45+'6.1. Óvoda'!T45+'6.2. Kalandpark'!T45+'6.3. KLMK'!T45+'6.4. Könyvtár'!T45+'5F Segítő Kéz'!T45+'5G Szérüskert'!T45</f>
        <v>0</v>
      </c>
      <c r="U18" s="630">
        <f>'2.2. Önk kiad'!U24+'3.1. PH'!U48+'4.1. Vesz'!U45+'5. Eszi'!U45+'6.1. Óvoda'!U45+'6.2. Kalandpark'!U45+'6.3. KLMK'!U45+'6.4. Könyvtár'!U45+'5F Segítő Kéz'!U45+'5G Szérüskert'!U45</f>
        <v>0</v>
      </c>
      <c r="V18" s="629">
        <f>'2.2. Önk kiad'!V24+'3.1. PH'!V48+'4.1. Vesz'!V45+'5. Eszi'!V45+'6.1. Óvoda'!V45+'6.2. Kalandpark'!V45+'6.3. KLMK'!V45+'6.4. Könyvtár'!V45+'5F Segítő Kéz'!V45+'5G Szérüskert'!V45</f>
        <v>0</v>
      </c>
      <c r="W18" s="629">
        <f t="shared" si="35"/>
        <v>0</v>
      </c>
      <c r="Y18" s="630">
        <f>+'2.2. Önk kiad'!AA24+'3.1. PH'!Y48+'4.1. Vesz'!X45+'5. Eszi'!X45+'6.1. Óvoda'!X45+'6.2. Kalandpark'!X45+'6.3. KLMK'!Y45+'6.4. Könyvtár'!X45</f>
        <v>3200</v>
      </c>
      <c r="Z18" s="630">
        <f>+'2.2. Önk kiad'!AB24</f>
        <v>3600</v>
      </c>
      <c r="AA18" s="629"/>
      <c r="AB18" s="630">
        <f t="shared" si="36"/>
        <v>6800</v>
      </c>
      <c r="AC18" s="630">
        <f>+'2.2. Önk kiad'!AE24+'3.1. PH'!AC48+'4.1. Vesz'!AB45+'5. Eszi'!AB45+'6.1. Óvoda'!AB45+'6.2. Kalandpark'!AB45+'6.3. KLMK'!AC45+'6.4. Könyvtár'!AB45</f>
        <v>1550</v>
      </c>
      <c r="AD18" s="630">
        <f>+'2.2. Önk kiad'!AF24+'3.1. PH'!AD48+'4.1. Vesz'!AC45+'5. Eszi'!AC45+'6.1. Óvoda'!AC45+'6.2. Kalandpark'!AC45+'6.3. KLMK'!AD45+'6.4. Könyvtár'!AC45</f>
        <v>3600</v>
      </c>
      <c r="AE18" s="630">
        <f>+'2.2. Önk kiad'!AG24+'3.1. PH'!AE48+'4.1. Vesz'!AD45+'5. Eszi'!AD45+'6.1. Óvoda'!AD45+'6.2. Kalandpark'!AD45+'6.3. KLMK'!AE45+'6.4. Könyvtár'!AD45</f>
        <v>0</v>
      </c>
      <c r="AF18" s="630">
        <f t="shared" si="37"/>
        <v>5150</v>
      </c>
      <c r="AG18" s="630">
        <f>+'2.2. Önk kiad'!AI24+'3.1. PH'!AG48+'4.1. Vesz'!AF45+'5. Eszi'!AF45+'6.1. Óvoda'!AF45+'6.2. Kalandpark'!AF45+'6.3. KLMK'!AG45+'6.4. Könyvtár'!AF45</f>
        <v>2050</v>
      </c>
      <c r="AH18" s="630">
        <f>+'2.2. Önk kiad'!AJ24+'3.1. PH'!AH48+'4.1. Vesz'!AG45+'5. Eszi'!AG45+'6.1. Óvoda'!AG45+'6.2. Kalandpark'!AG45+'6.3. KLMK'!AH45+'6.4. Könyvtár'!AG45</f>
        <v>3600</v>
      </c>
      <c r="AI18" s="629"/>
      <c r="AJ18" s="630">
        <f t="shared" si="38"/>
        <v>5650</v>
      </c>
      <c r="AK18" s="630">
        <f>+'2.2. Önk kiad'!AM24+'3.1. PH'!AK48+'4.1. Vesz'!AJ45+'5. Eszi'!AJ45+'6.1. Óvoda'!AJ45+'6.2. Kalandpark'!AJ45+'6.3. KLMK'!AK45+'6.4. Könyvtár'!AJ45</f>
        <v>0</v>
      </c>
      <c r="AL18" s="630">
        <f>+'2.2. Önk kiad'!AN24+'3.1. PH'!AL48+'4.1. Vesz'!AK45+'5. Eszi'!AK45+'6.1. Óvoda'!AK45+'6.2. Kalandpark'!AK45+'6.3. KLMK'!AL45+'6.4. Könyvtár'!AK45</f>
        <v>600</v>
      </c>
      <c r="AM18" s="630">
        <f>+'2.2. Önk kiad'!AO24+'3.1. PH'!AM48+'4.1. Vesz'!AL45+'5. Eszi'!AL45+'6.1. Óvoda'!AL45+'6.2. Kalandpark'!AL45+'6.3. KLMK'!AM45+'6.4. Könyvtár'!AL45</f>
        <v>0</v>
      </c>
      <c r="AN18" s="630">
        <f t="shared" si="39"/>
        <v>600</v>
      </c>
    </row>
    <row r="19" spans="1:40" ht="30" hidden="1" x14ac:dyDescent="0.25">
      <c r="A19" s="471"/>
      <c r="B19" s="472" t="s">
        <v>674</v>
      </c>
      <c r="C19" s="473"/>
      <c r="D19" s="473"/>
      <c r="E19" s="473"/>
      <c r="F19" s="473"/>
      <c r="G19" s="473">
        <f t="shared" si="18"/>
        <v>0</v>
      </c>
      <c r="H19" s="473"/>
      <c r="I19" s="473"/>
      <c r="J19" s="473"/>
      <c r="K19" s="473">
        <f t="shared" ref="K19:K35" si="40">SUM(H19:J19)</f>
        <v>0</v>
      </c>
      <c r="L19" s="473"/>
      <c r="M19" s="473"/>
      <c r="N19" s="473"/>
      <c r="O19" s="473">
        <f t="shared" ref="O19:O23" si="41">SUM(L19:N19)</f>
        <v>0</v>
      </c>
      <c r="P19" s="473"/>
      <c r="Q19" s="473"/>
      <c r="R19" s="473"/>
      <c r="S19" s="473">
        <f t="shared" ref="S19:S23" si="42">SUM(P19:R19)</f>
        <v>0</v>
      </c>
      <c r="T19" s="473"/>
      <c r="U19" s="473"/>
      <c r="V19" s="473"/>
      <c r="W19" s="473">
        <f t="shared" si="35"/>
        <v>0</v>
      </c>
      <c r="Y19" s="473"/>
      <c r="Z19" s="473"/>
      <c r="AA19" s="473"/>
      <c r="AB19" s="473">
        <f t="shared" ref="AB19:AB23" si="43">SUM(Y19:AA19)</f>
        <v>0</v>
      </c>
      <c r="AC19" s="473"/>
      <c r="AD19" s="473"/>
      <c r="AE19" s="473"/>
      <c r="AF19" s="473">
        <v>0</v>
      </c>
      <c r="AG19" s="473"/>
      <c r="AH19" s="473"/>
      <c r="AI19" s="473"/>
      <c r="AJ19" s="473">
        <v>0</v>
      </c>
      <c r="AK19" s="473"/>
      <c r="AL19" s="473"/>
      <c r="AM19" s="473"/>
      <c r="AN19" s="473">
        <v>0</v>
      </c>
    </row>
    <row r="20" spans="1:40" ht="30" hidden="1" x14ac:dyDescent="0.25">
      <c r="A20" s="471"/>
      <c r="B20" s="472" t="s">
        <v>675</v>
      </c>
      <c r="C20" s="473"/>
      <c r="D20" s="473"/>
      <c r="E20" s="473"/>
      <c r="F20" s="473"/>
      <c r="G20" s="473">
        <f t="shared" si="18"/>
        <v>0</v>
      </c>
      <c r="H20" s="473"/>
      <c r="I20" s="473"/>
      <c r="J20" s="473"/>
      <c r="K20" s="473">
        <f t="shared" si="40"/>
        <v>0</v>
      </c>
      <c r="L20" s="473"/>
      <c r="M20" s="473"/>
      <c r="N20" s="473"/>
      <c r="O20" s="473">
        <f t="shared" si="41"/>
        <v>0</v>
      </c>
      <c r="P20" s="473"/>
      <c r="Q20" s="473"/>
      <c r="R20" s="473"/>
      <c r="S20" s="473">
        <f t="shared" si="42"/>
        <v>0</v>
      </c>
      <c r="T20" s="473"/>
      <c r="U20" s="473"/>
      <c r="V20" s="473"/>
      <c r="W20" s="473">
        <f t="shared" si="35"/>
        <v>0</v>
      </c>
      <c r="Y20" s="473"/>
      <c r="Z20" s="473"/>
      <c r="AA20" s="473"/>
      <c r="AB20" s="473">
        <f t="shared" si="43"/>
        <v>0</v>
      </c>
      <c r="AC20" s="473"/>
      <c r="AD20" s="473"/>
      <c r="AE20" s="473"/>
      <c r="AF20" s="473">
        <v>0</v>
      </c>
      <c r="AG20" s="473"/>
      <c r="AH20" s="473"/>
      <c r="AI20" s="473"/>
      <c r="AJ20" s="473">
        <v>0</v>
      </c>
      <c r="AK20" s="473"/>
      <c r="AL20" s="473"/>
      <c r="AM20" s="473"/>
      <c r="AN20" s="473">
        <v>0</v>
      </c>
    </row>
    <row r="21" spans="1:40" hidden="1" x14ac:dyDescent="0.25">
      <c r="A21" s="471"/>
      <c r="B21" s="472" t="s">
        <v>676</v>
      </c>
      <c r="C21" s="473"/>
      <c r="D21" s="473"/>
      <c r="E21" s="473"/>
      <c r="F21" s="473"/>
      <c r="G21" s="473">
        <f t="shared" si="18"/>
        <v>0</v>
      </c>
      <c r="H21" s="473"/>
      <c r="I21" s="473"/>
      <c r="J21" s="473"/>
      <c r="K21" s="473">
        <f t="shared" si="40"/>
        <v>0</v>
      </c>
      <c r="L21" s="473"/>
      <c r="M21" s="473"/>
      <c r="N21" s="473"/>
      <c r="O21" s="473">
        <f t="shared" si="41"/>
        <v>0</v>
      </c>
      <c r="P21" s="473"/>
      <c r="Q21" s="473"/>
      <c r="R21" s="473"/>
      <c r="S21" s="473">
        <f t="shared" si="42"/>
        <v>0</v>
      </c>
      <c r="T21" s="473"/>
      <c r="U21" s="473"/>
      <c r="V21" s="473"/>
      <c r="W21" s="473">
        <f t="shared" si="35"/>
        <v>0</v>
      </c>
      <c r="Y21" s="473"/>
      <c r="Z21" s="473"/>
      <c r="AA21" s="473"/>
      <c r="AB21" s="473">
        <f t="shared" si="43"/>
        <v>0</v>
      </c>
      <c r="AC21" s="473"/>
      <c r="AD21" s="473"/>
      <c r="AE21" s="473"/>
      <c r="AF21" s="473">
        <v>0</v>
      </c>
      <c r="AG21" s="473"/>
      <c r="AH21" s="473"/>
      <c r="AI21" s="473"/>
      <c r="AJ21" s="473">
        <v>0</v>
      </c>
      <c r="AK21" s="473"/>
      <c r="AL21" s="473"/>
      <c r="AM21" s="473"/>
      <c r="AN21" s="473">
        <v>0</v>
      </c>
    </row>
    <row r="22" spans="1:40" ht="30" hidden="1" x14ac:dyDescent="0.25">
      <c r="A22" s="471"/>
      <c r="B22" s="472" t="s">
        <v>677</v>
      </c>
      <c r="C22" s="473"/>
      <c r="D22" s="473"/>
      <c r="E22" s="473"/>
      <c r="F22" s="473"/>
      <c r="G22" s="473">
        <f t="shared" si="18"/>
        <v>0</v>
      </c>
      <c r="H22" s="473"/>
      <c r="I22" s="473"/>
      <c r="J22" s="473"/>
      <c r="K22" s="473">
        <f t="shared" si="40"/>
        <v>0</v>
      </c>
      <c r="L22" s="473"/>
      <c r="M22" s="473"/>
      <c r="N22" s="473"/>
      <c r="O22" s="473">
        <f t="shared" si="41"/>
        <v>0</v>
      </c>
      <c r="P22" s="473"/>
      <c r="Q22" s="473"/>
      <c r="R22" s="473"/>
      <c r="S22" s="473">
        <f t="shared" si="42"/>
        <v>0</v>
      </c>
      <c r="T22" s="473"/>
      <c r="U22" s="473"/>
      <c r="V22" s="473"/>
      <c r="W22" s="473">
        <f t="shared" si="35"/>
        <v>0</v>
      </c>
      <c r="Y22" s="473"/>
      <c r="Z22" s="473"/>
      <c r="AA22" s="473"/>
      <c r="AB22" s="473">
        <f t="shared" si="43"/>
        <v>0</v>
      </c>
      <c r="AC22" s="473"/>
      <c r="AD22" s="473"/>
      <c r="AE22" s="473"/>
      <c r="AF22" s="473">
        <v>0</v>
      </c>
      <c r="AG22" s="473"/>
      <c r="AH22" s="473"/>
      <c r="AI22" s="473"/>
      <c r="AJ22" s="473">
        <v>0</v>
      </c>
      <c r="AK22" s="473"/>
      <c r="AL22" s="473"/>
      <c r="AM22" s="473"/>
      <c r="AN22" s="473">
        <v>0</v>
      </c>
    </row>
    <row r="23" spans="1:40" ht="30" hidden="1" x14ac:dyDescent="0.25">
      <c r="A23" s="471"/>
      <c r="B23" s="472" t="s">
        <v>678</v>
      </c>
      <c r="C23" s="473"/>
      <c r="D23" s="473"/>
      <c r="E23" s="473"/>
      <c r="F23" s="473"/>
      <c r="G23" s="473">
        <f t="shared" si="18"/>
        <v>0</v>
      </c>
      <c r="H23" s="473"/>
      <c r="I23" s="473"/>
      <c r="J23" s="473"/>
      <c r="K23" s="473">
        <f t="shared" si="40"/>
        <v>0</v>
      </c>
      <c r="L23" s="473"/>
      <c r="M23" s="473"/>
      <c r="N23" s="473"/>
      <c r="O23" s="473">
        <f t="shared" si="41"/>
        <v>0</v>
      </c>
      <c r="P23" s="473"/>
      <c r="Q23" s="473"/>
      <c r="R23" s="473"/>
      <c r="S23" s="473">
        <f t="shared" si="42"/>
        <v>0</v>
      </c>
      <c r="T23" s="473"/>
      <c r="U23" s="473"/>
      <c r="V23" s="473"/>
      <c r="W23" s="473">
        <f t="shared" si="35"/>
        <v>0</v>
      </c>
      <c r="Y23" s="473"/>
      <c r="Z23" s="473"/>
      <c r="AA23" s="473"/>
      <c r="AB23" s="473">
        <f t="shared" si="43"/>
        <v>0</v>
      </c>
      <c r="AC23" s="473"/>
      <c r="AD23" s="473"/>
      <c r="AE23" s="473"/>
      <c r="AF23" s="473">
        <v>0</v>
      </c>
      <c r="AG23" s="473"/>
      <c r="AH23" s="473"/>
      <c r="AI23" s="473"/>
      <c r="AJ23" s="473">
        <v>0</v>
      </c>
      <c r="AK23" s="473"/>
      <c r="AL23" s="473"/>
      <c r="AM23" s="473"/>
      <c r="AN23" s="473">
        <v>0</v>
      </c>
    </row>
    <row r="24" spans="1:40" x14ac:dyDescent="0.25">
      <c r="A24" s="631"/>
      <c r="B24" s="632" t="s">
        <v>588</v>
      </c>
      <c r="C24" s="633">
        <f t="shared" ref="C24" si="44">C4+C15</f>
        <v>0</v>
      </c>
      <c r="D24" s="633" t="e">
        <f t="shared" ref="D24:F24" si="45">D4+D15</f>
        <v>#REF!</v>
      </c>
      <c r="E24" s="633">
        <f t="shared" si="45"/>
        <v>80273</v>
      </c>
      <c r="F24" s="633">
        <f t="shared" si="45"/>
        <v>93015</v>
      </c>
      <c r="G24" s="633" t="e">
        <f t="shared" si="18"/>
        <v>#REF!</v>
      </c>
      <c r="H24" s="633">
        <f>H4+H15</f>
        <v>7957805</v>
      </c>
      <c r="I24" s="633">
        <f>I4+I15</f>
        <v>82353</v>
      </c>
      <c r="J24" s="633">
        <f t="shared" ref="J24" si="46">J4+J15</f>
        <v>99193</v>
      </c>
      <c r="K24" s="633">
        <f>SUM(H24:J24)</f>
        <v>8139351</v>
      </c>
      <c r="L24" s="633">
        <f>L4+L15</f>
        <v>8309712</v>
      </c>
      <c r="M24" s="633">
        <f>M4+M15</f>
        <v>80329</v>
      </c>
      <c r="N24" s="633">
        <f t="shared" ref="N24" si="47">N4+N15</f>
        <v>103243</v>
      </c>
      <c r="O24" s="633">
        <f>SUM(L24:N24)</f>
        <v>8493284</v>
      </c>
      <c r="P24" s="633">
        <f>P4+P15</f>
        <v>0</v>
      </c>
      <c r="Q24" s="633">
        <f>Q4+Q15</f>
        <v>0</v>
      </c>
      <c r="R24" s="633">
        <f t="shared" ref="R24" si="48">R4+R15</f>
        <v>0</v>
      </c>
      <c r="S24" s="633">
        <f>SUM(P24:R24)</f>
        <v>0</v>
      </c>
      <c r="T24" s="633">
        <f>T4+T15</f>
        <v>1155052</v>
      </c>
      <c r="U24" s="633">
        <f>U4+U15</f>
        <v>25907</v>
      </c>
      <c r="V24" s="633">
        <f t="shared" ref="V24" si="49">V4+V15</f>
        <v>1431924</v>
      </c>
      <c r="W24" s="633">
        <f>SUM(T24:V24)</f>
        <v>2612883</v>
      </c>
      <c r="Y24" s="633">
        <f>Y4+Y15</f>
        <v>7418406</v>
      </c>
      <c r="Z24" s="633">
        <f>Z4+Z15</f>
        <v>95755</v>
      </c>
      <c r="AA24" s="633">
        <f t="shared" ref="AA24" si="50">AA4+AA15</f>
        <v>99368</v>
      </c>
      <c r="AB24" s="633">
        <f>SUM(Y24:AA24)</f>
        <v>7613529</v>
      </c>
      <c r="AC24" s="633">
        <f>AC4+AC15</f>
        <v>9108174</v>
      </c>
      <c r="AD24" s="633">
        <f t="shared" ref="AD24:AE24" si="51">AD4+AD15</f>
        <v>95755</v>
      </c>
      <c r="AE24" s="633">
        <f t="shared" si="51"/>
        <v>99368</v>
      </c>
      <c r="AF24" s="633">
        <f>SUM(AC24:AE24)</f>
        <v>9303297</v>
      </c>
      <c r="AG24" s="633">
        <f>AG4+AG15</f>
        <v>9603051</v>
      </c>
      <c r="AH24" s="633">
        <f t="shared" ref="AH24:AI24" si="52">AH4+AH15</f>
        <v>128506</v>
      </c>
      <c r="AI24" s="633">
        <f t="shared" si="52"/>
        <v>102312</v>
      </c>
      <c r="AJ24" s="633">
        <f>SUM(AG24:AI24)</f>
        <v>9833869</v>
      </c>
      <c r="AK24" s="633">
        <f>AK4+AK15</f>
        <v>2654298</v>
      </c>
      <c r="AL24" s="633">
        <f t="shared" ref="AL24:AM24" si="53">AL4+AL15</f>
        <v>43067</v>
      </c>
      <c r="AM24" s="633">
        <f t="shared" si="53"/>
        <v>47643</v>
      </c>
      <c r="AN24" s="633">
        <f>SUM(AK24:AM24)</f>
        <v>2745008</v>
      </c>
    </row>
    <row r="25" spans="1:40" x14ac:dyDescent="0.25">
      <c r="A25" s="468" t="s">
        <v>328</v>
      </c>
      <c r="B25" s="469" t="s">
        <v>591</v>
      </c>
      <c r="C25" s="470">
        <f t="shared" ref="C25" si="54">C26+C32</f>
        <v>0</v>
      </c>
      <c r="D25" s="470">
        <f t="shared" ref="D25:F25" si="55">D26+D32</f>
        <v>35240</v>
      </c>
      <c r="E25" s="470">
        <f t="shared" si="55"/>
        <v>0</v>
      </c>
      <c r="F25" s="470">
        <f t="shared" si="55"/>
        <v>0</v>
      </c>
      <c r="G25" s="470">
        <f t="shared" si="18"/>
        <v>35240</v>
      </c>
      <c r="H25" s="470">
        <f t="shared" ref="H25:J25" si="56">H26+H32</f>
        <v>37022</v>
      </c>
      <c r="I25" s="470">
        <f t="shared" si="56"/>
        <v>0</v>
      </c>
      <c r="J25" s="470">
        <f t="shared" si="56"/>
        <v>0</v>
      </c>
      <c r="K25" s="470">
        <f t="shared" si="40"/>
        <v>37022</v>
      </c>
      <c r="L25" s="470">
        <f t="shared" ref="L25:N25" si="57">L26+L32</f>
        <v>35240</v>
      </c>
      <c r="M25" s="470">
        <f t="shared" si="57"/>
        <v>0</v>
      </c>
      <c r="N25" s="470">
        <f t="shared" si="57"/>
        <v>27555</v>
      </c>
      <c r="O25" s="470">
        <f t="shared" ref="O25:O35" si="58">SUM(L25:N25)</f>
        <v>62795</v>
      </c>
      <c r="P25" s="470">
        <f t="shared" ref="P25:R25" si="59">P26+P32</f>
        <v>0</v>
      </c>
      <c r="Q25" s="470">
        <f t="shared" si="59"/>
        <v>0</v>
      </c>
      <c r="R25" s="470">
        <f t="shared" si="59"/>
        <v>0</v>
      </c>
      <c r="S25" s="470">
        <f t="shared" ref="S25:S35" si="60">SUM(P25:R25)</f>
        <v>0</v>
      </c>
      <c r="T25" s="470">
        <f t="shared" ref="T25:V25" si="61">T26+T32</f>
        <v>8810</v>
      </c>
      <c r="U25" s="470">
        <f t="shared" si="61"/>
        <v>0</v>
      </c>
      <c r="V25" s="470">
        <f t="shared" si="61"/>
        <v>0</v>
      </c>
      <c r="W25" s="470">
        <f t="shared" ref="W25:W34" si="62">SUM(T25:V25)</f>
        <v>8810</v>
      </c>
      <c r="Y25" s="470">
        <f t="shared" ref="Y25:AE25" si="63">Y26+Y32</f>
        <v>59998</v>
      </c>
      <c r="Z25" s="470">
        <f t="shared" si="63"/>
        <v>0</v>
      </c>
      <c r="AA25" s="470">
        <f t="shared" si="63"/>
        <v>0</v>
      </c>
      <c r="AB25" s="470">
        <f t="shared" ref="AB25:AB28" si="64">SUM(Y25:AA25)</f>
        <v>59998</v>
      </c>
      <c r="AC25" s="470">
        <f t="shared" si="63"/>
        <v>96625</v>
      </c>
      <c r="AD25" s="470">
        <f t="shared" si="63"/>
        <v>0</v>
      </c>
      <c r="AE25" s="470">
        <f t="shared" si="63"/>
        <v>0</v>
      </c>
      <c r="AF25" s="470">
        <f>SUM(AC25:AE25)</f>
        <v>96625</v>
      </c>
      <c r="AG25" s="470">
        <f t="shared" ref="AG25:AI25" si="65">AG26+AG32</f>
        <v>96625</v>
      </c>
      <c r="AH25" s="470">
        <f t="shared" si="65"/>
        <v>0</v>
      </c>
      <c r="AI25" s="470">
        <f t="shared" si="65"/>
        <v>0</v>
      </c>
      <c r="AJ25" s="470">
        <f>SUM(AG25:AI25)</f>
        <v>96625</v>
      </c>
      <c r="AK25" s="470">
        <f t="shared" ref="AK25:AM25" si="66">AK26+AK32</f>
        <v>55236</v>
      </c>
      <c r="AL25" s="470">
        <f t="shared" si="66"/>
        <v>0</v>
      </c>
      <c r="AM25" s="470">
        <f t="shared" si="66"/>
        <v>0</v>
      </c>
      <c r="AN25" s="470">
        <f>SUM(AK25:AM25)</f>
        <v>55236</v>
      </c>
    </row>
    <row r="26" spans="1:40" x14ac:dyDescent="0.25">
      <c r="A26" s="631" t="s">
        <v>311</v>
      </c>
      <c r="B26" s="634" t="s">
        <v>594</v>
      </c>
      <c r="C26" s="633">
        <f>SUM(C27:C31)</f>
        <v>0</v>
      </c>
      <c r="D26" s="633">
        <f t="shared" ref="D26:F26" si="67">SUM(D27:D31)</f>
        <v>35240</v>
      </c>
      <c r="E26" s="633">
        <f t="shared" si="67"/>
        <v>0</v>
      </c>
      <c r="F26" s="633">
        <f t="shared" si="67"/>
        <v>0</v>
      </c>
      <c r="G26" s="633">
        <f t="shared" si="18"/>
        <v>35240</v>
      </c>
      <c r="H26" s="633">
        <f t="shared" ref="H26:J26" si="68">SUM(H27:H31)</f>
        <v>37022</v>
      </c>
      <c r="I26" s="633">
        <f t="shared" si="68"/>
        <v>0</v>
      </c>
      <c r="J26" s="633">
        <f t="shared" si="68"/>
        <v>0</v>
      </c>
      <c r="K26" s="633">
        <f t="shared" si="40"/>
        <v>37022</v>
      </c>
      <c r="L26" s="633">
        <f t="shared" ref="L26:N26" si="69">SUM(L27:L31)</f>
        <v>35240</v>
      </c>
      <c r="M26" s="633">
        <f t="shared" si="69"/>
        <v>0</v>
      </c>
      <c r="N26" s="633">
        <f t="shared" si="69"/>
        <v>27555</v>
      </c>
      <c r="O26" s="633">
        <f t="shared" si="58"/>
        <v>62795</v>
      </c>
      <c r="P26" s="633">
        <f t="shared" ref="P26:R26" si="70">SUM(P27:P31)</f>
        <v>0</v>
      </c>
      <c r="Q26" s="633">
        <f t="shared" si="70"/>
        <v>0</v>
      </c>
      <c r="R26" s="633">
        <f t="shared" si="70"/>
        <v>0</v>
      </c>
      <c r="S26" s="633">
        <f t="shared" si="60"/>
        <v>0</v>
      </c>
      <c r="T26" s="633">
        <f t="shared" ref="T26:V26" si="71">SUM(T27:T31)</f>
        <v>8810</v>
      </c>
      <c r="U26" s="633">
        <f t="shared" si="71"/>
        <v>0</v>
      </c>
      <c r="V26" s="633">
        <f t="shared" si="71"/>
        <v>0</v>
      </c>
      <c r="W26" s="633">
        <f t="shared" si="62"/>
        <v>8810</v>
      </c>
      <c r="Y26" s="633">
        <f t="shared" ref="Y26:AC26" si="72">SUM(Y27:Y31)</f>
        <v>59998</v>
      </c>
      <c r="Z26" s="633">
        <f t="shared" si="72"/>
        <v>0</v>
      </c>
      <c r="AA26" s="633">
        <f t="shared" si="72"/>
        <v>0</v>
      </c>
      <c r="AB26" s="633">
        <f t="shared" si="64"/>
        <v>59998</v>
      </c>
      <c r="AC26" s="633">
        <f t="shared" si="72"/>
        <v>96625</v>
      </c>
      <c r="AD26" s="633">
        <v>0</v>
      </c>
      <c r="AE26" s="633">
        <v>0</v>
      </c>
      <c r="AF26" s="633">
        <f>SUM(AC26:AE26)</f>
        <v>96625</v>
      </c>
      <c r="AG26" s="633">
        <f t="shared" ref="AG26" si="73">SUM(AG27:AG31)</f>
        <v>96625</v>
      </c>
      <c r="AH26" s="633">
        <v>0</v>
      </c>
      <c r="AI26" s="633">
        <v>0</v>
      </c>
      <c r="AJ26" s="633">
        <f>SUM(AG26:AI26)</f>
        <v>96625</v>
      </c>
      <c r="AK26" s="633">
        <f t="shared" ref="AK26" si="74">SUM(AK27:AK31)</f>
        <v>55236</v>
      </c>
      <c r="AL26" s="633">
        <v>0</v>
      </c>
      <c r="AM26" s="633">
        <v>0</v>
      </c>
      <c r="AN26" s="633">
        <f>SUM(AK26:AM26)</f>
        <v>55236</v>
      </c>
    </row>
    <row r="27" spans="1:40" ht="30" x14ac:dyDescent="0.25">
      <c r="A27" s="471"/>
      <c r="B27" s="478" t="s">
        <v>679</v>
      </c>
      <c r="C27" s="475">
        <f>'2.2. Önk kiad'!C33</f>
        <v>0</v>
      </c>
      <c r="D27" s="475">
        <f>'2.2. Önk kiad'!D33</f>
        <v>35240</v>
      </c>
      <c r="E27" s="475">
        <f>'2.2. Önk kiad'!E33</f>
        <v>0</v>
      </c>
      <c r="F27" s="475">
        <f>'2.2. Önk kiad'!F33</f>
        <v>0</v>
      </c>
      <c r="G27" s="475">
        <f t="shared" si="18"/>
        <v>35240</v>
      </c>
      <c r="H27" s="475">
        <f>'2.2. Önk kiad'!H33</f>
        <v>37022</v>
      </c>
      <c r="I27" s="475">
        <f>'2.2. Önk kiad'!I33</f>
        <v>0</v>
      </c>
      <c r="J27" s="475">
        <f>'2.2. Önk kiad'!J33</f>
        <v>0</v>
      </c>
      <c r="K27" s="475">
        <f t="shared" si="40"/>
        <v>37022</v>
      </c>
      <c r="L27" s="475">
        <f>'2.2. Önk kiad'!L33</f>
        <v>35240</v>
      </c>
      <c r="M27" s="475">
        <f>'2.2. Önk kiad'!M33</f>
        <v>0</v>
      </c>
      <c r="N27" s="475">
        <f>'2.2. Önk kiad'!N33</f>
        <v>0</v>
      </c>
      <c r="O27" s="475">
        <f t="shared" si="58"/>
        <v>35240</v>
      </c>
      <c r="P27" s="475">
        <f>'2.2. Önk kiad'!P33</f>
        <v>0</v>
      </c>
      <c r="Q27" s="475">
        <f>'2.2. Önk kiad'!Q33</f>
        <v>0</v>
      </c>
      <c r="R27" s="475">
        <f>'2.2. Önk kiad'!R33</f>
        <v>0</v>
      </c>
      <c r="S27" s="475">
        <f t="shared" si="60"/>
        <v>0</v>
      </c>
      <c r="T27" s="475">
        <f>'2.2. Önk kiad'!T33</f>
        <v>8810</v>
      </c>
      <c r="U27" s="475">
        <f>'2.2. Önk kiad'!U33</f>
        <v>0</v>
      </c>
      <c r="V27" s="475">
        <f>'2.2. Önk kiad'!V33</f>
        <v>0</v>
      </c>
      <c r="W27" s="475">
        <f t="shared" si="62"/>
        <v>8810</v>
      </c>
      <c r="Y27" s="475">
        <f>'2.2. Önk kiad'!AA33</f>
        <v>57860</v>
      </c>
      <c r="Z27" s="475">
        <f>'2.2. Önk kiad'!Z33</f>
        <v>0</v>
      </c>
      <c r="AA27" s="475"/>
      <c r="AB27" s="475">
        <f t="shared" si="64"/>
        <v>57860</v>
      </c>
      <c r="AC27" s="475">
        <v>65630</v>
      </c>
      <c r="AD27" s="475">
        <v>0</v>
      </c>
      <c r="AE27" s="475"/>
      <c r="AF27" s="475">
        <f>SUM(AC27:AE27)</f>
        <v>65630</v>
      </c>
      <c r="AG27" s="475">
        <v>65630</v>
      </c>
      <c r="AH27" s="475"/>
      <c r="AI27" s="475"/>
      <c r="AJ27" s="475">
        <f>SUM(AG27:AI27)</f>
        <v>65630</v>
      </c>
      <c r="AK27" s="475">
        <v>25390</v>
      </c>
      <c r="AL27" s="475"/>
      <c r="AM27" s="475"/>
      <c r="AN27" s="475">
        <f>SUM(AK27:AM27)</f>
        <v>25390</v>
      </c>
    </row>
    <row r="28" spans="1:40" x14ac:dyDescent="0.25">
      <c r="A28" s="471"/>
      <c r="B28" s="478" t="s">
        <v>682</v>
      </c>
      <c r="C28" s="475">
        <f>'2.2. Önk kiad'!C36</f>
        <v>0</v>
      </c>
      <c r="D28" s="475">
        <f>'2.2. Önk kiad'!D36</f>
        <v>0</v>
      </c>
      <c r="E28" s="475">
        <f>'2.2. Önk kiad'!E36</f>
        <v>0</v>
      </c>
      <c r="F28" s="475">
        <f>'2.2. Önk kiad'!F36</f>
        <v>0</v>
      </c>
      <c r="G28" s="475">
        <f t="shared" si="18"/>
        <v>0</v>
      </c>
      <c r="H28" s="475">
        <f>'2.2. Önk kiad'!H36</f>
        <v>0</v>
      </c>
      <c r="I28" s="475">
        <f>'2.2. Önk kiad'!I36</f>
        <v>0</v>
      </c>
      <c r="J28" s="475">
        <f>'2.2. Önk kiad'!J36</f>
        <v>0</v>
      </c>
      <c r="K28" s="475">
        <f t="shared" si="40"/>
        <v>0</v>
      </c>
      <c r="L28" s="475">
        <f>'2.2. Önk kiad'!L36</f>
        <v>0</v>
      </c>
      <c r="M28" s="475">
        <f>'2.2. Önk kiad'!M36</f>
        <v>0</v>
      </c>
      <c r="N28" s="475">
        <f>'2.2. Önk kiad'!N36</f>
        <v>0</v>
      </c>
      <c r="O28" s="475">
        <f t="shared" si="58"/>
        <v>0</v>
      </c>
      <c r="P28" s="475">
        <f>'2.2. Önk kiad'!P36</f>
        <v>0</v>
      </c>
      <c r="Q28" s="475">
        <f>'2.2. Önk kiad'!Q36</f>
        <v>0</v>
      </c>
      <c r="R28" s="475">
        <f>'2.2. Önk kiad'!R36</f>
        <v>0</v>
      </c>
      <c r="S28" s="475">
        <f t="shared" si="60"/>
        <v>0</v>
      </c>
      <c r="T28" s="475">
        <f>'2.2. Önk kiad'!T36</f>
        <v>0</v>
      </c>
      <c r="U28" s="475">
        <f>'2.2. Önk kiad'!U36</f>
        <v>0</v>
      </c>
      <c r="V28" s="475">
        <f>'2.2. Önk kiad'!V36</f>
        <v>0</v>
      </c>
      <c r="W28" s="475">
        <f t="shared" si="62"/>
        <v>0</v>
      </c>
      <c r="Y28" s="475">
        <f>'2.2. Önk kiad'!Y36</f>
        <v>0</v>
      </c>
      <c r="Z28" s="475">
        <f>'2.2. Önk kiad'!Z36</f>
        <v>0</v>
      </c>
      <c r="AA28" s="475">
        <f>'2.2. Önk kiad'!AA36</f>
        <v>0</v>
      </c>
      <c r="AB28" s="475">
        <f t="shared" si="64"/>
        <v>0</v>
      </c>
      <c r="AC28" s="475"/>
      <c r="AD28" s="475">
        <v>0</v>
      </c>
      <c r="AE28" s="475">
        <v>0</v>
      </c>
      <c r="AF28" s="475">
        <f t="shared" ref="AF28:AF31" si="75">SUM(AC28:AE28)</f>
        <v>0</v>
      </c>
      <c r="AG28" s="475"/>
      <c r="AH28" s="475"/>
      <c r="AI28" s="475"/>
      <c r="AJ28" s="475">
        <f t="shared" ref="AJ28:AJ31" si="76">SUM(AG28:AI28)</f>
        <v>0</v>
      </c>
      <c r="AK28" s="475">
        <v>0</v>
      </c>
      <c r="AL28" s="475"/>
      <c r="AM28" s="475"/>
      <c r="AN28" s="475">
        <f t="shared" ref="AN28:AN31" si="77">SUM(AK28:AM28)</f>
        <v>0</v>
      </c>
    </row>
    <row r="29" spans="1:40" ht="30" x14ac:dyDescent="0.25">
      <c r="A29" s="471"/>
      <c r="B29" s="478" t="s">
        <v>689</v>
      </c>
      <c r="C29" s="475"/>
      <c r="D29" s="475"/>
      <c r="E29" s="475"/>
      <c r="F29" s="475"/>
      <c r="G29" s="475"/>
      <c r="H29" s="475"/>
      <c r="I29" s="475"/>
      <c r="J29" s="475"/>
      <c r="K29" s="475"/>
      <c r="L29" s="475"/>
      <c r="M29" s="475"/>
      <c r="N29" s="475">
        <v>27555</v>
      </c>
      <c r="O29" s="475"/>
      <c r="P29" s="475"/>
      <c r="Q29" s="475"/>
      <c r="R29" s="475"/>
      <c r="S29" s="475"/>
      <c r="T29" s="475">
        <f>'2.2. Önk kiad'!T37</f>
        <v>0</v>
      </c>
      <c r="U29" s="475">
        <f>'2.2. Önk kiad'!U37</f>
        <v>0</v>
      </c>
      <c r="V29" s="475">
        <f>'2.2. Önk kiad'!V37</f>
        <v>0</v>
      </c>
      <c r="W29" s="475">
        <f t="shared" si="62"/>
        <v>0</v>
      </c>
      <c r="Y29" s="475"/>
      <c r="Z29" s="475"/>
      <c r="AA29" s="475"/>
      <c r="AB29" s="475">
        <f>SUM(Y29:AA29)</f>
        <v>0</v>
      </c>
      <c r="AC29" s="475">
        <v>28857</v>
      </c>
      <c r="AD29" s="475"/>
      <c r="AE29" s="475"/>
      <c r="AF29" s="475">
        <f t="shared" si="75"/>
        <v>28857</v>
      </c>
      <c r="AG29" s="475">
        <v>28857</v>
      </c>
      <c r="AH29" s="475"/>
      <c r="AI29" s="475"/>
      <c r="AJ29" s="475">
        <f t="shared" si="76"/>
        <v>28857</v>
      </c>
      <c r="AK29" s="475">
        <v>28857</v>
      </c>
      <c r="AL29" s="475"/>
      <c r="AM29" s="475"/>
      <c r="AN29" s="475">
        <f t="shared" si="77"/>
        <v>28857</v>
      </c>
    </row>
    <row r="30" spans="1:40" ht="30" x14ac:dyDescent="0.25">
      <c r="A30" s="471"/>
      <c r="B30" s="478" t="s">
        <v>690</v>
      </c>
      <c r="C30" s="475"/>
      <c r="D30" s="475"/>
      <c r="E30" s="475"/>
      <c r="F30" s="475"/>
      <c r="G30" s="475"/>
      <c r="H30" s="475"/>
      <c r="I30" s="475"/>
      <c r="J30" s="475"/>
      <c r="K30" s="475"/>
      <c r="L30" s="475"/>
      <c r="M30" s="475"/>
      <c r="N30" s="475"/>
      <c r="O30" s="475"/>
      <c r="P30" s="475"/>
      <c r="Q30" s="475"/>
      <c r="R30" s="475"/>
      <c r="S30" s="475"/>
      <c r="T30" s="475"/>
      <c r="U30" s="475">
        <f>'2.2. Önk kiad'!U39</f>
        <v>0</v>
      </c>
      <c r="V30" s="475">
        <f>'2.2. Önk kiad'!V39</f>
        <v>0</v>
      </c>
      <c r="W30" s="475">
        <f t="shared" si="62"/>
        <v>0</v>
      </c>
      <c r="Y30" s="475"/>
      <c r="Z30" s="475"/>
      <c r="AA30" s="475"/>
      <c r="AB30" s="475"/>
      <c r="AC30" s="475"/>
      <c r="AD30" s="475"/>
      <c r="AE30" s="475"/>
      <c r="AF30" s="475">
        <f t="shared" si="75"/>
        <v>0</v>
      </c>
      <c r="AG30" s="475"/>
      <c r="AH30" s="475"/>
      <c r="AI30" s="475"/>
      <c r="AJ30" s="475">
        <f t="shared" si="76"/>
        <v>0</v>
      </c>
      <c r="AK30" s="475"/>
      <c r="AL30" s="475"/>
      <c r="AM30" s="475"/>
      <c r="AN30" s="475">
        <f t="shared" si="77"/>
        <v>0</v>
      </c>
    </row>
    <row r="31" spans="1:40" x14ac:dyDescent="0.25">
      <c r="A31" s="471"/>
      <c r="B31" s="478" t="s">
        <v>691</v>
      </c>
      <c r="C31" s="475">
        <f>'2.2. Önk kiad'!C40</f>
        <v>0</v>
      </c>
      <c r="D31" s="475">
        <f>'2.2. Önk kiad'!D40</f>
        <v>0</v>
      </c>
      <c r="E31" s="475">
        <f>'2.2. Önk kiad'!E40</f>
        <v>0</v>
      </c>
      <c r="F31" s="475">
        <f>'2.2. Önk kiad'!F40</f>
        <v>0</v>
      </c>
      <c r="G31" s="475">
        <f t="shared" si="18"/>
        <v>0</v>
      </c>
      <c r="H31" s="475">
        <f>'2.2. Önk kiad'!H40</f>
        <v>0</v>
      </c>
      <c r="I31" s="475">
        <f>'2.2. Önk kiad'!I40</f>
        <v>0</v>
      </c>
      <c r="J31" s="475">
        <f>'2.2. Önk kiad'!J40</f>
        <v>0</v>
      </c>
      <c r="K31" s="475">
        <f t="shared" si="40"/>
        <v>0</v>
      </c>
      <c r="L31" s="475">
        <f>'2.2. Önk kiad'!L40</f>
        <v>0</v>
      </c>
      <c r="M31" s="475">
        <f>'2.2. Önk kiad'!M40</f>
        <v>0</v>
      </c>
      <c r="N31" s="475">
        <f>'2.2. Önk kiad'!N40</f>
        <v>0</v>
      </c>
      <c r="O31" s="475">
        <f t="shared" si="58"/>
        <v>0</v>
      </c>
      <c r="P31" s="475">
        <f>'2.2. Önk kiad'!P40</f>
        <v>0</v>
      </c>
      <c r="Q31" s="475">
        <f>'2.2. Önk kiad'!Q40</f>
        <v>0</v>
      </c>
      <c r="R31" s="475">
        <f>'2.2. Önk kiad'!R40</f>
        <v>0</v>
      </c>
      <c r="S31" s="475">
        <f t="shared" si="60"/>
        <v>0</v>
      </c>
      <c r="T31" s="475">
        <f>'2.2. Önk kiad'!T40</f>
        <v>0</v>
      </c>
      <c r="U31" s="475">
        <f>'2.2. Önk kiad'!U40</f>
        <v>0</v>
      </c>
      <c r="V31" s="475">
        <f>'2.2. Önk kiad'!V40</f>
        <v>0</v>
      </c>
      <c r="W31" s="475">
        <f t="shared" si="62"/>
        <v>0</v>
      </c>
      <c r="Y31" s="475">
        <f>'2.2. Önk kiad'!AA40</f>
        <v>2138</v>
      </c>
      <c r="Z31" s="475">
        <f>'2.2. Önk kiad'!Z40</f>
        <v>0</v>
      </c>
      <c r="AA31" s="475"/>
      <c r="AB31" s="475">
        <f t="shared" ref="AB31:AB35" si="78">SUM(Y31:AA31)</f>
        <v>2138</v>
      </c>
      <c r="AC31" s="475">
        <v>2138</v>
      </c>
      <c r="AD31" s="475">
        <v>0</v>
      </c>
      <c r="AE31" s="475"/>
      <c r="AF31" s="475">
        <f t="shared" si="75"/>
        <v>2138</v>
      </c>
      <c r="AG31" s="475">
        <v>2138</v>
      </c>
      <c r="AH31" s="475"/>
      <c r="AI31" s="475"/>
      <c r="AJ31" s="475">
        <f t="shared" si="76"/>
        <v>2138</v>
      </c>
      <c r="AK31" s="475">
        <v>989</v>
      </c>
      <c r="AL31" s="475"/>
      <c r="AM31" s="475"/>
      <c r="AN31" s="475">
        <f t="shared" si="77"/>
        <v>989</v>
      </c>
    </row>
    <row r="32" spans="1:40" x14ac:dyDescent="0.25">
      <c r="A32" s="631" t="s">
        <v>322</v>
      </c>
      <c r="B32" s="634" t="s">
        <v>595</v>
      </c>
      <c r="C32" s="633">
        <f>SUM(C33:C34)</f>
        <v>0</v>
      </c>
      <c r="D32" s="633">
        <f t="shared" ref="D32:F32" si="79">SUM(D33:D34)</f>
        <v>0</v>
      </c>
      <c r="E32" s="633">
        <f t="shared" si="79"/>
        <v>0</v>
      </c>
      <c r="F32" s="633">
        <f t="shared" si="79"/>
        <v>0</v>
      </c>
      <c r="G32" s="633">
        <f t="shared" si="18"/>
        <v>0</v>
      </c>
      <c r="H32" s="633">
        <f t="shared" ref="H32:J32" si="80">SUM(H33:H34)</f>
        <v>0</v>
      </c>
      <c r="I32" s="633">
        <f t="shared" si="80"/>
        <v>0</v>
      </c>
      <c r="J32" s="633">
        <f t="shared" si="80"/>
        <v>0</v>
      </c>
      <c r="K32" s="633">
        <f t="shared" si="40"/>
        <v>0</v>
      </c>
      <c r="L32" s="633">
        <f t="shared" ref="L32" si="81">SUM(L33:L34)</f>
        <v>0</v>
      </c>
      <c r="M32" s="633">
        <f t="shared" ref="M32:N32" si="82">SUM(M33:M34)</f>
        <v>0</v>
      </c>
      <c r="N32" s="633">
        <f t="shared" si="82"/>
        <v>0</v>
      </c>
      <c r="O32" s="633">
        <f t="shared" si="58"/>
        <v>0</v>
      </c>
      <c r="P32" s="633">
        <f t="shared" ref="P32:R32" si="83">SUM(P33:P34)</f>
        <v>0</v>
      </c>
      <c r="Q32" s="633">
        <f t="shared" si="83"/>
        <v>0</v>
      </c>
      <c r="R32" s="633">
        <f t="shared" si="83"/>
        <v>0</v>
      </c>
      <c r="S32" s="633">
        <f t="shared" si="60"/>
        <v>0</v>
      </c>
      <c r="T32" s="633">
        <f t="shared" ref="T32:V32" si="84">SUM(T33:T34)</f>
        <v>0</v>
      </c>
      <c r="U32" s="633">
        <f t="shared" si="84"/>
        <v>0</v>
      </c>
      <c r="V32" s="633">
        <f t="shared" si="84"/>
        <v>0</v>
      </c>
      <c r="W32" s="633">
        <f t="shared" si="62"/>
        <v>0</v>
      </c>
      <c r="Y32" s="633">
        <f t="shared" ref="Y32:AA32" si="85">SUM(Y33:Y34)</f>
        <v>0</v>
      </c>
      <c r="Z32" s="633">
        <f t="shared" si="85"/>
        <v>0</v>
      </c>
      <c r="AA32" s="633">
        <f t="shared" si="85"/>
        <v>0</v>
      </c>
      <c r="AB32" s="633">
        <f t="shared" si="78"/>
        <v>0</v>
      </c>
      <c r="AC32" s="633">
        <v>0</v>
      </c>
      <c r="AD32" s="633">
        <v>0</v>
      </c>
      <c r="AE32" s="633">
        <v>0</v>
      </c>
      <c r="AF32" s="633">
        <v>0</v>
      </c>
      <c r="AG32" s="633">
        <v>0</v>
      </c>
      <c r="AH32" s="633">
        <v>0</v>
      </c>
      <c r="AI32" s="633">
        <v>0</v>
      </c>
      <c r="AJ32" s="633">
        <v>0</v>
      </c>
      <c r="AK32" s="633">
        <v>0</v>
      </c>
      <c r="AL32" s="633">
        <v>0</v>
      </c>
      <c r="AM32" s="633">
        <v>0</v>
      </c>
      <c r="AN32" s="633">
        <v>0</v>
      </c>
    </row>
    <row r="33" spans="1:40" x14ac:dyDescent="0.25">
      <c r="A33" s="471"/>
      <c r="B33" s="478" t="s">
        <v>687</v>
      </c>
      <c r="C33" s="475">
        <f>'2.2. Önk kiad'!C42</f>
        <v>0</v>
      </c>
      <c r="D33" s="475">
        <f>'2.2. Önk kiad'!D42</f>
        <v>0</v>
      </c>
      <c r="E33" s="475">
        <f>'2.2. Önk kiad'!E42</f>
        <v>0</v>
      </c>
      <c r="F33" s="475">
        <f>'2.2. Önk kiad'!F42</f>
        <v>0</v>
      </c>
      <c r="G33" s="475">
        <f t="shared" si="18"/>
        <v>0</v>
      </c>
      <c r="H33" s="475">
        <f>'2.2. Önk kiad'!H42</f>
        <v>0</v>
      </c>
      <c r="I33" s="475">
        <f>'2.2. Önk kiad'!I42</f>
        <v>0</v>
      </c>
      <c r="J33" s="475">
        <f>'2.2. Önk kiad'!J42</f>
        <v>0</v>
      </c>
      <c r="K33" s="475">
        <f t="shared" si="40"/>
        <v>0</v>
      </c>
      <c r="L33" s="475">
        <f>'2.2. Önk kiad'!L42</f>
        <v>0</v>
      </c>
      <c r="M33" s="475">
        <f>'2.2. Önk kiad'!M42</f>
        <v>0</v>
      </c>
      <c r="N33" s="475">
        <f>'2.2. Önk kiad'!N42</f>
        <v>0</v>
      </c>
      <c r="O33" s="475">
        <f t="shared" si="58"/>
        <v>0</v>
      </c>
      <c r="P33" s="475">
        <f>'2.2. Önk kiad'!P42</f>
        <v>0</v>
      </c>
      <c r="Q33" s="475">
        <f>'2.2. Önk kiad'!Q42</f>
        <v>0</v>
      </c>
      <c r="R33" s="475">
        <f>'2.2. Önk kiad'!R42</f>
        <v>0</v>
      </c>
      <c r="S33" s="475">
        <f t="shared" si="60"/>
        <v>0</v>
      </c>
      <c r="T33" s="475">
        <f>'2.2. Önk kiad'!T42</f>
        <v>0</v>
      </c>
      <c r="U33" s="475">
        <f>'2.2. Önk kiad'!U42</f>
        <v>0</v>
      </c>
      <c r="V33" s="475">
        <f>'2.2. Önk kiad'!V42</f>
        <v>0</v>
      </c>
      <c r="W33" s="475">
        <f t="shared" si="62"/>
        <v>0</v>
      </c>
      <c r="Y33" s="475">
        <f>'2.2. Önk kiad'!Y42</f>
        <v>0</v>
      </c>
      <c r="Z33" s="475">
        <f>'2.2. Önk kiad'!Z42</f>
        <v>0</v>
      </c>
      <c r="AA33" s="475">
        <f>'2.2. Önk kiad'!AA42</f>
        <v>0</v>
      </c>
      <c r="AB33" s="475">
        <f t="shared" si="78"/>
        <v>0</v>
      </c>
      <c r="AC33" s="475">
        <v>0</v>
      </c>
      <c r="AD33" s="475">
        <v>0</v>
      </c>
      <c r="AE33" s="475">
        <v>0</v>
      </c>
      <c r="AF33" s="475">
        <v>0</v>
      </c>
      <c r="AG33" s="475">
        <v>0</v>
      </c>
      <c r="AH33" s="475">
        <v>0</v>
      </c>
      <c r="AI33" s="475">
        <v>0</v>
      </c>
      <c r="AJ33" s="475">
        <v>0</v>
      </c>
      <c r="AK33" s="475">
        <v>0</v>
      </c>
      <c r="AL33" s="475">
        <v>0</v>
      </c>
      <c r="AM33" s="475">
        <v>0</v>
      </c>
      <c r="AN33" s="475">
        <v>0</v>
      </c>
    </row>
    <row r="34" spans="1:40" x14ac:dyDescent="0.25">
      <c r="A34" s="471"/>
      <c r="B34" s="478" t="s">
        <v>688</v>
      </c>
      <c r="C34" s="475">
        <f>'2.2. Önk kiad'!C43</f>
        <v>0</v>
      </c>
      <c r="D34" s="475">
        <f>'2.2. Önk kiad'!D43</f>
        <v>0</v>
      </c>
      <c r="E34" s="475">
        <f>'2.2. Önk kiad'!E43</f>
        <v>0</v>
      </c>
      <c r="F34" s="475">
        <f>'2.2. Önk kiad'!F43</f>
        <v>0</v>
      </c>
      <c r="G34" s="475">
        <f t="shared" si="18"/>
        <v>0</v>
      </c>
      <c r="H34" s="475">
        <f>'2.2. Önk kiad'!H43</f>
        <v>0</v>
      </c>
      <c r="I34" s="475">
        <f>'2.2. Önk kiad'!I43</f>
        <v>0</v>
      </c>
      <c r="J34" s="475">
        <f>'2.2. Önk kiad'!J43</f>
        <v>0</v>
      </c>
      <c r="K34" s="475">
        <f t="shared" si="40"/>
        <v>0</v>
      </c>
      <c r="L34" s="475">
        <f>'2.2. Önk kiad'!L43</f>
        <v>0</v>
      </c>
      <c r="M34" s="475">
        <f>'2.2. Önk kiad'!M43</f>
        <v>0</v>
      </c>
      <c r="N34" s="475">
        <f>'2.2. Önk kiad'!N43</f>
        <v>0</v>
      </c>
      <c r="O34" s="475">
        <f t="shared" si="58"/>
        <v>0</v>
      </c>
      <c r="P34" s="475">
        <f>'2.2. Önk kiad'!P43</f>
        <v>0</v>
      </c>
      <c r="Q34" s="475">
        <f>'2.2. Önk kiad'!Q43</f>
        <v>0</v>
      </c>
      <c r="R34" s="475">
        <f>'2.2. Önk kiad'!R43</f>
        <v>0</v>
      </c>
      <c r="S34" s="475">
        <f t="shared" si="60"/>
        <v>0</v>
      </c>
      <c r="T34" s="475">
        <f>'2.2. Önk kiad'!T43</f>
        <v>0</v>
      </c>
      <c r="U34" s="475">
        <f>'2.2. Önk kiad'!U43</f>
        <v>0</v>
      </c>
      <c r="V34" s="475">
        <f>'2.2. Önk kiad'!V43</f>
        <v>0</v>
      </c>
      <c r="W34" s="475">
        <f t="shared" si="62"/>
        <v>0</v>
      </c>
      <c r="Y34" s="475">
        <f>'2.2. Önk kiad'!Y43</f>
        <v>0</v>
      </c>
      <c r="Z34" s="475">
        <f>'2.2. Önk kiad'!Z43</f>
        <v>0</v>
      </c>
      <c r="AA34" s="475">
        <f>'2.2. Önk kiad'!AA43</f>
        <v>0</v>
      </c>
      <c r="AB34" s="475">
        <f t="shared" si="78"/>
        <v>0</v>
      </c>
      <c r="AC34" s="475">
        <v>0</v>
      </c>
      <c r="AD34" s="475">
        <v>0</v>
      </c>
      <c r="AE34" s="475">
        <v>0</v>
      </c>
      <c r="AF34" s="475">
        <v>0</v>
      </c>
      <c r="AG34" s="475">
        <v>0</v>
      </c>
      <c r="AH34" s="475">
        <v>0</v>
      </c>
      <c r="AI34" s="475">
        <v>0</v>
      </c>
      <c r="AJ34" s="475">
        <v>0</v>
      </c>
      <c r="AK34" s="475">
        <v>0</v>
      </c>
      <c r="AL34" s="475">
        <v>0</v>
      </c>
      <c r="AM34" s="475">
        <v>0</v>
      </c>
      <c r="AN34" s="475">
        <v>0</v>
      </c>
    </row>
    <row r="35" spans="1:40" x14ac:dyDescent="0.25">
      <c r="A35" s="617"/>
      <c r="B35" s="624" t="s">
        <v>344</v>
      </c>
      <c r="C35" s="625">
        <f t="shared" ref="C35" si="86">C24+C25</f>
        <v>0</v>
      </c>
      <c r="D35" s="625" t="e">
        <f t="shared" ref="D35:F35" si="87">D24+D25</f>
        <v>#REF!</v>
      </c>
      <c r="E35" s="625">
        <f t="shared" si="87"/>
        <v>80273</v>
      </c>
      <c r="F35" s="625">
        <f t="shared" si="87"/>
        <v>93015</v>
      </c>
      <c r="G35" s="625" t="e">
        <f t="shared" si="18"/>
        <v>#REF!</v>
      </c>
      <c r="H35" s="625">
        <f t="shared" ref="H35:J35" si="88">H24+H25</f>
        <v>7994827</v>
      </c>
      <c r="I35" s="625">
        <f>I24+I25</f>
        <v>82353</v>
      </c>
      <c r="J35" s="625">
        <f t="shared" si="88"/>
        <v>99193</v>
      </c>
      <c r="K35" s="625">
        <f t="shared" si="40"/>
        <v>8176373</v>
      </c>
      <c r="L35" s="625">
        <f t="shared" ref="L35" si="89">L24+L25</f>
        <v>8344952</v>
      </c>
      <c r="M35" s="625">
        <f>M24+M25</f>
        <v>80329</v>
      </c>
      <c r="N35" s="625">
        <f t="shared" ref="N35" si="90">N24+N25</f>
        <v>130798</v>
      </c>
      <c r="O35" s="625">
        <f t="shared" si="58"/>
        <v>8556079</v>
      </c>
      <c r="P35" s="625">
        <f t="shared" ref="P35" si="91">P24+P25</f>
        <v>0</v>
      </c>
      <c r="Q35" s="625">
        <f>Q24+Q25</f>
        <v>0</v>
      </c>
      <c r="R35" s="625">
        <f t="shared" ref="R35" si="92">R24+R25</f>
        <v>0</v>
      </c>
      <c r="S35" s="625">
        <f t="shared" si="60"/>
        <v>0</v>
      </c>
      <c r="T35" s="625">
        <f t="shared" ref="T35" si="93">T24+T25</f>
        <v>1163862</v>
      </c>
      <c r="U35" s="625">
        <f>U24+U25</f>
        <v>25907</v>
      </c>
      <c r="V35" s="625">
        <f t="shared" ref="V35" si="94">V24+V25</f>
        <v>1431924</v>
      </c>
      <c r="W35" s="625">
        <f>SUM(T35:V35)</f>
        <v>2621693</v>
      </c>
      <c r="Y35" s="625">
        <f t="shared" ref="Y35" si="95">Y24+Y25</f>
        <v>7478404</v>
      </c>
      <c r="Z35" s="625">
        <f>Z24+Z25</f>
        <v>95755</v>
      </c>
      <c r="AA35" s="625">
        <f t="shared" ref="AA35" si="96">AA24+AA25</f>
        <v>99368</v>
      </c>
      <c r="AB35" s="625">
        <f t="shared" si="78"/>
        <v>7673527</v>
      </c>
      <c r="AC35" s="625">
        <f t="shared" ref="AC35:AE35" si="97">AC24+AC25</f>
        <v>9204799</v>
      </c>
      <c r="AD35" s="625">
        <f t="shared" si="97"/>
        <v>95755</v>
      </c>
      <c r="AE35" s="625">
        <f t="shared" si="97"/>
        <v>99368</v>
      </c>
      <c r="AF35" s="625">
        <f>SUM(AC35:AE35)</f>
        <v>9399922</v>
      </c>
      <c r="AG35" s="625">
        <f t="shared" ref="AG35:AI35" si="98">AG24+AG25</f>
        <v>9699676</v>
      </c>
      <c r="AH35" s="625">
        <f t="shared" si="98"/>
        <v>128506</v>
      </c>
      <c r="AI35" s="625">
        <f t="shared" si="98"/>
        <v>102312</v>
      </c>
      <c r="AJ35" s="625">
        <f>SUM(AG35:AI35)</f>
        <v>9930494</v>
      </c>
      <c r="AK35" s="625">
        <f t="shared" ref="AK35:AM35" si="99">AK24+AK25</f>
        <v>2709534</v>
      </c>
      <c r="AL35" s="625">
        <f t="shared" si="99"/>
        <v>43067</v>
      </c>
      <c r="AM35" s="625">
        <f t="shared" si="99"/>
        <v>47643</v>
      </c>
      <c r="AN35" s="625">
        <f>SUM(AK35:AM35)</f>
        <v>2800244</v>
      </c>
    </row>
    <row r="36" spans="1:40" x14ac:dyDescent="0.25">
      <c r="L36" s="479"/>
      <c r="P36" s="479"/>
      <c r="T36" s="479"/>
      <c r="Y36" s="479"/>
    </row>
    <row r="50" spans="12:25" x14ac:dyDescent="0.25">
      <c r="L50" s="479"/>
      <c r="P50" s="479"/>
      <c r="T50" s="479"/>
      <c r="Y50" s="479"/>
    </row>
    <row r="51" spans="12:25" x14ac:dyDescent="0.25">
      <c r="L51" s="479"/>
      <c r="P51" s="479"/>
      <c r="T51" s="479"/>
      <c r="Y51" s="479"/>
    </row>
    <row r="52" spans="12:25" x14ac:dyDescent="0.25">
      <c r="L52" s="479"/>
      <c r="P52" s="479"/>
      <c r="T52" s="479"/>
      <c r="Y52" s="479"/>
    </row>
  </sheetData>
  <customSheetViews>
    <customSheetView guid="{7F1DC213-A29D-4C8C-BAC3-F1BD898020FD}" hiddenRows="1" hiddenColumns="1" topLeftCell="A7">
      <selection activeCell="AC27" sqref="AC27:AC31"/>
      <colBreaks count="1" manualBreakCount="1">
        <brk id="36" max="34" man="1"/>
      </colBreaks>
      <pageMargins left="0.70866141732283472" right="0.70866141732283472" top="1.1811023622047245" bottom="0.74803149606299213" header="0.51181102362204722" footer="0.31496062992125984"/>
      <printOptions horizontalCentered="1"/>
      <pageSetup paperSize="9" scale="60" fitToWidth="0" fitToHeight="0" orientation="landscape" r:id="rId1"/>
      <headerFooter>
        <oddHeader>&amp;L1.2. melléklet a ...../2019. (....) önkormányzati rendelethez&amp;C&amp;"-,Félkövér"&amp;16Az Önkormányzat 2019. évi összevont kiadásai jogcímenként és feladatonként&amp;RAdatok ezer forintban</oddHeader>
      </headerFooter>
    </customSheetView>
    <customSheetView guid="{4DCB1349-1166-4B69-AE14-D6B08F9FCE74}" hiddenRows="1" hiddenColumns="1" topLeftCell="A7">
      <selection activeCell="AC27" sqref="AC27:AC31"/>
      <colBreaks count="1" manualBreakCount="1">
        <brk id="36" max="34" man="1"/>
      </colBreaks>
      <pageMargins left="0.70866141732283472" right="0.70866141732283472" top="1.1811023622047245" bottom="0.74803149606299213" header="0.51181102362204722" footer="0.31496062992125984"/>
      <printOptions horizontalCentered="1"/>
      <pageSetup paperSize="9" scale="60" fitToWidth="0" fitToHeight="0" orientation="landscape" r:id="rId2"/>
      <headerFooter>
        <oddHeader>&amp;L1.2. melléklet a ...../2019. (....) önkormányzati rendelethez&amp;C&amp;"-,Félkövér"&amp;16Az Önkormányzat 2019. évi összevont kiadásai jogcímenként és feladatonként&amp;RAdatok ezer forintban</oddHeader>
      </headerFooter>
    </customSheetView>
  </customSheetViews>
  <mergeCells count="11">
    <mergeCell ref="AG2:AJ2"/>
    <mergeCell ref="AK2:AN2"/>
    <mergeCell ref="AC2:AF2"/>
    <mergeCell ref="A2:A3"/>
    <mergeCell ref="D2:G2"/>
    <mergeCell ref="H2:K2"/>
    <mergeCell ref="Y2:AB2"/>
    <mergeCell ref="P2:S2"/>
    <mergeCell ref="T2:W2"/>
    <mergeCell ref="L2:O2"/>
    <mergeCell ref="B2:B3"/>
  </mergeCells>
  <printOptions horizontalCentered="1"/>
  <pageMargins left="0.70866141732283472" right="0.70866141732283472" top="1.1811023622047245" bottom="0.74803149606299213" header="0.51181102362204722" footer="0.31496062992125984"/>
  <pageSetup paperSize="9" scale="63" orientation="landscape" r:id="rId3"/>
  <headerFooter>
    <oddHeader>&amp;L1.2. melléklet a 3/2019. (II.20.) önkormányzati rendelethez&amp;C&amp;"-,Félkövér"&amp;16Az Önkormányzat 2019. évi összevont kiadásai jogcímenként és feladatonként&amp;RAdatok ezer forintban</oddHeader>
  </headerFooter>
  <colBreaks count="1" manualBreakCount="1">
    <brk id="36" max="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A246"/>
  <sheetViews>
    <sheetView view="pageLayout" zoomScaleNormal="100" zoomScaleSheetLayoutView="75" workbookViewId="0">
      <selection activeCell="B12" sqref="B12"/>
    </sheetView>
  </sheetViews>
  <sheetFormatPr defaultRowHeight="15" x14ac:dyDescent="0.25"/>
  <cols>
    <col min="1" max="1" width="5.140625" style="41" customWidth="1"/>
    <col min="2" max="2" width="49.42578125" style="42" customWidth="1"/>
    <col min="3" max="3" width="11.42578125" style="40" hidden="1" customWidth="1"/>
    <col min="4" max="4" width="8.140625" style="211" hidden="1" customWidth="1"/>
    <col min="5" max="5" width="9.28515625" style="211" hidden="1" customWidth="1"/>
    <col min="6" max="6" width="11.140625" style="211" hidden="1" customWidth="1"/>
    <col min="7" max="7" width="18.85546875" hidden="1" customWidth="1"/>
    <col min="8" max="8" width="8.5703125" style="211" hidden="1" customWidth="1"/>
    <col min="9" max="9" width="8.85546875" style="211" hidden="1" customWidth="1"/>
    <col min="10" max="10" width="11.140625" style="211" hidden="1" customWidth="1"/>
    <col min="11" max="11" width="16.42578125" hidden="1" customWidth="1"/>
    <col min="12" max="12" width="10.85546875" hidden="1" customWidth="1"/>
    <col min="13" max="13" width="9.140625" hidden="1" customWidth="1"/>
    <col min="14" max="14" width="11.28515625" hidden="1" customWidth="1"/>
    <col min="15" max="15" width="17.7109375" hidden="1" customWidth="1"/>
    <col min="16" max="17" width="9.140625" hidden="1" customWidth="1"/>
    <col min="18" max="18" width="11.28515625" hidden="1" customWidth="1"/>
    <col min="19" max="19" width="13.5703125" hidden="1" customWidth="1"/>
    <col min="20" max="20" width="11.7109375" hidden="1" customWidth="1"/>
    <col min="21" max="21" width="10.28515625" hidden="1" customWidth="1"/>
    <col min="22" max="22" width="11.42578125" hidden="1" customWidth="1"/>
    <col min="23" max="23" width="0.140625" customWidth="1"/>
    <col min="24" max="24" width="20" customWidth="1"/>
    <col min="25" max="25" width="20.42578125" customWidth="1"/>
    <col min="26" max="26" width="16.5703125" customWidth="1"/>
    <col min="27" max="27" width="14.42578125" hidden="1" customWidth="1"/>
  </cols>
  <sheetData>
    <row r="1" spans="1:27" x14ac:dyDescent="0.25">
      <c r="A1" s="283" t="s">
        <v>1375</v>
      </c>
      <c r="B1" s="237" t="s">
        <v>1365</v>
      </c>
      <c r="C1" s="746"/>
      <c r="D1" s="747"/>
      <c r="E1" s="747"/>
      <c r="F1" s="747"/>
      <c r="G1" s="746" t="s">
        <v>1366</v>
      </c>
      <c r="H1" s="747"/>
      <c r="I1" s="747"/>
      <c r="J1" s="747"/>
      <c r="K1" s="741" t="s">
        <v>1376</v>
      </c>
      <c r="L1" s="741"/>
      <c r="M1" s="741"/>
      <c r="N1" s="741"/>
      <c r="O1" s="746" t="s">
        <v>1377</v>
      </c>
      <c r="P1" s="741"/>
      <c r="Q1" s="741"/>
      <c r="R1" s="741"/>
      <c r="S1" s="746"/>
      <c r="T1" s="741"/>
      <c r="U1" s="741"/>
      <c r="V1" s="741"/>
      <c r="W1" s="746" t="s">
        <v>1377</v>
      </c>
      <c r="X1" s="746" t="s">
        <v>1366</v>
      </c>
      <c r="Y1" s="746" t="s">
        <v>1376</v>
      </c>
      <c r="Z1" s="746" t="s">
        <v>1377</v>
      </c>
      <c r="AA1" s="746"/>
    </row>
    <row r="2" spans="1:27" s="31" customFormat="1" ht="33.75" customHeight="1" x14ac:dyDescent="0.25">
      <c r="A2" s="908" t="s">
        <v>305</v>
      </c>
      <c r="B2" s="910" t="s">
        <v>306</v>
      </c>
      <c r="C2" s="591" t="s">
        <v>1214</v>
      </c>
      <c r="D2" s="635" t="s">
        <v>1242</v>
      </c>
      <c r="E2" s="635" t="s">
        <v>1243</v>
      </c>
      <c r="F2" s="635" t="s">
        <v>1244</v>
      </c>
      <c r="G2" s="912" t="s">
        <v>345</v>
      </c>
      <c r="H2" s="913"/>
      <c r="I2" s="913"/>
      <c r="J2" s="913"/>
      <c r="K2" s="913"/>
      <c r="L2" s="913"/>
      <c r="M2" s="913"/>
      <c r="N2" s="913"/>
      <c r="O2" s="913"/>
      <c r="P2" s="913"/>
      <c r="Q2" s="913"/>
      <c r="R2" s="913"/>
      <c r="S2" s="913"/>
      <c r="T2" s="913"/>
      <c r="U2" s="913"/>
      <c r="V2" s="913"/>
      <c r="W2" s="913"/>
      <c r="X2" s="913"/>
      <c r="Y2" s="914" t="s">
        <v>1458</v>
      </c>
      <c r="Z2" s="914" t="s">
        <v>1451</v>
      </c>
      <c r="AA2" s="914" t="s">
        <v>1456</v>
      </c>
    </row>
    <row r="3" spans="1:27" s="31" customFormat="1" ht="45.75" customHeight="1" x14ac:dyDescent="0.25">
      <c r="A3" s="909"/>
      <c r="B3" s="911"/>
      <c r="C3" s="589" t="s">
        <v>1187</v>
      </c>
      <c r="D3" s="906" t="s">
        <v>1367</v>
      </c>
      <c r="E3" s="907"/>
      <c r="F3" s="907"/>
      <c r="G3" s="907"/>
      <c r="H3" s="898" t="s">
        <v>1391</v>
      </c>
      <c r="I3" s="899"/>
      <c r="J3" s="899"/>
      <c r="K3" s="900"/>
      <c r="L3" s="898" t="s">
        <v>1392</v>
      </c>
      <c r="M3" s="899"/>
      <c r="N3" s="899"/>
      <c r="O3" s="900"/>
      <c r="P3" s="898" t="s">
        <v>1246</v>
      </c>
      <c r="Q3" s="901"/>
      <c r="R3" s="901"/>
      <c r="S3" s="902"/>
      <c r="T3" s="898" t="s">
        <v>1387</v>
      </c>
      <c r="U3" s="901"/>
      <c r="V3" s="901"/>
      <c r="W3" s="902"/>
      <c r="X3" s="810" t="s">
        <v>1415</v>
      </c>
      <c r="Y3" s="915"/>
      <c r="Z3" s="915"/>
      <c r="AA3" s="915"/>
    </row>
    <row r="4" spans="1:27" s="31" customFormat="1" x14ac:dyDescent="0.25">
      <c r="A4" s="636"/>
      <c r="B4" s="637" t="s">
        <v>999</v>
      </c>
      <c r="C4" s="638">
        <f>C5+C42+C60+C63</f>
        <v>0</v>
      </c>
      <c r="D4" s="639">
        <f>D5+D42+D60+D63</f>
        <v>0</v>
      </c>
      <c r="E4" s="640"/>
      <c r="F4" s="640"/>
      <c r="G4" s="641">
        <f>G5+G42+G60+G63</f>
        <v>5071586</v>
      </c>
      <c r="H4" s="638">
        <f>H5+H42+H60+H63</f>
        <v>0</v>
      </c>
      <c r="I4" s="640"/>
      <c r="J4" s="640"/>
      <c r="K4" s="641">
        <f>K5+K42+K60+K63</f>
        <v>5939095</v>
      </c>
      <c r="L4" s="638">
        <f>L5+L42+L60+L63</f>
        <v>0</v>
      </c>
      <c r="M4" s="640"/>
      <c r="N4" s="640"/>
      <c r="O4" s="641">
        <f>O5+O42+O60+O63</f>
        <v>6179487</v>
      </c>
      <c r="P4" s="639">
        <f>P5+P42+P60+P63</f>
        <v>0</v>
      </c>
      <c r="Q4" s="640"/>
      <c r="R4" s="640"/>
      <c r="S4" s="641">
        <f>S5+S42+S60+S63</f>
        <v>0</v>
      </c>
      <c r="T4" s="639">
        <f>T5+T42+T60+T63</f>
        <v>0</v>
      </c>
      <c r="U4" s="640"/>
      <c r="V4" s="640"/>
      <c r="W4" s="641">
        <f>W5+W42+W60+W63</f>
        <v>546249</v>
      </c>
      <c r="X4" s="641">
        <f>X5+X42+X60+X63</f>
        <v>5527449</v>
      </c>
      <c r="Y4" s="641">
        <f>Y5+Y42+Y60+Y63</f>
        <v>6883209</v>
      </c>
      <c r="Z4" s="641">
        <f>Z5+Z42+Z60+Z63</f>
        <v>7275098</v>
      </c>
      <c r="AA4" s="641">
        <f>AA5+AA42+AA60+AA63</f>
        <v>1610953</v>
      </c>
    </row>
    <row r="5" spans="1:27" x14ac:dyDescent="0.25">
      <c r="A5" s="277" t="s">
        <v>309</v>
      </c>
      <c r="B5" s="278" t="s">
        <v>348</v>
      </c>
      <c r="C5" s="279">
        <f>SUM(C6:C41)</f>
        <v>0</v>
      </c>
      <c r="D5" s="316">
        <f>SUM(D6:D41)</f>
        <v>0</v>
      </c>
      <c r="E5" s="316"/>
      <c r="F5" s="316"/>
      <c r="G5" s="279">
        <f>SUM(G6:G41)</f>
        <v>4978896</v>
      </c>
      <c r="H5" s="279">
        <f>SUM(H6:H41)</f>
        <v>0</v>
      </c>
      <c r="I5" s="316"/>
      <c r="J5" s="316"/>
      <c r="K5" s="279">
        <f>SUM(K6:K15)</f>
        <v>5842543</v>
      </c>
      <c r="L5" s="279">
        <f t="shared" ref="L5:O5" si="0">SUM(L6:L15)</f>
        <v>0</v>
      </c>
      <c r="M5" s="279">
        <f t="shared" si="0"/>
        <v>0</v>
      </c>
      <c r="N5" s="279">
        <f t="shared" si="0"/>
        <v>0</v>
      </c>
      <c r="O5" s="279">
        <f t="shared" si="0"/>
        <v>6080947</v>
      </c>
      <c r="P5" s="316">
        <f>SUM(P6:P41)</f>
        <v>0</v>
      </c>
      <c r="Q5" s="316"/>
      <c r="R5" s="316"/>
      <c r="S5" s="279">
        <f>SUM(S6:S41)</f>
        <v>0</v>
      </c>
      <c r="T5" s="316">
        <f>SUM(T6:T41)</f>
        <v>0</v>
      </c>
      <c r="U5" s="316"/>
      <c r="V5" s="316"/>
      <c r="W5" s="279">
        <f>SUM(W6:W15)</f>
        <v>517971</v>
      </c>
      <c r="X5" s="279">
        <f t="shared" ref="X5:Y5" si="1">SUM(X6:X15)</f>
        <v>5396151</v>
      </c>
      <c r="Y5" s="279">
        <f t="shared" si="1"/>
        <v>6715284</v>
      </c>
      <c r="Z5" s="279">
        <f t="shared" ref="Z5:AA5" si="2">SUM(Z6:Z15)</f>
        <v>7074422</v>
      </c>
      <c r="AA5" s="279">
        <f t="shared" si="2"/>
        <v>1527278</v>
      </c>
    </row>
    <row r="6" spans="1:27" x14ac:dyDescent="0.25">
      <c r="A6" s="367" t="s">
        <v>1000</v>
      </c>
      <c r="B6" s="284" t="s">
        <v>1013</v>
      </c>
      <c r="C6" s="288"/>
      <c r="D6" s="317"/>
      <c r="E6" s="317"/>
      <c r="F6" s="317"/>
      <c r="G6" s="288">
        <f>'2.3.Önk kiad fel'!F7</f>
        <v>158711</v>
      </c>
      <c r="H6" s="288">
        <f>'2.3.Önk kiad fel'!C7</f>
        <v>0</v>
      </c>
      <c r="I6" s="288">
        <f>'2.3.Önk kiad fel'!D7</f>
        <v>0</v>
      </c>
      <c r="J6" s="288">
        <f>'2.3.Önk kiad fel'!E7</f>
        <v>0</v>
      </c>
      <c r="K6" s="288">
        <f>'2.3.Önk kiad fel'!I7</f>
        <v>157077</v>
      </c>
      <c r="L6" s="288">
        <f>'2.3.Önk kiad fel'!J7</f>
        <v>0</v>
      </c>
      <c r="M6" s="288">
        <f>'2.3.Önk kiad fel'!K7</f>
        <v>0</v>
      </c>
      <c r="N6" s="288"/>
      <c r="O6" s="288">
        <f>'2.3.Önk kiad fel'!L7</f>
        <v>164545</v>
      </c>
      <c r="P6" s="288">
        <f>'2.3.Önk kiad fel'!K7</f>
        <v>0</v>
      </c>
      <c r="Q6" s="288">
        <f>'2.3.Önk kiad fel'!L7</f>
        <v>164545</v>
      </c>
      <c r="R6" s="288">
        <f>'2.3.Önk kiad fel'!M7</f>
        <v>0</v>
      </c>
      <c r="S6" s="288">
        <f>'2.3.Önk kiad fel'!N7</f>
        <v>0</v>
      </c>
      <c r="T6" s="288">
        <f>'2.3.Önk kiad fel'!O7</f>
        <v>0</v>
      </c>
      <c r="U6" s="288">
        <f>'2.3.Önk kiad fel'!P7</f>
        <v>0</v>
      </c>
      <c r="V6" s="288">
        <f>'2.3.Önk kiad fel'!Q7</f>
        <v>0</v>
      </c>
      <c r="W6" s="288">
        <f>'2.3.Önk kiad fel'!R7</f>
        <v>36828</v>
      </c>
      <c r="X6" s="288">
        <f>+'2.3.Önk kiad fel'!S7</f>
        <v>190282</v>
      </c>
      <c r="Y6" s="288">
        <f>+'2.3.Önk kiad fel'!T7</f>
        <v>211966</v>
      </c>
      <c r="Z6" s="288">
        <f>+'2.3.Önk kiad fel'!U7</f>
        <v>210309</v>
      </c>
      <c r="AA6" s="288">
        <f>+'2.3.Önk kiad fel'!V7</f>
        <v>139214</v>
      </c>
    </row>
    <row r="7" spans="1:27" x14ac:dyDescent="0.25">
      <c r="A7" s="367" t="s">
        <v>1001</v>
      </c>
      <c r="B7" s="284" t="s">
        <v>550</v>
      </c>
      <c r="C7" s="288"/>
      <c r="D7" s="317"/>
      <c r="E7" s="317"/>
      <c r="F7" s="317"/>
      <c r="G7" s="288">
        <f>'2.3.Önk kiad fel'!F21</f>
        <v>16000</v>
      </c>
      <c r="H7" s="288">
        <f>'2.3.Önk kiad fel'!C21</f>
        <v>0</v>
      </c>
      <c r="I7" s="288">
        <f>'2.3.Önk kiad fel'!D21</f>
        <v>0</v>
      </c>
      <c r="J7" s="288">
        <f>'2.3.Önk kiad fel'!E21</f>
        <v>0</v>
      </c>
      <c r="K7" s="288">
        <f>'2.3.Önk kiad fel'!I21</f>
        <v>16000</v>
      </c>
      <c r="L7" s="288">
        <f>'2.3.Önk kiad fel'!J21</f>
        <v>0</v>
      </c>
      <c r="M7" s="288">
        <f>'2.3.Önk kiad fel'!K21</f>
        <v>0</v>
      </c>
      <c r="N7" s="288"/>
      <c r="O7" s="288">
        <f>'2.3.Önk kiad fel'!L21</f>
        <v>16000</v>
      </c>
      <c r="P7" s="288">
        <f>'2.3.Önk kiad fel'!K21</f>
        <v>0</v>
      </c>
      <c r="Q7" s="288">
        <f>'2.3.Önk kiad fel'!L21</f>
        <v>16000</v>
      </c>
      <c r="R7" s="288">
        <f>'2.3.Önk kiad fel'!M21</f>
        <v>0</v>
      </c>
      <c r="S7" s="288">
        <f>'2.3.Önk kiad fel'!N21</f>
        <v>0</v>
      </c>
      <c r="T7" s="288">
        <f>'2.3.Önk kiad fel'!O21</f>
        <v>0</v>
      </c>
      <c r="U7" s="288">
        <f>'2.3.Önk kiad fel'!P21</f>
        <v>0</v>
      </c>
      <c r="V7" s="288">
        <f>'2.3.Önk kiad fel'!Q21</f>
        <v>0</v>
      </c>
      <c r="W7" s="288">
        <f>'2.3.Önk kiad fel'!R21</f>
        <v>0</v>
      </c>
      <c r="X7" s="288">
        <f>+'2.3.Önk kiad fel'!S21</f>
        <v>16000</v>
      </c>
      <c r="Y7" s="288">
        <f>+'2.3.Önk kiad fel'!T21</f>
        <v>16000</v>
      </c>
      <c r="Z7" s="288">
        <f>+'2.3.Önk kiad fel'!U21</f>
        <v>16000</v>
      </c>
      <c r="AA7" s="288">
        <f>+'2.3.Önk kiad fel'!V21</f>
        <v>9603</v>
      </c>
    </row>
    <row r="8" spans="1:27" x14ac:dyDescent="0.25">
      <c r="A8" s="367" t="s">
        <v>1002</v>
      </c>
      <c r="B8" s="284" t="s">
        <v>693</v>
      </c>
      <c r="C8" s="288"/>
      <c r="D8" s="317"/>
      <c r="E8" s="317"/>
      <c r="F8" s="317"/>
      <c r="G8" s="288">
        <f>'2.3.Önk kiad fel'!F23</f>
        <v>67820</v>
      </c>
      <c r="H8" s="288">
        <f>'2.3.Önk kiad fel'!C23</f>
        <v>0</v>
      </c>
      <c r="I8" s="288">
        <f>'2.3.Önk kiad fel'!D23</f>
        <v>0</v>
      </c>
      <c r="J8" s="288">
        <f>'2.3.Önk kiad fel'!E23</f>
        <v>0</v>
      </c>
      <c r="K8" s="288">
        <f>'2.3.Önk kiad fel'!I23</f>
        <v>67820</v>
      </c>
      <c r="L8" s="288">
        <f>'2.3.Önk kiad fel'!J23</f>
        <v>0</v>
      </c>
      <c r="M8" s="288">
        <f>'2.3.Önk kiad fel'!K23</f>
        <v>0</v>
      </c>
      <c r="N8" s="288"/>
      <c r="O8" s="288">
        <f>'2.3.Önk kiad fel'!L23</f>
        <v>66113</v>
      </c>
      <c r="P8" s="288">
        <f>'2.3.Önk kiad fel'!K23</f>
        <v>0</v>
      </c>
      <c r="Q8" s="288">
        <f>'2.3.Önk kiad fel'!L23</f>
        <v>66113</v>
      </c>
      <c r="R8" s="288">
        <f>'2.3.Önk kiad fel'!M23</f>
        <v>0</v>
      </c>
      <c r="S8" s="288">
        <f>'2.3.Önk kiad fel'!N23</f>
        <v>0</v>
      </c>
      <c r="T8" s="288">
        <f>'2.3.Önk kiad fel'!O23</f>
        <v>0</v>
      </c>
      <c r="U8" s="288">
        <f>'2.3.Önk kiad fel'!P23</f>
        <v>0</v>
      </c>
      <c r="V8" s="288">
        <f>'2.3.Önk kiad fel'!Q23</f>
        <v>0</v>
      </c>
      <c r="W8" s="288">
        <f>'2.3.Önk kiad fel'!R23</f>
        <v>16407</v>
      </c>
      <c r="X8" s="288">
        <f>+'2.3.Önk kiad fel'!S23</f>
        <v>73217</v>
      </c>
      <c r="Y8" s="288">
        <f>+'2.3.Önk kiad fel'!T23</f>
        <v>73217</v>
      </c>
      <c r="Z8" s="288">
        <f>+'2.3.Önk kiad fel'!U23</f>
        <v>73217</v>
      </c>
      <c r="AA8" s="288">
        <f>+'2.3.Önk kiad fel'!V23</f>
        <v>38924</v>
      </c>
    </row>
    <row r="9" spans="1:27" x14ac:dyDescent="0.25">
      <c r="A9" s="367" t="s">
        <v>1003</v>
      </c>
      <c r="B9" s="284" t="s">
        <v>1320</v>
      </c>
      <c r="C9" s="288"/>
      <c r="D9" s="317"/>
      <c r="E9" s="317"/>
      <c r="F9" s="317"/>
      <c r="G9" s="288">
        <f>'2.3.Önk kiad fel'!F27</f>
        <v>20000</v>
      </c>
      <c r="H9" s="288">
        <f>'2.3.Önk kiad fel'!C27</f>
        <v>0</v>
      </c>
      <c r="I9" s="288">
        <f>'2.3.Önk kiad fel'!D27</f>
        <v>0</v>
      </c>
      <c r="J9" s="288">
        <f>'2.3.Önk kiad fel'!E27</f>
        <v>0</v>
      </c>
      <c r="K9" s="288">
        <f>'2.3.Önk kiad fel'!I27</f>
        <v>20000</v>
      </c>
      <c r="L9" s="288">
        <f>'2.3.Önk kiad fel'!J27</f>
        <v>0</v>
      </c>
      <c r="M9" s="288">
        <f>'2.3.Önk kiad fel'!K27</f>
        <v>0</v>
      </c>
      <c r="N9" s="288"/>
      <c r="O9" s="288">
        <f>'2.3.Önk kiad fel'!L27</f>
        <v>20000</v>
      </c>
      <c r="P9" s="288">
        <f>'2.3.Önk kiad fel'!K27</f>
        <v>0</v>
      </c>
      <c r="Q9" s="288">
        <f>'2.3.Önk kiad fel'!L27</f>
        <v>20000</v>
      </c>
      <c r="R9" s="288">
        <f>'2.3.Önk kiad fel'!M27</f>
        <v>0</v>
      </c>
      <c r="S9" s="288">
        <f>'2.3.Önk kiad fel'!N27</f>
        <v>0</v>
      </c>
      <c r="T9" s="288">
        <f>'2.3.Önk kiad fel'!O27</f>
        <v>0</v>
      </c>
      <c r="U9" s="288">
        <f>'2.3.Önk kiad fel'!P27</f>
        <v>0</v>
      </c>
      <c r="V9" s="288">
        <f>'2.3.Önk kiad fel'!Q27</f>
        <v>0</v>
      </c>
      <c r="W9" s="288">
        <f>'2.3.Önk kiad fel'!R27</f>
        <v>5970</v>
      </c>
      <c r="X9" s="288">
        <f>+'2.3.Önk kiad fel'!S27</f>
        <v>10000</v>
      </c>
      <c r="Y9" s="288">
        <f>+'2.3.Önk kiad fel'!T27</f>
        <v>10000</v>
      </c>
      <c r="Z9" s="288">
        <f>+'2.3.Önk kiad fel'!U27</f>
        <v>13041</v>
      </c>
      <c r="AA9" s="288">
        <f>+'2.3.Önk kiad fel'!V27</f>
        <v>4632</v>
      </c>
    </row>
    <row r="10" spans="1:27" x14ac:dyDescent="0.25">
      <c r="A10" s="367" t="s">
        <v>1004</v>
      </c>
      <c r="B10" s="284" t="s">
        <v>1319</v>
      </c>
      <c r="C10" s="288"/>
      <c r="D10" s="317"/>
      <c r="E10" s="317"/>
      <c r="F10" s="317"/>
      <c r="G10" s="288">
        <f>'2.3.Önk kiad fel'!F29</f>
        <v>25000</v>
      </c>
      <c r="H10" s="288">
        <f>'2.3.Önk kiad fel'!C29</f>
        <v>0</v>
      </c>
      <c r="I10" s="288">
        <f>'2.3.Önk kiad fel'!D29</f>
        <v>0</v>
      </c>
      <c r="J10" s="288">
        <f>'2.3.Önk kiad fel'!E29</f>
        <v>0</v>
      </c>
      <c r="K10" s="288">
        <f>'2.3.Önk kiad fel'!I29</f>
        <v>25000</v>
      </c>
      <c r="L10" s="288">
        <f>'2.3.Önk kiad fel'!J29</f>
        <v>0</v>
      </c>
      <c r="M10" s="288">
        <f>'2.3.Önk kiad fel'!K29</f>
        <v>0</v>
      </c>
      <c r="N10" s="288"/>
      <c r="O10" s="288">
        <f>'2.3.Önk kiad fel'!L29</f>
        <v>25000</v>
      </c>
      <c r="P10" s="288">
        <f>'2.3.Önk kiad fel'!K29</f>
        <v>0</v>
      </c>
      <c r="Q10" s="288">
        <f>'2.3.Önk kiad fel'!L29</f>
        <v>25000</v>
      </c>
      <c r="R10" s="288">
        <f>'2.3.Önk kiad fel'!M29</f>
        <v>0</v>
      </c>
      <c r="S10" s="288">
        <f>'2.3.Önk kiad fel'!N29</f>
        <v>0</v>
      </c>
      <c r="T10" s="288">
        <f>'2.3.Önk kiad fel'!O29</f>
        <v>0</v>
      </c>
      <c r="U10" s="288">
        <f>'2.3.Önk kiad fel'!P29</f>
        <v>0</v>
      </c>
      <c r="V10" s="288">
        <f>'2.3.Önk kiad fel'!Q29</f>
        <v>0</v>
      </c>
      <c r="W10" s="288">
        <f>'2.3.Önk kiad fel'!R29</f>
        <v>4640</v>
      </c>
      <c r="X10" s="288">
        <f>+'2.3.Önk kiad fel'!S29</f>
        <v>20000</v>
      </c>
      <c r="Y10" s="288">
        <f>+'2.3.Önk kiad fel'!T29</f>
        <v>20000</v>
      </c>
      <c r="Z10" s="288">
        <f>+'2.3.Önk kiad fel'!U29</f>
        <v>20680</v>
      </c>
      <c r="AA10" s="288">
        <f>+'2.3.Önk kiad fel'!V29</f>
        <v>13290</v>
      </c>
    </row>
    <row r="11" spans="1:27" ht="30" x14ac:dyDescent="0.25">
      <c r="A11" s="367" t="s">
        <v>1005</v>
      </c>
      <c r="B11" s="444" t="s">
        <v>1308</v>
      </c>
      <c r="C11" s="288"/>
      <c r="D11" s="317"/>
      <c r="E11" s="317"/>
      <c r="F11" s="317"/>
      <c r="G11" s="288">
        <f>'2.3.Önk kiad fel'!F31</f>
        <v>4630528</v>
      </c>
      <c r="H11" s="288">
        <f>'2.3.Önk kiad fel'!C31</f>
        <v>0</v>
      </c>
      <c r="I11" s="288">
        <f>'2.3.Önk kiad fel'!D31</f>
        <v>0</v>
      </c>
      <c r="J11" s="288">
        <f>'2.3.Önk kiad fel'!E31</f>
        <v>0</v>
      </c>
      <c r="K11" s="288">
        <f>'2.3.Önk kiad fel'!I31</f>
        <v>5477885</v>
      </c>
      <c r="L11" s="288">
        <f>'2.3.Önk kiad fel'!J31</f>
        <v>0</v>
      </c>
      <c r="M11" s="288">
        <f>'2.3.Önk kiad fel'!K31</f>
        <v>0</v>
      </c>
      <c r="N11" s="288"/>
      <c r="O11" s="288">
        <f>'2.3.Önk kiad fel'!L31</f>
        <v>5645489</v>
      </c>
      <c r="P11" s="288">
        <f>'2.3.Önk kiad fel'!K31</f>
        <v>0</v>
      </c>
      <c r="Q11" s="288">
        <f>'2.3.Önk kiad fel'!L31</f>
        <v>5645489</v>
      </c>
      <c r="R11" s="288">
        <f>'2.3.Önk kiad fel'!M31</f>
        <v>0</v>
      </c>
      <c r="S11" s="288">
        <f>'2.3.Önk kiad fel'!N31</f>
        <v>0</v>
      </c>
      <c r="T11" s="288">
        <f>'2.3.Önk kiad fel'!O31</f>
        <v>0</v>
      </c>
      <c r="U11" s="288">
        <f>'2.3.Önk kiad fel'!P31</f>
        <v>0</v>
      </c>
      <c r="V11" s="288">
        <f>'2.3.Önk kiad fel'!Q31</f>
        <v>0</v>
      </c>
      <c r="W11" s="288">
        <f>'2.3.Önk kiad fel'!R31</f>
        <v>430660</v>
      </c>
      <c r="X11" s="288">
        <f>+'2.3.Önk kiad fel'!S31</f>
        <v>5021981</v>
      </c>
      <c r="Y11" s="288">
        <f>+'2.3.Önk kiad fel'!T31</f>
        <v>6273816</v>
      </c>
      <c r="Z11" s="288">
        <f>+'2.3.Önk kiad fel'!U31</f>
        <v>6585786</v>
      </c>
      <c r="AA11" s="288">
        <f>+'2.3.Önk kiad fel'!V31</f>
        <v>1250323</v>
      </c>
    </row>
    <row r="12" spans="1:27" x14ac:dyDescent="0.25">
      <c r="A12" s="367" t="s">
        <v>1006</v>
      </c>
      <c r="B12" s="284" t="s">
        <v>694</v>
      </c>
      <c r="C12" s="288"/>
      <c r="D12" s="317"/>
      <c r="E12" s="317"/>
      <c r="F12" s="317"/>
      <c r="G12" s="288">
        <f>'2.3.Önk kiad fel'!F43</f>
        <v>0</v>
      </c>
      <c r="H12" s="288">
        <f>'2.3.Önk kiad fel'!C43</f>
        <v>0</v>
      </c>
      <c r="I12" s="288">
        <f>'2.3.Önk kiad fel'!D43</f>
        <v>0</v>
      </c>
      <c r="J12" s="288">
        <f>'2.3.Önk kiad fel'!E43</f>
        <v>0</v>
      </c>
      <c r="K12" s="288">
        <f>'2.3.Önk kiad fel'!I43</f>
        <v>0</v>
      </c>
      <c r="L12" s="288">
        <f>'2.3.Önk kiad fel'!I43</f>
        <v>0</v>
      </c>
      <c r="M12" s="288">
        <f>'2.3.Önk kiad fel'!K43</f>
        <v>0</v>
      </c>
      <c r="N12" s="288"/>
      <c r="O12" s="288">
        <f>'2.3.Önk kiad fel'!L43</f>
        <v>0</v>
      </c>
      <c r="P12" s="288">
        <f>'2.3.Önk kiad fel'!K43</f>
        <v>0</v>
      </c>
      <c r="Q12" s="288">
        <f>'2.3.Önk kiad fel'!L43</f>
        <v>0</v>
      </c>
      <c r="R12" s="288">
        <f>'2.3.Önk kiad fel'!M43</f>
        <v>0</v>
      </c>
      <c r="S12" s="288">
        <f>'2.3.Önk kiad fel'!N43</f>
        <v>0</v>
      </c>
      <c r="T12" s="288">
        <f>'2.3.Önk kiad fel'!O43</f>
        <v>0</v>
      </c>
      <c r="U12" s="288">
        <f>'2.3.Önk kiad fel'!P43</f>
        <v>0</v>
      </c>
      <c r="V12" s="288">
        <f>'2.3.Önk kiad fel'!Q43</f>
        <v>0</v>
      </c>
      <c r="W12" s="288">
        <f>'2.3.Önk kiad fel'!R43</f>
        <v>0</v>
      </c>
      <c r="X12" s="288">
        <f>+'2.3.Önk kiad fel'!S43</f>
        <v>0</v>
      </c>
      <c r="Y12" s="288">
        <f>+'2.3.Önk kiad fel'!T43</f>
        <v>0</v>
      </c>
      <c r="Z12" s="288">
        <f>+'2.3.Önk kiad fel'!U43</f>
        <v>0</v>
      </c>
      <c r="AA12" s="288">
        <f>+'2.3.Önk kiad fel'!V43</f>
        <v>0</v>
      </c>
    </row>
    <row r="13" spans="1:27" x14ac:dyDescent="0.25">
      <c r="A13" s="367" t="s">
        <v>1007</v>
      </c>
      <c r="B13" s="284" t="s">
        <v>695</v>
      </c>
      <c r="C13" s="288"/>
      <c r="D13" s="317"/>
      <c r="E13" s="317"/>
      <c r="F13" s="317"/>
      <c r="G13" s="288">
        <f>'2.3.Önk kiad fel'!F47</f>
        <v>27000</v>
      </c>
      <c r="H13" s="288">
        <f>'2.3.Önk kiad fel'!C47</f>
        <v>0</v>
      </c>
      <c r="I13" s="288">
        <f>'2.3.Önk kiad fel'!D47</f>
        <v>0</v>
      </c>
      <c r="J13" s="288">
        <f>'2.3.Önk kiad fel'!E47</f>
        <v>0</v>
      </c>
      <c r="K13" s="288">
        <f>'2.3.Önk kiad fel'!I47</f>
        <v>27000</v>
      </c>
      <c r="L13" s="288">
        <f>'2.3.Önk kiad fel'!J47</f>
        <v>0</v>
      </c>
      <c r="M13" s="288">
        <f>'2.3.Önk kiad fel'!K47</f>
        <v>0</v>
      </c>
      <c r="N13" s="288"/>
      <c r="O13" s="288">
        <f>'2.3.Önk kiad fel'!L47</f>
        <v>27000</v>
      </c>
      <c r="P13" s="288">
        <f>'2.3.Önk kiad fel'!K47</f>
        <v>0</v>
      </c>
      <c r="Q13" s="288">
        <f>'2.3.Önk kiad fel'!L47</f>
        <v>27000</v>
      </c>
      <c r="R13" s="288">
        <f>'2.3.Önk kiad fel'!M47</f>
        <v>0</v>
      </c>
      <c r="S13" s="288">
        <f>'2.3.Önk kiad fel'!N47</f>
        <v>0</v>
      </c>
      <c r="T13" s="288">
        <f>'2.3.Önk kiad fel'!O47</f>
        <v>0</v>
      </c>
      <c r="U13" s="288">
        <f>'2.3.Önk kiad fel'!P47</f>
        <v>0</v>
      </c>
      <c r="V13" s="288">
        <f>'2.3.Önk kiad fel'!Q47</f>
        <v>0</v>
      </c>
      <c r="W13" s="288">
        <f>'2.3.Önk kiad fel'!R47</f>
        <v>6956</v>
      </c>
      <c r="X13" s="288">
        <f>+'2.3.Önk kiad fel'!S47</f>
        <v>30000</v>
      </c>
      <c r="Y13" s="288">
        <f>+'2.3.Önk kiad fel'!T47</f>
        <v>30000</v>
      </c>
      <c r="Z13" s="288">
        <f>+'2.3.Önk kiad fel'!U47</f>
        <v>44406</v>
      </c>
      <c r="AA13" s="288">
        <f>+'2.3.Önk kiad fel'!V47</f>
        <v>21890</v>
      </c>
    </row>
    <row r="14" spans="1:27" x14ac:dyDescent="0.25">
      <c r="A14" s="367" t="s">
        <v>1008</v>
      </c>
      <c r="B14" s="313" t="s">
        <v>606</v>
      </c>
      <c r="C14" s="288"/>
      <c r="D14" s="317"/>
      <c r="E14" s="317"/>
      <c r="F14" s="317"/>
      <c r="G14" s="288">
        <f>'2.3.Önk kiad fel'!F50</f>
        <v>0</v>
      </c>
      <c r="H14" s="288">
        <f>'2.3.Önk kiad fel'!C50</f>
        <v>0</v>
      </c>
      <c r="I14" s="288">
        <f>'2.3.Önk kiad fel'!D50</f>
        <v>0</v>
      </c>
      <c r="J14" s="288">
        <f>'2.3.Önk kiad fel'!E50</f>
        <v>0</v>
      </c>
      <c r="K14" s="288">
        <f>'2.3.Önk kiad fel'!I50</f>
        <v>17924</v>
      </c>
      <c r="L14" s="288">
        <f>'2.3.Önk kiad fel'!J50</f>
        <v>0</v>
      </c>
      <c r="M14" s="288">
        <f>'2.3.Önk kiad fel'!K50</f>
        <v>0</v>
      </c>
      <c r="N14" s="288"/>
      <c r="O14" s="288">
        <f>'2.3.Önk kiad fel'!L50</f>
        <v>82963</v>
      </c>
      <c r="P14" s="288">
        <f>'2.3.Önk kiad fel'!K50</f>
        <v>0</v>
      </c>
      <c r="Q14" s="288">
        <f>'2.3.Önk kiad fel'!L50</f>
        <v>82963</v>
      </c>
      <c r="R14" s="288">
        <f>'2.3.Önk kiad fel'!M50</f>
        <v>0</v>
      </c>
      <c r="S14" s="288">
        <f>'2.3.Önk kiad fel'!N50</f>
        <v>0</v>
      </c>
      <c r="T14" s="288">
        <f>'2.3.Önk kiad fel'!O50</f>
        <v>0</v>
      </c>
      <c r="U14" s="288">
        <f>'2.3.Önk kiad fel'!P50</f>
        <v>0</v>
      </c>
      <c r="V14" s="288">
        <f>'2.3.Önk kiad fel'!Q50</f>
        <v>0</v>
      </c>
      <c r="W14" s="288">
        <f>'2.3.Önk kiad fel'!R50</f>
        <v>10706</v>
      </c>
      <c r="X14" s="288">
        <f>+'2.3.Önk kiad fel'!S50</f>
        <v>0</v>
      </c>
      <c r="Y14" s="288">
        <f>+'2.3.Önk kiad fel'!T50</f>
        <v>45614</v>
      </c>
      <c r="Z14" s="288">
        <f>+'2.3.Önk kiad fel'!U50</f>
        <v>76312</v>
      </c>
      <c r="AA14" s="288">
        <f>+'2.3.Önk kiad fel'!V50</f>
        <v>38012</v>
      </c>
    </row>
    <row r="15" spans="1:27" x14ac:dyDescent="0.25">
      <c r="A15" s="367" t="s">
        <v>1009</v>
      </c>
      <c r="B15" s="284" t="s">
        <v>610</v>
      </c>
      <c r="C15" s="288"/>
      <c r="D15" s="317"/>
      <c r="E15" s="317"/>
      <c r="F15" s="317"/>
      <c r="G15" s="288">
        <f>'2.3.Önk kiad fel'!F55</f>
        <v>33837</v>
      </c>
      <c r="H15" s="288">
        <f>'2.3.Önk kiad fel'!C55</f>
        <v>0</v>
      </c>
      <c r="I15" s="288">
        <f>'2.3.Önk kiad fel'!D55</f>
        <v>0</v>
      </c>
      <c r="J15" s="288">
        <f>'2.3.Önk kiad fel'!E55</f>
        <v>0</v>
      </c>
      <c r="K15" s="288">
        <f>'2.3.Önk kiad fel'!I55</f>
        <v>33837</v>
      </c>
      <c r="L15" s="288">
        <f>'2.3.Önk kiad fel'!J55</f>
        <v>0</v>
      </c>
      <c r="M15" s="288">
        <f>'2.3.Önk kiad fel'!K55</f>
        <v>0</v>
      </c>
      <c r="N15" s="288"/>
      <c r="O15" s="288">
        <f>'2.3.Önk kiad fel'!L55</f>
        <v>33837</v>
      </c>
      <c r="P15" s="288">
        <f>'2.3.Önk kiad fel'!K55</f>
        <v>0</v>
      </c>
      <c r="Q15" s="288">
        <f>'2.3.Önk kiad fel'!L55</f>
        <v>33837</v>
      </c>
      <c r="R15" s="288">
        <f>'2.3.Önk kiad fel'!M55</f>
        <v>0</v>
      </c>
      <c r="S15" s="288">
        <f>'2.3.Önk kiad fel'!N55</f>
        <v>0</v>
      </c>
      <c r="T15" s="288">
        <f>'2.3.Önk kiad fel'!O55</f>
        <v>0</v>
      </c>
      <c r="U15" s="288">
        <f>'2.3.Önk kiad fel'!P55</f>
        <v>0</v>
      </c>
      <c r="V15" s="288">
        <f>'2.3.Önk kiad fel'!Q55</f>
        <v>0</v>
      </c>
      <c r="W15" s="288">
        <f>'2.3.Önk kiad fel'!R55</f>
        <v>5804</v>
      </c>
      <c r="X15" s="288">
        <f>+'2.3.Önk kiad fel'!S55</f>
        <v>34671</v>
      </c>
      <c r="Y15" s="288">
        <f>+'2.3.Önk kiad fel'!T55</f>
        <v>34671</v>
      </c>
      <c r="Z15" s="288">
        <f>+'2.3.Önk kiad fel'!U55</f>
        <v>34671</v>
      </c>
      <c r="AA15" s="288">
        <f>+'2.3.Önk kiad fel'!V55</f>
        <v>11390</v>
      </c>
    </row>
    <row r="16" spans="1:27" ht="15" hidden="1" customHeight="1" x14ac:dyDescent="0.25">
      <c r="A16" s="367" t="s">
        <v>1010</v>
      </c>
      <c r="B16" s="284" t="s">
        <v>697</v>
      </c>
      <c r="C16" s="288"/>
      <c r="D16" s="317"/>
      <c r="E16" s="317"/>
      <c r="F16" s="317"/>
      <c r="G16" s="288"/>
      <c r="H16" s="317"/>
      <c r="I16" s="317"/>
      <c r="J16" s="317"/>
      <c r="K16" s="288"/>
      <c r="L16" s="288"/>
      <c r="M16" s="317"/>
      <c r="N16" s="288"/>
      <c r="O16" s="288">
        <f>'2.3.Önk kiad fel'!L24</f>
        <v>28974</v>
      </c>
      <c r="P16" s="288"/>
      <c r="Q16" s="317"/>
      <c r="R16" s="317"/>
      <c r="S16" s="288"/>
      <c r="T16" s="288"/>
      <c r="U16" s="317"/>
      <c r="V16" s="317"/>
      <c r="W16" s="288"/>
      <c r="X16" s="288">
        <f>'2.3.Önk kiad fel'!T24</f>
        <v>34446</v>
      </c>
      <c r="Y16" s="288">
        <v>0</v>
      </c>
      <c r="Z16" s="288">
        <v>0</v>
      </c>
      <c r="AA16" s="288">
        <v>0</v>
      </c>
    </row>
    <row r="17" spans="1:27" ht="15" hidden="1" customHeight="1" x14ac:dyDescent="0.25">
      <c r="A17" s="367" t="s">
        <v>1011</v>
      </c>
      <c r="B17" s="284" t="s">
        <v>600</v>
      </c>
      <c r="C17" s="288"/>
      <c r="D17" s="317"/>
      <c r="E17" s="317"/>
      <c r="F17" s="317"/>
      <c r="G17" s="288"/>
      <c r="H17" s="317"/>
      <c r="I17" s="317"/>
      <c r="J17" s="317"/>
      <c r="K17" s="288"/>
      <c r="L17" s="317"/>
      <c r="M17" s="317"/>
      <c r="N17" s="288"/>
      <c r="O17" s="288">
        <f>'2.3.Önk kiad fel'!L25</f>
        <v>6815</v>
      </c>
      <c r="P17" s="317"/>
      <c r="Q17" s="317"/>
      <c r="R17" s="317"/>
      <c r="S17" s="288"/>
      <c r="T17" s="317"/>
      <c r="U17" s="317"/>
      <c r="V17" s="317"/>
      <c r="W17" s="288"/>
      <c r="X17" s="288">
        <f>'2.3.Önk kiad fel'!T25</f>
        <v>6571</v>
      </c>
      <c r="Y17" s="288">
        <v>0</v>
      </c>
      <c r="Z17" s="288">
        <v>0</v>
      </c>
      <c r="AA17" s="288">
        <v>0</v>
      </c>
    </row>
    <row r="18" spans="1:27" s="47" customFormat="1" ht="15" hidden="1" customHeight="1" x14ac:dyDescent="0.25">
      <c r="A18" s="367" t="s">
        <v>1012</v>
      </c>
      <c r="B18" s="284" t="s">
        <v>610</v>
      </c>
      <c r="C18" s="288"/>
      <c r="D18" s="317"/>
      <c r="E18" s="317"/>
      <c r="F18" s="317"/>
      <c r="G18" s="288"/>
      <c r="H18" s="317"/>
      <c r="I18" s="317"/>
      <c r="J18" s="317"/>
      <c r="K18" s="288"/>
      <c r="L18" s="317"/>
      <c r="M18" s="317"/>
      <c r="N18" s="288"/>
      <c r="O18" s="288">
        <f>'2.3.Önk kiad fel'!L26</f>
        <v>30324</v>
      </c>
      <c r="P18" s="317"/>
      <c r="Q18" s="317"/>
      <c r="R18" s="317"/>
      <c r="S18" s="288"/>
      <c r="T18" s="317"/>
      <c r="U18" s="317"/>
      <c r="V18" s="317"/>
      <c r="W18" s="288"/>
      <c r="X18" s="288">
        <f>'2.3.Önk kiad fel'!T26</f>
        <v>32200</v>
      </c>
      <c r="Y18" s="288">
        <v>0</v>
      </c>
      <c r="Z18" s="288">
        <v>0</v>
      </c>
      <c r="AA18" s="288">
        <v>0</v>
      </c>
    </row>
    <row r="19" spans="1:27" s="47" customFormat="1" ht="15" hidden="1" customHeight="1" x14ac:dyDescent="0.25">
      <c r="A19" s="367" t="s">
        <v>1014</v>
      </c>
      <c r="B19" s="284" t="s">
        <v>1013</v>
      </c>
      <c r="C19" s="288"/>
      <c r="D19" s="317"/>
      <c r="E19" s="317"/>
      <c r="F19" s="317"/>
      <c r="G19" s="288"/>
      <c r="H19" s="317"/>
      <c r="I19" s="317"/>
      <c r="J19" s="317"/>
      <c r="K19" s="288"/>
      <c r="L19" s="317"/>
      <c r="M19" s="317"/>
      <c r="N19" s="288"/>
      <c r="O19" s="288">
        <f>'2.3.Önk kiad fel'!L27</f>
        <v>20000</v>
      </c>
      <c r="P19" s="317"/>
      <c r="Q19" s="317"/>
      <c r="R19" s="317"/>
      <c r="S19" s="288"/>
      <c r="T19" s="317"/>
      <c r="U19" s="317"/>
      <c r="V19" s="317"/>
      <c r="W19" s="288"/>
      <c r="X19" s="288">
        <f>'2.3.Önk kiad fel'!T27</f>
        <v>10000</v>
      </c>
      <c r="Y19" s="288">
        <v>0</v>
      </c>
      <c r="Z19" s="288">
        <v>0</v>
      </c>
      <c r="AA19" s="288">
        <v>0</v>
      </c>
    </row>
    <row r="20" spans="1:27" s="47" customFormat="1" ht="15" hidden="1" customHeight="1" x14ac:dyDescent="0.25">
      <c r="A20" s="367" t="s">
        <v>1015</v>
      </c>
      <c r="B20" s="284" t="s">
        <v>606</v>
      </c>
      <c r="C20" s="288"/>
      <c r="D20" s="317"/>
      <c r="E20" s="317"/>
      <c r="F20" s="317"/>
      <c r="G20" s="288"/>
      <c r="H20" s="317"/>
      <c r="I20" s="317"/>
      <c r="J20" s="317"/>
      <c r="K20" s="288"/>
      <c r="L20" s="317"/>
      <c r="M20" s="317"/>
      <c r="N20" s="288"/>
      <c r="O20" s="288">
        <f>'2.3.Önk kiad fel'!L28</f>
        <v>20000</v>
      </c>
      <c r="P20" s="317"/>
      <c r="Q20" s="317"/>
      <c r="R20" s="317"/>
      <c r="S20" s="288"/>
      <c r="T20" s="317"/>
      <c r="U20" s="317"/>
      <c r="V20" s="317"/>
      <c r="W20" s="288"/>
      <c r="X20" s="288">
        <f>'2.3.Önk kiad fel'!T28</f>
        <v>10000</v>
      </c>
      <c r="Y20" s="288">
        <v>0</v>
      </c>
      <c r="Z20" s="288">
        <v>0</v>
      </c>
      <c r="AA20" s="288">
        <v>0</v>
      </c>
    </row>
    <row r="21" spans="1:27" s="47" customFormat="1" ht="15" hidden="1" customHeight="1" x14ac:dyDescent="0.25">
      <c r="A21" s="367" t="s">
        <v>1016</v>
      </c>
      <c r="B21" s="284" t="s">
        <v>547</v>
      </c>
      <c r="C21" s="288"/>
      <c r="D21" s="317"/>
      <c r="E21" s="317"/>
      <c r="F21" s="317"/>
      <c r="G21" s="288"/>
      <c r="H21" s="317"/>
      <c r="I21" s="317"/>
      <c r="J21" s="317"/>
      <c r="K21" s="288"/>
      <c r="L21" s="288"/>
      <c r="M21" s="317"/>
      <c r="N21" s="288"/>
      <c r="O21" s="288">
        <f>'2.3.Önk kiad fel'!L29</f>
        <v>25000</v>
      </c>
      <c r="P21" s="288"/>
      <c r="Q21" s="317"/>
      <c r="R21" s="317"/>
      <c r="S21" s="288"/>
      <c r="T21" s="288"/>
      <c r="U21" s="317"/>
      <c r="V21" s="317"/>
      <c r="W21" s="288"/>
      <c r="X21" s="288">
        <f>'2.3.Önk kiad fel'!T29</f>
        <v>20000</v>
      </c>
      <c r="Y21" s="288">
        <v>0</v>
      </c>
      <c r="Z21" s="288">
        <v>0</v>
      </c>
      <c r="AA21" s="288">
        <v>0</v>
      </c>
    </row>
    <row r="22" spans="1:27" s="47" customFormat="1" ht="15" hidden="1" customHeight="1" x14ac:dyDescent="0.25">
      <c r="A22" s="367" t="s">
        <v>1017</v>
      </c>
      <c r="B22" s="284" t="s">
        <v>548</v>
      </c>
      <c r="C22" s="288"/>
      <c r="D22" s="317"/>
      <c r="E22" s="317"/>
      <c r="F22" s="317"/>
      <c r="G22" s="288"/>
      <c r="H22" s="317"/>
      <c r="I22" s="317"/>
      <c r="J22" s="317"/>
      <c r="K22" s="288"/>
      <c r="L22" s="288"/>
      <c r="M22" s="317"/>
      <c r="N22" s="288"/>
      <c r="O22" s="288">
        <f>'2.3.Önk kiad fel'!L30</f>
        <v>25000</v>
      </c>
      <c r="P22" s="288"/>
      <c r="Q22" s="317"/>
      <c r="R22" s="317"/>
      <c r="S22" s="288"/>
      <c r="T22" s="288"/>
      <c r="U22" s="317"/>
      <c r="V22" s="317"/>
      <c r="W22" s="288"/>
      <c r="X22" s="288">
        <f>'2.3.Önk kiad fel'!T30</f>
        <v>20000</v>
      </c>
      <c r="Y22" s="288">
        <v>0</v>
      </c>
      <c r="Z22" s="288">
        <v>0</v>
      </c>
      <c r="AA22" s="288">
        <v>0</v>
      </c>
    </row>
    <row r="23" spans="1:27" s="47" customFormat="1" ht="15" hidden="1" customHeight="1" x14ac:dyDescent="0.25">
      <c r="A23" s="367" t="s">
        <v>1018</v>
      </c>
      <c r="B23" s="284" t="s">
        <v>549</v>
      </c>
      <c r="C23" s="288"/>
      <c r="D23" s="317"/>
      <c r="E23" s="317"/>
      <c r="F23" s="317"/>
      <c r="G23" s="288"/>
      <c r="H23" s="317"/>
      <c r="I23" s="317"/>
      <c r="J23" s="317"/>
      <c r="K23" s="288"/>
      <c r="L23" s="317"/>
      <c r="M23" s="317"/>
      <c r="N23" s="288"/>
      <c r="O23" s="288">
        <f>'2.3.Önk kiad fel'!L31</f>
        <v>5645489</v>
      </c>
      <c r="P23" s="317"/>
      <c r="Q23" s="317"/>
      <c r="R23" s="317"/>
      <c r="S23" s="288"/>
      <c r="T23" s="317"/>
      <c r="U23" s="317"/>
      <c r="V23" s="317"/>
      <c r="W23" s="288"/>
      <c r="X23" s="288">
        <f>'2.3.Önk kiad fel'!T31</f>
        <v>6273816</v>
      </c>
      <c r="Y23" s="288">
        <v>0</v>
      </c>
      <c r="Z23" s="288">
        <v>0</v>
      </c>
      <c r="AA23" s="288">
        <v>0</v>
      </c>
    </row>
    <row r="24" spans="1:27" s="47" customFormat="1" ht="15" hidden="1" customHeight="1" x14ac:dyDescent="0.25">
      <c r="A24" s="367" t="s">
        <v>1019</v>
      </c>
      <c r="B24" s="284" t="s">
        <v>550</v>
      </c>
      <c r="C24" s="288"/>
      <c r="D24" s="317"/>
      <c r="E24" s="317"/>
      <c r="F24" s="317"/>
      <c r="G24" s="288"/>
      <c r="H24" s="317"/>
      <c r="I24" s="317"/>
      <c r="J24" s="317"/>
      <c r="K24" s="288"/>
      <c r="L24" s="317"/>
      <c r="M24" s="317"/>
      <c r="N24" s="288"/>
      <c r="O24" s="288">
        <f>'2.3.Önk kiad fel'!L32</f>
        <v>59688</v>
      </c>
      <c r="P24" s="317"/>
      <c r="Q24" s="317"/>
      <c r="R24" s="317"/>
      <c r="S24" s="288"/>
      <c r="T24" s="317"/>
      <c r="U24" s="317"/>
      <c r="V24" s="317"/>
      <c r="W24" s="288"/>
      <c r="X24" s="288">
        <f>'2.3.Önk kiad fel'!T32</f>
        <v>129258</v>
      </c>
      <c r="Y24" s="288">
        <v>0</v>
      </c>
      <c r="Z24" s="288">
        <v>0</v>
      </c>
      <c r="AA24" s="288">
        <v>0</v>
      </c>
    </row>
    <row r="25" spans="1:27" s="47" customFormat="1" ht="15" hidden="1" customHeight="1" x14ac:dyDescent="0.25">
      <c r="A25" s="367" t="s">
        <v>1021</v>
      </c>
      <c r="B25" s="284" t="s">
        <v>1020</v>
      </c>
      <c r="C25" s="288"/>
      <c r="D25" s="317"/>
      <c r="E25" s="317"/>
      <c r="F25" s="317"/>
      <c r="G25" s="288"/>
      <c r="H25" s="317"/>
      <c r="I25" s="317"/>
      <c r="J25" s="317"/>
      <c r="K25" s="288"/>
      <c r="L25" s="317"/>
      <c r="M25" s="317"/>
      <c r="N25" s="288"/>
      <c r="O25" s="288">
        <f>'2.3.Önk kiad fel'!L33</f>
        <v>11859</v>
      </c>
      <c r="P25" s="317"/>
      <c r="Q25" s="317"/>
      <c r="R25" s="317"/>
      <c r="S25" s="288"/>
      <c r="T25" s="317"/>
      <c r="U25" s="317"/>
      <c r="V25" s="317"/>
      <c r="W25" s="288"/>
      <c r="X25" s="288">
        <f>'2.3.Önk kiad fel'!T33</f>
        <v>21762</v>
      </c>
      <c r="Y25" s="288">
        <v>0</v>
      </c>
      <c r="Z25" s="288">
        <v>0</v>
      </c>
      <c r="AA25" s="288">
        <v>0</v>
      </c>
    </row>
    <row r="26" spans="1:27" s="47" customFormat="1" ht="15" hidden="1" customHeight="1" x14ac:dyDescent="0.25">
      <c r="A26" s="367" t="s">
        <v>1022</v>
      </c>
      <c r="B26" s="284" t="s">
        <v>553</v>
      </c>
      <c r="C26" s="288"/>
      <c r="D26" s="317"/>
      <c r="E26" s="317"/>
      <c r="F26" s="317"/>
      <c r="G26" s="288"/>
      <c r="H26" s="317"/>
      <c r="I26" s="317"/>
      <c r="J26" s="317"/>
      <c r="K26" s="288"/>
      <c r="L26" s="288"/>
      <c r="M26" s="317"/>
      <c r="N26" s="288"/>
      <c r="O26" s="288">
        <f>'2.3.Önk kiad fel'!L34</f>
        <v>114200</v>
      </c>
      <c r="P26" s="288"/>
      <c r="Q26" s="317"/>
      <c r="R26" s="317"/>
      <c r="S26" s="288"/>
      <c r="T26" s="288"/>
      <c r="U26" s="317"/>
      <c r="V26" s="317"/>
      <c r="W26" s="288"/>
      <c r="X26" s="288">
        <f>'2.3.Önk kiad fel'!T34</f>
        <v>175391</v>
      </c>
      <c r="Y26" s="288">
        <v>0</v>
      </c>
      <c r="Z26" s="288">
        <v>0</v>
      </c>
      <c r="AA26" s="288">
        <v>0</v>
      </c>
    </row>
    <row r="27" spans="1:27" s="47" customFormat="1" ht="15" hidden="1" customHeight="1" x14ac:dyDescent="0.25">
      <c r="A27" s="367" t="s">
        <v>1023</v>
      </c>
      <c r="B27" s="284" t="s">
        <v>555</v>
      </c>
      <c r="C27" s="288"/>
      <c r="D27" s="317"/>
      <c r="E27" s="317"/>
      <c r="F27" s="317"/>
      <c r="G27" s="288"/>
      <c r="H27" s="317"/>
      <c r="I27" s="317"/>
      <c r="J27" s="317"/>
      <c r="K27" s="288"/>
      <c r="L27" s="288"/>
      <c r="M27" s="317"/>
      <c r="N27" s="288"/>
      <c r="O27" s="288">
        <f>'2.3.Önk kiad fel'!L35</f>
        <v>0</v>
      </c>
      <c r="P27" s="288"/>
      <c r="Q27" s="317"/>
      <c r="R27" s="317"/>
      <c r="S27" s="288"/>
      <c r="T27" s="288"/>
      <c r="U27" s="317"/>
      <c r="V27" s="317"/>
      <c r="W27" s="288"/>
      <c r="X27" s="288">
        <f>'2.3.Önk kiad fel'!T35</f>
        <v>6000</v>
      </c>
      <c r="Y27" s="288">
        <v>0</v>
      </c>
      <c r="Z27" s="288">
        <v>0</v>
      </c>
      <c r="AA27" s="288">
        <v>0</v>
      </c>
    </row>
    <row r="28" spans="1:27" s="47" customFormat="1" ht="15" hidden="1" customHeight="1" x14ac:dyDescent="0.25">
      <c r="A28" s="367" t="s">
        <v>1024</v>
      </c>
      <c r="B28" s="284" t="s">
        <v>557</v>
      </c>
      <c r="C28" s="288"/>
      <c r="D28" s="317"/>
      <c r="E28" s="317"/>
      <c r="F28" s="317"/>
      <c r="G28" s="288"/>
      <c r="H28" s="317"/>
      <c r="I28" s="317"/>
      <c r="J28" s="317"/>
      <c r="K28" s="288"/>
      <c r="L28" s="317"/>
      <c r="M28" s="317"/>
      <c r="N28" s="288"/>
      <c r="O28" s="288">
        <f>'2.3.Önk kiad fel'!L36</f>
        <v>3631183</v>
      </c>
      <c r="P28" s="317"/>
      <c r="Q28" s="317"/>
      <c r="R28" s="317"/>
      <c r="S28" s="288"/>
      <c r="T28" s="317"/>
      <c r="U28" s="317"/>
      <c r="V28" s="317"/>
      <c r="W28" s="288"/>
      <c r="X28" s="288">
        <f>'2.3.Önk kiad fel'!T36</f>
        <v>4939050</v>
      </c>
      <c r="Y28" s="288">
        <v>0</v>
      </c>
      <c r="Z28" s="288">
        <v>0</v>
      </c>
      <c r="AA28" s="288">
        <v>0</v>
      </c>
    </row>
    <row r="29" spans="1:27" s="47" customFormat="1" ht="15" hidden="1" customHeight="1" x14ac:dyDescent="0.25">
      <c r="A29" s="367" t="s">
        <v>1025</v>
      </c>
      <c r="B29" s="284" t="s">
        <v>566</v>
      </c>
      <c r="C29" s="288"/>
      <c r="D29" s="317"/>
      <c r="E29" s="317"/>
      <c r="F29" s="317"/>
      <c r="G29" s="288"/>
      <c r="H29" s="317"/>
      <c r="I29" s="317"/>
      <c r="J29" s="317"/>
      <c r="K29" s="288"/>
      <c r="L29" s="317"/>
      <c r="M29" s="317"/>
      <c r="N29" s="288"/>
      <c r="O29" s="288">
        <f>'2.3.Önk kiad fel'!L37</f>
        <v>1825720</v>
      </c>
      <c r="P29" s="317"/>
      <c r="Q29" s="317"/>
      <c r="R29" s="317"/>
      <c r="S29" s="288"/>
      <c r="T29" s="317"/>
      <c r="U29" s="317"/>
      <c r="V29" s="317"/>
      <c r="W29" s="288"/>
      <c r="X29" s="288">
        <f>'2.3.Önk kiad fel'!T37</f>
        <v>1001155</v>
      </c>
      <c r="Y29" s="288">
        <v>0</v>
      </c>
      <c r="Z29" s="288">
        <v>0</v>
      </c>
      <c r="AA29" s="288">
        <v>0</v>
      </c>
    </row>
    <row r="30" spans="1:27" s="47" customFormat="1" ht="15" hidden="1" customHeight="1" x14ac:dyDescent="0.25">
      <c r="A30" s="367" t="s">
        <v>1026</v>
      </c>
      <c r="B30" s="284" t="s">
        <v>349</v>
      </c>
      <c r="C30" s="288"/>
      <c r="D30" s="317"/>
      <c r="E30" s="317"/>
      <c r="F30" s="317"/>
      <c r="G30" s="288"/>
      <c r="H30" s="317"/>
      <c r="I30" s="317"/>
      <c r="J30" s="317"/>
      <c r="K30" s="288"/>
      <c r="L30" s="317"/>
      <c r="M30" s="317"/>
      <c r="N30" s="288"/>
      <c r="O30" s="288">
        <f>'2.3.Önk kiad fel'!L38</f>
        <v>2839</v>
      </c>
      <c r="P30" s="317"/>
      <c r="Q30" s="317"/>
      <c r="R30" s="317"/>
      <c r="S30" s="288"/>
      <c r="T30" s="317"/>
      <c r="U30" s="317"/>
      <c r="V30" s="317"/>
      <c r="W30" s="288"/>
      <c r="X30" s="288">
        <f>'2.3.Önk kiad fel'!T38</f>
        <v>1200</v>
      </c>
      <c r="Y30" s="288">
        <v>0</v>
      </c>
      <c r="Z30" s="288">
        <v>0</v>
      </c>
      <c r="AA30" s="288">
        <v>0</v>
      </c>
    </row>
    <row r="31" spans="1:27" s="47" customFormat="1" ht="15" hidden="1" customHeight="1" x14ac:dyDescent="0.25">
      <c r="A31" s="367" t="s">
        <v>1027</v>
      </c>
      <c r="B31" s="284" t="s">
        <v>352</v>
      </c>
      <c r="C31" s="288"/>
      <c r="D31" s="317"/>
      <c r="E31" s="317"/>
      <c r="F31" s="317"/>
      <c r="G31" s="288"/>
      <c r="H31" s="317"/>
      <c r="I31" s="317"/>
      <c r="J31" s="317"/>
      <c r="K31" s="288"/>
      <c r="L31" s="317"/>
      <c r="M31" s="317"/>
      <c r="N31" s="288"/>
      <c r="O31" s="288">
        <f>'2.3.Önk kiad fel'!L39</f>
        <v>639</v>
      </c>
      <c r="P31" s="317"/>
      <c r="Q31" s="317"/>
      <c r="R31" s="317"/>
      <c r="S31" s="288"/>
      <c r="T31" s="317"/>
      <c r="U31" s="317"/>
      <c r="V31" s="317"/>
      <c r="W31" s="288"/>
      <c r="X31" s="288">
        <f>'2.3.Önk kiad fel'!T39</f>
        <v>1000</v>
      </c>
      <c r="Y31" s="288">
        <v>0</v>
      </c>
      <c r="Z31" s="288">
        <v>0</v>
      </c>
      <c r="AA31" s="288">
        <v>0</v>
      </c>
    </row>
    <row r="32" spans="1:27" s="47" customFormat="1" ht="15" hidden="1" customHeight="1" x14ac:dyDescent="0.25">
      <c r="A32" s="367" t="s">
        <v>1028</v>
      </c>
      <c r="B32" s="284" t="s">
        <v>357</v>
      </c>
      <c r="C32" s="288"/>
      <c r="D32" s="317"/>
      <c r="E32" s="317"/>
      <c r="F32" s="317"/>
      <c r="G32" s="288"/>
      <c r="H32" s="317"/>
      <c r="I32" s="317"/>
      <c r="J32" s="317"/>
      <c r="K32" s="288"/>
      <c r="L32" s="317"/>
      <c r="M32" s="317"/>
      <c r="N32" s="288"/>
      <c r="O32" s="288">
        <f>'2.3.Önk kiad fel'!L40</f>
        <v>2200</v>
      </c>
      <c r="P32" s="317"/>
      <c r="Q32" s="317"/>
      <c r="R32" s="317"/>
      <c r="S32" s="288"/>
      <c r="T32" s="317"/>
      <c r="U32" s="317"/>
      <c r="V32" s="317"/>
      <c r="W32" s="288"/>
      <c r="X32" s="288">
        <f>'2.3.Önk kiad fel'!T40</f>
        <v>200</v>
      </c>
      <c r="Y32" s="288">
        <v>0</v>
      </c>
      <c r="Z32" s="288">
        <v>0</v>
      </c>
      <c r="AA32" s="288">
        <v>0</v>
      </c>
    </row>
    <row r="33" spans="1:27" s="47" customFormat="1" ht="15" hidden="1" customHeight="1" x14ac:dyDescent="0.25">
      <c r="A33" s="367" t="s">
        <v>1030</v>
      </c>
      <c r="B33" s="284" t="s">
        <v>1029</v>
      </c>
      <c r="C33" s="288"/>
      <c r="D33" s="317"/>
      <c r="E33" s="317"/>
      <c r="F33" s="317"/>
      <c r="G33" s="288"/>
      <c r="H33" s="317"/>
      <c r="I33" s="317"/>
      <c r="J33" s="317"/>
      <c r="K33" s="288"/>
      <c r="L33" s="317"/>
      <c r="M33" s="317"/>
      <c r="N33" s="288"/>
      <c r="O33" s="288">
        <f>'2.3.Önk kiad fel'!L43</f>
        <v>0</v>
      </c>
      <c r="P33" s="317"/>
      <c r="Q33" s="317"/>
      <c r="R33" s="317"/>
      <c r="S33" s="288"/>
      <c r="T33" s="317"/>
      <c r="U33" s="317"/>
      <c r="V33" s="317"/>
      <c r="W33" s="288"/>
      <c r="X33" s="288">
        <f>'2.3.Önk kiad fel'!T43</f>
        <v>0</v>
      </c>
      <c r="Y33" s="288">
        <v>0</v>
      </c>
      <c r="Z33" s="288">
        <v>0</v>
      </c>
      <c r="AA33" s="288">
        <v>0</v>
      </c>
    </row>
    <row r="34" spans="1:27" s="47" customFormat="1" ht="15" hidden="1" customHeight="1" x14ac:dyDescent="0.25">
      <c r="A34" s="367" t="s">
        <v>1031</v>
      </c>
      <c r="B34" s="284" t="s">
        <v>360</v>
      </c>
      <c r="C34" s="288"/>
      <c r="D34" s="317"/>
      <c r="E34" s="317"/>
      <c r="F34" s="317"/>
      <c r="G34" s="288"/>
      <c r="H34" s="317"/>
      <c r="I34" s="317"/>
      <c r="J34" s="317"/>
      <c r="K34" s="288"/>
      <c r="L34" s="317"/>
      <c r="M34" s="317"/>
      <c r="N34" s="288"/>
      <c r="O34" s="288">
        <f>'2.3.Önk kiad fel'!L44</f>
        <v>0</v>
      </c>
      <c r="P34" s="317"/>
      <c r="Q34" s="317"/>
      <c r="R34" s="317"/>
      <c r="S34" s="288"/>
      <c r="T34" s="317"/>
      <c r="U34" s="317"/>
      <c r="V34" s="317"/>
      <c r="W34" s="288"/>
      <c r="X34" s="288">
        <f>'2.3.Önk kiad fel'!T44</f>
        <v>0</v>
      </c>
      <c r="Y34" s="288">
        <v>0</v>
      </c>
      <c r="Z34" s="288">
        <v>0</v>
      </c>
      <c r="AA34" s="288">
        <v>0</v>
      </c>
    </row>
    <row r="35" spans="1:27" s="47" customFormat="1" ht="15" hidden="1" customHeight="1" x14ac:dyDescent="0.25">
      <c r="A35" s="367" t="s">
        <v>1033</v>
      </c>
      <c r="B35" s="444" t="s">
        <v>1277</v>
      </c>
      <c r="C35" s="288"/>
      <c r="D35" s="317"/>
      <c r="E35" s="317"/>
      <c r="F35" s="317"/>
      <c r="G35" s="288"/>
      <c r="H35" s="317"/>
      <c r="I35" s="317"/>
      <c r="J35" s="317"/>
      <c r="K35" s="288"/>
      <c r="L35" s="317"/>
      <c r="M35" s="317"/>
      <c r="N35" s="288"/>
      <c r="O35" s="288">
        <f>'2.3.Önk kiad fel'!L45</f>
        <v>0</v>
      </c>
      <c r="P35" s="317"/>
      <c r="Q35" s="317"/>
      <c r="R35" s="317"/>
      <c r="S35" s="288"/>
      <c r="T35" s="317"/>
      <c r="U35" s="317"/>
      <c r="V35" s="317"/>
      <c r="W35" s="288"/>
      <c r="X35" s="288">
        <f>'2.3.Önk kiad fel'!T45</f>
        <v>0</v>
      </c>
      <c r="Y35" s="288">
        <v>0</v>
      </c>
      <c r="Z35" s="288">
        <v>0</v>
      </c>
      <c r="AA35" s="288">
        <v>0</v>
      </c>
    </row>
    <row r="36" spans="1:27" s="47" customFormat="1" ht="15" hidden="1" customHeight="1" x14ac:dyDescent="0.25">
      <c r="A36" s="367" t="s">
        <v>1034</v>
      </c>
      <c r="B36" s="284" t="s">
        <v>1032</v>
      </c>
      <c r="C36" s="288"/>
      <c r="D36" s="317"/>
      <c r="E36" s="317"/>
      <c r="F36" s="317"/>
      <c r="G36" s="288"/>
      <c r="H36" s="317"/>
      <c r="I36" s="317"/>
      <c r="J36" s="317"/>
      <c r="K36" s="288"/>
      <c r="L36" s="317"/>
      <c r="M36" s="317"/>
      <c r="N36" s="288"/>
      <c r="O36" s="288">
        <f>'2.3.Önk kiad fel'!L46</f>
        <v>0</v>
      </c>
      <c r="P36" s="317"/>
      <c r="Q36" s="317"/>
      <c r="R36" s="317"/>
      <c r="S36" s="288"/>
      <c r="T36" s="317"/>
      <c r="U36" s="317"/>
      <c r="V36" s="317"/>
      <c r="W36" s="288"/>
      <c r="X36" s="288">
        <f>'2.3.Önk kiad fel'!T46</f>
        <v>0</v>
      </c>
      <c r="Y36" s="288">
        <v>0</v>
      </c>
      <c r="Z36" s="288">
        <v>0</v>
      </c>
      <c r="AA36" s="288">
        <v>0</v>
      </c>
    </row>
    <row r="37" spans="1:27" s="47" customFormat="1" ht="15" hidden="1" customHeight="1" x14ac:dyDescent="0.25">
      <c r="A37" s="367" t="s">
        <v>1035</v>
      </c>
      <c r="B37" s="284" t="s">
        <v>366</v>
      </c>
      <c r="C37" s="288"/>
      <c r="D37" s="317"/>
      <c r="E37" s="317"/>
      <c r="F37" s="317"/>
      <c r="G37" s="288"/>
      <c r="H37" s="317"/>
      <c r="I37" s="317"/>
      <c r="J37" s="317"/>
      <c r="K37" s="288"/>
      <c r="L37" s="317"/>
      <c r="M37" s="317"/>
      <c r="N37" s="288"/>
      <c r="O37" s="288">
        <f>'2.3.Önk kiad fel'!L47</f>
        <v>27000</v>
      </c>
      <c r="P37" s="317"/>
      <c r="Q37" s="317"/>
      <c r="R37" s="317"/>
      <c r="S37" s="288"/>
      <c r="T37" s="317"/>
      <c r="U37" s="317"/>
      <c r="V37" s="317"/>
      <c r="W37" s="288"/>
      <c r="X37" s="288">
        <f>'2.3.Önk kiad fel'!T47</f>
        <v>30000</v>
      </c>
      <c r="Y37" s="288">
        <v>0</v>
      </c>
      <c r="Z37" s="288">
        <v>0</v>
      </c>
      <c r="AA37" s="288">
        <v>0</v>
      </c>
    </row>
    <row r="38" spans="1:27" s="47" customFormat="1" ht="15" hidden="1" customHeight="1" x14ac:dyDescent="0.25">
      <c r="A38" s="367" t="s">
        <v>1036</v>
      </c>
      <c r="B38" s="284" t="s">
        <v>367</v>
      </c>
      <c r="C38" s="288"/>
      <c r="D38" s="317"/>
      <c r="E38" s="317"/>
      <c r="F38" s="317"/>
      <c r="G38" s="288"/>
      <c r="H38" s="317"/>
      <c r="I38" s="317"/>
      <c r="J38" s="317"/>
      <c r="K38" s="288"/>
      <c r="L38" s="317"/>
      <c r="M38" s="317"/>
      <c r="N38" s="288"/>
      <c r="O38" s="288">
        <f>'2.3.Önk kiad fel'!L48</f>
        <v>25950</v>
      </c>
      <c r="P38" s="317"/>
      <c r="Q38" s="317"/>
      <c r="R38" s="317"/>
      <c r="S38" s="288"/>
      <c r="T38" s="317"/>
      <c r="U38" s="317"/>
      <c r="V38" s="317"/>
      <c r="W38" s="288"/>
      <c r="X38" s="288">
        <f>'2.3.Önk kiad fel'!T48</f>
        <v>30000</v>
      </c>
      <c r="Y38" s="288">
        <v>0</v>
      </c>
      <c r="Z38" s="288">
        <v>0</v>
      </c>
      <c r="AA38" s="288">
        <v>0</v>
      </c>
    </row>
    <row r="39" spans="1:27" s="47" customFormat="1" ht="15" hidden="1" customHeight="1" x14ac:dyDescent="0.25">
      <c r="A39" s="367" t="s">
        <v>1037</v>
      </c>
      <c r="B39" s="284" t="s">
        <v>368</v>
      </c>
      <c r="C39" s="288"/>
      <c r="D39" s="317"/>
      <c r="E39" s="317"/>
      <c r="F39" s="317"/>
      <c r="G39" s="288"/>
      <c r="H39" s="317"/>
      <c r="I39" s="317"/>
      <c r="J39" s="317"/>
      <c r="K39" s="288"/>
      <c r="L39" s="317"/>
      <c r="M39" s="317"/>
      <c r="N39" s="288"/>
      <c r="O39" s="288">
        <f>'2.3.Önk kiad fel'!L50</f>
        <v>82963</v>
      </c>
      <c r="P39" s="317"/>
      <c r="Q39" s="317"/>
      <c r="R39" s="317"/>
      <c r="S39" s="288"/>
      <c r="T39" s="317"/>
      <c r="U39" s="317"/>
      <c r="V39" s="317"/>
      <c r="W39" s="288"/>
      <c r="X39" s="288">
        <f>'2.3.Önk kiad fel'!T50</f>
        <v>45614</v>
      </c>
      <c r="Y39" s="288">
        <v>0</v>
      </c>
      <c r="Z39" s="288">
        <v>0</v>
      </c>
      <c r="AA39" s="288">
        <v>0</v>
      </c>
    </row>
    <row r="40" spans="1:27" s="47" customFormat="1" ht="15" hidden="1" customHeight="1" x14ac:dyDescent="0.25">
      <c r="A40" s="367" t="s">
        <v>1199</v>
      </c>
      <c r="B40" s="284" t="s">
        <v>369</v>
      </c>
      <c r="C40" s="288"/>
      <c r="D40" s="317"/>
      <c r="E40" s="317"/>
      <c r="F40" s="317"/>
      <c r="G40" s="288"/>
      <c r="H40" s="317"/>
      <c r="I40" s="317"/>
      <c r="J40" s="317"/>
      <c r="K40" s="288"/>
      <c r="L40" s="317"/>
      <c r="M40" s="317"/>
      <c r="N40" s="288"/>
      <c r="O40" s="288">
        <f>'2.3.Önk kiad fel'!L53</f>
        <v>33891</v>
      </c>
      <c r="P40" s="317"/>
      <c r="Q40" s="317"/>
      <c r="R40" s="317"/>
      <c r="S40" s="288"/>
      <c r="T40" s="317"/>
      <c r="U40" s="317"/>
      <c r="V40" s="317"/>
      <c r="W40" s="288"/>
      <c r="X40" s="288">
        <f>'2.3.Önk kiad fel'!T53</f>
        <v>10931</v>
      </c>
      <c r="Y40" s="288">
        <v>0</v>
      </c>
      <c r="Z40" s="288">
        <v>0</v>
      </c>
      <c r="AA40" s="288">
        <v>0</v>
      </c>
    </row>
    <row r="41" spans="1:27" s="47" customFormat="1" ht="15" hidden="1" customHeight="1" x14ac:dyDescent="0.25">
      <c r="A41" s="367" t="s">
        <v>1200</v>
      </c>
      <c r="B41" s="284" t="s">
        <v>370</v>
      </c>
      <c r="C41" s="288"/>
      <c r="D41" s="317"/>
      <c r="E41" s="317"/>
      <c r="F41" s="317"/>
      <c r="G41" s="288"/>
      <c r="H41" s="317"/>
      <c r="I41" s="317"/>
      <c r="J41" s="317"/>
      <c r="K41" s="288"/>
      <c r="L41" s="317"/>
      <c r="M41" s="317"/>
      <c r="N41" s="288"/>
      <c r="O41" s="288">
        <f>'2.3.Önk kiad fel'!L54</f>
        <v>219</v>
      </c>
      <c r="P41" s="317"/>
      <c r="Q41" s="317"/>
      <c r="R41" s="317"/>
      <c r="S41" s="288"/>
      <c r="T41" s="317"/>
      <c r="U41" s="317"/>
      <c r="V41" s="317"/>
      <c r="W41" s="288"/>
      <c r="X41" s="288">
        <f>'2.3.Önk kiad fel'!T54</f>
        <v>23</v>
      </c>
      <c r="Y41" s="288">
        <v>0</v>
      </c>
      <c r="Z41" s="288">
        <v>0</v>
      </c>
      <c r="AA41" s="288">
        <v>0</v>
      </c>
    </row>
    <row r="42" spans="1:27" x14ac:dyDescent="0.25">
      <c r="A42" s="307" t="s">
        <v>318</v>
      </c>
      <c r="B42" s="278" t="s">
        <v>353</v>
      </c>
      <c r="C42" s="279">
        <f>SUM(C43:C59)</f>
        <v>0</v>
      </c>
      <c r="D42" s="316">
        <f>SUM(D43:D59)</f>
        <v>0</v>
      </c>
      <c r="E42" s="316"/>
      <c r="F42" s="316"/>
      <c r="G42" s="279">
        <f t="shared" ref="G42:V42" si="3">SUM(G43:G59)</f>
        <v>57450</v>
      </c>
      <c r="H42" s="279">
        <f t="shared" si="3"/>
        <v>0</v>
      </c>
      <c r="I42" s="279">
        <f t="shared" si="3"/>
        <v>0</v>
      </c>
      <c r="J42" s="279">
        <f t="shared" si="3"/>
        <v>0</v>
      </c>
      <c r="K42" s="279">
        <f t="shared" si="3"/>
        <v>59530</v>
      </c>
      <c r="L42" s="279">
        <f t="shared" si="3"/>
        <v>0</v>
      </c>
      <c r="M42" s="279">
        <f t="shared" si="3"/>
        <v>0</v>
      </c>
      <c r="N42" s="279">
        <f t="shared" si="3"/>
        <v>0</v>
      </c>
      <c r="O42" s="279">
        <f t="shared" si="3"/>
        <v>61518</v>
      </c>
      <c r="P42" s="279">
        <f t="shared" si="3"/>
        <v>0</v>
      </c>
      <c r="Q42" s="279">
        <f t="shared" si="3"/>
        <v>61518</v>
      </c>
      <c r="R42" s="279">
        <f t="shared" si="3"/>
        <v>0</v>
      </c>
      <c r="S42" s="279">
        <f t="shared" si="3"/>
        <v>0</v>
      </c>
      <c r="T42" s="279">
        <f t="shared" si="3"/>
        <v>0</v>
      </c>
      <c r="U42" s="279">
        <f t="shared" si="3"/>
        <v>0</v>
      </c>
      <c r="V42" s="279">
        <f t="shared" si="3"/>
        <v>0</v>
      </c>
      <c r="W42" s="279">
        <f>SUM(W43:W59)</f>
        <v>19468</v>
      </c>
      <c r="X42" s="279">
        <f>SUM(X43:X59)</f>
        <v>71300</v>
      </c>
      <c r="Y42" s="279">
        <v>71300</v>
      </c>
      <c r="Z42" s="279">
        <f>SUM(Z43:Z59)</f>
        <v>104051</v>
      </c>
      <c r="AA42" s="279">
        <f>SUM(AA43:AA59)</f>
        <v>28439</v>
      </c>
    </row>
    <row r="43" spans="1:27" s="47" customFormat="1" x14ac:dyDescent="0.25">
      <c r="A43" s="367" t="s">
        <v>1038</v>
      </c>
      <c r="B43" s="284" t="s">
        <v>1290</v>
      </c>
      <c r="C43" s="288"/>
      <c r="D43" s="317"/>
      <c r="E43" s="317"/>
      <c r="F43" s="317"/>
      <c r="G43" s="288">
        <f>'2.3.Önk kiad fel'!F76</f>
        <v>600</v>
      </c>
      <c r="H43" s="288">
        <f>'2.3.Önk kiad fel'!C76</f>
        <v>0</v>
      </c>
      <c r="I43" s="288">
        <f>'2.3.Önk kiad fel'!D76</f>
        <v>0</v>
      </c>
      <c r="J43" s="288">
        <f>'2.3.Önk kiad fel'!E76</f>
        <v>0</v>
      </c>
      <c r="K43" s="288">
        <f>'2.3.Önk kiad fel'!I76</f>
        <v>600</v>
      </c>
      <c r="L43" s="288">
        <f>'2.3.Önk kiad fel'!J76</f>
        <v>0</v>
      </c>
      <c r="M43" s="288">
        <f>'2.3.Önk kiad fel'!K76</f>
        <v>0</v>
      </c>
      <c r="N43" s="288"/>
      <c r="O43" s="288">
        <f>'2.3.Önk kiad fel'!L76</f>
        <v>600</v>
      </c>
      <c r="P43" s="288">
        <f>'2.3.Önk kiad fel'!K76</f>
        <v>0</v>
      </c>
      <c r="Q43" s="288">
        <f>'2.3.Önk kiad fel'!L76</f>
        <v>600</v>
      </c>
      <c r="R43" s="288">
        <f>'2.3.Önk kiad fel'!M76</f>
        <v>0</v>
      </c>
      <c r="S43" s="288">
        <f>'2.3.Önk kiad fel'!N76</f>
        <v>0</v>
      </c>
      <c r="T43" s="288">
        <f>'2.3.Önk kiad fel'!O76</f>
        <v>0</v>
      </c>
      <c r="U43" s="288">
        <f>'2.3.Önk kiad fel'!P76</f>
        <v>0</v>
      </c>
      <c r="V43" s="288">
        <f>'2.3.Önk kiad fel'!Q76</f>
        <v>0</v>
      </c>
      <c r="W43" s="288">
        <f>'2.3.Önk kiad fel'!R76</f>
        <v>0</v>
      </c>
      <c r="X43" s="288">
        <f>+'2.3.Önk kiad fel'!S76</f>
        <v>600</v>
      </c>
      <c r="Y43" s="288">
        <f>+'2.3.Önk kiad fel'!T76</f>
        <v>600</v>
      </c>
      <c r="Z43" s="288">
        <f>+'2.3.Önk kiad fel'!U76</f>
        <v>600</v>
      </c>
      <c r="AA43" s="288">
        <f>+'2.3.Önk kiad fel'!V76</f>
        <v>0</v>
      </c>
    </row>
    <row r="44" spans="1:27" s="47" customFormat="1" ht="15" hidden="1" customHeight="1" x14ac:dyDescent="0.25">
      <c r="A44" s="367" t="s">
        <v>1039</v>
      </c>
      <c r="B44" s="284" t="s">
        <v>1312</v>
      </c>
      <c r="C44" s="288"/>
      <c r="D44" s="317"/>
      <c r="E44" s="317"/>
      <c r="F44" s="317"/>
      <c r="G44" s="288">
        <f>'2.3.Önk kiad fel'!F79</f>
        <v>5000</v>
      </c>
      <c r="H44" s="288">
        <f>'2.3.Önk kiad fel'!C79</f>
        <v>0</v>
      </c>
      <c r="I44" s="288">
        <f>'2.3.Önk kiad fel'!D79</f>
        <v>0</v>
      </c>
      <c r="J44" s="288">
        <f>'2.3.Önk kiad fel'!E79</f>
        <v>0</v>
      </c>
      <c r="K44" s="288">
        <f>'2.3.Önk kiad fel'!I79</f>
        <v>5000</v>
      </c>
      <c r="L44" s="288">
        <f>'2.3.Önk kiad fel'!J79</f>
        <v>0</v>
      </c>
      <c r="M44" s="288">
        <f>'2.3.Önk kiad fel'!K79</f>
        <v>0</v>
      </c>
      <c r="N44" s="288"/>
      <c r="O44" s="288">
        <f>'2.3.Önk kiad fel'!L79</f>
        <v>5000</v>
      </c>
      <c r="P44" s="288">
        <f>'2.3.Önk kiad fel'!K79</f>
        <v>0</v>
      </c>
      <c r="Q44" s="288">
        <f>'2.3.Önk kiad fel'!L79</f>
        <v>5000</v>
      </c>
      <c r="R44" s="288">
        <f>'2.3.Önk kiad fel'!M79</f>
        <v>0</v>
      </c>
      <c r="S44" s="288">
        <f>'2.3.Önk kiad fel'!N79</f>
        <v>0</v>
      </c>
      <c r="T44" s="288">
        <f>'2.3.Önk kiad fel'!O79</f>
        <v>0</v>
      </c>
      <c r="U44" s="288">
        <f>'2.3.Önk kiad fel'!P79</f>
        <v>0</v>
      </c>
      <c r="V44" s="288">
        <f>'2.3.Önk kiad fel'!Q79</f>
        <v>0</v>
      </c>
      <c r="W44" s="288">
        <f>'2.3.Önk kiad fel'!R79</f>
        <v>0</v>
      </c>
      <c r="X44" s="288">
        <f>+'2.3.Önk kiad fel'!S79</f>
        <v>0</v>
      </c>
      <c r="Y44" s="288">
        <f>+'2.3.Önk kiad fel'!T79</f>
        <v>0</v>
      </c>
      <c r="Z44" s="288">
        <f>+'2.3.Önk kiad fel'!U79</f>
        <v>0</v>
      </c>
      <c r="AA44" s="288">
        <f>+'2.3.Önk kiad fel'!V79</f>
        <v>0</v>
      </c>
    </row>
    <row r="45" spans="1:27" s="47" customFormat="1" x14ac:dyDescent="0.25">
      <c r="A45" s="367" t="s">
        <v>1039</v>
      </c>
      <c r="B45" s="285" t="s">
        <v>1313</v>
      </c>
      <c r="C45" s="315"/>
      <c r="D45" s="318"/>
      <c r="E45" s="318"/>
      <c r="F45" s="318"/>
      <c r="G45" s="315">
        <f>'2.3.Önk kiad fel'!F82</f>
        <v>15000</v>
      </c>
      <c r="H45" s="315">
        <f>'2.3.Önk kiad fel'!C82</f>
        <v>0</v>
      </c>
      <c r="I45" s="315">
        <f>'2.3.Önk kiad fel'!D82</f>
        <v>0</v>
      </c>
      <c r="J45" s="315">
        <f>'2.3.Önk kiad fel'!E82</f>
        <v>0</v>
      </c>
      <c r="K45" s="315">
        <f>'2.3.Önk kiad fel'!I82</f>
        <v>15000</v>
      </c>
      <c r="L45" s="315">
        <f>'2.3.Önk kiad fel'!J82</f>
        <v>0</v>
      </c>
      <c r="M45" s="315">
        <f>'2.3.Önk kiad fel'!K82</f>
        <v>0</v>
      </c>
      <c r="N45" s="315"/>
      <c r="O45" s="315">
        <f>'2.3.Önk kiad fel'!L82</f>
        <v>15000</v>
      </c>
      <c r="P45" s="315">
        <f>'2.3.Önk kiad fel'!K82</f>
        <v>0</v>
      </c>
      <c r="Q45" s="315">
        <f>'2.3.Önk kiad fel'!L82</f>
        <v>15000</v>
      </c>
      <c r="R45" s="315">
        <f>'2.3.Önk kiad fel'!M82</f>
        <v>0</v>
      </c>
      <c r="S45" s="315">
        <f>'2.3.Önk kiad fel'!N82</f>
        <v>0</v>
      </c>
      <c r="T45" s="315">
        <f>'2.3.Önk kiad fel'!O82</f>
        <v>0</v>
      </c>
      <c r="U45" s="315">
        <f>'2.3.Önk kiad fel'!P82</f>
        <v>0</v>
      </c>
      <c r="V45" s="315">
        <f>'2.3.Önk kiad fel'!Q82</f>
        <v>0</v>
      </c>
      <c r="W45" s="315">
        <f>'2.3.Önk kiad fel'!R82</f>
        <v>5000</v>
      </c>
      <c r="X45" s="315">
        <f>+'2.3.Önk kiad fel'!S82</f>
        <v>30000</v>
      </c>
      <c r="Y45" s="315">
        <f>+'2.3.Önk kiad fel'!T82</f>
        <v>30000</v>
      </c>
      <c r="Z45" s="315">
        <f>+'2.3.Önk kiad fel'!U82</f>
        <v>30000</v>
      </c>
      <c r="AA45" s="315">
        <f>+'2.3.Önk kiad fel'!V82</f>
        <v>15000</v>
      </c>
    </row>
    <row r="46" spans="1:27" s="47" customFormat="1" x14ac:dyDescent="0.25">
      <c r="A46" s="367" t="s">
        <v>1040</v>
      </c>
      <c r="B46" s="284" t="s">
        <v>1314</v>
      </c>
      <c r="C46" s="288"/>
      <c r="D46" s="317"/>
      <c r="E46" s="317"/>
      <c r="F46" s="317"/>
      <c r="G46" s="288">
        <f>'2.3.Önk kiad fel'!F87</f>
        <v>3500</v>
      </c>
      <c r="H46" s="288">
        <f>'2.3.Önk kiad fel'!C87</f>
        <v>0</v>
      </c>
      <c r="I46" s="288">
        <f>'2.3.Önk kiad fel'!D87</f>
        <v>0</v>
      </c>
      <c r="J46" s="288">
        <f>'2.3.Önk kiad fel'!E87</f>
        <v>0</v>
      </c>
      <c r="K46" s="288">
        <f>'2.3.Önk kiad fel'!I87</f>
        <v>3500</v>
      </c>
      <c r="L46" s="288">
        <f>'2.3.Önk kiad fel'!J87</f>
        <v>0</v>
      </c>
      <c r="M46" s="288">
        <f>'2.3.Önk kiad fel'!K87</f>
        <v>0</v>
      </c>
      <c r="N46" s="288"/>
      <c r="O46" s="288">
        <f>'2.3.Önk kiad fel'!L87</f>
        <v>3500</v>
      </c>
      <c r="P46" s="288">
        <f>'2.3.Önk kiad fel'!K87</f>
        <v>0</v>
      </c>
      <c r="Q46" s="288">
        <f>'2.3.Önk kiad fel'!L87</f>
        <v>3500</v>
      </c>
      <c r="R46" s="288">
        <f>'2.3.Önk kiad fel'!M87</f>
        <v>0</v>
      </c>
      <c r="S46" s="288">
        <f>'2.3.Önk kiad fel'!N87</f>
        <v>0</v>
      </c>
      <c r="T46" s="288">
        <f>'2.3.Önk kiad fel'!O87</f>
        <v>0</v>
      </c>
      <c r="U46" s="288">
        <f>'2.3.Önk kiad fel'!P87</f>
        <v>0</v>
      </c>
      <c r="V46" s="288">
        <f>'2.3.Önk kiad fel'!Q87</f>
        <v>0</v>
      </c>
      <c r="W46" s="288">
        <f>'2.3.Önk kiad fel'!R87</f>
        <v>1162</v>
      </c>
      <c r="X46" s="288">
        <f>+'2.3.Önk kiad fel'!S87</f>
        <v>4000</v>
      </c>
      <c r="Y46" s="288">
        <f>+'2.3.Önk kiad fel'!T87</f>
        <v>4000</v>
      </c>
      <c r="Z46" s="288">
        <f>+'2.3.Önk kiad fel'!U87</f>
        <v>4000</v>
      </c>
      <c r="AA46" s="288">
        <f>+'2.3.Önk kiad fel'!V87</f>
        <v>1453</v>
      </c>
    </row>
    <row r="47" spans="1:27" s="47" customFormat="1" ht="15" hidden="1" customHeight="1" x14ac:dyDescent="0.25">
      <c r="A47" s="367" t="s">
        <v>1041</v>
      </c>
      <c r="B47" s="284" t="s">
        <v>1045</v>
      </c>
      <c r="C47" s="288"/>
      <c r="D47" s="317"/>
      <c r="E47" s="317"/>
      <c r="F47" s="317"/>
      <c r="G47" s="288"/>
      <c r="H47" s="288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88"/>
      <c r="T47" s="288"/>
      <c r="U47" s="288"/>
      <c r="V47" s="288"/>
      <c r="W47" s="288"/>
      <c r="X47" s="288"/>
      <c r="Y47" s="288"/>
      <c r="Z47" s="288"/>
      <c r="AA47" s="288"/>
    </row>
    <row r="48" spans="1:27" s="47" customFormat="1" ht="15" hidden="1" customHeight="1" x14ac:dyDescent="0.25">
      <c r="A48" s="367" t="s">
        <v>1042</v>
      </c>
      <c r="B48" s="284" t="s">
        <v>1043</v>
      </c>
      <c r="C48" s="288"/>
      <c r="D48" s="317"/>
      <c r="E48" s="317"/>
      <c r="F48" s="317"/>
      <c r="G48" s="288">
        <f>'2.3.Önk kiad fel'!F91</f>
        <v>700</v>
      </c>
      <c r="H48" s="288">
        <f>'2.3.Önk kiad fel'!C91</f>
        <v>0</v>
      </c>
      <c r="I48" s="288">
        <f>'2.3.Önk kiad fel'!D91</f>
        <v>0</v>
      </c>
      <c r="J48" s="288">
        <f>'2.3.Önk kiad fel'!E91</f>
        <v>0</v>
      </c>
      <c r="K48" s="288">
        <f>'2.3.Önk kiad fel'!I91</f>
        <v>700</v>
      </c>
      <c r="L48" s="288">
        <f>'2.3.Önk kiad fel'!J91</f>
        <v>0</v>
      </c>
      <c r="M48" s="288">
        <f>'2.3.Önk kiad fel'!K91</f>
        <v>0</v>
      </c>
      <c r="N48" s="288"/>
      <c r="O48" s="288">
        <f>'2.3.Önk kiad fel'!L91</f>
        <v>700</v>
      </c>
      <c r="P48" s="288">
        <f>'2.3.Önk kiad fel'!K91</f>
        <v>0</v>
      </c>
      <c r="Q48" s="288">
        <f>'2.3.Önk kiad fel'!L91</f>
        <v>700</v>
      </c>
      <c r="R48" s="288">
        <f>'2.3.Önk kiad fel'!M91</f>
        <v>0</v>
      </c>
      <c r="S48" s="288">
        <f>'2.3.Önk kiad fel'!N91</f>
        <v>0</v>
      </c>
      <c r="T48" s="288">
        <f>'2.3.Önk kiad fel'!O91</f>
        <v>0</v>
      </c>
      <c r="U48" s="288">
        <f>'2.3.Önk kiad fel'!P91</f>
        <v>0</v>
      </c>
      <c r="V48" s="288">
        <f>'2.3.Önk kiad fel'!Q91</f>
        <v>0</v>
      </c>
      <c r="W48" s="288">
        <f>'2.3.Önk kiad fel'!R91</f>
        <v>0</v>
      </c>
      <c r="X48" s="288">
        <f>+'2.3.Önk kiad fel'!S91</f>
        <v>0</v>
      </c>
      <c r="Y48" s="288">
        <f>+'2.3.Önk kiad fel'!T91</f>
        <v>0</v>
      </c>
      <c r="Z48" s="288">
        <f>+'2.3.Önk kiad fel'!U91</f>
        <v>0</v>
      </c>
      <c r="AA48" s="288">
        <f>+'2.3.Önk kiad fel'!V91</f>
        <v>0</v>
      </c>
    </row>
    <row r="49" spans="1:27" s="47" customFormat="1" x14ac:dyDescent="0.25">
      <c r="A49" s="367" t="s">
        <v>1041</v>
      </c>
      <c r="B49" s="284" t="s">
        <v>1315</v>
      </c>
      <c r="C49" s="288"/>
      <c r="D49" s="317"/>
      <c r="E49" s="317"/>
      <c r="F49" s="317"/>
      <c r="G49" s="288">
        <f>'2.3.Önk kiad fel'!F93</f>
        <v>3000</v>
      </c>
      <c r="H49" s="288">
        <f>'2.3.Önk kiad fel'!C93</f>
        <v>0</v>
      </c>
      <c r="I49" s="288">
        <f>'2.3.Önk kiad fel'!D93</f>
        <v>0</v>
      </c>
      <c r="J49" s="288">
        <f>'2.3.Önk kiad fel'!E93</f>
        <v>0</v>
      </c>
      <c r="K49" s="288">
        <f>'2.3.Önk kiad fel'!I93</f>
        <v>3000</v>
      </c>
      <c r="L49" s="288">
        <f>'2.3.Önk kiad fel'!J93</f>
        <v>0</v>
      </c>
      <c r="M49" s="288">
        <f>'2.3.Önk kiad fel'!K93</f>
        <v>0</v>
      </c>
      <c r="N49" s="288"/>
      <c r="O49" s="288">
        <f>'2.3.Önk kiad fel'!L93</f>
        <v>3000</v>
      </c>
      <c r="P49" s="288">
        <f>'2.3.Önk kiad fel'!K93</f>
        <v>0</v>
      </c>
      <c r="Q49" s="288">
        <f>'2.3.Önk kiad fel'!L93</f>
        <v>3000</v>
      </c>
      <c r="R49" s="288">
        <f>'2.3.Önk kiad fel'!M93</f>
        <v>0</v>
      </c>
      <c r="S49" s="288">
        <f>'2.3.Önk kiad fel'!N93</f>
        <v>0</v>
      </c>
      <c r="T49" s="288">
        <f>'2.3.Önk kiad fel'!O93</f>
        <v>0</v>
      </c>
      <c r="U49" s="288">
        <f>'2.3.Önk kiad fel'!P93</f>
        <v>0</v>
      </c>
      <c r="V49" s="288">
        <f>'2.3.Önk kiad fel'!Q93</f>
        <v>0</v>
      </c>
      <c r="W49" s="288">
        <f>'2.3.Önk kiad fel'!R93</f>
        <v>0</v>
      </c>
      <c r="X49" s="288">
        <f>+'2.3.Önk kiad fel'!S93</f>
        <v>3000</v>
      </c>
      <c r="Y49" s="288">
        <f>+'2.3.Önk kiad fel'!T93</f>
        <v>3000</v>
      </c>
      <c r="Z49" s="288">
        <f>+'2.3.Önk kiad fel'!U93</f>
        <v>3000</v>
      </c>
      <c r="AA49" s="288">
        <f>+'2.3.Önk kiad fel'!V93</f>
        <v>600</v>
      </c>
    </row>
    <row r="50" spans="1:27" s="47" customFormat="1" x14ac:dyDescent="0.25">
      <c r="A50" s="367" t="s">
        <v>1042</v>
      </c>
      <c r="B50" s="284" t="s">
        <v>1309</v>
      </c>
      <c r="C50" s="288"/>
      <c r="D50" s="317"/>
      <c r="E50" s="317"/>
      <c r="F50" s="317"/>
      <c r="G50" s="288">
        <f>'2.3.Önk kiad fel'!F95</f>
        <v>500</v>
      </c>
      <c r="H50" s="288">
        <f>'2.3.Önk kiad fel'!C95</f>
        <v>0</v>
      </c>
      <c r="I50" s="288">
        <f>'2.3.Önk kiad fel'!D95</f>
        <v>0</v>
      </c>
      <c r="J50" s="288">
        <f>'2.3.Önk kiad fel'!E95</f>
        <v>0</v>
      </c>
      <c r="K50" s="288">
        <f>'2.3.Önk kiad fel'!I95</f>
        <v>500</v>
      </c>
      <c r="L50" s="288">
        <f>'2.3.Önk kiad fel'!J95</f>
        <v>0</v>
      </c>
      <c r="M50" s="288">
        <f>'2.3.Önk kiad fel'!K95</f>
        <v>0</v>
      </c>
      <c r="N50" s="288"/>
      <c r="O50" s="288">
        <f>'2.3.Önk kiad fel'!L95</f>
        <v>500</v>
      </c>
      <c r="P50" s="288">
        <f>'2.3.Önk kiad fel'!K95</f>
        <v>0</v>
      </c>
      <c r="Q50" s="288">
        <f>'2.3.Önk kiad fel'!L95</f>
        <v>500</v>
      </c>
      <c r="R50" s="288">
        <f>'2.3.Önk kiad fel'!M95</f>
        <v>0</v>
      </c>
      <c r="S50" s="288">
        <f>'2.3.Önk kiad fel'!N95</f>
        <v>0</v>
      </c>
      <c r="T50" s="288">
        <f>'2.3.Önk kiad fel'!O95</f>
        <v>0</v>
      </c>
      <c r="U50" s="288">
        <f>'2.3.Önk kiad fel'!P95</f>
        <v>0</v>
      </c>
      <c r="V50" s="288">
        <f>'2.3.Önk kiad fel'!Q95</f>
        <v>0</v>
      </c>
      <c r="W50" s="288">
        <f>'2.3.Önk kiad fel'!R95</f>
        <v>0</v>
      </c>
      <c r="X50" s="288">
        <f>+'2.3.Önk kiad fel'!S95</f>
        <v>500</v>
      </c>
      <c r="Y50" s="288">
        <f>+'2.3.Önk kiad fel'!T95</f>
        <v>500</v>
      </c>
      <c r="Z50" s="288">
        <f>+'2.3.Önk kiad fel'!U95</f>
        <v>500</v>
      </c>
      <c r="AA50" s="288">
        <f>+'2.3.Önk kiad fel'!V95</f>
        <v>0</v>
      </c>
    </row>
    <row r="51" spans="1:27" s="147" customFormat="1" ht="17.25" hidden="1" customHeight="1" x14ac:dyDescent="0.25">
      <c r="A51" s="367" t="s">
        <v>1044</v>
      </c>
      <c r="B51" s="285" t="s">
        <v>1418</v>
      </c>
      <c r="C51" s="315"/>
      <c r="D51" s="318"/>
      <c r="E51" s="318"/>
      <c r="F51" s="318"/>
      <c r="G51" s="315">
        <f>'2.3.Önk kiad fel'!F97</f>
        <v>3600</v>
      </c>
      <c r="H51" s="315">
        <f>'2.3.Önk kiad fel'!C97</f>
        <v>0</v>
      </c>
      <c r="I51" s="315">
        <f>'2.3.Önk kiad fel'!D97</f>
        <v>0</v>
      </c>
      <c r="J51" s="315">
        <f>'2.3.Önk kiad fel'!E97</f>
        <v>0</v>
      </c>
      <c r="K51" s="315">
        <f>'2.3.Önk kiad fel'!I97</f>
        <v>3600</v>
      </c>
      <c r="L51" s="315">
        <f>'2.3.Önk kiad fel'!J97</f>
        <v>0</v>
      </c>
      <c r="M51" s="315">
        <f>'2.3.Önk kiad fel'!K97</f>
        <v>0</v>
      </c>
      <c r="N51" s="315"/>
      <c r="O51" s="315">
        <f>'2.3.Önk kiad fel'!L97</f>
        <v>3600</v>
      </c>
      <c r="P51" s="315">
        <f>'2.3.Önk kiad fel'!K97</f>
        <v>0</v>
      </c>
      <c r="Q51" s="315">
        <f>'2.3.Önk kiad fel'!L97</f>
        <v>3600</v>
      </c>
      <c r="R51" s="315">
        <f>'2.3.Önk kiad fel'!M97</f>
        <v>0</v>
      </c>
      <c r="S51" s="315">
        <f>'2.3.Önk kiad fel'!N97</f>
        <v>0</v>
      </c>
      <c r="T51" s="315">
        <f>'2.3.Önk kiad fel'!O97</f>
        <v>0</v>
      </c>
      <c r="U51" s="315">
        <f>'2.3.Önk kiad fel'!P97</f>
        <v>0</v>
      </c>
      <c r="V51" s="315">
        <f>'2.3.Önk kiad fel'!Q97</f>
        <v>0</v>
      </c>
      <c r="W51" s="315">
        <f>'2.3.Önk kiad fel'!R97</f>
        <v>0</v>
      </c>
      <c r="X51" s="315">
        <f>+'2.3.Önk kiad fel'!S97</f>
        <v>0</v>
      </c>
      <c r="Y51" s="315">
        <f>+'2.3.Önk kiad fel'!T97</f>
        <v>0</v>
      </c>
      <c r="Z51" s="315">
        <f>+'2.3.Önk kiad fel'!U97</f>
        <v>0</v>
      </c>
      <c r="AA51" s="315">
        <f>+'2.3.Önk kiad fel'!V97</f>
        <v>0</v>
      </c>
    </row>
    <row r="52" spans="1:27" s="47" customFormat="1" x14ac:dyDescent="0.25">
      <c r="A52" s="367" t="s">
        <v>1044</v>
      </c>
      <c r="B52" s="284" t="s">
        <v>1316</v>
      </c>
      <c r="C52" s="288"/>
      <c r="D52" s="317"/>
      <c r="E52" s="317"/>
      <c r="F52" s="317"/>
      <c r="G52" s="288">
        <f>'2.3.Önk kiad fel'!F100</f>
        <v>500</v>
      </c>
      <c r="H52" s="288">
        <f>'2.3.Önk kiad fel'!C100</f>
        <v>0</v>
      </c>
      <c r="I52" s="288">
        <f>'2.3.Önk kiad fel'!D100</f>
        <v>0</v>
      </c>
      <c r="J52" s="288">
        <f>'2.3.Önk kiad fel'!E100</f>
        <v>0</v>
      </c>
      <c r="K52" s="288">
        <f>'2.3.Önk kiad fel'!I100</f>
        <v>500</v>
      </c>
      <c r="L52" s="288">
        <f>'2.3.Önk kiad fel'!J100</f>
        <v>0</v>
      </c>
      <c r="M52" s="288">
        <f>'2.3.Önk kiad fel'!K100</f>
        <v>0</v>
      </c>
      <c r="N52" s="288"/>
      <c r="O52" s="288">
        <f>'2.3.Önk kiad fel'!L100</f>
        <v>500</v>
      </c>
      <c r="P52" s="288">
        <f>'2.3.Önk kiad fel'!K100</f>
        <v>0</v>
      </c>
      <c r="Q52" s="288">
        <f>'2.3.Önk kiad fel'!L100</f>
        <v>500</v>
      </c>
      <c r="R52" s="288">
        <f>'2.3.Önk kiad fel'!M100</f>
        <v>0</v>
      </c>
      <c r="S52" s="288">
        <f>'2.3.Önk kiad fel'!N100</f>
        <v>0</v>
      </c>
      <c r="T52" s="288">
        <f>'2.3.Önk kiad fel'!O100</f>
        <v>0</v>
      </c>
      <c r="U52" s="288">
        <f>'2.3.Önk kiad fel'!P100</f>
        <v>0</v>
      </c>
      <c r="V52" s="288">
        <f>'2.3.Önk kiad fel'!Q100</f>
        <v>0</v>
      </c>
      <c r="W52" s="288">
        <f>'2.3.Önk kiad fel'!R100</f>
        <v>306</v>
      </c>
      <c r="X52" s="288">
        <f>+'2.3.Önk kiad fel'!S100</f>
        <v>500</v>
      </c>
      <c r="Y52" s="288">
        <f>+'2.3.Önk kiad fel'!T100</f>
        <v>500</v>
      </c>
      <c r="Z52" s="288">
        <f>+'2.3.Önk kiad fel'!U100</f>
        <v>500</v>
      </c>
      <c r="AA52" s="288">
        <f>+'2.3.Önk kiad fel'!V100</f>
        <v>0</v>
      </c>
    </row>
    <row r="53" spans="1:27" s="47" customFormat="1" x14ac:dyDescent="0.25">
      <c r="A53" s="367" t="s">
        <v>1046</v>
      </c>
      <c r="B53" s="284" t="s">
        <v>1317</v>
      </c>
      <c r="C53" s="288"/>
      <c r="D53" s="317"/>
      <c r="E53" s="317"/>
      <c r="F53" s="317"/>
      <c r="G53" s="288">
        <f>'2.3.Önk kiad fel'!F104</f>
        <v>9500</v>
      </c>
      <c r="H53" s="288">
        <f>'2.3.Önk kiad fel'!C104</f>
        <v>0</v>
      </c>
      <c r="I53" s="288">
        <f>'2.3.Önk kiad fel'!D104</f>
        <v>0</v>
      </c>
      <c r="J53" s="288">
        <f>'2.3.Önk kiad fel'!E104</f>
        <v>0</v>
      </c>
      <c r="K53" s="288">
        <f>'2.3.Önk kiad fel'!I104</f>
        <v>9500</v>
      </c>
      <c r="L53" s="288">
        <f>'2.3.Önk kiad fel'!J104</f>
        <v>0</v>
      </c>
      <c r="M53" s="288">
        <f>'2.3.Önk kiad fel'!K104</f>
        <v>0</v>
      </c>
      <c r="N53" s="288"/>
      <c r="O53" s="288">
        <f>'2.3.Önk kiad fel'!L104</f>
        <v>9500</v>
      </c>
      <c r="P53" s="288">
        <f>'2.3.Önk kiad fel'!K104</f>
        <v>0</v>
      </c>
      <c r="Q53" s="288">
        <f>'2.3.Önk kiad fel'!L104</f>
        <v>9500</v>
      </c>
      <c r="R53" s="288">
        <f>'2.3.Önk kiad fel'!M104</f>
        <v>0</v>
      </c>
      <c r="S53" s="288">
        <f>'2.3.Önk kiad fel'!N104</f>
        <v>0</v>
      </c>
      <c r="T53" s="288">
        <f>'2.3.Önk kiad fel'!O104</f>
        <v>0</v>
      </c>
      <c r="U53" s="288">
        <f>'2.3.Önk kiad fel'!P104</f>
        <v>0</v>
      </c>
      <c r="V53" s="288">
        <f>'2.3.Önk kiad fel'!Q104</f>
        <v>0</v>
      </c>
      <c r="W53" s="288">
        <f>'2.3.Önk kiad fel'!R104</f>
        <v>0</v>
      </c>
      <c r="X53" s="288">
        <f>+'2.3.Önk kiad fel'!S104</f>
        <v>18500</v>
      </c>
      <c r="Y53" s="288">
        <f>+'2.3.Önk kiad fel'!T104</f>
        <v>18500</v>
      </c>
      <c r="Z53" s="288">
        <f>+'2.3.Önk kiad fel'!U104</f>
        <v>49751</v>
      </c>
      <c r="AA53" s="288">
        <f>+'2.3.Önk kiad fel'!V104</f>
        <v>0</v>
      </c>
    </row>
    <row r="54" spans="1:27" s="47" customFormat="1" x14ac:dyDescent="0.25">
      <c r="A54" s="367" t="s">
        <v>1047</v>
      </c>
      <c r="B54" s="284" t="s">
        <v>1318</v>
      </c>
      <c r="C54" s="288"/>
      <c r="D54" s="317"/>
      <c r="E54" s="317"/>
      <c r="F54" s="317"/>
      <c r="G54" s="288">
        <f>'2.3.Önk kiad fel'!F106</f>
        <v>1500</v>
      </c>
      <c r="H54" s="288">
        <f>'2.3.Önk kiad fel'!C106</f>
        <v>0</v>
      </c>
      <c r="I54" s="288">
        <f>'2.3.Önk kiad fel'!D106</f>
        <v>0</v>
      </c>
      <c r="J54" s="288">
        <f>'2.3.Önk kiad fel'!E106</f>
        <v>0</v>
      </c>
      <c r="K54" s="288">
        <f>'2.3.Önk kiad fel'!I106</f>
        <v>1500</v>
      </c>
      <c r="L54" s="288">
        <f>'2.3.Önk kiad fel'!J106</f>
        <v>0</v>
      </c>
      <c r="M54" s="288">
        <f>'2.3.Önk kiad fel'!K106</f>
        <v>0</v>
      </c>
      <c r="N54" s="288"/>
      <c r="O54" s="288">
        <f>'2.3.Önk kiad fel'!L106</f>
        <v>1500</v>
      </c>
      <c r="P54" s="288">
        <f>'2.3.Önk kiad fel'!K106</f>
        <v>0</v>
      </c>
      <c r="Q54" s="288">
        <f>'2.3.Önk kiad fel'!L106</f>
        <v>1500</v>
      </c>
      <c r="R54" s="288">
        <f>'2.3.Önk kiad fel'!M106</f>
        <v>0</v>
      </c>
      <c r="S54" s="288">
        <f>'2.3.Önk kiad fel'!N106</f>
        <v>0</v>
      </c>
      <c r="T54" s="288">
        <f>'2.3.Önk kiad fel'!O106</f>
        <v>0</v>
      </c>
      <c r="U54" s="288">
        <f>'2.3.Önk kiad fel'!P106</f>
        <v>0</v>
      </c>
      <c r="V54" s="288">
        <f>'2.3.Önk kiad fel'!Q106</f>
        <v>0</v>
      </c>
      <c r="W54" s="288">
        <f>'2.3.Önk kiad fel'!R106</f>
        <v>350</v>
      </c>
      <c r="X54" s="288">
        <f>+'2.3.Önk kiad fel'!S106</f>
        <v>1500</v>
      </c>
      <c r="Y54" s="288">
        <f>+'2.3.Önk kiad fel'!T106</f>
        <v>1500</v>
      </c>
      <c r="Z54" s="288">
        <f>+'2.3.Önk kiad fel'!U106</f>
        <v>1500</v>
      </c>
      <c r="AA54" s="288">
        <f>+'2.3.Önk kiad fel'!V106</f>
        <v>615</v>
      </c>
    </row>
    <row r="55" spans="1:27" s="47" customFormat="1" x14ac:dyDescent="0.25">
      <c r="A55" s="367" t="s">
        <v>1048</v>
      </c>
      <c r="B55" s="284" t="s">
        <v>1053</v>
      </c>
      <c r="C55" s="288"/>
      <c r="D55" s="317"/>
      <c r="E55" s="317"/>
      <c r="F55" s="317"/>
      <c r="G55" s="288">
        <f>'2.3.Önk kiad fel'!F108</f>
        <v>1500</v>
      </c>
      <c r="H55" s="288">
        <f>'2.3.Önk kiad fel'!C108</f>
        <v>0</v>
      </c>
      <c r="I55" s="288">
        <f>'2.3.Önk kiad fel'!D108</f>
        <v>0</v>
      </c>
      <c r="J55" s="288">
        <f>'2.3.Önk kiad fel'!E108</f>
        <v>0</v>
      </c>
      <c r="K55" s="288">
        <f>'2.3.Önk kiad fel'!I108</f>
        <v>1500</v>
      </c>
      <c r="L55" s="288">
        <f>'2.3.Önk kiad fel'!J108</f>
        <v>0</v>
      </c>
      <c r="M55" s="288">
        <f>'2.3.Önk kiad fel'!K108</f>
        <v>0</v>
      </c>
      <c r="N55" s="288"/>
      <c r="O55" s="288">
        <f>'2.3.Önk kiad fel'!L108</f>
        <v>1500</v>
      </c>
      <c r="P55" s="288">
        <f>'2.3.Önk kiad fel'!K108</f>
        <v>0</v>
      </c>
      <c r="Q55" s="288">
        <f>'2.3.Önk kiad fel'!L108</f>
        <v>1500</v>
      </c>
      <c r="R55" s="288">
        <f>'2.3.Önk kiad fel'!M108</f>
        <v>0</v>
      </c>
      <c r="S55" s="288">
        <f>'2.3.Önk kiad fel'!N108</f>
        <v>0</v>
      </c>
      <c r="T55" s="288">
        <f>'2.3.Önk kiad fel'!O108</f>
        <v>0</v>
      </c>
      <c r="U55" s="288">
        <f>'2.3.Önk kiad fel'!P108</f>
        <v>0</v>
      </c>
      <c r="V55" s="288">
        <f>'2.3.Önk kiad fel'!Q108</f>
        <v>0</v>
      </c>
      <c r="W55" s="288">
        <f>'2.3.Önk kiad fel'!R108</f>
        <v>500</v>
      </c>
      <c r="X55" s="288">
        <f>+'2.3.Önk kiad fel'!S108</f>
        <v>1500</v>
      </c>
      <c r="Y55" s="288">
        <f>+'2.3.Önk kiad fel'!T108</f>
        <v>1500</v>
      </c>
      <c r="Z55" s="288">
        <f>+'2.3.Önk kiad fel'!U108</f>
        <v>1500</v>
      </c>
      <c r="AA55" s="288">
        <f>+'2.3.Önk kiad fel'!V108</f>
        <v>0</v>
      </c>
    </row>
    <row r="56" spans="1:27" s="47" customFormat="1" x14ac:dyDescent="0.25">
      <c r="A56" s="367" t="s">
        <v>1049</v>
      </c>
      <c r="B56" s="284" t="s">
        <v>728</v>
      </c>
      <c r="C56" s="288"/>
      <c r="D56" s="317"/>
      <c r="E56" s="317"/>
      <c r="F56" s="317"/>
      <c r="G56" s="288">
        <f>'2.3.Önk kiad fel'!F111</f>
        <v>10000</v>
      </c>
      <c r="H56" s="288">
        <f>'2.3.Önk kiad fel'!C111</f>
        <v>0</v>
      </c>
      <c r="I56" s="288">
        <f>'2.3.Önk kiad fel'!D111</f>
        <v>0</v>
      </c>
      <c r="J56" s="288">
        <f>'2.3.Önk kiad fel'!E111</f>
        <v>0</v>
      </c>
      <c r="K56" s="288">
        <f>'2.3.Önk kiad fel'!I111</f>
        <v>12080</v>
      </c>
      <c r="L56" s="288">
        <f>'2.3.Önk kiad fel'!J111</f>
        <v>0</v>
      </c>
      <c r="M56" s="288">
        <f>'2.3.Önk kiad fel'!K111</f>
        <v>0</v>
      </c>
      <c r="N56" s="288"/>
      <c r="O56" s="288">
        <f>'2.3.Önk kiad fel'!L111</f>
        <v>14068</v>
      </c>
      <c r="P56" s="288">
        <f>'2.3.Önk kiad fel'!K111</f>
        <v>0</v>
      </c>
      <c r="Q56" s="288">
        <f>'2.3.Önk kiad fel'!L111</f>
        <v>14068</v>
      </c>
      <c r="R56" s="288">
        <f>'2.3.Önk kiad fel'!M111</f>
        <v>0</v>
      </c>
      <c r="S56" s="288">
        <f>'2.3.Önk kiad fel'!N111</f>
        <v>0</v>
      </c>
      <c r="T56" s="288">
        <f>'2.3.Önk kiad fel'!O111</f>
        <v>0</v>
      </c>
      <c r="U56" s="288">
        <f>'2.3.Önk kiad fel'!P111</f>
        <v>0</v>
      </c>
      <c r="V56" s="288">
        <f>'2.3.Önk kiad fel'!Q111</f>
        <v>0</v>
      </c>
      <c r="W56" s="288">
        <f>'2.3.Önk kiad fel'!R111</f>
        <v>12080</v>
      </c>
      <c r="X56" s="288">
        <f>+'2.3.Önk kiad fel'!S111</f>
        <v>8500</v>
      </c>
      <c r="Y56" s="288">
        <f>+'2.3.Önk kiad fel'!T111</f>
        <v>8500</v>
      </c>
      <c r="Z56" s="288">
        <f>+'2.3.Önk kiad fel'!U111</f>
        <v>10000</v>
      </c>
      <c r="AA56" s="288">
        <f>+'2.3.Önk kiad fel'!V111</f>
        <v>9846</v>
      </c>
    </row>
    <row r="57" spans="1:27" s="47" customFormat="1" x14ac:dyDescent="0.25">
      <c r="A57" s="367" t="s">
        <v>1050</v>
      </c>
      <c r="B57" s="284" t="s">
        <v>1310</v>
      </c>
      <c r="C57" s="288"/>
      <c r="D57" s="317"/>
      <c r="E57" s="317"/>
      <c r="F57" s="317"/>
      <c r="G57" s="288">
        <f>'2.3.Önk kiad fel'!F116</f>
        <v>450</v>
      </c>
      <c r="H57" s="288">
        <f>'2.3.Önk kiad fel'!C116</f>
        <v>0</v>
      </c>
      <c r="I57" s="288">
        <f>'2.3.Önk kiad fel'!D116</f>
        <v>0</v>
      </c>
      <c r="J57" s="288">
        <f>'2.3.Önk kiad fel'!E116</f>
        <v>0</v>
      </c>
      <c r="K57" s="288">
        <f>'2.3.Önk kiad fel'!F116</f>
        <v>450</v>
      </c>
      <c r="L57" s="288">
        <f>'2.3.Önk kiad fel'!J116</f>
        <v>0</v>
      </c>
      <c r="M57" s="288">
        <f>'2.3.Önk kiad fel'!K116</f>
        <v>0</v>
      </c>
      <c r="N57" s="288"/>
      <c r="O57" s="288">
        <f>'2.3.Önk kiad fel'!L116</f>
        <v>450</v>
      </c>
      <c r="P57" s="288">
        <f>'2.3.Önk kiad fel'!K116</f>
        <v>0</v>
      </c>
      <c r="Q57" s="288">
        <f>'2.3.Önk kiad fel'!L116</f>
        <v>450</v>
      </c>
      <c r="R57" s="288">
        <f>'2.3.Önk kiad fel'!M116</f>
        <v>0</v>
      </c>
      <c r="S57" s="288">
        <f>'2.3.Önk kiad fel'!N116</f>
        <v>0</v>
      </c>
      <c r="T57" s="288">
        <f>'2.3.Önk kiad fel'!O116</f>
        <v>0</v>
      </c>
      <c r="U57" s="288">
        <f>'2.3.Önk kiad fel'!P116</f>
        <v>0</v>
      </c>
      <c r="V57" s="288">
        <f>'2.3.Önk kiad fel'!Q116</f>
        <v>0</v>
      </c>
      <c r="W57" s="288">
        <f>'2.3.Önk kiad fel'!R116</f>
        <v>70</v>
      </c>
      <c r="X57" s="288">
        <f>+'2.3.Önk kiad fel'!S116</f>
        <v>450</v>
      </c>
      <c r="Y57" s="288">
        <f>+'2.3.Önk kiad fel'!T116</f>
        <v>450</v>
      </c>
      <c r="Z57" s="288">
        <f>+'2.3.Önk kiad fel'!U116</f>
        <v>450</v>
      </c>
      <c r="AA57" s="288">
        <f>+'2.3.Önk kiad fel'!V116</f>
        <v>0</v>
      </c>
    </row>
    <row r="58" spans="1:27" s="147" customFormat="1" x14ac:dyDescent="0.25">
      <c r="A58" s="367" t="s">
        <v>1051</v>
      </c>
      <c r="B58" s="285" t="s">
        <v>1311</v>
      </c>
      <c r="C58" s="315"/>
      <c r="D58" s="318"/>
      <c r="E58" s="318"/>
      <c r="F58" s="318"/>
      <c r="G58" s="315">
        <f>'2.3.Önk kiad fel'!F120</f>
        <v>1500</v>
      </c>
      <c r="H58" s="315">
        <f>'2.3.Önk kiad fel'!C120</f>
        <v>0</v>
      </c>
      <c r="I58" s="315">
        <f>'2.3.Önk kiad fel'!D120</f>
        <v>0</v>
      </c>
      <c r="J58" s="315">
        <f>'2.3.Önk kiad fel'!E120</f>
        <v>0</v>
      </c>
      <c r="K58" s="315">
        <f>'2.3.Önk kiad fel'!F120</f>
        <v>1500</v>
      </c>
      <c r="L58" s="315">
        <f>'2.3.Önk kiad fel'!J120</f>
        <v>0</v>
      </c>
      <c r="M58" s="315">
        <f>'2.3.Önk kiad fel'!K120</f>
        <v>0</v>
      </c>
      <c r="N58" s="315"/>
      <c r="O58" s="315">
        <f>'2.3.Önk kiad fel'!L120</f>
        <v>1500</v>
      </c>
      <c r="P58" s="315">
        <f>'2.3.Önk kiad fel'!K120</f>
        <v>0</v>
      </c>
      <c r="Q58" s="315">
        <f>'2.3.Önk kiad fel'!L120</f>
        <v>1500</v>
      </c>
      <c r="R58" s="315">
        <f>'2.3.Önk kiad fel'!M120</f>
        <v>0</v>
      </c>
      <c r="S58" s="315">
        <f>'2.3.Önk kiad fel'!N120</f>
        <v>0</v>
      </c>
      <c r="T58" s="315">
        <f>'2.3.Önk kiad fel'!O120</f>
        <v>0</v>
      </c>
      <c r="U58" s="315">
        <f>'2.3.Önk kiad fel'!P120</f>
        <v>0</v>
      </c>
      <c r="V58" s="315">
        <f>'2.3.Önk kiad fel'!Q120</f>
        <v>0</v>
      </c>
      <c r="W58" s="315">
        <f>'2.3.Önk kiad fel'!R120</f>
        <v>0</v>
      </c>
      <c r="X58" s="315">
        <f>+'2.3.Önk kiad fel'!S120</f>
        <v>1500</v>
      </c>
      <c r="Y58" s="315">
        <f>+'2.3.Önk kiad fel'!T120</f>
        <v>1500</v>
      </c>
      <c r="Z58" s="315">
        <f>+'2.3.Önk kiad fel'!U120</f>
        <v>1500</v>
      </c>
      <c r="AA58" s="315">
        <f>+'2.3.Önk kiad fel'!V120</f>
        <v>925</v>
      </c>
    </row>
    <row r="59" spans="1:27" s="47" customFormat="1" x14ac:dyDescent="0.25">
      <c r="A59" s="367" t="s">
        <v>1052</v>
      </c>
      <c r="B59" s="284" t="s">
        <v>1364</v>
      </c>
      <c r="C59" s="288"/>
      <c r="D59" s="317"/>
      <c r="E59" s="317"/>
      <c r="F59" s="317"/>
      <c r="G59" s="288">
        <f>'2.3.Önk kiad fel'!F125</f>
        <v>600</v>
      </c>
      <c r="H59" s="288">
        <f>'2.3.Önk kiad fel'!C125</f>
        <v>0</v>
      </c>
      <c r="I59" s="288">
        <f>'2.3.Önk kiad fel'!D125</f>
        <v>0</v>
      </c>
      <c r="J59" s="288">
        <f>'2.3.Önk kiad fel'!E125</f>
        <v>0</v>
      </c>
      <c r="K59" s="288">
        <f>'2.3.Önk kiad fel'!F125</f>
        <v>600</v>
      </c>
      <c r="L59" s="288">
        <f>'2.3.Önk kiad fel'!J125</f>
        <v>0</v>
      </c>
      <c r="M59" s="288">
        <f>'2.3.Önk kiad fel'!K125</f>
        <v>0</v>
      </c>
      <c r="N59" s="288"/>
      <c r="O59" s="288">
        <f>'2.3.Önk kiad fel'!L125</f>
        <v>600</v>
      </c>
      <c r="P59" s="288">
        <f>'2.3.Önk kiad fel'!K125</f>
        <v>0</v>
      </c>
      <c r="Q59" s="288">
        <f>'2.3.Önk kiad fel'!L125</f>
        <v>600</v>
      </c>
      <c r="R59" s="288">
        <f>'2.3.Önk kiad fel'!M125</f>
        <v>0</v>
      </c>
      <c r="S59" s="288">
        <f>'2.3.Önk kiad fel'!N125</f>
        <v>0</v>
      </c>
      <c r="T59" s="288">
        <f>'2.3.Önk kiad fel'!O125</f>
        <v>0</v>
      </c>
      <c r="U59" s="288">
        <f>'2.3.Önk kiad fel'!P125</f>
        <v>0</v>
      </c>
      <c r="V59" s="288">
        <f>'2.3.Önk kiad fel'!Q125</f>
        <v>0</v>
      </c>
      <c r="W59" s="288">
        <f>'2.3.Önk kiad fel'!R125</f>
        <v>0</v>
      </c>
      <c r="X59" s="288">
        <f>+'2.3.Önk kiad fel'!S125</f>
        <v>750</v>
      </c>
      <c r="Y59" s="288">
        <f>+'2.3.Önk kiad fel'!T125</f>
        <v>750</v>
      </c>
      <c r="Z59" s="288">
        <f>+'2.3.Önk kiad fel'!U125</f>
        <v>750</v>
      </c>
      <c r="AA59" s="288">
        <f>+'2.3.Önk kiad fel'!V125</f>
        <v>0</v>
      </c>
    </row>
    <row r="60" spans="1:27" x14ac:dyDescent="0.25">
      <c r="A60" s="307" t="s">
        <v>328</v>
      </c>
      <c r="B60" s="278" t="s">
        <v>656</v>
      </c>
      <c r="C60" s="279">
        <f t="shared" ref="C60" si="4">SUM(C61:C62)</f>
        <v>0</v>
      </c>
      <c r="D60" s="316"/>
      <c r="E60" s="316"/>
      <c r="F60" s="316"/>
      <c r="G60" s="279">
        <f t="shared" ref="G60" si="5">SUM(G61:G62)</f>
        <v>0</v>
      </c>
      <c r="H60" s="316"/>
      <c r="I60" s="316"/>
      <c r="J60" s="316"/>
      <c r="K60" s="279">
        <f t="shared" ref="K60" si="6">SUM(K61:K62)</f>
        <v>0</v>
      </c>
      <c r="L60" s="316"/>
      <c r="M60" s="316"/>
      <c r="N60" s="316"/>
      <c r="O60" s="279">
        <f t="shared" ref="O60" si="7">SUM(O61:O62)</f>
        <v>0</v>
      </c>
      <c r="P60" s="316"/>
      <c r="Q60" s="316"/>
      <c r="R60" s="316"/>
      <c r="S60" s="279">
        <f t="shared" ref="S60" si="8">SUM(S61:S62)</f>
        <v>0</v>
      </c>
      <c r="T60" s="316"/>
      <c r="U60" s="316"/>
      <c r="V60" s="316"/>
      <c r="W60" s="279">
        <f t="shared" ref="W60:X60" si="9">SUM(W61:W62)</f>
        <v>0</v>
      </c>
      <c r="X60" s="279">
        <f t="shared" si="9"/>
        <v>0</v>
      </c>
      <c r="Y60" s="279">
        <v>0</v>
      </c>
      <c r="Z60" s="279">
        <v>0</v>
      </c>
      <c r="AA60" s="279">
        <v>0</v>
      </c>
    </row>
    <row r="61" spans="1:27" ht="15" hidden="1" customHeight="1" x14ac:dyDescent="0.25">
      <c r="A61" s="367" t="s">
        <v>1054</v>
      </c>
      <c r="B61" s="284" t="s">
        <v>1055</v>
      </c>
      <c r="C61" s="239"/>
      <c r="D61" s="319"/>
      <c r="E61" s="319"/>
      <c r="F61" s="319"/>
      <c r="G61" s="239"/>
      <c r="H61" s="319"/>
      <c r="I61" s="319"/>
      <c r="J61" s="319"/>
      <c r="K61" s="239"/>
      <c r="L61" s="319"/>
      <c r="M61" s="319"/>
      <c r="N61" s="319"/>
      <c r="O61" s="239"/>
      <c r="P61" s="319"/>
      <c r="Q61" s="319"/>
      <c r="R61" s="319"/>
      <c r="S61" s="239"/>
      <c r="T61" s="319"/>
      <c r="U61" s="319"/>
      <c r="V61" s="319"/>
      <c r="W61" s="239"/>
      <c r="X61" s="239"/>
      <c r="Y61" s="239"/>
      <c r="Z61" s="239"/>
      <c r="AA61" s="239"/>
    </row>
    <row r="62" spans="1:27" ht="15" hidden="1" customHeight="1" x14ac:dyDescent="0.25">
      <c r="A62" s="367" t="s">
        <v>1056</v>
      </c>
      <c r="B62" s="284" t="s">
        <v>611</v>
      </c>
      <c r="C62" s="239"/>
      <c r="D62" s="319"/>
      <c r="E62" s="319"/>
      <c r="F62" s="319"/>
      <c r="G62" s="239"/>
      <c r="H62" s="319"/>
      <c r="I62" s="319"/>
      <c r="J62" s="319"/>
      <c r="K62" s="239"/>
      <c r="L62" s="319"/>
      <c r="M62" s="319"/>
      <c r="N62" s="319"/>
      <c r="O62" s="239"/>
      <c r="P62" s="319"/>
      <c r="Q62" s="319"/>
      <c r="R62" s="319"/>
      <c r="S62" s="239"/>
      <c r="T62" s="319"/>
      <c r="U62" s="319"/>
      <c r="V62" s="319"/>
      <c r="W62" s="239"/>
      <c r="X62" s="239"/>
      <c r="Y62" s="239"/>
      <c r="Z62" s="239"/>
      <c r="AA62" s="239"/>
    </row>
    <row r="63" spans="1:27" x14ac:dyDescent="0.25">
      <c r="A63" s="307" t="s">
        <v>1057</v>
      </c>
      <c r="B63" s="278" t="s">
        <v>591</v>
      </c>
      <c r="C63" s="279">
        <f>C64+C65+C66</f>
        <v>0</v>
      </c>
      <c r="D63" s="316"/>
      <c r="E63" s="316"/>
      <c r="F63" s="316"/>
      <c r="G63" s="279">
        <f>G64+G65+G66</f>
        <v>35240</v>
      </c>
      <c r="H63" s="316"/>
      <c r="I63" s="316"/>
      <c r="J63" s="316"/>
      <c r="K63" s="279">
        <f>K64+K65+K66+K67</f>
        <v>37022</v>
      </c>
      <c r="L63" s="316"/>
      <c r="M63" s="316"/>
      <c r="N63" s="316"/>
      <c r="O63" s="279">
        <v>37022</v>
      </c>
      <c r="P63" s="316"/>
      <c r="Q63" s="316"/>
      <c r="R63" s="316"/>
      <c r="S63" s="279">
        <f>S64+S65+S66</f>
        <v>0</v>
      </c>
      <c r="T63" s="316"/>
      <c r="U63" s="316"/>
      <c r="V63" s="316"/>
      <c r="W63" s="279">
        <f>W64+W65+W66</f>
        <v>8810</v>
      </c>
      <c r="X63" s="279">
        <f>+X64+X67</f>
        <v>59998</v>
      </c>
      <c r="Y63" s="279">
        <f>+Y64+Y67+Y68</f>
        <v>96625</v>
      </c>
      <c r="Z63" s="279">
        <f>+Z64+Z67+Z68</f>
        <v>96625</v>
      </c>
      <c r="AA63" s="279">
        <f>+AA64+AA67+AA68</f>
        <v>55236</v>
      </c>
    </row>
    <row r="64" spans="1:27" x14ac:dyDescent="0.25">
      <c r="A64" s="367" t="s">
        <v>1058</v>
      </c>
      <c r="B64" s="284" t="s">
        <v>1059</v>
      </c>
      <c r="C64" s="239"/>
      <c r="D64" s="319"/>
      <c r="E64" s="319"/>
      <c r="F64" s="319"/>
      <c r="G64" s="239">
        <f>'2.3.Önk kiad fel'!F204</f>
        <v>35240</v>
      </c>
      <c r="H64" s="239">
        <f>'2.3.Önk kiad fel'!C204</f>
        <v>0</v>
      </c>
      <c r="I64" s="239">
        <f>'2.3.Önk kiad fel'!D204</f>
        <v>0</v>
      </c>
      <c r="J64" s="239">
        <f>'2.3.Önk kiad fel'!E204</f>
        <v>0</v>
      </c>
      <c r="K64" s="239">
        <f>'2.3.Önk kiad fel'!I204</f>
        <v>35240</v>
      </c>
      <c r="L64" s="239">
        <f>'2.3.Önk kiad fel'!G204</f>
        <v>0</v>
      </c>
      <c r="M64" s="239">
        <f>'2.3.Önk kiad fel'!K204</f>
        <v>0</v>
      </c>
      <c r="N64" s="239"/>
      <c r="O64" s="239">
        <f>'2.3.Önk kiad fel'!L204</f>
        <v>35240</v>
      </c>
      <c r="P64" s="239">
        <f>'2.3.Önk kiad fel'!K204</f>
        <v>0</v>
      </c>
      <c r="Q64" s="239">
        <f>'2.3.Önk kiad fel'!L204</f>
        <v>35240</v>
      </c>
      <c r="R64" s="239">
        <f>'2.3.Önk kiad fel'!M204</f>
        <v>0</v>
      </c>
      <c r="S64" s="239">
        <f>'2.3.Önk kiad fel'!N204</f>
        <v>0</v>
      </c>
      <c r="T64" s="239">
        <f>'2.3.Önk kiad fel'!O204</f>
        <v>0</v>
      </c>
      <c r="U64" s="239">
        <f>'2.3.Önk kiad fel'!P204</f>
        <v>0</v>
      </c>
      <c r="V64" s="239">
        <f>'2.3.Önk kiad fel'!Q204</f>
        <v>0</v>
      </c>
      <c r="W64" s="239">
        <f>'2.3.Önk kiad fel'!R204</f>
        <v>8810</v>
      </c>
      <c r="X64" s="239">
        <f>+'2.3.Önk kiad fel'!S204</f>
        <v>57860</v>
      </c>
      <c r="Y64" s="239">
        <f>+'2.3.Önk kiad fel'!T204</f>
        <v>65630</v>
      </c>
      <c r="Z64" s="239">
        <f>+'2.3.Önk kiad fel'!U204</f>
        <v>65630</v>
      </c>
      <c r="AA64" s="239">
        <f>+'2.3.Önk kiad fel'!V204</f>
        <v>25390</v>
      </c>
    </row>
    <row r="65" spans="1:27" ht="15" hidden="1" customHeight="1" x14ac:dyDescent="0.25">
      <c r="A65" s="367" t="s">
        <v>1060</v>
      </c>
      <c r="B65" s="284" t="s">
        <v>743</v>
      </c>
      <c r="C65" s="239"/>
      <c r="D65" s="319"/>
      <c r="E65" s="319"/>
      <c r="F65" s="319"/>
      <c r="G65" s="239"/>
      <c r="H65" s="319"/>
      <c r="I65" s="319"/>
      <c r="J65" s="319"/>
      <c r="K65" s="239"/>
      <c r="L65" s="319"/>
      <c r="M65" s="319"/>
      <c r="N65" s="319"/>
      <c r="O65" s="239"/>
      <c r="P65" s="319"/>
      <c r="Q65" s="319"/>
      <c r="R65" s="319"/>
      <c r="S65" s="239"/>
      <c r="T65" s="319"/>
      <c r="U65" s="319"/>
      <c r="V65" s="319"/>
      <c r="W65" s="239"/>
      <c r="X65" s="239"/>
      <c r="Y65" s="239"/>
      <c r="Z65" s="239"/>
      <c r="AA65" s="239"/>
    </row>
    <row r="66" spans="1:27" ht="15" hidden="1" customHeight="1" x14ac:dyDescent="0.25">
      <c r="A66" s="367" t="s">
        <v>1061</v>
      </c>
      <c r="B66" s="284" t="s">
        <v>741</v>
      </c>
      <c r="C66" s="239"/>
      <c r="D66" s="319"/>
      <c r="E66" s="319"/>
      <c r="F66" s="319"/>
      <c r="G66" s="239"/>
      <c r="H66" s="319"/>
      <c r="I66" s="319"/>
      <c r="J66" s="319"/>
      <c r="K66" s="239"/>
      <c r="L66" s="319"/>
      <c r="M66" s="319"/>
      <c r="N66" s="319"/>
      <c r="O66" s="239"/>
      <c r="P66" s="319"/>
      <c r="Q66" s="319"/>
      <c r="R66" s="319"/>
      <c r="S66" s="239"/>
      <c r="T66" s="319"/>
      <c r="U66" s="319"/>
      <c r="V66" s="319"/>
      <c r="W66" s="239"/>
      <c r="X66" s="239"/>
      <c r="Y66" s="239"/>
      <c r="Z66" s="239"/>
      <c r="AA66" s="239"/>
    </row>
    <row r="67" spans="1:27" x14ac:dyDescent="0.25">
      <c r="A67" s="400" t="s">
        <v>1060</v>
      </c>
      <c r="B67" s="875" t="s">
        <v>1119</v>
      </c>
      <c r="C67" s="876"/>
      <c r="D67" s="877"/>
      <c r="E67" s="877"/>
      <c r="F67" s="877"/>
      <c r="G67" s="878">
        <v>0</v>
      </c>
      <c r="H67" s="877"/>
      <c r="I67" s="877"/>
      <c r="J67" s="877"/>
      <c r="K67" s="878">
        <v>1782</v>
      </c>
      <c r="L67" s="878"/>
      <c r="M67" s="878"/>
      <c r="N67" s="878"/>
      <c r="O67" s="878"/>
      <c r="P67" s="878"/>
      <c r="Q67" s="878"/>
      <c r="R67" s="878"/>
      <c r="S67" s="878"/>
      <c r="T67" s="878"/>
      <c r="U67" s="878"/>
      <c r="V67" s="878"/>
      <c r="W67" s="878">
        <v>0</v>
      </c>
      <c r="X67" s="876">
        <f>+'2.3.Önk kiad fel'!S205</f>
        <v>2138</v>
      </c>
      <c r="Y67" s="876">
        <f>+'2.3.Önk kiad fel'!T205</f>
        <v>2138</v>
      </c>
      <c r="Z67" s="876">
        <f>+'2.3.Önk kiad fel'!U205</f>
        <v>2138</v>
      </c>
      <c r="AA67" s="876">
        <f>+'2.3.Önk kiad fel'!V205</f>
        <v>989</v>
      </c>
    </row>
    <row r="68" spans="1:27" x14ac:dyDescent="0.25">
      <c r="A68" s="367" t="s">
        <v>1061</v>
      </c>
      <c r="B68" s="284" t="s">
        <v>741</v>
      </c>
      <c r="C68" s="239"/>
      <c r="D68" s="319"/>
      <c r="E68" s="319"/>
      <c r="F68" s="319"/>
      <c r="G68" s="301"/>
      <c r="H68" s="319"/>
      <c r="I68" s="319"/>
      <c r="J68" s="319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239">
        <v>28857</v>
      </c>
      <c r="Z68" s="239">
        <v>28857</v>
      </c>
      <c r="AA68" s="239">
        <v>28857</v>
      </c>
    </row>
    <row r="69" spans="1:27" x14ac:dyDescent="0.25">
      <c r="A69" s="354"/>
    </row>
    <row r="70" spans="1:27" x14ac:dyDescent="0.25">
      <c r="A70" s="354"/>
    </row>
    <row r="71" spans="1:27" x14ac:dyDescent="0.25">
      <c r="A71" s="354"/>
    </row>
    <row r="72" spans="1:27" x14ac:dyDescent="0.25">
      <c r="A72" s="354"/>
    </row>
    <row r="73" spans="1:27" x14ac:dyDescent="0.25">
      <c r="A73" s="354"/>
    </row>
    <row r="74" spans="1:27" x14ac:dyDescent="0.25">
      <c r="A74" s="354"/>
    </row>
    <row r="75" spans="1:27" x14ac:dyDescent="0.25">
      <c r="A75" s="354"/>
    </row>
    <row r="76" spans="1:27" x14ac:dyDescent="0.25">
      <c r="A76" s="354"/>
    </row>
    <row r="77" spans="1:27" x14ac:dyDescent="0.25">
      <c r="A77" s="354"/>
    </row>
    <row r="78" spans="1:27" x14ac:dyDescent="0.25">
      <c r="A78" s="354"/>
    </row>
    <row r="79" spans="1:27" x14ac:dyDescent="0.25">
      <c r="A79" s="354"/>
    </row>
    <row r="80" spans="1:27" x14ac:dyDescent="0.25">
      <c r="A80" s="354"/>
    </row>
    <row r="81" spans="1:1" x14ac:dyDescent="0.25">
      <c r="A81" s="354"/>
    </row>
    <row r="82" spans="1:1" x14ac:dyDescent="0.25">
      <c r="A82" s="354"/>
    </row>
    <row r="83" spans="1:1" x14ac:dyDescent="0.25">
      <c r="A83" s="354"/>
    </row>
    <row r="84" spans="1:1" x14ac:dyDescent="0.25">
      <c r="A84" s="354"/>
    </row>
    <row r="85" spans="1:1" x14ac:dyDescent="0.25">
      <c r="A85" s="354"/>
    </row>
    <row r="86" spans="1:1" x14ac:dyDescent="0.25">
      <c r="A86" s="354"/>
    </row>
    <row r="87" spans="1:1" x14ac:dyDescent="0.25">
      <c r="A87" s="354"/>
    </row>
    <row r="88" spans="1:1" x14ac:dyDescent="0.25">
      <c r="A88" s="354"/>
    </row>
    <row r="89" spans="1:1" x14ac:dyDescent="0.25">
      <c r="A89" s="354"/>
    </row>
    <row r="90" spans="1:1" x14ac:dyDescent="0.25">
      <c r="A90" s="354"/>
    </row>
    <row r="91" spans="1:1" x14ac:dyDescent="0.25">
      <c r="A91" s="354"/>
    </row>
    <row r="92" spans="1:1" x14ac:dyDescent="0.25">
      <c r="A92" s="354"/>
    </row>
    <row r="93" spans="1:1" x14ac:dyDescent="0.25">
      <c r="A93" s="354"/>
    </row>
    <row r="94" spans="1:1" x14ac:dyDescent="0.25">
      <c r="A94" s="354"/>
    </row>
    <row r="95" spans="1:1" x14ac:dyDescent="0.25">
      <c r="A95" s="354"/>
    </row>
    <row r="96" spans="1:1" x14ac:dyDescent="0.25">
      <c r="A96" s="354"/>
    </row>
    <row r="97" spans="1:1" x14ac:dyDescent="0.25">
      <c r="A97" s="354"/>
    </row>
    <row r="98" spans="1:1" x14ac:dyDescent="0.25">
      <c r="A98" s="354"/>
    </row>
    <row r="99" spans="1:1" x14ac:dyDescent="0.25">
      <c r="A99" s="354"/>
    </row>
    <row r="100" spans="1:1" x14ac:dyDescent="0.25">
      <c r="A100" s="354"/>
    </row>
    <row r="101" spans="1:1" x14ac:dyDescent="0.25">
      <c r="A101" s="354"/>
    </row>
    <row r="102" spans="1:1" x14ac:dyDescent="0.25">
      <c r="A102" s="354"/>
    </row>
    <row r="103" spans="1:1" x14ac:dyDescent="0.25">
      <c r="A103" s="354"/>
    </row>
    <row r="104" spans="1:1" x14ac:dyDescent="0.25">
      <c r="A104" s="354"/>
    </row>
    <row r="105" spans="1:1" x14ac:dyDescent="0.25">
      <c r="A105" s="354"/>
    </row>
    <row r="106" spans="1:1" x14ac:dyDescent="0.25">
      <c r="A106" s="354"/>
    </row>
    <row r="107" spans="1:1" x14ac:dyDescent="0.25">
      <c r="A107" s="354"/>
    </row>
    <row r="108" spans="1:1" x14ac:dyDescent="0.25">
      <c r="A108" s="354"/>
    </row>
    <row r="109" spans="1:1" x14ac:dyDescent="0.25">
      <c r="A109" s="354"/>
    </row>
    <row r="110" spans="1:1" x14ac:dyDescent="0.25">
      <c r="A110" s="354"/>
    </row>
    <row r="111" spans="1:1" x14ac:dyDescent="0.25">
      <c r="A111" s="354"/>
    </row>
    <row r="112" spans="1:1" x14ac:dyDescent="0.25">
      <c r="A112" s="354"/>
    </row>
    <row r="113" spans="1:1" x14ac:dyDescent="0.25">
      <c r="A113" s="354"/>
    </row>
    <row r="114" spans="1:1" x14ac:dyDescent="0.25">
      <c r="A114" s="354"/>
    </row>
    <row r="115" spans="1:1" x14ac:dyDescent="0.25">
      <c r="A115" s="354"/>
    </row>
    <row r="116" spans="1:1" x14ac:dyDescent="0.25">
      <c r="A116" s="354"/>
    </row>
    <row r="117" spans="1:1" x14ac:dyDescent="0.25">
      <c r="A117" s="354"/>
    </row>
    <row r="118" spans="1:1" x14ac:dyDescent="0.25">
      <c r="A118" s="354"/>
    </row>
    <row r="119" spans="1:1" x14ac:dyDescent="0.25">
      <c r="A119" s="354"/>
    </row>
    <row r="120" spans="1:1" x14ac:dyDescent="0.25">
      <c r="A120" s="354"/>
    </row>
    <row r="121" spans="1:1" x14ac:dyDescent="0.25">
      <c r="A121" s="354"/>
    </row>
    <row r="122" spans="1:1" x14ac:dyDescent="0.25">
      <c r="A122" s="354"/>
    </row>
    <row r="123" spans="1:1" x14ac:dyDescent="0.25">
      <c r="A123" s="354"/>
    </row>
    <row r="124" spans="1:1" x14ac:dyDescent="0.25">
      <c r="A124" s="354"/>
    </row>
    <row r="125" spans="1:1" x14ac:dyDescent="0.25">
      <c r="A125" s="354"/>
    </row>
    <row r="126" spans="1:1" x14ac:dyDescent="0.25">
      <c r="A126" s="354"/>
    </row>
    <row r="127" spans="1:1" x14ac:dyDescent="0.25">
      <c r="A127" s="354"/>
    </row>
    <row r="128" spans="1:1" x14ac:dyDescent="0.25">
      <c r="A128" s="354"/>
    </row>
    <row r="129" spans="1:1" x14ac:dyDescent="0.25">
      <c r="A129" s="354"/>
    </row>
    <row r="130" spans="1:1" x14ac:dyDescent="0.25">
      <c r="A130" s="354"/>
    </row>
    <row r="131" spans="1:1" x14ac:dyDescent="0.25">
      <c r="A131" s="354"/>
    </row>
    <row r="132" spans="1:1" x14ac:dyDescent="0.25">
      <c r="A132" s="354"/>
    </row>
    <row r="133" spans="1:1" x14ac:dyDescent="0.25">
      <c r="A133" s="354"/>
    </row>
    <row r="134" spans="1:1" x14ac:dyDescent="0.25">
      <c r="A134" s="354"/>
    </row>
    <row r="135" spans="1:1" x14ac:dyDescent="0.25">
      <c r="A135" s="354"/>
    </row>
    <row r="136" spans="1:1" x14ac:dyDescent="0.25">
      <c r="A136" s="354"/>
    </row>
    <row r="137" spans="1:1" x14ac:dyDescent="0.25">
      <c r="A137" s="354"/>
    </row>
    <row r="138" spans="1:1" x14ac:dyDescent="0.25">
      <c r="A138" s="354"/>
    </row>
    <row r="139" spans="1:1" x14ac:dyDescent="0.25">
      <c r="A139" s="354"/>
    </row>
    <row r="140" spans="1:1" x14ac:dyDescent="0.25">
      <c r="A140" s="354"/>
    </row>
    <row r="141" spans="1:1" x14ac:dyDescent="0.25">
      <c r="A141" s="354"/>
    </row>
    <row r="142" spans="1:1" x14ac:dyDescent="0.25">
      <c r="A142" s="354"/>
    </row>
    <row r="143" spans="1:1" x14ac:dyDescent="0.25">
      <c r="A143" s="354"/>
    </row>
    <row r="144" spans="1:1" x14ac:dyDescent="0.25">
      <c r="A144" s="354"/>
    </row>
    <row r="145" spans="1:1" x14ac:dyDescent="0.25">
      <c r="A145" s="354"/>
    </row>
    <row r="146" spans="1:1" x14ac:dyDescent="0.25">
      <c r="A146" s="354"/>
    </row>
    <row r="147" spans="1:1" x14ac:dyDescent="0.25">
      <c r="A147" s="354"/>
    </row>
    <row r="148" spans="1:1" x14ac:dyDescent="0.25">
      <c r="A148" s="354"/>
    </row>
    <row r="149" spans="1:1" x14ac:dyDescent="0.25">
      <c r="A149" s="354"/>
    </row>
    <row r="150" spans="1:1" x14ac:dyDescent="0.25">
      <c r="A150" s="354"/>
    </row>
    <row r="151" spans="1:1" x14ac:dyDescent="0.25">
      <c r="A151" s="354"/>
    </row>
    <row r="152" spans="1:1" x14ac:dyDescent="0.25">
      <c r="A152" s="354"/>
    </row>
    <row r="153" spans="1:1" x14ac:dyDescent="0.25">
      <c r="A153" s="354"/>
    </row>
    <row r="154" spans="1:1" x14ac:dyDescent="0.25">
      <c r="A154" s="354"/>
    </row>
    <row r="155" spans="1:1" x14ac:dyDescent="0.25">
      <c r="A155" s="354"/>
    </row>
    <row r="156" spans="1:1" x14ac:dyDescent="0.25">
      <c r="A156" s="354"/>
    </row>
    <row r="157" spans="1:1" x14ac:dyDescent="0.25">
      <c r="A157" s="354"/>
    </row>
    <row r="158" spans="1:1" x14ac:dyDescent="0.25">
      <c r="A158" s="354"/>
    </row>
    <row r="159" spans="1:1" x14ac:dyDescent="0.25">
      <c r="A159" s="354"/>
    </row>
    <row r="160" spans="1:1" x14ac:dyDescent="0.25">
      <c r="A160" s="354"/>
    </row>
    <row r="161" spans="1:1" x14ac:dyDescent="0.25">
      <c r="A161" s="354"/>
    </row>
    <row r="162" spans="1:1" x14ac:dyDescent="0.25">
      <c r="A162" s="354"/>
    </row>
    <row r="163" spans="1:1" x14ac:dyDescent="0.25">
      <c r="A163" s="354"/>
    </row>
    <row r="164" spans="1:1" x14ac:dyDescent="0.25">
      <c r="A164" s="354"/>
    </row>
    <row r="165" spans="1:1" x14ac:dyDescent="0.25">
      <c r="A165" s="354"/>
    </row>
    <row r="166" spans="1:1" x14ac:dyDescent="0.25">
      <c r="A166" s="354"/>
    </row>
    <row r="167" spans="1:1" x14ac:dyDescent="0.25">
      <c r="A167" s="354"/>
    </row>
    <row r="168" spans="1:1" x14ac:dyDescent="0.25">
      <c r="A168" s="354"/>
    </row>
    <row r="169" spans="1:1" x14ac:dyDescent="0.25">
      <c r="A169" s="354"/>
    </row>
    <row r="170" spans="1:1" x14ac:dyDescent="0.25">
      <c r="A170" s="354"/>
    </row>
    <row r="171" spans="1:1" x14ac:dyDescent="0.25">
      <c r="A171" s="354"/>
    </row>
    <row r="172" spans="1:1" x14ac:dyDescent="0.25">
      <c r="A172" s="354"/>
    </row>
    <row r="173" spans="1:1" x14ac:dyDescent="0.25">
      <c r="A173" s="354"/>
    </row>
    <row r="174" spans="1:1" x14ac:dyDescent="0.25">
      <c r="A174" s="354"/>
    </row>
    <row r="175" spans="1:1" x14ac:dyDescent="0.25">
      <c r="A175" s="354"/>
    </row>
    <row r="176" spans="1:1" x14ac:dyDescent="0.25">
      <c r="A176" s="354"/>
    </row>
    <row r="177" spans="1:1" x14ac:dyDescent="0.25">
      <c r="A177" s="354"/>
    </row>
    <row r="178" spans="1:1" x14ac:dyDescent="0.25">
      <c r="A178" s="354"/>
    </row>
    <row r="179" spans="1:1" x14ac:dyDescent="0.25">
      <c r="A179" s="354"/>
    </row>
    <row r="180" spans="1:1" x14ac:dyDescent="0.25">
      <c r="A180" s="354"/>
    </row>
    <row r="181" spans="1:1" x14ac:dyDescent="0.25">
      <c r="A181" s="354"/>
    </row>
    <row r="182" spans="1:1" x14ac:dyDescent="0.25">
      <c r="A182" s="354"/>
    </row>
    <row r="183" spans="1:1" x14ac:dyDescent="0.25">
      <c r="A183" s="354"/>
    </row>
    <row r="184" spans="1:1" x14ac:dyDescent="0.25">
      <c r="A184" s="354"/>
    </row>
    <row r="185" spans="1:1" x14ac:dyDescent="0.25">
      <c r="A185" s="354"/>
    </row>
    <row r="186" spans="1:1" x14ac:dyDescent="0.25">
      <c r="A186" s="354"/>
    </row>
    <row r="187" spans="1:1" x14ac:dyDescent="0.25">
      <c r="A187" s="354"/>
    </row>
    <row r="188" spans="1:1" x14ac:dyDescent="0.25">
      <c r="A188" s="354"/>
    </row>
    <row r="189" spans="1:1" x14ac:dyDescent="0.25">
      <c r="A189" s="354"/>
    </row>
    <row r="190" spans="1:1" x14ac:dyDescent="0.25">
      <c r="A190" s="354"/>
    </row>
    <row r="191" spans="1:1" x14ac:dyDescent="0.25">
      <c r="A191" s="354"/>
    </row>
    <row r="192" spans="1:1" x14ac:dyDescent="0.25">
      <c r="A192" s="354"/>
    </row>
    <row r="193" spans="1:1" x14ac:dyDescent="0.25">
      <c r="A193" s="354"/>
    </row>
    <row r="194" spans="1:1" x14ac:dyDescent="0.25">
      <c r="A194" s="354"/>
    </row>
    <row r="195" spans="1:1" x14ac:dyDescent="0.25">
      <c r="A195" s="354"/>
    </row>
    <row r="196" spans="1:1" x14ac:dyDescent="0.25">
      <c r="A196" s="354"/>
    </row>
    <row r="197" spans="1:1" x14ac:dyDescent="0.25">
      <c r="A197" s="354"/>
    </row>
    <row r="198" spans="1:1" x14ac:dyDescent="0.25">
      <c r="A198" s="354"/>
    </row>
    <row r="199" spans="1:1" x14ac:dyDescent="0.25">
      <c r="A199" s="354"/>
    </row>
    <row r="200" spans="1:1" x14ac:dyDescent="0.25">
      <c r="A200" s="354"/>
    </row>
    <row r="201" spans="1:1" x14ac:dyDescent="0.25">
      <c r="A201" s="354"/>
    </row>
    <row r="202" spans="1:1" x14ac:dyDescent="0.25">
      <c r="A202" s="354"/>
    </row>
    <row r="203" spans="1:1" x14ac:dyDescent="0.25">
      <c r="A203" s="354"/>
    </row>
    <row r="204" spans="1:1" x14ac:dyDescent="0.25">
      <c r="A204" s="354"/>
    </row>
    <row r="205" spans="1:1" x14ac:dyDescent="0.25">
      <c r="A205" s="354"/>
    </row>
    <row r="206" spans="1:1" x14ac:dyDescent="0.25">
      <c r="A206" s="354"/>
    </row>
    <row r="207" spans="1:1" x14ac:dyDescent="0.25">
      <c r="A207" s="354"/>
    </row>
    <row r="208" spans="1:1" x14ac:dyDescent="0.25">
      <c r="A208" s="354"/>
    </row>
    <row r="209" spans="1:1" x14ac:dyDescent="0.25">
      <c r="A209" s="354"/>
    </row>
    <row r="210" spans="1:1" x14ac:dyDescent="0.25">
      <c r="A210" s="354"/>
    </row>
    <row r="211" spans="1:1" x14ac:dyDescent="0.25">
      <c r="A211" s="354"/>
    </row>
    <row r="212" spans="1:1" x14ac:dyDescent="0.25">
      <c r="A212" s="354"/>
    </row>
    <row r="213" spans="1:1" x14ac:dyDescent="0.25">
      <c r="A213" s="354"/>
    </row>
    <row r="214" spans="1:1" x14ac:dyDescent="0.25">
      <c r="A214" s="354"/>
    </row>
    <row r="215" spans="1:1" x14ac:dyDescent="0.25">
      <c r="A215" s="354"/>
    </row>
    <row r="216" spans="1:1" x14ac:dyDescent="0.25">
      <c r="A216" s="354"/>
    </row>
    <row r="217" spans="1:1" x14ac:dyDescent="0.25">
      <c r="A217" s="354"/>
    </row>
    <row r="218" spans="1:1" x14ac:dyDescent="0.25">
      <c r="A218" s="354"/>
    </row>
    <row r="219" spans="1:1" x14ac:dyDescent="0.25">
      <c r="A219" s="354"/>
    </row>
    <row r="220" spans="1:1" x14ac:dyDescent="0.25">
      <c r="A220" s="354"/>
    </row>
    <row r="221" spans="1:1" x14ac:dyDescent="0.25">
      <c r="A221" s="354"/>
    </row>
    <row r="222" spans="1:1" x14ac:dyDescent="0.25">
      <c r="A222" s="354"/>
    </row>
    <row r="223" spans="1:1" x14ac:dyDescent="0.25">
      <c r="A223" s="354"/>
    </row>
    <row r="224" spans="1:1" x14ac:dyDescent="0.25">
      <c r="A224" s="354"/>
    </row>
    <row r="225" spans="1:1" x14ac:dyDescent="0.25">
      <c r="A225" s="354"/>
    </row>
    <row r="226" spans="1:1" x14ac:dyDescent="0.25">
      <c r="A226" s="354"/>
    </row>
    <row r="227" spans="1:1" x14ac:dyDescent="0.25">
      <c r="A227" s="354"/>
    </row>
    <row r="228" spans="1:1" x14ac:dyDescent="0.25">
      <c r="A228" s="354"/>
    </row>
    <row r="229" spans="1:1" x14ac:dyDescent="0.25">
      <c r="A229" s="354"/>
    </row>
    <row r="230" spans="1:1" x14ac:dyDescent="0.25">
      <c r="A230" s="354"/>
    </row>
    <row r="231" spans="1:1" x14ac:dyDescent="0.25">
      <c r="A231" s="354"/>
    </row>
    <row r="232" spans="1:1" x14ac:dyDescent="0.25">
      <c r="A232" s="354"/>
    </row>
    <row r="233" spans="1:1" x14ac:dyDescent="0.25">
      <c r="A233" s="354"/>
    </row>
    <row r="234" spans="1:1" x14ac:dyDescent="0.25">
      <c r="A234" s="354"/>
    </row>
    <row r="235" spans="1:1" x14ac:dyDescent="0.25">
      <c r="A235" s="354"/>
    </row>
    <row r="236" spans="1:1" x14ac:dyDescent="0.25">
      <c r="A236" s="354"/>
    </row>
    <row r="237" spans="1:1" x14ac:dyDescent="0.25">
      <c r="A237" s="354"/>
    </row>
    <row r="238" spans="1:1" x14ac:dyDescent="0.25">
      <c r="A238" s="354"/>
    </row>
    <row r="239" spans="1:1" x14ac:dyDescent="0.25">
      <c r="A239" s="354"/>
    </row>
    <row r="240" spans="1:1" x14ac:dyDescent="0.25">
      <c r="A240" s="354"/>
    </row>
    <row r="241" spans="1:1" x14ac:dyDescent="0.25">
      <c r="A241" s="354"/>
    </row>
    <row r="242" spans="1:1" x14ac:dyDescent="0.25">
      <c r="A242" s="354"/>
    </row>
    <row r="243" spans="1:1" x14ac:dyDescent="0.25">
      <c r="A243" s="354"/>
    </row>
    <row r="244" spans="1:1" x14ac:dyDescent="0.25">
      <c r="A244" s="354"/>
    </row>
    <row r="245" spans="1:1" x14ac:dyDescent="0.25">
      <c r="A245" s="354"/>
    </row>
    <row r="246" spans="1:1" x14ac:dyDescent="0.25">
      <c r="A246" s="354"/>
    </row>
  </sheetData>
  <customSheetViews>
    <customSheetView guid="{7F1DC213-A29D-4C8C-BAC3-F1BD898020FD}" hiddenRows="1" hiddenColumns="1">
      <selection activeCell="Y69" sqref="Y69"/>
      <pageMargins left="0.19685039370078741" right="0.19685039370078741" top="1.0629921259842521" bottom="0.19685039370078741" header="0.35433070866141736" footer="0.43307086614173229"/>
      <printOptions horizontalCentered="1"/>
      <pageSetup paperSize="9" scale="80" fitToWidth="0" fitToHeight="0" pageOrder="overThenDown" orientation="portrait" r:id="rId1"/>
      <headerFooter>
        <oddHeader>&amp;L1.3. melléklet a ...../2019. (.....) önkormányzati rendelethez&amp;C&amp;"-,Félkövér"&amp;16Az Önkormányzat 2019. évi összevont kiadásai feladatonként részletes bontásban&amp;RAdatok ezer forintban</oddHeader>
      </headerFooter>
    </customSheetView>
    <customSheetView guid="{4DCB1349-1166-4B69-AE14-D6B08F9FCE74}" hiddenRows="1" hiddenColumns="1">
      <selection activeCell="Y69" sqref="Y69"/>
      <pageMargins left="0.19685039370078741" right="0.19685039370078741" top="1.0629921259842521" bottom="0.19685039370078741" header="0.35433070866141736" footer="0.43307086614173229"/>
      <printOptions horizontalCentered="1"/>
      <pageSetup paperSize="9" scale="80" fitToWidth="0" fitToHeight="0" pageOrder="overThenDown" orientation="portrait" r:id="rId2"/>
      <headerFooter>
        <oddHeader>&amp;L1.3. melléklet a ...../2019. (.....) önkormányzati rendelethez&amp;C&amp;"-,Félkövér"&amp;16Az Önkormányzat 2019. évi összevont kiadásai feladatonként részletes bontásban&amp;RAdatok ezer forintban</oddHeader>
      </headerFooter>
    </customSheetView>
  </customSheetViews>
  <mergeCells count="11">
    <mergeCell ref="Z2:Z3"/>
    <mergeCell ref="AA2:AA3"/>
    <mergeCell ref="Y2:Y3"/>
    <mergeCell ref="P3:S3"/>
    <mergeCell ref="T3:W3"/>
    <mergeCell ref="D3:G3"/>
    <mergeCell ref="A2:A3"/>
    <mergeCell ref="B2:B3"/>
    <mergeCell ref="H3:K3"/>
    <mergeCell ref="L3:O3"/>
    <mergeCell ref="G2:X2"/>
  </mergeCells>
  <printOptions horizontalCentered="1"/>
  <pageMargins left="0.19685039370078741" right="0.19685039370078741" top="1.0629921259842521" bottom="0.19685039370078741" header="0.35433070866141736" footer="0.43307086614173229"/>
  <pageSetup paperSize="9" scale="80" fitToWidth="0" fitToHeight="0" pageOrder="overThenDown" orientation="portrait" r:id="rId3"/>
  <headerFooter>
    <oddHeader>&amp;L1.3. melléklet a 3/2019. (II.20.) önkormányzati rendelethez&amp;C&amp;"-,Félkövér"&amp;16
&amp;14Az Önkormányzat 2019. évi összevont kiadásai feladatonként részletes bontásban&amp;RAdatok ezer forintban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M114"/>
  <sheetViews>
    <sheetView view="pageLayout" topLeftCell="A7" zoomScaleNormal="100" zoomScaleSheetLayoutView="75" workbookViewId="0">
      <selection activeCell="AQ9" sqref="AQ9"/>
    </sheetView>
  </sheetViews>
  <sheetFormatPr defaultRowHeight="15" x14ac:dyDescent="0.25"/>
  <cols>
    <col min="1" max="1" width="5.7109375" style="480" customWidth="1"/>
    <col min="2" max="2" width="56.42578125" style="481" customWidth="1"/>
    <col min="3" max="3" width="11.42578125" style="481" hidden="1" customWidth="1"/>
    <col min="4" max="6" width="10" style="481" hidden="1" customWidth="1"/>
    <col min="7" max="7" width="11.140625" style="481" hidden="1" customWidth="1"/>
    <col min="8" max="8" width="10" style="359" hidden="1" customWidth="1"/>
    <col min="9" max="9" width="11.140625" style="481" hidden="1" customWidth="1"/>
    <col min="10" max="10" width="10" style="481" hidden="1" customWidth="1"/>
    <col min="11" max="11" width="11.85546875" style="481" hidden="1" customWidth="1"/>
    <col min="12" max="13" width="10.140625" style="481" hidden="1" customWidth="1"/>
    <col min="14" max="15" width="9.7109375" style="481" hidden="1" customWidth="1"/>
    <col min="16" max="16" width="11.7109375" style="481" customWidth="1"/>
    <col min="17" max="19" width="9.7109375" style="481" customWidth="1"/>
    <col min="20" max="21" width="10.140625" style="481" hidden="1" customWidth="1"/>
    <col min="22" max="22" width="9.7109375" style="481" hidden="1" customWidth="1"/>
    <col min="23" max="23" width="8.85546875" style="481" hidden="1" customWidth="1"/>
    <col min="24" max="24" width="11.5703125" style="481" hidden="1" customWidth="1"/>
    <col min="25" max="25" width="12.7109375" style="481" hidden="1" customWidth="1"/>
    <col min="26" max="26" width="12.85546875" style="481" hidden="1" customWidth="1"/>
    <col min="27" max="27" width="12" style="481" hidden="1" customWidth="1"/>
    <col min="28" max="28" width="10.7109375" style="481" customWidth="1"/>
    <col min="29" max="29" width="9.140625" style="481"/>
    <col min="30" max="30" width="10" style="481" customWidth="1"/>
    <col min="31" max="31" width="11.28515625" style="481" customWidth="1"/>
    <col min="32" max="32" width="9.85546875" style="481" customWidth="1"/>
    <col min="33" max="33" width="9.7109375" style="481" customWidth="1"/>
    <col min="34" max="34" width="10.5703125" style="481" customWidth="1"/>
    <col min="35" max="35" width="10.28515625" style="481" customWidth="1"/>
    <col min="36" max="36" width="10.42578125" style="481" hidden="1" customWidth="1"/>
    <col min="37" max="37" width="10.7109375" style="481" hidden="1" customWidth="1"/>
    <col min="38" max="38" width="10.140625" style="481" hidden="1" customWidth="1"/>
    <col min="39" max="39" width="11.140625" style="481" hidden="1" customWidth="1"/>
    <col min="40" max="16384" width="9.140625" style="481"/>
  </cols>
  <sheetData>
    <row r="1" spans="1:39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801" t="s">
        <v>1366</v>
      </c>
      <c r="Q1" s="801" t="s">
        <v>1376</v>
      </c>
      <c r="R1" s="801" t="s">
        <v>1377</v>
      </c>
      <c r="S1" s="801" t="s">
        <v>1378</v>
      </c>
      <c r="T1" s="742"/>
      <c r="U1" s="742"/>
      <c r="V1" s="742"/>
      <c r="W1" s="745"/>
      <c r="X1" s="742" t="s">
        <v>1383</v>
      </c>
      <c r="Y1" s="742" t="s">
        <v>1384</v>
      </c>
      <c r="Z1" s="742" t="s">
        <v>1385</v>
      </c>
      <c r="AA1" s="745" t="s">
        <v>1386</v>
      </c>
      <c r="AB1" s="895" t="s">
        <v>1379</v>
      </c>
      <c r="AC1" s="895" t="s">
        <v>1380</v>
      </c>
      <c r="AD1" s="895" t="s">
        <v>1446</v>
      </c>
      <c r="AE1" s="895" t="s">
        <v>1382</v>
      </c>
      <c r="AF1" s="895" t="s">
        <v>1450</v>
      </c>
      <c r="AG1" s="895" t="s">
        <v>1384</v>
      </c>
      <c r="AH1" s="895" t="s">
        <v>1385</v>
      </c>
      <c r="AI1" s="895" t="s">
        <v>1386</v>
      </c>
    </row>
    <row r="2" spans="1:39" x14ac:dyDescent="0.25">
      <c r="A2" s="646" t="s">
        <v>470</v>
      </c>
      <c r="B2" s="646" t="s">
        <v>471</v>
      </c>
      <c r="C2" s="588"/>
      <c r="D2" s="588"/>
      <c r="E2" s="588"/>
      <c r="F2" s="588"/>
      <c r="G2" s="588"/>
      <c r="H2" s="724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8"/>
      <c r="Z2" s="588"/>
      <c r="AA2" s="588"/>
      <c r="AB2" s="588"/>
      <c r="AC2" s="588"/>
      <c r="AD2" s="588"/>
      <c r="AE2" s="588"/>
      <c r="AF2" s="588"/>
      <c r="AG2" s="588"/>
      <c r="AH2" s="588"/>
      <c r="AI2" s="588"/>
      <c r="AJ2" s="588"/>
      <c r="AK2" s="588"/>
      <c r="AL2" s="588"/>
      <c r="AM2" s="588"/>
    </row>
    <row r="3" spans="1:39" ht="30" customHeight="1" x14ac:dyDescent="0.25">
      <c r="A3" s="916" t="s">
        <v>305</v>
      </c>
      <c r="B3" s="917" t="s">
        <v>472</v>
      </c>
      <c r="C3" s="642" t="s">
        <v>1193</v>
      </c>
      <c r="D3" s="898" t="s">
        <v>1279</v>
      </c>
      <c r="E3" s="918"/>
      <c r="F3" s="918"/>
      <c r="G3" s="919"/>
      <c r="H3" s="898" t="s">
        <v>1391</v>
      </c>
      <c r="I3" s="899"/>
      <c r="J3" s="899"/>
      <c r="K3" s="900"/>
      <c r="L3" s="898" t="s">
        <v>1392</v>
      </c>
      <c r="M3" s="899"/>
      <c r="N3" s="899"/>
      <c r="O3" s="900"/>
      <c r="P3" s="898" t="s">
        <v>1424</v>
      </c>
      <c r="Q3" s="899"/>
      <c r="R3" s="899"/>
      <c r="S3" s="900"/>
      <c r="T3" s="898" t="s">
        <v>1246</v>
      </c>
      <c r="U3" s="901"/>
      <c r="V3" s="901"/>
      <c r="W3" s="902"/>
      <c r="X3" s="898" t="s">
        <v>1387</v>
      </c>
      <c r="Y3" s="901"/>
      <c r="Z3" s="901"/>
      <c r="AA3" s="902"/>
      <c r="AB3" s="898" t="s">
        <v>1452</v>
      </c>
      <c r="AC3" s="899"/>
      <c r="AD3" s="899"/>
      <c r="AE3" s="900"/>
      <c r="AF3" s="898" t="s">
        <v>1444</v>
      </c>
      <c r="AG3" s="899"/>
      <c r="AH3" s="899"/>
      <c r="AI3" s="900"/>
      <c r="AJ3" s="898" t="s">
        <v>1456</v>
      </c>
      <c r="AK3" s="899"/>
      <c r="AL3" s="899"/>
      <c r="AM3" s="900"/>
    </row>
    <row r="4" spans="1:39" ht="60" x14ac:dyDescent="0.25">
      <c r="A4" s="916"/>
      <c r="B4" s="917"/>
      <c r="C4" s="642" t="s">
        <v>546</v>
      </c>
      <c r="D4" s="642" t="s">
        <v>1209</v>
      </c>
      <c r="E4" s="642" t="s">
        <v>1210</v>
      </c>
      <c r="F4" s="642" t="s">
        <v>1211</v>
      </c>
      <c r="G4" s="642" t="s">
        <v>546</v>
      </c>
      <c r="H4" s="616" t="s">
        <v>1209</v>
      </c>
      <c r="I4" s="642" t="s">
        <v>1210</v>
      </c>
      <c r="J4" s="642" t="s">
        <v>1211</v>
      </c>
      <c r="K4" s="642" t="s">
        <v>546</v>
      </c>
      <c r="L4" s="642" t="s">
        <v>1209</v>
      </c>
      <c r="M4" s="642" t="s">
        <v>1210</v>
      </c>
      <c r="N4" s="642" t="s">
        <v>1211</v>
      </c>
      <c r="O4" s="642" t="s">
        <v>546</v>
      </c>
      <c r="P4" s="642" t="s">
        <v>1209</v>
      </c>
      <c r="Q4" s="642" t="s">
        <v>1210</v>
      </c>
      <c r="R4" s="642" t="s">
        <v>1211</v>
      </c>
      <c r="S4" s="642" t="s">
        <v>546</v>
      </c>
      <c r="T4" s="642" t="s">
        <v>1209</v>
      </c>
      <c r="U4" s="642" t="s">
        <v>1210</v>
      </c>
      <c r="V4" s="642" t="s">
        <v>1211</v>
      </c>
      <c r="W4" s="642" t="s">
        <v>546</v>
      </c>
      <c r="X4" s="642" t="s">
        <v>1209</v>
      </c>
      <c r="Y4" s="642" t="s">
        <v>1210</v>
      </c>
      <c r="Z4" s="642" t="s">
        <v>1211</v>
      </c>
      <c r="AA4" s="642" t="s">
        <v>546</v>
      </c>
      <c r="AB4" s="642" t="s">
        <v>1209</v>
      </c>
      <c r="AC4" s="642" t="s">
        <v>1210</v>
      </c>
      <c r="AD4" s="642" t="s">
        <v>1211</v>
      </c>
      <c r="AE4" s="642" t="s">
        <v>546</v>
      </c>
      <c r="AF4" s="642" t="s">
        <v>1209</v>
      </c>
      <c r="AG4" s="642" t="s">
        <v>1210</v>
      </c>
      <c r="AH4" s="642" t="s">
        <v>1211</v>
      </c>
      <c r="AI4" s="642" t="s">
        <v>546</v>
      </c>
      <c r="AJ4" s="642" t="s">
        <v>1209</v>
      </c>
      <c r="AK4" s="642" t="s">
        <v>1210</v>
      </c>
      <c r="AL4" s="642" t="s">
        <v>1211</v>
      </c>
      <c r="AM4" s="642" t="s">
        <v>546</v>
      </c>
    </row>
    <row r="5" spans="1:39" x14ac:dyDescent="0.25">
      <c r="A5" s="482" t="s">
        <v>309</v>
      </c>
      <c r="B5" s="483" t="s">
        <v>310</v>
      </c>
      <c r="C5" s="484" t="e">
        <f>C6+C26+C43+C57</f>
        <v>#REF!</v>
      </c>
      <c r="D5" s="484">
        <f>D6+D26+D43+D57</f>
        <v>1750274</v>
      </c>
      <c r="E5" s="484">
        <f>E6+E26+E43+E57</f>
        <v>53850</v>
      </c>
      <c r="F5" s="484">
        <f>F6+F26+F43+F57</f>
        <v>0</v>
      </c>
      <c r="G5" s="484">
        <f>SUM(D5:F5)</f>
        <v>1804124</v>
      </c>
      <c r="H5" s="725">
        <f>H6+H26+H43+H57</f>
        <v>1934147</v>
      </c>
      <c r="I5" s="484">
        <f>I6+I26+I43+I57</f>
        <v>53850</v>
      </c>
      <c r="J5" s="484">
        <f>J6+J26+J43+J57</f>
        <v>0</v>
      </c>
      <c r="K5" s="484">
        <f>SUM(H5:J5)</f>
        <v>1987997</v>
      </c>
      <c r="L5" s="484">
        <f>L6+L26+L43+L57</f>
        <v>1961386</v>
      </c>
      <c r="M5" s="484">
        <f>M6+M26+M43+M57</f>
        <v>53850</v>
      </c>
      <c r="N5" s="484">
        <f>N6+N26+N43+N57</f>
        <v>0</v>
      </c>
      <c r="O5" s="484">
        <f>SUM(L5:N5)</f>
        <v>2015236</v>
      </c>
      <c r="P5" s="484">
        <f>+P6+P26+P43+P57</f>
        <v>1918864</v>
      </c>
      <c r="Q5" s="484">
        <f>+Q6+Q26+Q43+Q57</f>
        <v>67700</v>
      </c>
      <c r="R5" s="484">
        <f>R6+R26+R43+R57</f>
        <v>0</v>
      </c>
      <c r="S5" s="484">
        <f t="shared" ref="S5:S11" si="0">SUM(P5:R5)</f>
        <v>1986564</v>
      </c>
      <c r="T5" s="484" t="e">
        <f>T6+T26+T43+T57</f>
        <v>#REF!</v>
      </c>
      <c r="U5" s="484" t="e">
        <f>U6+U26+U43+U57</f>
        <v>#REF!</v>
      </c>
      <c r="V5" s="484" t="e">
        <f>V6+V26+V43+V57</f>
        <v>#REF!</v>
      </c>
      <c r="W5" s="484" t="e">
        <f>SUM(T5:V5)</f>
        <v>#REF!</v>
      </c>
      <c r="X5" s="484" t="e">
        <f>X6+X26+X43+X57</f>
        <v>#REF!</v>
      </c>
      <c r="Y5" s="484" t="e">
        <f>Y6+Y26+Y43+Y57</f>
        <v>#REF!</v>
      </c>
      <c r="Z5" s="484" t="e">
        <f>Z6+Z26+Z43+Z57</f>
        <v>#REF!</v>
      </c>
      <c r="AA5" s="484" t="e">
        <f>SUM(X5:Z5)</f>
        <v>#REF!</v>
      </c>
      <c r="AB5" s="484">
        <f>+AB6+AB26+AB43+AB57</f>
        <v>2109219</v>
      </c>
      <c r="AC5" s="484">
        <f t="shared" ref="AC5:AD5" si="1">+AC6+AC26+AC43+AC57</f>
        <v>67700</v>
      </c>
      <c r="AD5" s="484">
        <f t="shared" si="1"/>
        <v>0</v>
      </c>
      <c r="AE5" s="484">
        <f>SUM(AB5:AD5)</f>
        <v>2176919</v>
      </c>
      <c r="AF5" s="484">
        <f>+AF6+AF26+AF43+AF57</f>
        <v>2204207</v>
      </c>
      <c r="AG5" s="484">
        <f t="shared" ref="AG5:AH5" si="2">+AG6+AG26+AG43+AG57</f>
        <v>100451</v>
      </c>
      <c r="AH5" s="484">
        <f t="shared" si="2"/>
        <v>0</v>
      </c>
      <c r="AI5" s="484">
        <f>SUM(AF5:AH5)</f>
        <v>2304658</v>
      </c>
      <c r="AJ5" s="484">
        <f>+AJ6+AJ26+AJ43+AJ57</f>
        <v>1097978</v>
      </c>
      <c r="AK5" s="484">
        <f t="shared" ref="AK5:AL5" si="3">+AK6+AK26+AK43+AK57</f>
        <v>28439</v>
      </c>
      <c r="AL5" s="484">
        <f t="shared" si="3"/>
        <v>0</v>
      </c>
      <c r="AM5" s="484">
        <f>SUM(AJ5:AL5)</f>
        <v>1126417</v>
      </c>
    </row>
    <row r="6" spans="1:39" x14ac:dyDescent="0.25">
      <c r="A6" s="643" t="s">
        <v>311</v>
      </c>
      <c r="B6" s="644" t="s">
        <v>312</v>
      </c>
      <c r="C6" s="645" t="e">
        <f t="shared" ref="C6" si="4">C7+C15+C16+C17</f>
        <v>#REF!</v>
      </c>
      <c r="D6" s="645">
        <f t="shared" ref="D6:E6" si="5">D7+D15+D16+D17</f>
        <v>931744</v>
      </c>
      <c r="E6" s="645">
        <f t="shared" si="5"/>
        <v>0</v>
      </c>
      <c r="F6" s="645">
        <f t="shared" ref="F6" si="6">F7+F15+F16+F17</f>
        <v>0</v>
      </c>
      <c r="G6" s="645">
        <f t="shared" ref="G6:G72" si="7">SUM(D6:F6)</f>
        <v>931744</v>
      </c>
      <c r="H6" s="726">
        <f t="shared" ref="H6:J6" si="8">H7+H15+H16+H17</f>
        <v>1097064</v>
      </c>
      <c r="I6" s="645">
        <f t="shared" si="8"/>
        <v>0</v>
      </c>
      <c r="J6" s="645">
        <f t="shared" si="8"/>
        <v>0</v>
      </c>
      <c r="K6" s="645">
        <f t="shared" ref="K6:K58" si="9">SUM(H6:J6)</f>
        <v>1097064</v>
      </c>
      <c r="L6" s="645">
        <f t="shared" ref="L6:N6" si="10">L7+L15+L16+L17</f>
        <v>1109544</v>
      </c>
      <c r="M6" s="645">
        <f t="shared" si="10"/>
        <v>0</v>
      </c>
      <c r="N6" s="645">
        <f t="shared" si="10"/>
        <v>0</v>
      </c>
      <c r="O6" s="645">
        <f t="shared" ref="O6:O58" si="11">SUM(L6:N6)</f>
        <v>1109544</v>
      </c>
      <c r="P6" s="645">
        <f>+P7+P15+P16+P17</f>
        <v>946204</v>
      </c>
      <c r="Q6" s="645">
        <f>+Q7+Q15+Q16+Q17</f>
        <v>0</v>
      </c>
      <c r="R6" s="645">
        <f>+R7+R15+R16+R17</f>
        <v>0</v>
      </c>
      <c r="S6" s="645">
        <f t="shared" si="0"/>
        <v>946204</v>
      </c>
      <c r="T6" s="645" t="e">
        <f t="shared" ref="T6:V6" si="12">T7+T15+T16+T17</f>
        <v>#REF!</v>
      </c>
      <c r="U6" s="645" t="e">
        <f t="shared" si="12"/>
        <v>#REF!</v>
      </c>
      <c r="V6" s="645" t="e">
        <f t="shared" si="12"/>
        <v>#REF!</v>
      </c>
      <c r="W6" s="645" t="e">
        <f t="shared" ref="W6:W58" si="13">SUM(T6:V6)</f>
        <v>#REF!</v>
      </c>
      <c r="X6" s="645" t="e">
        <f t="shared" ref="X6:Z6" si="14">X7+X15+X16+X17</f>
        <v>#REF!</v>
      </c>
      <c r="Y6" s="645" t="e">
        <f t="shared" si="14"/>
        <v>#REF!</v>
      </c>
      <c r="Z6" s="645" t="e">
        <f t="shared" si="14"/>
        <v>#REF!</v>
      </c>
      <c r="AA6" s="645" t="e">
        <f t="shared" ref="AA6:AA58" si="15">SUM(X6:Z6)</f>
        <v>#REF!</v>
      </c>
      <c r="AB6" s="645">
        <f>+AB7+AB15+AB16+AB17</f>
        <v>1098436</v>
      </c>
      <c r="AC6" s="645">
        <f t="shared" ref="AC6:AD6" si="16">+AC7+AC15+AC16+AC17</f>
        <v>0</v>
      </c>
      <c r="AD6" s="645">
        <f t="shared" si="16"/>
        <v>0</v>
      </c>
      <c r="AE6" s="645">
        <f>SUM(AB6:AD6)</f>
        <v>1098436</v>
      </c>
      <c r="AF6" s="645">
        <f>+AF7+AF15+AF16+AF17</f>
        <v>1177883</v>
      </c>
      <c r="AG6" s="645">
        <f t="shared" ref="AG6:AH6" si="17">+AG7+AG15+AG16+AG17</f>
        <v>0</v>
      </c>
      <c r="AH6" s="645">
        <f t="shared" si="17"/>
        <v>0</v>
      </c>
      <c r="AI6" s="645">
        <f>SUM(AF6:AH6)</f>
        <v>1177883</v>
      </c>
      <c r="AJ6" s="645">
        <f>+AJ7+AJ15+AJ16+AJ17</f>
        <v>543287</v>
      </c>
      <c r="AK6" s="645">
        <f t="shared" ref="AK6:AL6" si="18">+AK7+AK15+AK16+AK17</f>
        <v>0</v>
      </c>
      <c r="AL6" s="645">
        <f t="shared" si="18"/>
        <v>0</v>
      </c>
      <c r="AM6" s="645">
        <f>SUM(AJ6:AL6)</f>
        <v>543287</v>
      </c>
    </row>
    <row r="7" spans="1:39" s="491" customFormat="1" x14ac:dyDescent="0.25">
      <c r="A7" s="488"/>
      <c r="B7" s="489" t="s">
        <v>473</v>
      </c>
      <c r="C7" s="490">
        <f t="shared" ref="C7" si="19">SUM(C8:C14)</f>
        <v>0</v>
      </c>
      <c r="D7" s="490">
        <f t="shared" ref="D7:E7" si="20">SUM(D8:D14)</f>
        <v>833424</v>
      </c>
      <c r="E7" s="490">
        <f t="shared" si="20"/>
        <v>0</v>
      </c>
      <c r="F7" s="490">
        <f t="shared" ref="F7" si="21">SUM(F8:F14)</f>
        <v>0</v>
      </c>
      <c r="G7" s="490">
        <f t="shared" si="7"/>
        <v>833424</v>
      </c>
      <c r="H7" s="371">
        <f t="shared" ref="H7:J7" si="22">SUM(H8:H14)</f>
        <v>859008</v>
      </c>
      <c r="I7" s="490">
        <f t="shared" si="22"/>
        <v>0</v>
      </c>
      <c r="J7" s="490">
        <f t="shared" si="22"/>
        <v>0</v>
      </c>
      <c r="K7" s="490">
        <f t="shared" si="9"/>
        <v>859008</v>
      </c>
      <c r="L7" s="490">
        <f t="shared" ref="L7:N7" si="23">SUM(L8:L14)</f>
        <v>866427</v>
      </c>
      <c r="M7" s="490">
        <f t="shared" si="23"/>
        <v>0</v>
      </c>
      <c r="N7" s="490">
        <f t="shared" si="23"/>
        <v>0</v>
      </c>
      <c r="O7" s="490">
        <f t="shared" si="11"/>
        <v>866427</v>
      </c>
      <c r="P7" s="490">
        <f>SUM(P8:P14)</f>
        <v>860704</v>
      </c>
      <c r="Q7" s="490">
        <f t="shared" ref="Q7:R7" si="24">SUM(Q8:Q14)</f>
        <v>0</v>
      </c>
      <c r="R7" s="490">
        <f t="shared" si="24"/>
        <v>0</v>
      </c>
      <c r="S7" s="490">
        <f t="shared" si="0"/>
        <v>860704</v>
      </c>
      <c r="T7" s="490">
        <f t="shared" ref="T7:V7" si="25">SUM(T8:T14)</f>
        <v>0</v>
      </c>
      <c r="U7" s="490">
        <f t="shared" si="25"/>
        <v>0</v>
      </c>
      <c r="V7" s="490">
        <f t="shared" si="25"/>
        <v>0</v>
      </c>
      <c r="W7" s="490">
        <f t="shared" si="13"/>
        <v>0</v>
      </c>
      <c r="X7" s="490">
        <f t="shared" ref="X7:Z7" si="26">SUM(X8:X14)</f>
        <v>303436</v>
      </c>
      <c r="Y7" s="490">
        <f t="shared" si="26"/>
        <v>0</v>
      </c>
      <c r="Z7" s="490">
        <f t="shared" si="26"/>
        <v>0</v>
      </c>
      <c r="AA7" s="490">
        <f t="shared" si="15"/>
        <v>303436</v>
      </c>
      <c r="AB7" s="490">
        <f>SUM(AB8:AB14)</f>
        <v>908678</v>
      </c>
      <c r="AC7" s="490">
        <f t="shared" ref="AC7:AD7" si="27">SUM(AC8:AC14)</f>
        <v>0</v>
      </c>
      <c r="AD7" s="490">
        <f t="shared" si="27"/>
        <v>0</v>
      </c>
      <c r="AE7" s="880">
        <f t="shared" ref="AE7:AE13" si="28">SUM(AB7:AD7)</f>
        <v>908678</v>
      </c>
      <c r="AF7" s="490">
        <f>SUM(AF8:AF14)</f>
        <v>975668</v>
      </c>
      <c r="AG7" s="490">
        <f t="shared" ref="AG7:AH7" si="29">SUM(AG8:AG14)</f>
        <v>0</v>
      </c>
      <c r="AH7" s="490">
        <f t="shared" si="29"/>
        <v>0</v>
      </c>
      <c r="AI7" s="880">
        <f t="shared" ref="AI7:AI15" si="30">SUM(AF7:AH7)</f>
        <v>975668</v>
      </c>
      <c r="AJ7" s="490">
        <f>SUM(AJ8:AJ14)</f>
        <v>466914</v>
      </c>
      <c r="AK7" s="490">
        <f t="shared" ref="AK7:AL7" si="31">SUM(AK8:AK14)</f>
        <v>0</v>
      </c>
      <c r="AL7" s="490">
        <f t="shared" si="31"/>
        <v>0</v>
      </c>
      <c r="AM7" s="880">
        <f t="shared" ref="AM7:AM15" si="32">SUM(AJ7:AL7)</f>
        <v>466914</v>
      </c>
    </row>
    <row r="8" spans="1:39" s="491" customFormat="1" ht="30" x14ac:dyDescent="0.25">
      <c r="A8" s="488"/>
      <c r="B8" s="492" t="s">
        <v>474</v>
      </c>
      <c r="C8" s="493"/>
      <c r="D8" s="493">
        <v>137420</v>
      </c>
      <c r="E8" s="493">
        <v>0</v>
      </c>
      <c r="F8" s="493">
        <v>0</v>
      </c>
      <c r="G8" s="493">
        <f>SUM(D8:F8)</f>
        <v>137420</v>
      </c>
      <c r="H8" s="287">
        <v>138220</v>
      </c>
      <c r="I8" s="493">
        <v>0</v>
      </c>
      <c r="J8" s="493">
        <v>0</v>
      </c>
      <c r="K8" s="493">
        <f>SUM(H8:J8)</f>
        <v>138220</v>
      </c>
      <c r="L8" s="493">
        <v>138220</v>
      </c>
      <c r="M8" s="493"/>
      <c r="N8" s="493"/>
      <c r="O8" s="315">
        <f t="shared" si="11"/>
        <v>138220</v>
      </c>
      <c r="P8" s="493">
        <v>141719</v>
      </c>
      <c r="Q8" s="493"/>
      <c r="R8" s="493"/>
      <c r="S8" s="315">
        <f t="shared" si="0"/>
        <v>141719</v>
      </c>
      <c r="T8" s="493"/>
      <c r="U8" s="493"/>
      <c r="V8" s="493"/>
      <c r="W8" s="493"/>
      <c r="X8" s="493">
        <v>50271</v>
      </c>
      <c r="Y8" s="493">
        <v>0</v>
      </c>
      <c r="Z8" s="493">
        <v>0</v>
      </c>
      <c r="AA8" s="493">
        <f t="shared" si="15"/>
        <v>50271</v>
      </c>
      <c r="AB8" s="888">
        <v>144088</v>
      </c>
      <c r="AC8" s="493"/>
      <c r="AD8" s="493"/>
      <c r="AE8" s="881">
        <f t="shared" si="28"/>
        <v>144088</v>
      </c>
      <c r="AF8" s="888">
        <v>150075</v>
      </c>
      <c r="AG8" s="493"/>
      <c r="AH8" s="493"/>
      <c r="AI8" s="881">
        <f t="shared" si="30"/>
        <v>150075</v>
      </c>
      <c r="AJ8" s="888">
        <v>76063</v>
      </c>
      <c r="AK8" s="493"/>
      <c r="AL8" s="493"/>
      <c r="AM8" s="881">
        <f t="shared" si="32"/>
        <v>76063</v>
      </c>
    </row>
    <row r="9" spans="1:39" s="491" customFormat="1" x14ac:dyDescent="0.25">
      <c r="A9" s="488"/>
      <c r="B9" s="492" t="s">
        <v>475</v>
      </c>
      <c r="C9" s="493"/>
      <c r="D9" s="493">
        <v>253416</v>
      </c>
      <c r="E9" s="493">
        <v>0</v>
      </c>
      <c r="F9" s="493">
        <v>0</v>
      </c>
      <c r="G9" s="493">
        <f t="shared" ref="G9:G13" si="33">SUM(D9:F9)</f>
        <v>253416</v>
      </c>
      <c r="H9" s="287">
        <v>253416</v>
      </c>
      <c r="I9" s="493">
        <v>0</v>
      </c>
      <c r="J9" s="493">
        <v>0</v>
      </c>
      <c r="K9" s="493">
        <f t="shared" ref="K9:K14" si="34">SUM(H9:J9)</f>
        <v>253416</v>
      </c>
      <c r="L9" s="493">
        <v>253680</v>
      </c>
      <c r="M9" s="493"/>
      <c r="N9" s="493"/>
      <c r="O9" s="315">
        <f t="shared" si="11"/>
        <v>253680</v>
      </c>
      <c r="P9" s="493">
        <v>257203</v>
      </c>
      <c r="Q9" s="493"/>
      <c r="R9" s="493"/>
      <c r="S9" s="315">
        <f t="shared" si="0"/>
        <v>257203</v>
      </c>
      <c r="T9" s="493"/>
      <c r="U9" s="493"/>
      <c r="V9" s="493"/>
      <c r="W9" s="493"/>
      <c r="X9" s="493">
        <v>87685</v>
      </c>
      <c r="Y9" s="493">
        <v>0</v>
      </c>
      <c r="Z9" s="493">
        <v>0</v>
      </c>
      <c r="AA9" s="493">
        <f t="shared" si="15"/>
        <v>87685</v>
      </c>
      <c r="AB9" s="493">
        <v>257203</v>
      </c>
      <c r="AC9" s="493"/>
      <c r="AD9" s="493"/>
      <c r="AE9" s="881">
        <f t="shared" si="28"/>
        <v>257203</v>
      </c>
      <c r="AF9" s="493">
        <v>261830</v>
      </c>
      <c r="AG9" s="493"/>
      <c r="AH9" s="493"/>
      <c r="AI9" s="881">
        <f t="shared" si="30"/>
        <v>261830</v>
      </c>
      <c r="AJ9" s="493">
        <v>130276</v>
      </c>
      <c r="AK9" s="493"/>
      <c r="AL9" s="493"/>
      <c r="AM9" s="881">
        <f t="shared" si="32"/>
        <v>130276</v>
      </c>
    </row>
    <row r="10" spans="1:39" s="491" customFormat="1" ht="30" x14ac:dyDescent="0.25">
      <c r="A10" s="488"/>
      <c r="B10" s="492" t="s">
        <v>476</v>
      </c>
      <c r="C10" s="493"/>
      <c r="D10" s="493">
        <v>372242</v>
      </c>
      <c r="E10" s="493">
        <v>0</v>
      </c>
      <c r="F10" s="493">
        <v>0</v>
      </c>
      <c r="G10" s="493">
        <f t="shared" si="33"/>
        <v>372242</v>
      </c>
      <c r="H10" s="287">
        <v>382216</v>
      </c>
      <c r="I10" s="493">
        <v>0</v>
      </c>
      <c r="J10" s="493">
        <v>0</v>
      </c>
      <c r="K10" s="493">
        <f t="shared" si="34"/>
        <v>382216</v>
      </c>
      <c r="L10" s="493">
        <v>387197</v>
      </c>
      <c r="M10" s="493"/>
      <c r="N10" s="493"/>
      <c r="O10" s="315">
        <f t="shared" si="11"/>
        <v>387197</v>
      </c>
      <c r="P10" s="493">
        <v>395086</v>
      </c>
      <c r="Q10" s="493"/>
      <c r="R10" s="493"/>
      <c r="S10" s="315">
        <f t="shared" si="0"/>
        <v>395086</v>
      </c>
      <c r="T10" s="493"/>
      <c r="U10" s="493"/>
      <c r="V10" s="493"/>
      <c r="W10" s="493"/>
      <c r="X10" s="493">
        <v>143981</v>
      </c>
      <c r="Y10" s="493">
        <v>0</v>
      </c>
      <c r="Z10" s="493">
        <v>0</v>
      </c>
      <c r="AA10" s="493">
        <f t="shared" si="15"/>
        <v>143981</v>
      </c>
      <c r="AB10" s="888">
        <v>410842</v>
      </c>
      <c r="AC10" s="493"/>
      <c r="AD10" s="493"/>
      <c r="AE10" s="881">
        <f t="shared" si="28"/>
        <v>410842</v>
      </c>
      <c r="AF10" s="888">
        <v>464555</v>
      </c>
      <c r="AG10" s="888"/>
      <c r="AH10" s="888"/>
      <c r="AI10" s="889">
        <f t="shared" si="30"/>
        <v>464555</v>
      </c>
      <c r="AJ10" s="888">
        <v>221201</v>
      </c>
      <c r="AK10" s="493"/>
      <c r="AL10" s="493"/>
      <c r="AM10" s="881">
        <f t="shared" si="32"/>
        <v>221201</v>
      </c>
    </row>
    <row r="11" spans="1:39" s="491" customFormat="1" x14ac:dyDescent="0.25">
      <c r="A11" s="488"/>
      <c r="B11" s="492" t="s">
        <v>477</v>
      </c>
      <c r="C11" s="493"/>
      <c r="D11" s="493">
        <v>18581</v>
      </c>
      <c r="E11" s="493">
        <v>0</v>
      </c>
      <c r="F11" s="493">
        <v>0</v>
      </c>
      <c r="G11" s="493">
        <f t="shared" si="33"/>
        <v>18581</v>
      </c>
      <c r="H11" s="287">
        <v>20585</v>
      </c>
      <c r="I11" s="493">
        <v>0</v>
      </c>
      <c r="J11" s="493">
        <v>0</v>
      </c>
      <c r="K11" s="493">
        <f t="shared" si="34"/>
        <v>20585</v>
      </c>
      <c r="L11" s="493">
        <v>21590</v>
      </c>
      <c r="M11" s="493"/>
      <c r="N11" s="493"/>
      <c r="O11" s="315">
        <f t="shared" si="11"/>
        <v>21590</v>
      </c>
      <c r="P11" s="493">
        <v>18317</v>
      </c>
      <c r="Q11" s="493"/>
      <c r="R11" s="493"/>
      <c r="S11" s="315">
        <f t="shared" si="0"/>
        <v>18317</v>
      </c>
      <c r="T11" s="493"/>
      <c r="U11" s="493"/>
      <c r="V11" s="493"/>
      <c r="W11" s="493"/>
      <c r="X11" s="493">
        <v>8693</v>
      </c>
      <c r="Y11" s="493">
        <v>0</v>
      </c>
      <c r="Z11" s="493">
        <v>0</v>
      </c>
      <c r="AA11" s="493">
        <f t="shared" si="15"/>
        <v>8693</v>
      </c>
      <c r="AB11" s="493">
        <v>21389</v>
      </c>
      <c r="AC11" s="493"/>
      <c r="AD11" s="493"/>
      <c r="AE11" s="881">
        <f t="shared" si="28"/>
        <v>21389</v>
      </c>
      <c r="AF11" s="493">
        <v>24052</v>
      </c>
      <c r="AG11" s="493"/>
      <c r="AH11" s="493"/>
      <c r="AI11" s="881">
        <f t="shared" si="30"/>
        <v>24052</v>
      </c>
      <c r="AJ11" s="493">
        <v>12597</v>
      </c>
      <c r="AK11" s="493"/>
      <c r="AL11" s="493"/>
      <c r="AM11" s="881">
        <f t="shared" si="32"/>
        <v>12597</v>
      </c>
    </row>
    <row r="12" spans="1:39" x14ac:dyDescent="0.25">
      <c r="A12" s="488"/>
      <c r="B12" s="492" t="s">
        <v>478</v>
      </c>
      <c r="C12" s="494"/>
      <c r="D12" s="494">
        <v>0</v>
      </c>
      <c r="E12" s="494">
        <v>0</v>
      </c>
      <c r="F12" s="494">
        <v>0</v>
      </c>
      <c r="G12" s="493">
        <f t="shared" si="33"/>
        <v>0</v>
      </c>
      <c r="H12" s="368">
        <v>0</v>
      </c>
      <c r="I12" s="494">
        <v>0</v>
      </c>
      <c r="J12" s="494">
        <v>0</v>
      </c>
      <c r="K12" s="493">
        <f t="shared" si="34"/>
        <v>0</v>
      </c>
      <c r="L12" s="494"/>
      <c r="M12" s="494"/>
      <c r="N12" s="494"/>
      <c r="O12" s="315">
        <f t="shared" si="11"/>
        <v>0</v>
      </c>
      <c r="P12" s="494">
        <v>0</v>
      </c>
      <c r="Q12" s="494"/>
      <c r="R12" s="494"/>
      <c r="S12" s="315">
        <v>0</v>
      </c>
      <c r="T12" s="494"/>
      <c r="U12" s="494"/>
      <c r="V12" s="494"/>
      <c r="W12" s="494"/>
      <c r="X12" s="494">
        <v>0</v>
      </c>
      <c r="Y12" s="494">
        <v>0</v>
      </c>
      <c r="Z12" s="494">
        <v>0</v>
      </c>
      <c r="AA12" s="494">
        <f t="shared" si="15"/>
        <v>0</v>
      </c>
      <c r="AB12" s="494">
        <v>0</v>
      </c>
      <c r="AC12" s="494"/>
      <c r="AD12" s="494"/>
      <c r="AE12" s="881">
        <f t="shared" si="28"/>
        <v>0</v>
      </c>
      <c r="AF12" s="494">
        <v>0</v>
      </c>
      <c r="AG12" s="494"/>
      <c r="AH12" s="494"/>
      <c r="AI12" s="881">
        <f t="shared" si="30"/>
        <v>0</v>
      </c>
      <c r="AJ12" s="494">
        <v>0</v>
      </c>
      <c r="AK12" s="494"/>
      <c r="AL12" s="494"/>
      <c r="AM12" s="881">
        <f t="shared" si="32"/>
        <v>0</v>
      </c>
    </row>
    <row r="13" spans="1:39" ht="33" customHeight="1" x14ac:dyDescent="0.25">
      <c r="A13" s="488"/>
      <c r="B13" s="545" t="s">
        <v>1289</v>
      </c>
      <c r="C13" s="494"/>
      <c r="D13" s="723">
        <v>51765</v>
      </c>
      <c r="E13" s="723">
        <v>0</v>
      </c>
      <c r="F13" s="723">
        <v>0</v>
      </c>
      <c r="G13" s="723">
        <f t="shared" si="33"/>
        <v>51765</v>
      </c>
      <c r="H13" s="727">
        <v>64571</v>
      </c>
      <c r="I13" s="723">
        <v>0</v>
      </c>
      <c r="J13" s="723">
        <v>0</v>
      </c>
      <c r="K13" s="723">
        <f t="shared" si="34"/>
        <v>64571</v>
      </c>
      <c r="L13" s="723">
        <v>65740</v>
      </c>
      <c r="M13" s="723"/>
      <c r="N13" s="723"/>
      <c r="O13" s="315">
        <f t="shared" si="11"/>
        <v>65740</v>
      </c>
      <c r="P13" s="879">
        <v>48379</v>
      </c>
      <c r="Q13" s="879"/>
      <c r="R13" s="879"/>
      <c r="S13" s="315">
        <f>SUM(P13:R13)</f>
        <v>48379</v>
      </c>
      <c r="T13" s="879"/>
      <c r="U13" s="879"/>
      <c r="V13" s="879"/>
      <c r="W13" s="879"/>
      <c r="X13" s="879">
        <v>12806</v>
      </c>
      <c r="Y13" s="879">
        <v>0</v>
      </c>
      <c r="Z13" s="879">
        <v>0</v>
      </c>
      <c r="AA13" s="493">
        <f t="shared" si="15"/>
        <v>12806</v>
      </c>
      <c r="AB13" s="723">
        <v>75156</v>
      </c>
      <c r="AC13" s="879"/>
      <c r="AD13" s="879"/>
      <c r="AE13" s="881">
        <f t="shared" si="28"/>
        <v>75156</v>
      </c>
      <c r="AF13" s="723">
        <v>75156</v>
      </c>
      <c r="AG13" s="723"/>
      <c r="AH13" s="723"/>
      <c r="AI13" s="889">
        <f t="shared" si="30"/>
        <v>75156</v>
      </c>
      <c r="AJ13" s="723">
        <v>26777</v>
      </c>
      <c r="AK13" s="879"/>
      <c r="AL13" s="879"/>
      <c r="AM13" s="881">
        <f t="shared" si="32"/>
        <v>26777</v>
      </c>
    </row>
    <row r="14" spans="1:39" x14ac:dyDescent="0.25">
      <c r="A14" s="488"/>
      <c r="B14" s="492" t="s">
        <v>479</v>
      </c>
      <c r="C14" s="494"/>
      <c r="D14" s="494">
        <v>0</v>
      </c>
      <c r="E14" s="494">
        <v>0</v>
      </c>
      <c r="F14" s="494">
        <v>0</v>
      </c>
      <c r="G14" s="494"/>
      <c r="H14" s="368">
        <v>0</v>
      </c>
      <c r="I14" s="494">
        <v>0</v>
      </c>
      <c r="J14" s="494">
        <v>0</v>
      </c>
      <c r="K14" s="493">
        <f t="shared" si="34"/>
        <v>0</v>
      </c>
      <c r="L14" s="494"/>
      <c r="M14" s="494"/>
      <c r="N14" s="494"/>
      <c r="O14" s="315">
        <f t="shared" si="11"/>
        <v>0</v>
      </c>
      <c r="P14" s="494">
        <v>0</v>
      </c>
      <c r="Q14" s="494"/>
      <c r="R14" s="494"/>
      <c r="S14" s="315"/>
      <c r="T14" s="494"/>
      <c r="U14" s="494"/>
      <c r="V14" s="494"/>
      <c r="W14" s="494"/>
      <c r="X14" s="494">
        <v>0</v>
      </c>
      <c r="Y14" s="494">
        <v>0</v>
      </c>
      <c r="Z14" s="494">
        <v>0</v>
      </c>
      <c r="AA14" s="494">
        <f t="shared" si="15"/>
        <v>0</v>
      </c>
      <c r="AB14" s="494">
        <v>0</v>
      </c>
      <c r="AC14" s="494"/>
      <c r="AD14" s="494"/>
      <c r="AE14" s="315"/>
      <c r="AF14" s="494">
        <v>0</v>
      </c>
      <c r="AG14" s="494"/>
      <c r="AH14" s="494"/>
      <c r="AI14" s="881">
        <f t="shared" si="30"/>
        <v>0</v>
      </c>
      <c r="AJ14" s="494"/>
      <c r="AK14" s="494"/>
      <c r="AL14" s="494"/>
      <c r="AM14" s="881">
        <f t="shared" si="32"/>
        <v>0</v>
      </c>
    </row>
    <row r="15" spans="1:39" x14ac:dyDescent="0.25">
      <c r="A15" s="488"/>
      <c r="B15" s="489" t="s">
        <v>480</v>
      </c>
      <c r="C15" s="495">
        <v>0</v>
      </c>
      <c r="D15" s="495">
        <v>0</v>
      </c>
      <c r="E15" s="495">
        <v>0</v>
      </c>
      <c r="F15" s="495">
        <v>0</v>
      </c>
      <c r="G15" s="495">
        <f t="shared" si="7"/>
        <v>0</v>
      </c>
      <c r="H15" s="365">
        <v>4</v>
      </c>
      <c r="I15" s="495"/>
      <c r="J15" s="495"/>
      <c r="K15" s="495"/>
      <c r="L15" s="495">
        <v>3</v>
      </c>
      <c r="M15" s="495"/>
      <c r="N15" s="495"/>
      <c r="O15" s="495"/>
      <c r="P15" s="495"/>
      <c r="Q15" s="495"/>
      <c r="R15" s="495"/>
      <c r="S15" s="315">
        <f>SUM(P15:R15)</f>
        <v>0</v>
      </c>
      <c r="T15" s="495"/>
      <c r="U15" s="495"/>
      <c r="V15" s="495"/>
      <c r="W15" s="495"/>
      <c r="X15" s="495">
        <v>4</v>
      </c>
      <c r="Y15" s="495">
        <v>0</v>
      </c>
      <c r="Z15" s="495">
        <v>0</v>
      </c>
      <c r="AA15" s="495">
        <f t="shared" si="15"/>
        <v>4</v>
      </c>
      <c r="AB15" s="495"/>
      <c r="AC15" s="495"/>
      <c r="AD15" s="495"/>
      <c r="AE15" s="315">
        <v>0</v>
      </c>
      <c r="AF15" s="495"/>
      <c r="AG15" s="495"/>
      <c r="AH15" s="495"/>
      <c r="AI15" s="881">
        <f t="shared" si="30"/>
        <v>0</v>
      </c>
      <c r="AJ15" s="495"/>
      <c r="AK15" s="495"/>
      <c r="AL15" s="495"/>
      <c r="AM15" s="881">
        <f t="shared" si="32"/>
        <v>0</v>
      </c>
    </row>
    <row r="16" spans="1:39" ht="30" x14ac:dyDescent="0.25">
      <c r="A16" s="488"/>
      <c r="B16" s="489" t="s">
        <v>481</v>
      </c>
      <c r="C16" s="495">
        <v>0</v>
      </c>
      <c r="D16" s="495">
        <v>0</v>
      </c>
      <c r="E16" s="495">
        <v>0</v>
      </c>
      <c r="F16" s="495">
        <v>0</v>
      </c>
      <c r="G16" s="495">
        <f t="shared" si="7"/>
        <v>0</v>
      </c>
      <c r="H16" s="365">
        <v>0</v>
      </c>
      <c r="I16" s="495">
        <v>0</v>
      </c>
      <c r="J16" s="495">
        <v>0</v>
      </c>
      <c r="K16" s="495">
        <f t="shared" si="9"/>
        <v>0</v>
      </c>
      <c r="L16" s="495">
        <v>0</v>
      </c>
      <c r="M16" s="495">
        <v>0</v>
      </c>
      <c r="N16" s="495">
        <v>0</v>
      </c>
      <c r="O16" s="495">
        <f t="shared" si="11"/>
        <v>0</v>
      </c>
      <c r="P16" s="495"/>
      <c r="Q16" s="495">
        <v>0</v>
      </c>
      <c r="R16" s="495">
        <v>0</v>
      </c>
      <c r="S16" s="315"/>
      <c r="T16" s="495">
        <v>0</v>
      </c>
      <c r="U16" s="495">
        <v>0</v>
      </c>
      <c r="V16" s="495">
        <v>0</v>
      </c>
      <c r="W16" s="495">
        <f t="shared" si="13"/>
        <v>0</v>
      </c>
      <c r="X16" s="495">
        <v>0</v>
      </c>
      <c r="Y16" s="495">
        <v>0</v>
      </c>
      <c r="Z16" s="495">
        <v>0</v>
      </c>
      <c r="AA16" s="495">
        <f t="shared" si="15"/>
        <v>0</v>
      </c>
      <c r="AB16" s="495"/>
      <c r="AC16" s="495">
        <v>0</v>
      </c>
      <c r="AD16" s="495">
        <v>0</v>
      </c>
      <c r="AE16" s="315"/>
      <c r="AF16" s="495"/>
      <c r="AG16" s="495">
        <v>0</v>
      </c>
      <c r="AH16" s="495">
        <v>0</v>
      </c>
      <c r="AI16" s="315"/>
      <c r="AJ16" s="495"/>
      <c r="AK16" s="495">
        <v>0</v>
      </c>
      <c r="AL16" s="495">
        <v>0</v>
      </c>
      <c r="AM16" s="315"/>
    </row>
    <row r="17" spans="1:39" ht="30" x14ac:dyDescent="0.25">
      <c r="A17" s="488"/>
      <c r="B17" s="489" t="s">
        <v>482</v>
      </c>
      <c r="C17" s="495" t="e">
        <f>#REF!+#REF!+C24+C25</f>
        <v>#REF!</v>
      </c>
      <c r="D17" s="495">
        <f>SUM(D18:D25)</f>
        <v>98320</v>
      </c>
      <c r="E17" s="495">
        <f t="shared" ref="E17:F17" si="35">SUM(E18:E25)</f>
        <v>0</v>
      </c>
      <c r="F17" s="495">
        <f t="shared" si="35"/>
        <v>0</v>
      </c>
      <c r="G17" s="495">
        <f t="shared" si="7"/>
        <v>98320</v>
      </c>
      <c r="H17" s="365">
        <f>SUM(H18:H25)</f>
        <v>238052</v>
      </c>
      <c r="I17" s="365">
        <f t="shared" ref="I17:J17" si="36">SUM(I18:I25)</f>
        <v>0</v>
      </c>
      <c r="J17" s="365">
        <f t="shared" si="36"/>
        <v>0</v>
      </c>
      <c r="K17" s="495">
        <f t="shared" si="9"/>
        <v>238052</v>
      </c>
      <c r="L17" s="495">
        <f>SUM(L18:L25)</f>
        <v>243114</v>
      </c>
      <c r="M17" s="495">
        <f t="shared" ref="M17:N17" si="37">SUM(M18:M25)</f>
        <v>0</v>
      </c>
      <c r="N17" s="495">
        <f t="shared" si="37"/>
        <v>0</v>
      </c>
      <c r="O17" s="495">
        <f>SUM(L17:N17)</f>
        <v>243114</v>
      </c>
      <c r="P17" s="800">
        <f>+P18+P19+P20+P21+P22+P23+P24+P25</f>
        <v>85500</v>
      </c>
      <c r="Q17" s="800">
        <f>+Q18+Q19+Q20+Q21+Q22+Q23+Q24+Q25</f>
        <v>0</v>
      </c>
      <c r="R17" s="800">
        <f>+R18+R19+R20+R21+R22+R23+R24+R25</f>
        <v>0</v>
      </c>
      <c r="S17" s="802">
        <f t="shared" ref="S17:S25" si="38">SUM(P17:R17)</f>
        <v>85500</v>
      </c>
      <c r="T17" s="495" t="e">
        <f>#REF!+#REF!+T24+T25</f>
        <v>#REF!</v>
      </c>
      <c r="U17" s="495" t="e">
        <f>#REF!+#REF!+U24+U25</f>
        <v>#REF!</v>
      </c>
      <c r="V17" s="495" t="e">
        <f>#REF!+#REF!+V24+V25</f>
        <v>#REF!</v>
      </c>
      <c r="W17" s="495" t="e">
        <f t="shared" si="13"/>
        <v>#REF!</v>
      </c>
      <c r="X17" s="495" t="e">
        <f>#REF!+#REF!+X24+X25</f>
        <v>#REF!</v>
      </c>
      <c r="Y17" s="495" t="e">
        <f>#REF!+#REF!+Y24+Y25</f>
        <v>#REF!</v>
      </c>
      <c r="Z17" s="495" t="e">
        <f>#REF!+#REF!+Z24+Z25</f>
        <v>#REF!</v>
      </c>
      <c r="AA17" s="495" t="e">
        <f t="shared" si="15"/>
        <v>#REF!</v>
      </c>
      <c r="AB17" s="800">
        <f>+AB18+AB19+AB20+AB21+AB22+AB23+AB24+AB25</f>
        <v>189758</v>
      </c>
      <c r="AC17" s="800">
        <f t="shared" ref="AC17:AD17" si="39">+AC18+AC19+AC20+AC21+AC22+AC23+AC24+AC25</f>
        <v>0</v>
      </c>
      <c r="AD17" s="800">
        <f t="shared" si="39"/>
        <v>0</v>
      </c>
      <c r="AE17" s="802">
        <f>SUM(AB17:AD17)</f>
        <v>189758</v>
      </c>
      <c r="AF17" s="800">
        <f>+AF18+AF19+AF20+AF21+AF22+AF23+AF24+AF25</f>
        <v>202215</v>
      </c>
      <c r="AG17" s="800">
        <f t="shared" ref="AG17:AH17" si="40">+AG18+AG19+AG20+AG21+AG22+AG23+AG24+AG25</f>
        <v>0</v>
      </c>
      <c r="AH17" s="800">
        <f t="shared" si="40"/>
        <v>0</v>
      </c>
      <c r="AI17" s="802">
        <f>SUM(AF17:AH17)</f>
        <v>202215</v>
      </c>
      <c r="AJ17" s="800">
        <f>+AJ18+AJ19+AJ20+AJ21+AJ22+AJ23+AJ24+AJ25</f>
        <v>76373</v>
      </c>
      <c r="AK17" s="800">
        <f t="shared" ref="AK17:AL17" si="41">+AK18+AK19+AK20+AK21+AK22+AK23+AK24+AK25</f>
        <v>0</v>
      </c>
      <c r="AL17" s="800">
        <f t="shared" si="41"/>
        <v>0</v>
      </c>
      <c r="AM17" s="802">
        <f>SUM(AJ17:AL17)</f>
        <v>76373</v>
      </c>
    </row>
    <row r="18" spans="1:39" x14ac:dyDescent="0.25">
      <c r="A18" s="488"/>
      <c r="B18" s="545" t="s">
        <v>1409</v>
      </c>
      <c r="C18" s="494"/>
      <c r="D18" s="494"/>
      <c r="E18" s="494"/>
      <c r="F18" s="494"/>
      <c r="G18" s="494"/>
      <c r="H18" s="368"/>
      <c r="I18" s="494"/>
      <c r="J18" s="494"/>
      <c r="K18" s="494"/>
      <c r="L18" s="494"/>
      <c r="M18" s="494"/>
      <c r="N18" s="494"/>
      <c r="O18" s="494"/>
      <c r="P18" s="494"/>
      <c r="Q18" s="494"/>
      <c r="R18" s="494"/>
      <c r="S18" s="315">
        <f t="shared" si="38"/>
        <v>0</v>
      </c>
      <c r="T18" s="494"/>
      <c r="U18" s="494"/>
      <c r="V18" s="494"/>
      <c r="W18" s="494"/>
      <c r="X18" s="494"/>
      <c r="Y18" s="494"/>
      <c r="Z18" s="494"/>
      <c r="AA18" s="494"/>
      <c r="AB18" s="494"/>
      <c r="AC18" s="494"/>
      <c r="AD18" s="494"/>
      <c r="AE18" s="315">
        <v>0</v>
      </c>
      <c r="AF18" s="494"/>
      <c r="AG18" s="494"/>
      <c r="AH18" s="494"/>
      <c r="AI18" s="315">
        <v>0</v>
      </c>
      <c r="AJ18" s="494"/>
      <c r="AK18" s="494"/>
      <c r="AL18" s="494"/>
      <c r="AM18" s="315">
        <v>0</v>
      </c>
    </row>
    <row r="19" spans="1:39" ht="30" x14ac:dyDescent="0.25">
      <c r="A19" s="488"/>
      <c r="B19" s="799" t="s">
        <v>1407</v>
      </c>
      <c r="C19" s="494"/>
      <c r="D19" s="494"/>
      <c r="E19" s="494"/>
      <c r="F19" s="494"/>
      <c r="G19" s="494"/>
      <c r="H19" s="368"/>
      <c r="I19" s="494"/>
      <c r="J19" s="494"/>
      <c r="K19" s="494"/>
      <c r="L19" s="494"/>
      <c r="M19" s="494"/>
      <c r="N19" s="494"/>
      <c r="O19" s="494"/>
      <c r="P19" s="494"/>
      <c r="Q19" s="494"/>
      <c r="R19" s="494"/>
      <c r="S19" s="315">
        <f t="shared" si="38"/>
        <v>0</v>
      </c>
      <c r="T19" s="494"/>
      <c r="U19" s="494"/>
      <c r="V19" s="494"/>
      <c r="W19" s="494"/>
      <c r="X19" s="494"/>
      <c r="Y19" s="494"/>
      <c r="Z19" s="494"/>
      <c r="AA19" s="494"/>
      <c r="AB19" s="494"/>
      <c r="AC19" s="494"/>
      <c r="AD19" s="494"/>
      <c r="AE19" s="315">
        <v>0</v>
      </c>
      <c r="AF19" s="494"/>
      <c r="AG19" s="494"/>
      <c r="AH19" s="494"/>
      <c r="AI19" s="315">
        <v>0</v>
      </c>
      <c r="AJ19" s="494"/>
      <c r="AK19" s="494"/>
      <c r="AL19" s="494"/>
      <c r="AM19" s="315">
        <v>0</v>
      </c>
    </row>
    <row r="20" spans="1:39" ht="30" x14ac:dyDescent="0.25">
      <c r="A20" s="488"/>
      <c r="B20" s="799" t="s">
        <v>1408</v>
      </c>
      <c r="C20" s="494"/>
      <c r="D20" s="494"/>
      <c r="E20" s="494"/>
      <c r="F20" s="494"/>
      <c r="G20" s="494"/>
      <c r="H20" s="368"/>
      <c r="I20" s="494"/>
      <c r="J20" s="494"/>
      <c r="K20" s="494"/>
      <c r="L20" s="494"/>
      <c r="M20" s="494"/>
      <c r="N20" s="494"/>
      <c r="O20" s="494"/>
      <c r="P20" s="494"/>
      <c r="Q20" s="494"/>
      <c r="R20" s="494"/>
      <c r="S20" s="315">
        <f t="shared" si="38"/>
        <v>0</v>
      </c>
      <c r="T20" s="494"/>
      <c r="U20" s="494"/>
      <c r="V20" s="494"/>
      <c r="W20" s="494"/>
      <c r="X20" s="494"/>
      <c r="Y20" s="494"/>
      <c r="Z20" s="494"/>
      <c r="AA20" s="494"/>
      <c r="AB20" s="494"/>
      <c r="AC20" s="494"/>
      <c r="AD20" s="494"/>
      <c r="AE20" s="315">
        <v>0</v>
      </c>
      <c r="AF20" s="494"/>
      <c r="AG20" s="494"/>
      <c r="AH20" s="494"/>
      <c r="AI20" s="315">
        <v>0</v>
      </c>
      <c r="AJ20" s="494"/>
      <c r="AK20" s="494"/>
      <c r="AL20" s="494"/>
      <c r="AM20" s="315">
        <v>0</v>
      </c>
    </row>
    <row r="21" spans="1:39" ht="30" x14ac:dyDescent="0.25">
      <c r="A21" s="488"/>
      <c r="B21" s="545" t="s">
        <v>1410</v>
      </c>
      <c r="C21" s="494"/>
      <c r="D21" s="494">
        <v>5500</v>
      </c>
      <c r="E21" s="494">
        <v>0</v>
      </c>
      <c r="F21" s="494">
        <v>0</v>
      </c>
      <c r="G21" s="494">
        <f t="shared" ref="G21:G25" si="42">SUM(D21:F21)</f>
        <v>5500</v>
      </c>
      <c r="H21" s="368">
        <v>5500</v>
      </c>
      <c r="I21" s="494">
        <v>0</v>
      </c>
      <c r="J21" s="494">
        <v>0</v>
      </c>
      <c r="K21" s="494">
        <f t="shared" ref="K21:K25" si="43">SUM(H21:J21)</f>
        <v>5500</v>
      </c>
      <c r="L21" s="494">
        <v>5500</v>
      </c>
      <c r="M21" s="494"/>
      <c r="N21" s="494"/>
      <c r="O21" s="494"/>
      <c r="P21" s="888">
        <v>7000</v>
      </c>
      <c r="Q21" s="888"/>
      <c r="R21" s="888"/>
      <c r="S21" s="890">
        <f t="shared" si="38"/>
        <v>7000</v>
      </c>
      <c r="T21" s="888"/>
      <c r="U21" s="888"/>
      <c r="V21" s="888"/>
      <c r="W21" s="888"/>
      <c r="X21" s="888">
        <v>45425</v>
      </c>
      <c r="Y21" s="888">
        <v>0</v>
      </c>
      <c r="Z21" s="888">
        <v>0</v>
      </c>
      <c r="AA21" s="888">
        <f t="shared" si="15"/>
        <v>45425</v>
      </c>
      <c r="AB21" s="888">
        <v>7000</v>
      </c>
      <c r="AC21" s="888"/>
      <c r="AD21" s="888"/>
      <c r="AE21" s="890">
        <f>SUM(AB21:AD21)</f>
        <v>7000</v>
      </c>
      <c r="AF21" s="494">
        <v>7000</v>
      </c>
      <c r="AG21" s="494"/>
      <c r="AH21" s="494"/>
      <c r="AI21" s="315">
        <f>SUM(AF21:AH21)</f>
        <v>7000</v>
      </c>
      <c r="AJ21" s="494">
        <v>3877</v>
      </c>
      <c r="AK21" s="494"/>
      <c r="AL21" s="494"/>
      <c r="AM21" s="315">
        <f>SUM(AJ21:AL21)</f>
        <v>3877</v>
      </c>
    </row>
    <row r="22" spans="1:39" ht="30" x14ac:dyDescent="0.25">
      <c r="A22" s="488"/>
      <c r="B22" s="492" t="s">
        <v>483</v>
      </c>
      <c r="C22" s="494"/>
      <c r="D22" s="494">
        <v>60000</v>
      </c>
      <c r="E22" s="494"/>
      <c r="F22" s="494"/>
      <c r="G22" s="494">
        <f t="shared" si="42"/>
        <v>60000</v>
      </c>
      <c r="H22" s="368">
        <v>60000</v>
      </c>
      <c r="I22" s="494"/>
      <c r="J22" s="494"/>
      <c r="K22" s="494"/>
      <c r="L22" s="494">
        <v>64000</v>
      </c>
      <c r="M22" s="494"/>
      <c r="N22" s="494"/>
      <c r="O22" s="494"/>
      <c r="P22" s="888">
        <v>58500</v>
      </c>
      <c r="Q22" s="888"/>
      <c r="R22" s="888"/>
      <c r="S22" s="890">
        <f t="shared" si="38"/>
        <v>58500</v>
      </c>
      <c r="T22" s="888"/>
      <c r="U22" s="888"/>
      <c r="V22" s="888"/>
      <c r="W22" s="888"/>
      <c r="X22" s="888"/>
      <c r="Y22" s="888"/>
      <c r="Z22" s="888"/>
      <c r="AA22" s="888"/>
      <c r="AB22" s="888">
        <v>58500</v>
      </c>
      <c r="AC22" s="888"/>
      <c r="AD22" s="888"/>
      <c r="AE22" s="890">
        <f t="shared" ref="AE22:AE25" si="44">SUM(AB22:AD22)</f>
        <v>58500</v>
      </c>
      <c r="AF22" s="888">
        <v>58500</v>
      </c>
      <c r="AG22" s="888"/>
      <c r="AH22" s="888"/>
      <c r="AI22" s="890">
        <f t="shared" ref="AI22:AI25" si="45">SUM(AF22:AH22)</f>
        <v>58500</v>
      </c>
      <c r="AJ22" s="888">
        <v>32214</v>
      </c>
      <c r="AK22" s="888"/>
      <c r="AL22" s="888"/>
      <c r="AM22" s="890">
        <f t="shared" ref="AM22:AM25" si="46">SUM(AJ22:AL22)</f>
        <v>32214</v>
      </c>
    </row>
    <row r="23" spans="1:39" ht="30" x14ac:dyDescent="0.25">
      <c r="A23" s="488"/>
      <c r="B23" s="799" t="s">
        <v>1411</v>
      </c>
      <c r="C23" s="494"/>
      <c r="D23" s="494"/>
      <c r="E23" s="494"/>
      <c r="F23" s="494"/>
      <c r="G23" s="494"/>
      <c r="H23" s="368">
        <v>139732</v>
      </c>
      <c r="I23" s="494"/>
      <c r="J23" s="494"/>
      <c r="K23" s="494"/>
      <c r="L23" s="494">
        <v>140794</v>
      </c>
      <c r="M23" s="494"/>
      <c r="N23" s="494"/>
      <c r="O23" s="494"/>
      <c r="P23" s="888"/>
      <c r="Q23" s="888"/>
      <c r="R23" s="888"/>
      <c r="S23" s="890">
        <f t="shared" si="38"/>
        <v>0</v>
      </c>
      <c r="T23" s="888"/>
      <c r="U23" s="888"/>
      <c r="V23" s="888"/>
      <c r="W23" s="888"/>
      <c r="X23" s="888"/>
      <c r="Y23" s="888"/>
      <c r="Z23" s="888"/>
      <c r="AA23" s="888"/>
      <c r="AB23" s="888">
        <v>104258</v>
      </c>
      <c r="AC23" s="888"/>
      <c r="AD23" s="888"/>
      <c r="AE23" s="890">
        <f t="shared" si="44"/>
        <v>104258</v>
      </c>
      <c r="AF23" s="494">
        <v>116715</v>
      </c>
      <c r="AG23" s="494"/>
      <c r="AH23" s="494"/>
      <c r="AI23" s="315">
        <f t="shared" si="45"/>
        <v>116715</v>
      </c>
      <c r="AJ23" s="494">
        <v>40282</v>
      </c>
      <c r="AK23" s="494"/>
      <c r="AL23" s="494"/>
      <c r="AM23" s="315">
        <f t="shared" si="46"/>
        <v>40282</v>
      </c>
    </row>
    <row r="24" spans="1:39" ht="15" hidden="1" customHeight="1" x14ac:dyDescent="0.25">
      <c r="A24" s="488"/>
      <c r="B24" s="545" t="s">
        <v>1282</v>
      </c>
      <c r="C24" s="494"/>
      <c r="D24" s="494">
        <v>7820</v>
      </c>
      <c r="E24" s="494">
        <v>0</v>
      </c>
      <c r="F24" s="494">
        <v>0</v>
      </c>
      <c r="G24" s="494">
        <f t="shared" si="42"/>
        <v>7820</v>
      </c>
      <c r="H24" s="368">
        <v>7820</v>
      </c>
      <c r="I24" s="494">
        <v>0</v>
      </c>
      <c r="J24" s="494">
        <v>0</v>
      </c>
      <c r="K24" s="494">
        <f t="shared" si="43"/>
        <v>7820</v>
      </c>
      <c r="L24" s="494">
        <v>7820</v>
      </c>
      <c r="M24" s="494"/>
      <c r="N24" s="494"/>
      <c r="O24" s="494">
        <f t="shared" ref="O24:O25" si="47">SUM(L24:N24)</f>
        <v>7820</v>
      </c>
      <c r="P24" s="888">
        <v>0</v>
      </c>
      <c r="Q24" s="888"/>
      <c r="R24" s="888"/>
      <c r="S24" s="890">
        <f t="shared" si="38"/>
        <v>0</v>
      </c>
      <c r="T24" s="888"/>
      <c r="U24" s="888"/>
      <c r="V24" s="888"/>
      <c r="W24" s="888"/>
      <c r="X24" s="888">
        <v>1500</v>
      </c>
      <c r="Y24" s="888">
        <v>0</v>
      </c>
      <c r="Z24" s="888">
        <v>0</v>
      </c>
      <c r="AA24" s="888">
        <f t="shared" si="15"/>
        <v>1500</v>
      </c>
      <c r="AB24" s="888">
        <v>0</v>
      </c>
      <c r="AC24" s="888"/>
      <c r="AD24" s="888"/>
      <c r="AE24" s="890">
        <f t="shared" si="44"/>
        <v>0</v>
      </c>
      <c r="AF24" s="494"/>
      <c r="AG24" s="494"/>
      <c r="AH24" s="494"/>
      <c r="AI24" s="315">
        <f t="shared" si="45"/>
        <v>0</v>
      </c>
      <c r="AJ24" s="494"/>
      <c r="AK24" s="494"/>
      <c r="AL24" s="494"/>
      <c r="AM24" s="315">
        <f t="shared" si="46"/>
        <v>0</v>
      </c>
    </row>
    <row r="25" spans="1:39" ht="30" x14ac:dyDescent="0.25">
      <c r="A25" s="488"/>
      <c r="B25" s="545" t="s">
        <v>1283</v>
      </c>
      <c r="C25" s="494"/>
      <c r="D25" s="494">
        <v>25000</v>
      </c>
      <c r="E25" s="494">
        <v>0</v>
      </c>
      <c r="F25" s="494">
        <v>0</v>
      </c>
      <c r="G25" s="494">
        <f t="shared" si="42"/>
        <v>25000</v>
      </c>
      <c r="H25" s="368">
        <v>25000</v>
      </c>
      <c r="I25" s="494">
        <v>0</v>
      </c>
      <c r="J25" s="494">
        <v>0</v>
      </c>
      <c r="K25" s="494">
        <f t="shared" si="43"/>
        <v>25000</v>
      </c>
      <c r="L25" s="494">
        <v>25000</v>
      </c>
      <c r="M25" s="494"/>
      <c r="N25" s="494"/>
      <c r="O25" s="494">
        <f t="shared" si="47"/>
        <v>25000</v>
      </c>
      <c r="P25" s="888">
        <v>20000</v>
      </c>
      <c r="Q25" s="888"/>
      <c r="R25" s="888"/>
      <c r="S25" s="890">
        <f t="shared" si="38"/>
        <v>20000</v>
      </c>
      <c r="T25" s="888"/>
      <c r="U25" s="888"/>
      <c r="V25" s="888"/>
      <c r="W25" s="888"/>
      <c r="X25" s="888">
        <v>0</v>
      </c>
      <c r="Y25" s="888">
        <v>0</v>
      </c>
      <c r="Z25" s="888">
        <v>0</v>
      </c>
      <c r="AA25" s="888">
        <f t="shared" si="15"/>
        <v>0</v>
      </c>
      <c r="AB25" s="888">
        <v>20000</v>
      </c>
      <c r="AC25" s="888"/>
      <c r="AD25" s="888"/>
      <c r="AE25" s="890">
        <f t="shared" si="44"/>
        <v>20000</v>
      </c>
      <c r="AF25" s="494">
        <v>20000</v>
      </c>
      <c r="AG25" s="494"/>
      <c r="AH25" s="494"/>
      <c r="AI25" s="315">
        <f t="shared" si="45"/>
        <v>20000</v>
      </c>
      <c r="AJ25" s="494"/>
      <c r="AK25" s="494"/>
      <c r="AL25" s="494"/>
      <c r="AM25" s="315">
        <f t="shared" si="46"/>
        <v>0</v>
      </c>
    </row>
    <row r="26" spans="1:39" x14ac:dyDescent="0.25">
      <c r="A26" s="485" t="s">
        <v>322</v>
      </c>
      <c r="B26" s="486" t="s">
        <v>484</v>
      </c>
      <c r="C26" s="487">
        <f>C27+C31+C34+C38</f>
        <v>0</v>
      </c>
      <c r="D26" s="487">
        <f>D27+D31+D34+D38</f>
        <v>738450</v>
      </c>
      <c r="E26" s="487">
        <f>E27+E31+E34+E38</f>
        <v>0</v>
      </c>
      <c r="F26" s="487">
        <f>F27+F31+F34+F38</f>
        <v>0</v>
      </c>
      <c r="G26" s="487">
        <f t="shared" si="7"/>
        <v>738450</v>
      </c>
      <c r="H26" s="728">
        <f>H27+H31+H34+H38</f>
        <v>738450</v>
      </c>
      <c r="I26" s="487">
        <f>I27+I31+I34+I38</f>
        <v>0</v>
      </c>
      <c r="J26" s="487">
        <f>J27+J31+J34+J38</f>
        <v>0</v>
      </c>
      <c r="K26" s="487">
        <f t="shared" si="9"/>
        <v>738450</v>
      </c>
      <c r="L26" s="487">
        <f>L27+L31+L34+L38</f>
        <v>738800</v>
      </c>
      <c r="M26" s="487">
        <f>M27+M31+M34+M38</f>
        <v>0</v>
      </c>
      <c r="N26" s="487">
        <f>N27+N31+N34+N38</f>
        <v>0</v>
      </c>
      <c r="O26" s="487">
        <f t="shared" si="11"/>
        <v>738800</v>
      </c>
      <c r="P26" s="487">
        <f>+P27+P31+P34+P38</f>
        <v>891100</v>
      </c>
      <c r="Q26" s="487">
        <f>Q27+Q31+Q34+Q38</f>
        <v>13850</v>
      </c>
      <c r="R26" s="487">
        <f>R27+R31+R34+R38</f>
        <v>0</v>
      </c>
      <c r="S26" s="487">
        <f>SUM(P26:R26)</f>
        <v>904950</v>
      </c>
      <c r="T26" s="487">
        <f>T27+T31+T34+T38</f>
        <v>0</v>
      </c>
      <c r="U26" s="487">
        <f>U27+U31+U34+U38</f>
        <v>0</v>
      </c>
      <c r="V26" s="487">
        <f>V27+V31+V34+V38</f>
        <v>0</v>
      </c>
      <c r="W26" s="487">
        <f t="shared" si="13"/>
        <v>0</v>
      </c>
      <c r="X26" s="487">
        <f>X27+X31+X34+X38</f>
        <v>332141</v>
      </c>
      <c r="Y26" s="487">
        <f>Y27+Y31+Y34+Y38</f>
        <v>0</v>
      </c>
      <c r="Z26" s="487">
        <f>Z27+Z31+Z34+Z38</f>
        <v>0</v>
      </c>
      <c r="AA26" s="487">
        <f t="shared" si="15"/>
        <v>332141</v>
      </c>
      <c r="AB26" s="487">
        <v>891100</v>
      </c>
      <c r="AC26" s="487">
        <v>13850</v>
      </c>
      <c r="AD26" s="487">
        <v>0</v>
      </c>
      <c r="AE26" s="487">
        <v>904950</v>
      </c>
      <c r="AF26" s="487">
        <f>+AF27+AF31+AF34+AF38</f>
        <v>866273</v>
      </c>
      <c r="AG26" s="487">
        <f>+AG27+AG31+AG34+AG38</f>
        <v>46601</v>
      </c>
      <c r="AH26" s="487">
        <f>+AH27+AH31+AH34+AH38</f>
        <v>0</v>
      </c>
      <c r="AI26" s="487">
        <f>+AI27+AI31+AI34+AI38</f>
        <v>912874</v>
      </c>
      <c r="AJ26" s="487">
        <f t="shared" ref="AJ26:AL26" si="48">+AJ27+AJ31+AJ34+AJ38</f>
        <v>483047</v>
      </c>
      <c r="AK26" s="487">
        <f t="shared" si="48"/>
        <v>0</v>
      </c>
      <c r="AL26" s="487">
        <f t="shared" si="48"/>
        <v>0</v>
      </c>
      <c r="AM26" s="487">
        <f>+AM27+AM31+AM34+AM38</f>
        <v>483047</v>
      </c>
    </row>
    <row r="27" spans="1:39" x14ac:dyDescent="0.25">
      <c r="A27" s="496"/>
      <c r="B27" s="489" t="s">
        <v>485</v>
      </c>
      <c r="C27" s="495">
        <f t="shared" ref="C27" si="49">SUM(C28:C30)</f>
        <v>0</v>
      </c>
      <c r="D27" s="495">
        <f t="shared" ref="D27:E27" si="50">SUM(D28:D30)</f>
        <v>44000</v>
      </c>
      <c r="E27" s="495">
        <f t="shared" si="50"/>
        <v>0</v>
      </c>
      <c r="F27" s="495">
        <f t="shared" ref="F27" si="51">SUM(F28:F30)</f>
        <v>0</v>
      </c>
      <c r="G27" s="495">
        <f t="shared" si="7"/>
        <v>44000</v>
      </c>
      <c r="H27" s="365">
        <f t="shared" ref="H27:J27" si="52">SUM(H28:H30)</f>
        <v>44000</v>
      </c>
      <c r="I27" s="495">
        <f t="shared" si="52"/>
        <v>0</v>
      </c>
      <c r="J27" s="495">
        <f t="shared" si="52"/>
        <v>0</v>
      </c>
      <c r="K27" s="495">
        <f t="shared" si="9"/>
        <v>44000</v>
      </c>
      <c r="L27" s="495">
        <f t="shared" ref="L27:N27" si="53">SUM(L28:L30)</f>
        <v>44000</v>
      </c>
      <c r="M27" s="495">
        <f t="shared" si="53"/>
        <v>0</v>
      </c>
      <c r="N27" s="495">
        <f t="shared" si="53"/>
        <v>0</v>
      </c>
      <c r="O27" s="495">
        <f t="shared" si="11"/>
        <v>44000</v>
      </c>
      <c r="P27" s="495">
        <f>+P28+P29+P30</f>
        <v>48000</v>
      </c>
      <c r="Q27" s="495">
        <f t="shared" ref="Q27:R27" si="54">SUM(Q28:Q30)</f>
        <v>0</v>
      </c>
      <c r="R27" s="495">
        <f t="shared" si="54"/>
        <v>0</v>
      </c>
      <c r="S27" s="495">
        <f t="shared" ref="S27:S34" si="55">+P27</f>
        <v>48000</v>
      </c>
      <c r="T27" s="495">
        <f t="shared" ref="T27:V27" si="56">SUM(T28:T30)</f>
        <v>0</v>
      </c>
      <c r="U27" s="495">
        <f t="shared" si="56"/>
        <v>0</v>
      </c>
      <c r="V27" s="495">
        <f t="shared" si="56"/>
        <v>0</v>
      </c>
      <c r="W27" s="495">
        <f t="shared" si="13"/>
        <v>0</v>
      </c>
      <c r="X27" s="495">
        <f t="shared" ref="X27:Z27" si="57">SUM(X28:X30)</f>
        <v>18668</v>
      </c>
      <c r="Y27" s="495">
        <f t="shared" si="57"/>
        <v>0</v>
      </c>
      <c r="Z27" s="495">
        <f t="shared" si="57"/>
        <v>0</v>
      </c>
      <c r="AA27" s="495">
        <f t="shared" si="15"/>
        <v>18668</v>
      </c>
      <c r="AB27" s="495">
        <v>48000</v>
      </c>
      <c r="AC27" s="495">
        <v>0</v>
      </c>
      <c r="AD27" s="495">
        <v>0</v>
      </c>
      <c r="AE27" s="495">
        <v>48000</v>
      </c>
      <c r="AF27" s="495">
        <f>SUM(AF28:AF30)</f>
        <v>48000</v>
      </c>
      <c r="AG27" s="495"/>
      <c r="AH27" s="495"/>
      <c r="AI27" s="495">
        <f>SUM(AF27:AH27)</f>
        <v>48000</v>
      </c>
      <c r="AJ27" s="495">
        <f>SUM(AJ28:AJ30)</f>
        <v>20538</v>
      </c>
      <c r="AK27" s="495"/>
      <c r="AL27" s="495"/>
      <c r="AM27" s="495">
        <f>SUM(AM28:AM30)</f>
        <v>20538</v>
      </c>
    </row>
    <row r="28" spans="1:39" x14ac:dyDescent="0.25">
      <c r="A28" s="488"/>
      <c r="B28" s="492" t="s">
        <v>486</v>
      </c>
      <c r="C28" s="494"/>
      <c r="D28" s="494">
        <v>32000</v>
      </c>
      <c r="E28" s="494"/>
      <c r="F28" s="494"/>
      <c r="G28" s="494">
        <f>SUM(D28:F28)</f>
        <v>32000</v>
      </c>
      <c r="H28" s="368">
        <v>32000</v>
      </c>
      <c r="I28" s="494"/>
      <c r="J28" s="494"/>
      <c r="K28" s="494">
        <f>SUM(H28:J28)</f>
        <v>32000</v>
      </c>
      <c r="L28" s="494">
        <v>32000</v>
      </c>
      <c r="M28" s="494"/>
      <c r="N28" s="494"/>
      <c r="O28" s="494">
        <f>SUM(L28:N28)</f>
        <v>32000</v>
      </c>
      <c r="P28" s="494">
        <v>34000</v>
      </c>
      <c r="Q28" s="494"/>
      <c r="R28" s="494"/>
      <c r="S28" s="288">
        <f t="shared" si="55"/>
        <v>34000</v>
      </c>
      <c r="T28" s="494"/>
      <c r="U28" s="494"/>
      <c r="V28" s="494"/>
      <c r="W28" s="494"/>
      <c r="X28" s="494">
        <v>15427</v>
      </c>
      <c r="Y28" s="494">
        <v>0</v>
      </c>
      <c r="Z28" s="494">
        <v>0</v>
      </c>
      <c r="AA28" s="494">
        <f t="shared" si="15"/>
        <v>15427</v>
      </c>
      <c r="AB28" s="494">
        <v>34000</v>
      </c>
      <c r="AC28" s="494"/>
      <c r="AD28" s="494"/>
      <c r="AE28" s="288">
        <v>34000</v>
      </c>
      <c r="AF28" s="494">
        <v>34000</v>
      </c>
      <c r="AG28" s="494"/>
      <c r="AH28" s="494"/>
      <c r="AI28" s="288">
        <f t="shared" ref="AI28:AI42" si="58">SUM(AF28:AH28)</f>
        <v>34000</v>
      </c>
      <c r="AJ28" s="494">
        <v>17315</v>
      </c>
      <c r="AK28" s="494"/>
      <c r="AL28" s="494"/>
      <c r="AM28" s="495">
        <f t="shared" ref="AM28:AM42" si="59">SUM(AJ28:AL28)</f>
        <v>17315</v>
      </c>
    </row>
    <row r="29" spans="1:39" x14ac:dyDescent="0.25">
      <c r="A29" s="488"/>
      <c r="B29" s="545" t="s">
        <v>1281</v>
      </c>
      <c r="C29" s="494"/>
      <c r="D29" s="494">
        <v>2000</v>
      </c>
      <c r="E29" s="494"/>
      <c r="F29" s="494"/>
      <c r="G29" s="494">
        <f t="shared" ref="G29:G30" si="60">SUM(D29:F29)</f>
        <v>2000</v>
      </c>
      <c r="H29" s="368">
        <v>2000</v>
      </c>
      <c r="I29" s="494"/>
      <c r="J29" s="494"/>
      <c r="K29" s="494">
        <f t="shared" ref="K29:K30" si="61">SUM(H29:J29)</f>
        <v>2000</v>
      </c>
      <c r="L29" s="494">
        <v>2000</v>
      </c>
      <c r="M29" s="494"/>
      <c r="N29" s="494"/>
      <c r="O29" s="494">
        <f t="shared" ref="O29:O30" si="62">SUM(L29:N29)</f>
        <v>2000</v>
      </c>
      <c r="P29" s="494">
        <v>2000</v>
      </c>
      <c r="Q29" s="494"/>
      <c r="R29" s="494"/>
      <c r="S29" s="288">
        <f t="shared" si="55"/>
        <v>2000</v>
      </c>
      <c r="T29" s="494"/>
      <c r="U29" s="494"/>
      <c r="V29" s="494"/>
      <c r="W29" s="494"/>
      <c r="X29" s="494">
        <v>1291</v>
      </c>
      <c r="Y29" s="494"/>
      <c r="Z29" s="494"/>
      <c r="AA29" s="494"/>
      <c r="AB29" s="494">
        <v>2000</v>
      </c>
      <c r="AC29" s="494"/>
      <c r="AD29" s="494"/>
      <c r="AE29" s="288">
        <v>2000</v>
      </c>
      <c r="AF29" s="494">
        <v>2000</v>
      </c>
      <c r="AG29" s="494"/>
      <c r="AH29" s="494"/>
      <c r="AI29" s="288">
        <f t="shared" si="58"/>
        <v>2000</v>
      </c>
      <c r="AJ29" s="494">
        <v>843</v>
      </c>
      <c r="AK29" s="494"/>
      <c r="AL29" s="494"/>
      <c r="AM29" s="495">
        <f t="shared" si="59"/>
        <v>843</v>
      </c>
    </row>
    <row r="30" spans="1:39" x14ac:dyDescent="0.25">
      <c r="A30" s="488"/>
      <c r="B30" s="492" t="s">
        <v>487</v>
      </c>
      <c r="C30" s="494"/>
      <c r="D30" s="494">
        <v>10000</v>
      </c>
      <c r="E30" s="494"/>
      <c r="F30" s="494"/>
      <c r="G30" s="494">
        <f t="shared" si="60"/>
        <v>10000</v>
      </c>
      <c r="H30" s="368">
        <v>10000</v>
      </c>
      <c r="I30" s="494"/>
      <c r="J30" s="494"/>
      <c r="K30" s="494">
        <f t="shared" si="61"/>
        <v>10000</v>
      </c>
      <c r="L30" s="494">
        <v>10000</v>
      </c>
      <c r="M30" s="494"/>
      <c r="N30" s="494"/>
      <c r="O30" s="494">
        <f t="shared" si="62"/>
        <v>10000</v>
      </c>
      <c r="P30" s="494">
        <v>12000</v>
      </c>
      <c r="Q30" s="494"/>
      <c r="R30" s="494"/>
      <c r="S30" s="288">
        <f t="shared" si="55"/>
        <v>12000</v>
      </c>
      <c r="T30" s="494"/>
      <c r="U30" s="494"/>
      <c r="V30" s="494"/>
      <c r="W30" s="494"/>
      <c r="X30" s="494">
        <v>1950</v>
      </c>
      <c r="Y30" s="494">
        <v>0</v>
      </c>
      <c r="Z30" s="494">
        <v>0</v>
      </c>
      <c r="AA30" s="494">
        <f t="shared" si="15"/>
        <v>1950</v>
      </c>
      <c r="AB30" s="494">
        <v>12000</v>
      </c>
      <c r="AC30" s="494"/>
      <c r="AD30" s="494"/>
      <c r="AE30" s="288">
        <v>12000</v>
      </c>
      <c r="AF30" s="494">
        <v>12000</v>
      </c>
      <c r="AG30" s="494"/>
      <c r="AH30" s="494"/>
      <c r="AI30" s="288">
        <f t="shared" si="58"/>
        <v>12000</v>
      </c>
      <c r="AJ30" s="494">
        <v>2380</v>
      </c>
      <c r="AK30" s="494"/>
      <c r="AL30" s="494"/>
      <c r="AM30" s="495">
        <f t="shared" si="59"/>
        <v>2380</v>
      </c>
    </row>
    <row r="31" spans="1:39" x14ac:dyDescent="0.25">
      <c r="A31" s="488"/>
      <c r="B31" s="489" t="s">
        <v>488</v>
      </c>
      <c r="C31" s="495">
        <f t="shared" ref="C31" si="63">SUM(C32:C33)</f>
        <v>0</v>
      </c>
      <c r="D31" s="495">
        <f t="shared" ref="D31" si="64">SUM(D32:D33)</f>
        <v>686000</v>
      </c>
      <c r="E31" s="495">
        <f>SUM(E32:E33)</f>
        <v>0</v>
      </c>
      <c r="F31" s="495">
        <f>SUM(F32:F33)</f>
        <v>0</v>
      </c>
      <c r="G31" s="495">
        <f t="shared" si="7"/>
        <v>686000</v>
      </c>
      <c r="H31" s="365">
        <f t="shared" ref="H31" si="65">SUM(H32:H33)</f>
        <v>686000</v>
      </c>
      <c r="I31" s="495">
        <f>SUM(I32:I33)</f>
        <v>0</v>
      </c>
      <c r="J31" s="495">
        <f>SUM(J32:J33)</f>
        <v>0</v>
      </c>
      <c r="K31" s="495">
        <f t="shared" si="9"/>
        <v>686000</v>
      </c>
      <c r="L31" s="495">
        <f t="shared" ref="L31" si="66">SUM(L32:L33)</f>
        <v>686000</v>
      </c>
      <c r="M31" s="495">
        <f>SUM(M32:M33)</f>
        <v>0</v>
      </c>
      <c r="N31" s="495">
        <f>SUM(N32:N33)</f>
        <v>0</v>
      </c>
      <c r="O31" s="495">
        <f t="shared" si="11"/>
        <v>686000</v>
      </c>
      <c r="P31" s="495">
        <f>+P32+P33</f>
        <v>834600</v>
      </c>
      <c r="Q31" s="495">
        <f>SUM(Q32:Q33)</f>
        <v>13850</v>
      </c>
      <c r="R31" s="495">
        <f>SUM(R32:R33)</f>
        <v>0</v>
      </c>
      <c r="S31" s="495">
        <f>SUM(P31:R31)</f>
        <v>848450</v>
      </c>
      <c r="T31" s="495">
        <f t="shared" ref="T31" si="67">SUM(T32:T33)</f>
        <v>0</v>
      </c>
      <c r="U31" s="495">
        <f>SUM(U32:U33)</f>
        <v>0</v>
      </c>
      <c r="V31" s="495">
        <f>SUM(V32:V33)</f>
        <v>0</v>
      </c>
      <c r="W31" s="495">
        <f t="shared" si="13"/>
        <v>0</v>
      </c>
      <c r="X31" s="495">
        <f t="shared" ref="X31" si="68">SUM(X32:X33)</f>
        <v>311024</v>
      </c>
      <c r="Y31" s="495">
        <f>SUM(Y32:Y33)</f>
        <v>0</v>
      </c>
      <c r="Z31" s="495">
        <f>SUM(Z32:Z33)</f>
        <v>0</v>
      </c>
      <c r="AA31" s="495">
        <f t="shared" si="15"/>
        <v>311024</v>
      </c>
      <c r="AB31" s="495">
        <v>834600</v>
      </c>
      <c r="AC31" s="495">
        <v>13850</v>
      </c>
      <c r="AD31" s="495">
        <v>0</v>
      </c>
      <c r="AE31" s="495">
        <v>848450</v>
      </c>
      <c r="AF31" s="495">
        <f>+AF32+AF33</f>
        <v>809773</v>
      </c>
      <c r="AG31" s="495">
        <f>+AG32+AG33</f>
        <v>46601</v>
      </c>
      <c r="AH31" s="495"/>
      <c r="AI31" s="495">
        <f t="shared" si="58"/>
        <v>856374</v>
      </c>
      <c r="AJ31" s="495">
        <f>SUM(AJ32:AJ33)</f>
        <v>459382</v>
      </c>
      <c r="AK31" s="495"/>
      <c r="AL31" s="495"/>
      <c r="AM31" s="495">
        <f>SUM(AM32:AM33)</f>
        <v>459382</v>
      </c>
    </row>
    <row r="32" spans="1:39" x14ac:dyDescent="0.25">
      <c r="A32" s="488"/>
      <c r="B32" s="492" t="s">
        <v>489</v>
      </c>
      <c r="C32" s="494"/>
      <c r="D32" s="494">
        <v>655000</v>
      </c>
      <c r="E32" s="494"/>
      <c r="F32" s="494"/>
      <c r="G32" s="494">
        <f>SUM(D32:F32)</f>
        <v>655000</v>
      </c>
      <c r="H32" s="368">
        <v>655000</v>
      </c>
      <c r="I32" s="494"/>
      <c r="J32" s="494"/>
      <c r="K32" s="288">
        <f t="shared" si="9"/>
        <v>655000</v>
      </c>
      <c r="L32" s="494">
        <v>655000</v>
      </c>
      <c r="M32" s="494"/>
      <c r="N32" s="494"/>
      <c r="O32" s="494">
        <f>SUM(L32:N32)</f>
        <v>655000</v>
      </c>
      <c r="P32" s="494">
        <v>802600</v>
      </c>
      <c r="Q32" s="494">
        <v>13850</v>
      </c>
      <c r="R32" s="494"/>
      <c r="S32" s="288">
        <f>SUM(P32:R32)</f>
        <v>816450</v>
      </c>
      <c r="T32" s="494"/>
      <c r="U32" s="494"/>
      <c r="V32" s="494"/>
      <c r="W32" s="494"/>
      <c r="X32" s="494">
        <v>293772</v>
      </c>
      <c r="Y32" s="494">
        <v>0</v>
      </c>
      <c r="Z32" s="494">
        <v>0</v>
      </c>
      <c r="AA32" s="494">
        <f t="shared" si="15"/>
        <v>293772</v>
      </c>
      <c r="AB32" s="494">
        <v>802600</v>
      </c>
      <c r="AC32" s="494">
        <v>13850</v>
      </c>
      <c r="AD32" s="494"/>
      <c r="AE32" s="288">
        <v>816450</v>
      </c>
      <c r="AF32" s="494">
        <v>776273</v>
      </c>
      <c r="AG32" s="494">
        <v>46601</v>
      </c>
      <c r="AH32" s="494"/>
      <c r="AI32" s="288">
        <f t="shared" si="58"/>
        <v>822874</v>
      </c>
      <c r="AJ32" s="494">
        <v>438546</v>
      </c>
      <c r="AK32" s="494"/>
      <c r="AL32" s="494"/>
      <c r="AM32" s="495">
        <f t="shared" si="59"/>
        <v>438546</v>
      </c>
    </row>
    <row r="33" spans="1:39" x14ac:dyDescent="0.25">
      <c r="A33" s="488"/>
      <c r="B33" s="492" t="s">
        <v>490</v>
      </c>
      <c r="C33" s="494"/>
      <c r="D33" s="494">
        <v>31000</v>
      </c>
      <c r="E33" s="494"/>
      <c r="F33" s="494"/>
      <c r="G33" s="494">
        <f>SUM(D33:F33)</f>
        <v>31000</v>
      </c>
      <c r="H33" s="368">
        <v>31000</v>
      </c>
      <c r="I33" s="494"/>
      <c r="J33" s="494"/>
      <c r="K33" s="288">
        <f t="shared" si="9"/>
        <v>31000</v>
      </c>
      <c r="L33" s="494">
        <v>31000</v>
      </c>
      <c r="M33" s="494"/>
      <c r="N33" s="494"/>
      <c r="O33" s="494">
        <f>SUM(L33:N33)</f>
        <v>31000</v>
      </c>
      <c r="P33" s="494">
        <v>32000</v>
      </c>
      <c r="Q33" s="494"/>
      <c r="R33" s="494"/>
      <c r="S33" s="288">
        <f t="shared" si="55"/>
        <v>32000</v>
      </c>
      <c r="T33" s="494"/>
      <c r="U33" s="494"/>
      <c r="V33" s="494"/>
      <c r="W33" s="494"/>
      <c r="X33" s="494">
        <v>17252</v>
      </c>
      <c r="Y33" s="494">
        <v>0</v>
      </c>
      <c r="Z33" s="494">
        <v>0</v>
      </c>
      <c r="AA33" s="494">
        <f t="shared" si="15"/>
        <v>17252</v>
      </c>
      <c r="AB33" s="494">
        <v>32000</v>
      </c>
      <c r="AC33" s="494"/>
      <c r="AD33" s="494"/>
      <c r="AE33" s="288">
        <v>32000</v>
      </c>
      <c r="AF33" s="494">
        <v>33500</v>
      </c>
      <c r="AG33" s="494"/>
      <c r="AH33" s="494"/>
      <c r="AI33" s="288">
        <f t="shared" si="58"/>
        <v>33500</v>
      </c>
      <c r="AJ33" s="494">
        <v>20836</v>
      </c>
      <c r="AK33" s="494"/>
      <c r="AL33" s="494"/>
      <c r="AM33" s="495">
        <f t="shared" si="59"/>
        <v>20836</v>
      </c>
    </row>
    <row r="34" spans="1:39" x14ac:dyDescent="0.25">
      <c r="A34" s="488"/>
      <c r="B34" s="489" t="s">
        <v>491</v>
      </c>
      <c r="C34" s="495">
        <f t="shared" ref="C34" si="69">SUM(C35:C37)</f>
        <v>0</v>
      </c>
      <c r="D34" s="495">
        <f t="shared" ref="D34:E34" si="70">SUM(D35:D37)</f>
        <v>4950</v>
      </c>
      <c r="E34" s="495">
        <f t="shared" si="70"/>
        <v>0</v>
      </c>
      <c r="F34" s="495">
        <f t="shared" ref="F34" si="71">SUM(F35:F37)</f>
        <v>0</v>
      </c>
      <c r="G34" s="495">
        <f t="shared" si="7"/>
        <v>4950</v>
      </c>
      <c r="H34" s="365">
        <f t="shared" ref="H34:J34" si="72">SUM(H35:H37)</f>
        <v>4950</v>
      </c>
      <c r="I34" s="495">
        <f t="shared" si="72"/>
        <v>0</v>
      </c>
      <c r="J34" s="495">
        <f t="shared" si="72"/>
        <v>0</v>
      </c>
      <c r="K34" s="495">
        <f t="shared" si="9"/>
        <v>4950</v>
      </c>
      <c r="L34" s="495">
        <f t="shared" ref="L34:N34" si="73">SUM(L35:L37)</f>
        <v>4800</v>
      </c>
      <c r="M34" s="495">
        <f t="shared" si="73"/>
        <v>0</v>
      </c>
      <c r="N34" s="495">
        <f t="shared" si="73"/>
        <v>0</v>
      </c>
      <c r="O34" s="495">
        <f t="shared" si="11"/>
        <v>4800</v>
      </c>
      <c r="P34" s="495">
        <f>+P35+P36+P37</f>
        <v>7000</v>
      </c>
      <c r="Q34" s="495">
        <f t="shared" ref="Q34:R34" si="74">SUM(Q35:Q37)</f>
        <v>0</v>
      </c>
      <c r="R34" s="495">
        <f t="shared" si="74"/>
        <v>0</v>
      </c>
      <c r="S34" s="495">
        <f t="shared" si="55"/>
        <v>7000</v>
      </c>
      <c r="T34" s="495">
        <f t="shared" ref="T34:V34" si="75">SUM(T35:T37)</f>
        <v>0</v>
      </c>
      <c r="U34" s="495">
        <f t="shared" si="75"/>
        <v>0</v>
      </c>
      <c r="V34" s="495">
        <f t="shared" si="75"/>
        <v>0</v>
      </c>
      <c r="W34" s="495">
        <f t="shared" si="13"/>
        <v>0</v>
      </c>
      <c r="X34" s="495">
        <f t="shared" ref="X34:Z34" si="76">SUM(X35:X37)</f>
        <v>1252</v>
      </c>
      <c r="Y34" s="495">
        <f t="shared" si="76"/>
        <v>0</v>
      </c>
      <c r="Z34" s="495">
        <f t="shared" si="76"/>
        <v>0</v>
      </c>
      <c r="AA34" s="495">
        <f t="shared" si="15"/>
        <v>1252</v>
      </c>
      <c r="AB34" s="495">
        <v>7000</v>
      </c>
      <c r="AC34" s="495">
        <v>0</v>
      </c>
      <c r="AD34" s="495">
        <v>0</v>
      </c>
      <c r="AE34" s="495">
        <v>7000</v>
      </c>
      <c r="AF34" s="495">
        <f>+AF35+AF36+AF37</f>
        <v>7000</v>
      </c>
      <c r="AG34" s="495"/>
      <c r="AH34" s="495"/>
      <c r="AI34" s="495">
        <f t="shared" si="58"/>
        <v>7000</v>
      </c>
      <c r="AJ34" s="495">
        <f>SUM(AJ35:AJ36)</f>
        <v>2319</v>
      </c>
      <c r="AK34" s="495"/>
      <c r="AL34" s="495"/>
      <c r="AM34" s="495">
        <f>SUM(AM35:AM36)</f>
        <v>2319</v>
      </c>
    </row>
    <row r="35" spans="1:39" x14ac:dyDescent="0.25">
      <c r="A35" s="488"/>
      <c r="B35" s="492" t="s">
        <v>492</v>
      </c>
      <c r="C35" s="494"/>
      <c r="D35" s="494">
        <v>150</v>
      </c>
      <c r="E35" s="494"/>
      <c r="F35" s="494"/>
      <c r="G35" s="494">
        <f>SUM(D35:F35)</f>
        <v>150</v>
      </c>
      <c r="H35" s="368">
        <v>150</v>
      </c>
      <c r="I35" s="494"/>
      <c r="J35" s="494"/>
      <c r="K35" s="288">
        <f t="shared" si="9"/>
        <v>150</v>
      </c>
      <c r="L35" s="494"/>
      <c r="M35" s="494"/>
      <c r="N35" s="494"/>
      <c r="O35" s="494">
        <f>SUM(L35:N35)</f>
        <v>0</v>
      </c>
      <c r="P35" s="494">
        <v>500</v>
      </c>
      <c r="Q35" s="494"/>
      <c r="R35" s="494"/>
      <c r="S35" s="495">
        <f t="shared" ref="S35:S40" si="77">SUM(P35:R35)</f>
        <v>500</v>
      </c>
      <c r="T35" s="494"/>
      <c r="U35" s="494"/>
      <c r="V35" s="494"/>
      <c r="W35" s="494"/>
      <c r="X35" s="494">
        <v>0</v>
      </c>
      <c r="Y35" s="494">
        <v>0</v>
      </c>
      <c r="Z35" s="494">
        <v>0</v>
      </c>
      <c r="AA35" s="494">
        <f t="shared" si="15"/>
        <v>0</v>
      </c>
      <c r="AB35" s="494">
        <v>500</v>
      </c>
      <c r="AC35" s="494"/>
      <c r="AD35" s="494"/>
      <c r="AE35" s="288">
        <v>500</v>
      </c>
      <c r="AF35" s="288">
        <v>500</v>
      </c>
      <c r="AG35" s="288"/>
      <c r="AH35" s="288"/>
      <c r="AI35" s="288">
        <f t="shared" si="58"/>
        <v>500</v>
      </c>
      <c r="AJ35" s="494">
        <v>490</v>
      </c>
      <c r="AK35" s="494"/>
      <c r="AL35" s="494"/>
      <c r="AM35" s="495">
        <f t="shared" si="59"/>
        <v>490</v>
      </c>
    </row>
    <row r="36" spans="1:39" x14ac:dyDescent="0.25">
      <c r="A36" s="488"/>
      <c r="B36" s="492" t="s">
        <v>493</v>
      </c>
      <c r="C36" s="494"/>
      <c r="D36" s="494">
        <v>4800</v>
      </c>
      <c r="E36" s="494"/>
      <c r="F36" s="494"/>
      <c r="G36" s="494">
        <f t="shared" ref="G36:G37" si="78">SUM(D36:F36)</f>
        <v>4800</v>
      </c>
      <c r="H36" s="368">
        <v>4800</v>
      </c>
      <c r="I36" s="494"/>
      <c r="J36" s="494"/>
      <c r="K36" s="288">
        <f t="shared" si="9"/>
        <v>4800</v>
      </c>
      <c r="L36" s="494">
        <v>4800</v>
      </c>
      <c r="M36" s="494"/>
      <c r="N36" s="494"/>
      <c r="O36" s="494">
        <f t="shared" ref="O36:O37" si="79">SUM(L36:N36)</f>
        <v>4800</v>
      </c>
      <c r="P36" s="494">
        <v>6500</v>
      </c>
      <c r="Q36" s="494"/>
      <c r="R36" s="494"/>
      <c r="S36" s="288">
        <f>+P36</f>
        <v>6500</v>
      </c>
      <c r="T36" s="494"/>
      <c r="U36" s="494"/>
      <c r="V36" s="494"/>
      <c r="W36" s="494"/>
      <c r="X36" s="494">
        <v>1252</v>
      </c>
      <c r="Y36" s="494">
        <v>0</v>
      </c>
      <c r="Z36" s="494">
        <v>0</v>
      </c>
      <c r="AA36" s="494">
        <f t="shared" si="15"/>
        <v>1252</v>
      </c>
      <c r="AB36" s="494">
        <v>6500</v>
      </c>
      <c r="AC36" s="494"/>
      <c r="AD36" s="494"/>
      <c r="AE36" s="288">
        <v>6500</v>
      </c>
      <c r="AF36" s="288">
        <v>6500</v>
      </c>
      <c r="AG36" s="288"/>
      <c r="AH36" s="288"/>
      <c r="AI36" s="288">
        <f t="shared" si="58"/>
        <v>6500</v>
      </c>
      <c r="AJ36" s="494">
        <v>1829</v>
      </c>
      <c r="AK36" s="494"/>
      <c r="AL36" s="494"/>
      <c r="AM36" s="495">
        <f t="shared" si="59"/>
        <v>1829</v>
      </c>
    </row>
    <row r="37" spans="1:39" x14ac:dyDescent="0.25">
      <c r="A37" s="488"/>
      <c r="B37" s="492" t="s">
        <v>494</v>
      </c>
      <c r="C37" s="494"/>
      <c r="D37" s="494">
        <v>0</v>
      </c>
      <c r="E37" s="494"/>
      <c r="F37" s="494"/>
      <c r="G37" s="494">
        <f t="shared" si="78"/>
        <v>0</v>
      </c>
      <c r="H37" s="368">
        <v>0</v>
      </c>
      <c r="I37" s="494"/>
      <c r="J37" s="494"/>
      <c r="K37" s="288">
        <f t="shared" si="9"/>
        <v>0</v>
      </c>
      <c r="L37" s="494"/>
      <c r="M37" s="494"/>
      <c r="N37" s="494"/>
      <c r="O37" s="494">
        <f t="shared" si="79"/>
        <v>0</v>
      </c>
      <c r="P37" s="494">
        <v>0</v>
      </c>
      <c r="Q37" s="494"/>
      <c r="R37" s="494"/>
      <c r="S37" s="495">
        <f t="shared" si="77"/>
        <v>0</v>
      </c>
      <c r="T37" s="494"/>
      <c r="U37" s="494"/>
      <c r="V37" s="494"/>
      <c r="W37" s="494"/>
      <c r="X37" s="494">
        <v>0</v>
      </c>
      <c r="Y37" s="494">
        <v>0</v>
      </c>
      <c r="Z37" s="494">
        <v>0</v>
      </c>
      <c r="AA37" s="494">
        <f t="shared" si="15"/>
        <v>0</v>
      </c>
      <c r="AB37" s="494">
        <v>0</v>
      </c>
      <c r="AC37" s="494"/>
      <c r="AD37" s="494"/>
      <c r="AE37" s="495">
        <v>0</v>
      </c>
      <c r="AF37" s="494">
        <v>0</v>
      </c>
      <c r="AG37" s="494"/>
      <c r="AH37" s="494"/>
      <c r="AI37" s="495">
        <f t="shared" si="58"/>
        <v>0</v>
      </c>
      <c r="AJ37" s="494"/>
      <c r="AK37" s="494"/>
      <c r="AL37" s="494"/>
      <c r="AM37" s="495">
        <f t="shared" si="59"/>
        <v>0</v>
      </c>
    </row>
    <row r="38" spans="1:39" x14ac:dyDescent="0.25">
      <c r="A38" s="488"/>
      <c r="B38" s="489" t="s">
        <v>495</v>
      </c>
      <c r="C38" s="495">
        <f t="shared" ref="C38" si="80">SUM(C39:C42)</f>
        <v>0</v>
      </c>
      <c r="D38" s="495">
        <f t="shared" ref="D38:E38" si="81">SUM(D39:D42)</f>
        <v>3500</v>
      </c>
      <c r="E38" s="495">
        <f t="shared" si="81"/>
        <v>0</v>
      </c>
      <c r="F38" s="495">
        <f t="shared" ref="F38" si="82">SUM(F39:F42)</f>
        <v>0</v>
      </c>
      <c r="G38" s="495">
        <f t="shared" si="7"/>
        <v>3500</v>
      </c>
      <c r="H38" s="365">
        <f t="shared" ref="H38:J38" si="83">SUM(H39:H42)</f>
        <v>3500</v>
      </c>
      <c r="I38" s="495">
        <f t="shared" si="83"/>
        <v>0</v>
      </c>
      <c r="J38" s="495">
        <f t="shared" si="83"/>
        <v>0</v>
      </c>
      <c r="K38" s="495">
        <f t="shared" si="9"/>
        <v>3500</v>
      </c>
      <c r="L38" s="495">
        <f t="shared" ref="L38:N38" si="84">SUM(L39:L42)</f>
        <v>4000</v>
      </c>
      <c r="M38" s="495">
        <f t="shared" si="84"/>
        <v>0</v>
      </c>
      <c r="N38" s="495">
        <f t="shared" si="84"/>
        <v>0</v>
      </c>
      <c r="O38" s="495">
        <f t="shared" si="11"/>
        <v>4000</v>
      </c>
      <c r="P38" s="495">
        <f>+P39+P40+P41+P42</f>
        <v>1500</v>
      </c>
      <c r="Q38" s="495">
        <f t="shared" ref="Q38:R38" si="85">SUM(Q39:Q42)</f>
        <v>0</v>
      </c>
      <c r="R38" s="495">
        <f t="shared" si="85"/>
        <v>0</v>
      </c>
      <c r="S38" s="495">
        <f>+P38</f>
        <v>1500</v>
      </c>
      <c r="T38" s="495">
        <f t="shared" ref="T38:V38" si="86">SUM(T39:T42)</f>
        <v>0</v>
      </c>
      <c r="U38" s="495">
        <f t="shared" si="86"/>
        <v>0</v>
      </c>
      <c r="V38" s="495">
        <f t="shared" si="86"/>
        <v>0</v>
      </c>
      <c r="W38" s="495">
        <f t="shared" si="13"/>
        <v>0</v>
      </c>
      <c r="X38" s="495">
        <f t="shared" ref="X38:Z38" si="87">SUM(X39:X42)</f>
        <v>1197</v>
      </c>
      <c r="Y38" s="495">
        <f t="shared" si="87"/>
        <v>0</v>
      </c>
      <c r="Z38" s="495">
        <f t="shared" si="87"/>
        <v>0</v>
      </c>
      <c r="AA38" s="495">
        <f t="shared" si="15"/>
        <v>1197</v>
      </c>
      <c r="AB38" s="495">
        <v>1500</v>
      </c>
      <c r="AC38" s="495">
        <v>0</v>
      </c>
      <c r="AD38" s="495">
        <v>0</v>
      </c>
      <c r="AE38" s="495">
        <v>1500</v>
      </c>
      <c r="AF38" s="495">
        <f>+AF39+AF40+AF41+AF42</f>
        <v>1500</v>
      </c>
      <c r="AG38" s="495"/>
      <c r="AH38" s="495"/>
      <c r="AI38" s="495">
        <f t="shared" si="58"/>
        <v>1500</v>
      </c>
      <c r="AJ38" s="495">
        <f>SUM(AJ39:AJ42)</f>
        <v>808</v>
      </c>
      <c r="AK38" s="495"/>
      <c r="AL38" s="495"/>
      <c r="AM38" s="495">
        <f>SUM(AM39:AM42)</f>
        <v>808</v>
      </c>
    </row>
    <row r="39" spans="1:39" x14ac:dyDescent="0.25">
      <c r="A39" s="488"/>
      <c r="B39" s="492" t="s">
        <v>496</v>
      </c>
      <c r="C39" s="494"/>
      <c r="D39" s="494">
        <v>0</v>
      </c>
      <c r="E39" s="494"/>
      <c r="F39" s="494"/>
      <c r="G39" s="494">
        <f>SUM(D39:F39)</f>
        <v>0</v>
      </c>
      <c r="H39" s="368">
        <v>0</v>
      </c>
      <c r="I39" s="494"/>
      <c r="J39" s="494"/>
      <c r="K39" s="288">
        <f t="shared" si="9"/>
        <v>0</v>
      </c>
      <c r="L39" s="494"/>
      <c r="M39" s="494"/>
      <c r="N39" s="494"/>
      <c r="O39" s="494">
        <f>SUM(L39:N39)</f>
        <v>0</v>
      </c>
      <c r="P39" s="494"/>
      <c r="Q39" s="494"/>
      <c r="R39" s="494"/>
      <c r="S39" s="495">
        <f t="shared" si="77"/>
        <v>0</v>
      </c>
      <c r="T39" s="494"/>
      <c r="U39" s="494">
        <v>0</v>
      </c>
      <c r="V39" s="494">
        <v>0</v>
      </c>
      <c r="W39" s="494">
        <f t="shared" si="13"/>
        <v>0</v>
      </c>
      <c r="X39" s="494">
        <v>0</v>
      </c>
      <c r="Y39" s="494">
        <v>0</v>
      </c>
      <c r="Z39" s="494">
        <v>0</v>
      </c>
      <c r="AA39" s="494">
        <f t="shared" si="15"/>
        <v>0</v>
      </c>
      <c r="AB39" s="494"/>
      <c r="AC39" s="494"/>
      <c r="AD39" s="494"/>
      <c r="AE39" s="495">
        <v>0</v>
      </c>
      <c r="AF39" s="494"/>
      <c r="AG39" s="494"/>
      <c r="AH39" s="494"/>
      <c r="AI39" s="495">
        <f t="shared" si="58"/>
        <v>0</v>
      </c>
      <c r="AJ39" s="494"/>
      <c r="AK39" s="494"/>
      <c r="AL39" s="494"/>
      <c r="AM39" s="495">
        <f t="shared" si="59"/>
        <v>0</v>
      </c>
    </row>
    <row r="40" spans="1:39" x14ac:dyDescent="0.25">
      <c r="A40" s="488"/>
      <c r="B40" s="492" t="s">
        <v>497</v>
      </c>
      <c r="C40" s="494"/>
      <c r="D40" s="494">
        <v>0</v>
      </c>
      <c r="E40" s="494"/>
      <c r="F40" s="494"/>
      <c r="G40" s="494">
        <f t="shared" ref="G40:G42" si="88">SUM(D40:F40)</f>
        <v>0</v>
      </c>
      <c r="H40" s="368">
        <v>0</v>
      </c>
      <c r="I40" s="494"/>
      <c r="J40" s="494"/>
      <c r="K40" s="288">
        <f t="shared" si="9"/>
        <v>0</v>
      </c>
      <c r="L40" s="494"/>
      <c r="M40" s="494"/>
      <c r="N40" s="494"/>
      <c r="O40" s="494">
        <f t="shared" ref="O40:O42" si="89">SUM(L40:N40)</f>
        <v>0</v>
      </c>
      <c r="P40" s="494"/>
      <c r="Q40" s="494"/>
      <c r="R40" s="494"/>
      <c r="S40" s="495">
        <f t="shared" si="77"/>
        <v>0</v>
      </c>
      <c r="T40" s="494"/>
      <c r="U40" s="494"/>
      <c r="V40" s="494"/>
      <c r="W40" s="494"/>
      <c r="X40" s="494">
        <v>0</v>
      </c>
      <c r="Y40" s="494">
        <v>0</v>
      </c>
      <c r="Z40" s="494">
        <v>0</v>
      </c>
      <c r="AA40" s="494">
        <f t="shared" si="15"/>
        <v>0</v>
      </c>
      <c r="AB40" s="494"/>
      <c r="AC40" s="494"/>
      <c r="AD40" s="494"/>
      <c r="AE40" s="495">
        <v>0</v>
      </c>
      <c r="AF40" s="494"/>
      <c r="AG40" s="494"/>
      <c r="AH40" s="494"/>
      <c r="AI40" s="495">
        <f t="shared" si="58"/>
        <v>0</v>
      </c>
      <c r="AJ40" s="494"/>
      <c r="AK40" s="494"/>
      <c r="AL40" s="494"/>
      <c r="AM40" s="495">
        <f t="shared" si="59"/>
        <v>0</v>
      </c>
    </row>
    <row r="41" spans="1:39" x14ac:dyDescent="0.25">
      <c r="A41" s="488"/>
      <c r="B41" s="492" t="s">
        <v>498</v>
      </c>
      <c r="C41" s="494"/>
      <c r="D41" s="494">
        <v>1500</v>
      </c>
      <c r="E41" s="494"/>
      <c r="F41" s="494"/>
      <c r="G41" s="494">
        <f t="shared" si="88"/>
        <v>1500</v>
      </c>
      <c r="H41" s="368">
        <v>1500</v>
      </c>
      <c r="I41" s="494"/>
      <c r="J41" s="494"/>
      <c r="K41" s="288">
        <f t="shared" si="9"/>
        <v>1500</v>
      </c>
      <c r="L41" s="494">
        <v>2000</v>
      </c>
      <c r="M41" s="494"/>
      <c r="N41" s="494"/>
      <c r="O41" s="494">
        <f t="shared" si="89"/>
        <v>2000</v>
      </c>
      <c r="P41" s="494">
        <v>500</v>
      </c>
      <c r="Q41" s="494"/>
      <c r="R41" s="494"/>
      <c r="S41" s="288">
        <f>+P41</f>
        <v>500</v>
      </c>
      <c r="T41" s="494"/>
      <c r="U41" s="494"/>
      <c r="V41" s="494"/>
      <c r="W41" s="494"/>
      <c r="X41" s="494">
        <v>444</v>
      </c>
      <c r="Y41" s="494">
        <v>0</v>
      </c>
      <c r="Z41" s="494">
        <v>0</v>
      </c>
      <c r="AA41" s="494">
        <f t="shared" si="15"/>
        <v>444</v>
      </c>
      <c r="AB41" s="494">
        <v>500</v>
      </c>
      <c r="AC41" s="494"/>
      <c r="AD41" s="494"/>
      <c r="AE41" s="288">
        <v>500</v>
      </c>
      <c r="AF41" s="494">
        <v>500</v>
      </c>
      <c r="AG41" s="494"/>
      <c r="AH41" s="494"/>
      <c r="AI41" s="288">
        <f t="shared" si="58"/>
        <v>500</v>
      </c>
      <c r="AJ41" s="494">
        <v>319</v>
      </c>
      <c r="AK41" s="494"/>
      <c r="AL41" s="494"/>
      <c r="AM41" s="495">
        <f t="shared" si="59"/>
        <v>319</v>
      </c>
    </row>
    <row r="42" spans="1:39" x14ac:dyDescent="0.25">
      <c r="A42" s="488"/>
      <c r="B42" s="492" t="s">
        <v>499</v>
      </c>
      <c r="C42" s="494"/>
      <c r="D42" s="494">
        <v>2000</v>
      </c>
      <c r="E42" s="494"/>
      <c r="F42" s="494"/>
      <c r="G42" s="494">
        <f t="shared" si="88"/>
        <v>2000</v>
      </c>
      <c r="H42" s="368">
        <v>2000</v>
      </c>
      <c r="I42" s="494"/>
      <c r="J42" s="494"/>
      <c r="K42" s="288">
        <f t="shared" si="9"/>
        <v>2000</v>
      </c>
      <c r="L42" s="494">
        <v>2000</v>
      </c>
      <c r="M42" s="494"/>
      <c r="N42" s="494"/>
      <c r="O42" s="494">
        <f t="shared" si="89"/>
        <v>2000</v>
      </c>
      <c r="P42" s="494">
        <v>1000</v>
      </c>
      <c r="Q42" s="494"/>
      <c r="R42" s="494"/>
      <c r="S42" s="288">
        <f>+P42</f>
        <v>1000</v>
      </c>
      <c r="T42" s="494"/>
      <c r="U42" s="494"/>
      <c r="V42" s="494"/>
      <c r="W42" s="494"/>
      <c r="X42" s="494">
        <v>753</v>
      </c>
      <c r="Y42" s="494">
        <v>0</v>
      </c>
      <c r="Z42" s="494">
        <v>0</v>
      </c>
      <c r="AA42" s="494">
        <f t="shared" si="15"/>
        <v>753</v>
      </c>
      <c r="AB42" s="494">
        <v>1000</v>
      </c>
      <c r="AC42" s="494"/>
      <c r="AD42" s="494"/>
      <c r="AE42" s="288">
        <v>1000</v>
      </c>
      <c r="AF42" s="494">
        <v>1000</v>
      </c>
      <c r="AG42" s="494"/>
      <c r="AH42" s="494"/>
      <c r="AI42" s="288">
        <f t="shared" si="58"/>
        <v>1000</v>
      </c>
      <c r="AJ42" s="494">
        <v>489</v>
      </c>
      <c r="AK42" s="494"/>
      <c r="AL42" s="494"/>
      <c r="AM42" s="495">
        <f t="shared" si="59"/>
        <v>489</v>
      </c>
    </row>
    <row r="43" spans="1:39" x14ac:dyDescent="0.25">
      <c r="A43" s="485" t="s">
        <v>315</v>
      </c>
      <c r="B43" s="486" t="s">
        <v>314</v>
      </c>
      <c r="C43" s="487">
        <f t="shared" ref="C43" si="90">C44+C45+C48+C52+C53+C54+C55+C56</f>
        <v>0</v>
      </c>
      <c r="D43" s="487">
        <f t="shared" ref="D43:E43" si="91">D44+D45+D48+D52+D53+D54+D55+D56</f>
        <v>80080</v>
      </c>
      <c r="E43" s="487">
        <f t="shared" si="91"/>
        <v>53850</v>
      </c>
      <c r="F43" s="487">
        <f t="shared" ref="F43" si="92">F44+F45+F48+F52+F53+F54+F55+F56</f>
        <v>0</v>
      </c>
      <c r="G43" s="487">
        <f t="shared" si="7"/>
        <v>133930</v>
      </c>
      <c r="H43" s="728">
        <f t="shared" ref="H43" si="93">H44+H45+H48+H52+H53+H54+H55+H56</f>
        <v>98633</v>
      </c>
      <c r="I43" s="487">
        <f t="shared" ref="I43:J43" si="94">I44+I45+I48+I52+I53+I54+I55+I56</f>
        <v>53850</v>
      </c>
      <c r="J43" s="487">
        <f t="shared" si="94"/>
        <v>0</v>
      </c>
      <c r="K43" s="487">
        <f t="shared" si="9"/>
        <v>152483</v>
      </c>
      <c r="L43" s="487">
        <f t="shared" ref="L43:N43" si="95">L44+L45+L48+L52+L53+L54+L55+L56</f>
        <v>113042</v>
      </c>
      <c r="M43" s="487">
        <f t="shared" si="95"/>
        <v>53850</v>
      </c>
      <c r="N43" s="487">
        <f t="shared" si="95"/>
        <v>0</v>
      </c>
      <c r="O43" s="487">
        <f t="shared" si="11"/>
        <v>166892</v>
      </c>
      <c r="P43" s="487">
        <f>+P44+P45+P48+P52+P53+P54+P55+P56</f>
        <v>81560</v>
      </c>
      <c r="Q43" s="487">
        <f>+Q44+Q45+Q48+Q52+Q53+Q54+Q55+Q56</f>
        <v>53850</v>
      </c>
      <c r="R43" s="487">
        <f t="shared" ref="R43" si="96">R44+R45+R48+R52+R53+R54+R55+R56</f>
        <v>0</v>
      </c>
      <c r="S43" s="487">
        <f>SUM(P43:R43)</f>
        <v>135410</v>
      </c>
      <c r="T43" s="487">
        <f t="shared" ref="T43:V43" si="97">T44+T45+T48+T52+T53+T54+T55+T56</f>
        <v>0</v>
      </c>
      <c r="U43" s="487">
        <f t="shared" si="97"/>
        <v>0</v>
      </c>
      <c r="V43" s="487">
        <f t="shared" si="97"/>
        <v>0</v>
      </c>
      <c r="W43" s="487">
        <f t="shared" si="13"/>
        <v>0</v>
      </c>
      <c r="X43" s="487">
        <f t="shared" ref="X43:Z43" si="98">X44+X45+X48+X52+X53+X54+X55+X56</f>
        <v>35268</v>
      </c>
      <c r="Y43" s="487">
        <f t="shared" si="98"/>
        <v>13281</v>
      </c>
      <c r="Z43" s="487">
        <f t="shared" si="98"/>
        <v>0</v>
      </c>
      <c r="AA43" s="487">
        <f t="shared" si="15"/>
        <v>48549</v>
      </c>
      <c r="AB43" s="487">
        <f>+AB44+AB45+AB48+AB52+AB53+AB54+AB55+AB56</f>
        <v>114683</v>
      </c>
      <c r="AC43" s="487">
        <f t="shared" ref="AC43:AD43" si="99">+AC44+AC45+AC48+AC52+AC53+AC54+AC55+AC56</f>
        <v>53850</v>
      </c>
      <c r="AD43" s="487">
        <f t="shared" si="99"/>
        <v>0</v>
      </c>
      <c r="AE43" s="487">
        <f>SUM(AB43:AD43)</f>
        <v>168533</v>
      </c>
      <c r="AF43" s="487">
        <f>+AF44+AF45+AF48+AF52+AF53+AF54+AF55+AF56</f>
        <v>147051</v>
      </c>
      <c r="AG43" s="487">
        <f t="shared" ref="AG43:AH43" si="100">+AG44+AG45+AG48+AG52+AG53+AG54+AG55+AG56</f>
        <v>53850</v>
      </c>
      <c r="AH43" s="487">
        <f t="shared" si="100"/>
        <v>0</v>
      </c>
      <c r="AI43" s="487">
        <f>SUM(AF43:AH43)</f>
        <v>200901</v>
      </c>
      <c r="AJ43" s="487">
        <f>+AJ44+AJ45+AJ48+AJ52+AJ53+AJ54+AJ55+AJ56</f>
        <v>71644</v>
      </c>
      <c r="AK43" s="487">
        <f t="shared" ref="AK43:AL43" si="101">+AK44+AK45+AK48+AK52+AK53+AK54+AK55+AK56</f>
        <v>28439</v>
      </c>
      <c r="AL43" s="487">
        <f t="shared" si="101"/>
        <v>0</v>
      </c>
      <c r="AM43" s="487">
        <f>SUM(AJ43:AL43)</f>
        <v>100083</v>
      </c>
    </row>
    <row r="44" spans="1:39" x14ac:dyDescent="0.25">
      <c r="A44" s="488"/>
      <c r="B44" s="489" t="s">
        <v>500</v>
      </c>
      <c r="C44" s="495">
        <v>0</v>
      </c>
      <c r="D44" s="495">
        <v>0</v>
      </c>
      <c r="E44" s="495">
        <v>0</v>
      </c>
      <c r="F44" s="495">
        <v>0</v>
      </c>
      <c r="G44" s="495">
        <f t="shared" si="7"/>
        <v>0</v>
      </c>
      <c r="H44" s="365">
        <v>0</v>
      </c>
      <c r="I44" s="495">
        <v>0</v>
      </c>
      <c r="J44" s="495">
        <v>0</v>
      </c>
      <c r="K44" s="495">
        <f t="shared" si="9"/>
        <v>0</v>
      </c>
      <c r="L44" s="495">
        <v>11346</v>
      </c>
      <c r="M44" s="495">
        <v>0</v>
      </c>
      <c r="N44" s="495">
        <v>0</v>
      </c>
      <c r="O44" s="495">
        <f t="shared" si="11"/>
        <v>11346</v>
      </c>
      <c r="P44" s="495"/>
      <c r="Q44" s="495">
        <v>0</v>
      </c>
      <c r="R44" s="495">
        <v>0</v>
      </c>
      <c r="S44" s="495">
        <f>SUM(P44:R44)</f>
        <v>0</v>
      </c>
      <c r="T44" s="495">
        <v>0</v>
      </c>
      <c r="U44" s="495">
        <v>0</v>
      </c>
      <c r="V44" s="495">
        <v>0</v>
      </c>
      <c r="W44" s="495">
        <f t="shared" si="13"/>
        <v>0</v>
      </c>
      <c r="X44" s="495">
        <v>0</v>
      </c>
      <c r="Y44" s="495">
        <v>0</v>
      </c>
      <c r="Z44" s="495">
        <v>0</v>
      </c>
      <c r="AA44" s="495">
        <f t="shared" si="15"/>
        <v>0</v>
      </c>
      <c r="AB44" s="495">
        <v>8146</v>
      </c>
      <c r="AC44" s="495">
        <v>0</v>
      </c>
      <c r="AD44" s="495">
        <v>0</v>
      </c>
      <c r="AE44" s="495">
        <f>SUM(AB44:AD44)</f>
        <v>8146</v>
      </c>
      <c r="AF44" s="495">
        <v>12715</v>
      </c>
      <c r="AG44" s="495">
        <v>0</v>
      </c>
      <c r="AH44" s="495">
        <v>0</v>
      </c>
      <c r="AI44" s="495">
        <f>SUM(AF44:AH44)</f>
        <v>12715</v>
      </c>
      <c r="AJ44" s="495">
        <v>8146</v>
      </c>
      <c r="AK44" s="495">
        <v>0</v>
      </c>
      <c r="AL44" s="495">
        <v>0</v>
      </c>
      <c r="AM44" s="495">
        <f>SUM(AJ44:AL44)</f>
        <v>8146</v>
      </c>
    </row>
    <row r="45" spans="1:39" x14ac:dyDescent="0.25">
      <c r="A45" s="488"/>
      <c r="B45" s="489" t="s">
        <v>501</v>
      </c>
      <c r="C45" s="495">
        <f t="shared" ref="C45" si="102">SUM(C46:C47)</f>
        <v>0</v>
      </c>
      <c r="D45" s="495">
        <f t="shared" ref="D45:E45" si="103">SUM(D46:D47)</f>
        <v>2400</v>
      </c>
      <c r="E45" s="495">
        <f t="shared" si="103"/>
        <v>53850</v>
      </c>
      <c r="F45" s="495">
        <f t="shared" ref="F45" si="104">SUM(F46:F47)</f>
        <v>0</v>
      </c>
      <c r="G45" s="495">
        <f t="shared" si="7"/>
        <v>56250</v>
      </c>
      <c r="H45" s="365">
        <f t="shared" ref="H45:J45" si="105">SUM(H46:H47)</f>
        <v>2499</v>
      </c>
      <c r="I45" s="495">
        <f t="shared" si="105"/>
        <v>53850</v>
      </c>
      <c r="J45" s="495">
        <f t="shared" si="105"/>
        <v>0</v>
      </c>
      <c r="K45" s="495">
        <f t="shared" si="9"/>
        <v>56349</v>
      </c>
      <c r="L45" s="495">
        <f t="shared" ref="L45:N45" si="106">SUM(L46:L47)</f>
        <v>2582</v>
      </c>
      <c r="M45" s="495">
        <f t="shared" si="106"/>
        <v>53850</v>
      </c>
      <c r="N45" s="495">
        <f t="shared" si="106"/>
        <v>0</v>
      </c>
      <c r="O45" s="495">
        <f t="shared" si="11"/>
        <v>56432</v>
      </c>
      <c r="P45" s="495">
        <f>+P46+P47</f>
        <v>2400</v>
      </c>
      <c r="Q45" s="495">
        <f>+Q46+Q47</f>
        <v>53850</v>
      </c>
      <c r="R45" s="495">
        <f t="shared" ref="R45" si="107">SUM(R46:R47)</f>
        <v>0</v>
      </c>
      <c r="S45" s="495">
        <f>SUM(P45:R45)</f>
        <v>56250</v>
      </c>
      <c r="T45" s="495">
        <f t="shared" ref="T45:V45" si="108">SUM(T46:T47)</f>
        <v>0</v>
      </c>
      <c r="U45" s="495">
        <f t="shared" si="108"/>
        <v>0</v>
      </c>
      <c r="V45" s="495">
        <f t="shared" si="108"/>
        <v>0</v>
      </c>
      <c r="W45" s="495">
        <f t="shared" si="13"/>
        <v>0</v>
      </c>
      <c r="X45" s="495">
        <f t="shared" ref="X45:Z45" si="109">SUM(X46:X47)</f>
        <v>98</v>
      </c>
      <c r="Y45" s="495">
        <f t="shared" si="109"/>
        <v>13281</v>
      </c>
      <c r="Z45" s="495">
        <f t="shared" si="109"/>
        <v>0</v>
      </c>
      <c r="AA45" s="495">
        <f t="shared" si="15"/>
        <v>13379</v>
      </c>
      <c r="AB45" s="495">
        <v>4187</v>
      </c>
      <c r="AC45" s="495">
        <f t="shared" ref="AC45:AD45" si="110">+AC46+AC47</f>
        <v>53850</v>
      </c>
      <c r="AD45" s="495">
        <f t="shared" si="110"/>
        <v>0</v>
      </c>
      <c r="AE45" s="495">
        <f>SUM(AB45:AD45)</f>
        <v>58037</v>
      </c>
      <c r="AF45" s="495">
        <v>4187</v>
      </c>
      <c r="AG45" s="495">
        <v>53850</v>
      </c>
      <c r="AH45" s="495">
        <f t="shared" ref="AH45" si="111">+AH46+AH47</f>
        <v>0</v>
      </c>
      <c r="AI45" s="495">
        <f>SUM(AF45:AH45)</f>
        <v>58037</v>
      </c>
      <c r="AJ45" s="495">
        <f>+AJ46+AJ47</f>
        <v>2005</v>
      </c>
      <c r="AK45" s="495">
        <f t="shared" ref="AK45:AL45" si="112">+AK46+AK47</f>
        <v>28439</v>
      </c>
      <c r="AL45" s="495">
        <f t="shared" si="112"/>
        <v>0</v>
      </c>
      <c r="AM45" s="495">
        <f>SUM(AJ45:AL45)</f>
        <v>30444</v>
      </c>
    </row>
    <row r="46" spans="1:39" x14ac:dyDescent="0.25">
      <c r="A46" s="488"/>
      <c r="B46" s="492" t="s">
        <v>502</v>
      </c>
      <c r="C46" s="494"/>
      <c r="D46" s="494">
        <v>0</v>
      </c>
      <c r="E46" s="494"/>
      <c r="F46" s="494"/>
      <c r="G46" s="494">
        <f>SUM(D46:F46)</f>
        <v>0</v>
      </c>
      <c r="H46" s="368"/>
      <c r="I46" s="494"/>
      <c r="J46" s="494"/>
      <c r="K46" s="495">
        <f t="shared" si="9"/>
        <v>0</v>
      </c>
      <c r="L46" s="494">
        <v>182</v>
      </c>
      <c r="M46" s="494"/>
      <c r="N46" s="494"/>
      <c r="O46" s="494">
        <f>SUM(L46:N46)</f>
        <v>182</v>
      </c>
      <c r="P46" s="494"/>
      <c r="Q46" s="494"/>
      <c r="R46" s="494"/>
      <c r="S46" s="288">
        <f>+P46+Q46+R46</f>
        <v>0</v>
      </c>
      <c r="T46" s="494"/>
      <c r="U46" s="494"/>
      <c r="V46" s="494"/>
      <c r="W46" s="494"/>
      <c r="X46" s="494">
        <v>0</v>
      </c>
      <c r="Y46" s="494">
        <v>0</v>
      </c>
      <c r="Z46" s="494">
        <v>0</v>
      </c>
      <c r="AA46" s="494">
        <f t="shared" si="15"/>
        <v>0</v>
      </c>
      <c r="AB46" s="494"/>
      <c r="AC46" s="494"/>
      <c r="AD46" s="494"/>
      <c r="AE46" s="288">
        <v>0</v>
      </c>
      <c r="AF46" s="494"/>
      <c r="AG46" s="494"/>
      <c r="AH46" s="494"/>
      <c r="AI46" s="495">
        <f t="shared" ref="AI46:AI56" si="113">SUM(AF46:AH46)</f>
        <v>0</v>
      </c>
      <c r="AJ46" s="494"/>
      <c r="AK46" s="494"/>
      <c r="AL46" s="494"/>
      <c r="AM46" s="495">
        <f t="shared" ref="AM46:AM56" si="114">SUM(AJ46:AL46)</f>
        <v>0</v>
      </c>
    </row>
    <row r="47" spans="1:39" x14ac:dyDescent="0.25">
      <c r="A47" s="488"/>
      <c r="B47" s="492" t="s">
        <v>503</v>
      </c>
      <c r="C47" s="494"/>
      <c r="D47" s="494">
        <v>2400</v>
      </c>
      <c r="E47" s="494">
        <v>53850</v>
      </c>
      <c r="F47" s="494"/>
      <c r="G47" s="494">
        <f>SUM(D47:F47)</f>
        <v>56250</v>
      </c>
      <c r="H47" s="368">
        <v>2499</v>
      </c>
      <c r="I47" s="494">
        <v>53850</v>
      </c>
      <c r="J47" s="494"/>
      <c r="K47" s="495">
        <f t="shared" si="9"/>
        <v>56349</v>
      </c>
      <c r="L47" s="494">
        <v>2400</v>
      </c>
      <c r="M47" s="494">
        <v>53850</v>
      </c>
      <c r="N47" s="494"/>
      <c r="O47" s="494">
        <f>SUM(L47:N47)</f>
        <v>56250</v>
      </c>
      <c r="P47" s="494">
        <v>2400</v>
      </c>
      <c r="Q47" s="494">
        <v>53850</v>
      </c>
      <c r="R47" s="494"/>
      <c r="S47" s="288">
        <f>+P47+Q47</f>
        <v>56250</v>
      </c>
      <c r="T47" s="494"/>
      <c r="U47" s="494"/>
      <c r="V47" s="494"/>
      <c r="W47" s="494"/>
      <c r="X47" s="494">
        <v>98</v>
      </c>
      <c r="Y47" s="494">
        <v>13281</v>
      </c>
      <c r="Z47" s="494">
        <v>0</v>
      </c>
      <c r="AA47" s="494">
        <f t="shared" si="15"/>
        <v>13379</v>
      </c>
      <c r="AB47" s="494">
        <v>2400</v>
      </c>
      <c r="AC47" s="494">
        <v>53850</v>
      </c>
      <c r="AD47" s="494"/>
      <c r="AE47" s="288">
        <f>SUM(AB47:AD47)</f>
        <v>56250</v>
      </c>
      <c r="AF47" s="494">
        <v>2400</v>
      </c>
      <c r="AG47" s="494">
        <v>53850</v>
      </c>
      <c r="AH47" s="494"/>
      <c r="AI47" s="495">
        <f t="shared" si="113"/>
        <v>56250</v>
      </c>
      <c r="AJ47" s="494">
        <v>2005</v>
      </c>
      <c r="AK47" s="891">
        <v>28439</v>
      </c>
      <c r="AL47" s="494"/>
      <c r="AM47" s="495">
        <f t="shared" si="114"/>
        <v>30444</v>
      </c>
    </row>
    <row r="48" spans="1:39" x14ac:dyDescent="0.25">
      <c r="A48" s="488"/>
      <c r="B48" s="489" t="s">
        <v>504</v>
      </c>
      <c r="C48" s="495">
        <f t="shared" ref="C48" si="115">SUM(C49:C51)</f>
        <v>0</v>
      </c>
      <c r="D48" s="495">
        <f t="shared" ref="D48:E48" si="116">SUM(D49:D51)</f>
        <v>58150</v>
      </c>
      <c r="E48" s="495">
        <f t="shared" si="116"/>
        <v>0</v>
      </c>
      <c r="F48" s="495">
        <f t="shared" ref="F48" si="117">SUM(F49:F51)</f>
        <v>0</v>
      </c>
      <c r="G48" s="495">
        <f t="shared" si="7"/>
        <v>58150</v>
      </c>
      <c r="H48" s="365">
        <f t="shared" ref="H48:J48" si="118">SUM(H49:H51)</f>
        <v>58150</v>
      </c>
      <c r="I48" s="495">
        <f t="shared" si="118"/>
        <v>0</v>
      </c>
      <c r="J48" s="495">
        <f t="shared" si="118"/>
        <v>0</v>
      </c>
      <c r="K48" s="495">
        <f t="shared" si="9"/>
        <v>58150</v>
      </c>
      <c r="L48" s="495">
        <f t="shared" ref="L48:N48" si="119">SUM(L49:L51)</f>
        <v>58150</v>
      </c>
      <c r="M48" s="495">
        <f t="shared" si="119"/>
        <v>0</v>
      </c>
      <c r="N48" s="495">
        <f t="shared" si="119"/>
        <v>0</v>
      </c>
      <c r="O48" s="495">
        <f t="shared" si="11"/>
        <v>58150</v>
      </c>
      <c r="P48" s="495">
        <f>+P49+P50+P51</f>
        <v>58150</v>
      </c>
      <c r="Q48" s="495">
        <f t="shared" ref="Q48:R48" si="120">SUM(Q49:Q51)</f>
        <v>0</v>
      </c>
      <c r="R48" s="495">
        <f t="shared" si="120"/>
        <v>0</v>
      </c>
      <c r="S48" s="495">
        <f t="shared" ref="S48:S52" si="121">SUM(P48:R48)</f>
        <v>58150</v>
      </c>
      <c r="T48" s="495">
        <f t="shared" ref="T48:V48" si="122">SUM(T49:T51)</f>
        <v>0</v>
      </c>
      <c r="U48" s="495">
        <f t="shared" si="122"/>
        <v>0</v>
      </c>
      <c r="V48" s="495">
        <f t="shared" si="122"/>
        <v>0</v>
      </c>
      <c r="W48" s="495">
        <f t="shared" si="13"/>
        <v>0</v>
      </c>
      <c r="X48" s="495">
        <f t="shared" ref="X48:Z48" si="123">SUM(X49:X51)</f>
        <v>14929</v>
      </c>
      <c r="Y48" s="495">
        <f t="shared" si="123"/>
        <v>0</v>
      </c>
      <c r="Z48" s="495">
        <f t="shared" si="123"/>
        <v>0</v>
      </c>
      <c r="AA48" s="495">
        <f t="shared" si="15"/>
        <v>14929</v>
      </c>
      <c r="AB48" s="495">
        <v>58150</v>
      </c>
      <c r="AC48" s="495">
        <v>0</v>
      </c>
      <c r="AD48" s="495">
        <v>0</v>
      </c>
      <c r="AE48" s="495">
        <v>58150</v>
      </c>
      <c r="AF48" s="495">
        <f>SUM(AF49:AF51)</f>
        <v>83319</v>
      </c>
      <c r="AG48" s="495"/>
      <c r="AH48" s="495"/>
      <c r="AI48" s="495">
        <f t="shared" si="113"/>
        <v>83319</v>
      </c>
      <c r="AJ48" s="495">
        <f>SUM(AJ49:AJ51)</f>
        <v>24023</v>
      </c>
      <c r="AK48" s="495"/>
      <c r="AL48" s="495"/>
      <c r="AM48" s="495">
        <f t="shared" si="114"/>
        <v>24023</v>
      </c>
    </row>
    <row r="49" spans="1:39" x14ac:dyDescent="0.25">
      <c r="A49" s="488"/>
      <c r="B49" s="492" t="s">
        <v>505</v>
      </c>
      <c r="C49" s="494"/>
      <c r="D49" s="494">
        <v>0</v>
      </c>
      <c r="E49" s="494"/>
      <c r="F49" s="494"/>
      <c r="G49" s="494">
        <f>SUM(D49:F49)</f>
        <v>0</v>
      </c>
      <c r="H49" s="368">
        <v>0</v>
      </c>
      <c r="I49" s="494">
        <v>0</v>
      </c>
      <c r="J49" s="494"/>
      <c r="K49" s="495">
        <f t="shared" si="9"/>
        <v>0</v>
      </c>
      <c r="L49" s="494"/>
      <c r="M49" s="494"/>
      <c r="N49" s="494"/>
      <c r="O49" s="494">
        <f>SUM(L49:N49)</f>
        <v>0</v>
      </c>
      <c r="P49" s="494"/>
      <c r="Q49" s="494"/>
      <c r="R49" s="494"/>
      <c r="S49" s="495">
        <f t="shared" si="121"/>
        <v>0</v>
      </c>
      <c r="T49" s="494"/>
      <c r="U49" s="494"/>
      <c r="V49" s="494"/>
      <c r="W49" s="494"/>
      <c r="X49" s="494">
        <v>0</v>
      </c>
      <c r="Y49" s="494">
        <v>0</v>
      </c>
      <c r="Z49" s="494">
        <v>0</v>
      </c>
      <c r="AA49" s="494">
        <f t="shared" si="15"/>
        <v>0</v>
      </c>
      <c r="AB49" s="494"/>
      <c r="AC49" s="494"/>
      <c r="AD49" s="494"/>
      <c r="AE49" s="495">
        <v>0</v>
      </c>
      <c r="AF49" s="494"/>
      <c r="AG49" s="494"/>
      <c r="AH49" s="494"/>
      <c r="AI49" s="495">
        <f t="shared" si="113"/>
        <v>0</v>
      </c>
      <c r="AJ49" s="494"/>
      <c r="AK49" s="494"/>
      <c r="AL49" s="494"/>
      <c r="AM49" s="495">
        <f t="shared" si="114"/>
        <v>0</v>
      </c>
    </row>
    <row r="50" spans="1:39" x14ac:dyDescent="0.25">
      <c r="A50" s="488"/>
      <c r="B50" s="545" t="s">
        <v>1284</v>
      </c>
      <c r="C50" s="494"/>
      <c r="D50" s="494">
        <v>11400</v>
      </c>
      <c r="E50" s="494"/>
      <c r="F50" s="494"/>
      <c r="G50" s="494">
        <f t="shared" ref="G50:G51" si="124">SUM(D50:F50)</f>
        <v>11400</v>
      </c>
      <c r="H50" s="368">
        <v>11400</v>
      </c>
      <c r="I50" s="494">
        <v>0</v>
      </c>
      <c r="J50" s="494"/>
      <c r="K50" s="495">
        <f t="shared" si="9"/>
        <v>11400</v>
      </c>
      <c r="L50" s="494">
        <v>11400</v>
      </c>
      <c r="M50" s="494"/>
      <c r="N50" s="494"/>
      <c r="O50" s="494">
        <f t="shared" ref="O50:O51" si="125">SUM(L50:N50)</f>
        <v>11400</v>
      </c>
      <c r="P50" s="494">
        <v>11400</v>
      </c>
      <c r="Q50" s="494"/>
      <c r="R50" s="494"/>
      <c r="S50" s="288">
        <f>+P50</f>
        <v>11400</v>
      </c>
      <c r="T50" s="494"/>
      <c r="U50" s="494"/>
      <c r="V50" s="494"/>
      <c r="W50" s="494"/>
      <c r="X50" s="494">
        <v>2986</v>
      </c>
      <c r="Y50" s="494">
        <v>0</v>
      </c>
      <c r="Z50" s="494">
        <v>0</v>
      </c>
      <c r="AA50" s="494">
        <f t="shared" si="15"/>
        <v>2986</v>
      </c>
      <c r="AB50" s="494">
        <v>11400</v>
      </c>
      <c r="AC50" s="494"/>
      <c r="AD50" s="494"/>
      <c r="AE50" s="288">
        <v>11400</v>
      </c>
      <c r="AF50" s="494">
        <v>17150</v>
      </c>
      <c r="AG50" s="494"/>
      <c r="AH50" s="494"/>
      <c r="AI50" s="495">
        <f t="shared" si="113"/>
        <v>17150</v>
      </c>
      <c r="AJ50" s="881">
        <v>5648</v>
      </c>
      <c r="AK50" s="494"/>
      <c r="AL50" s="494"/>
      <c r="AM50" s="495">
        <f t="shared" si="114"/>
        <v>5648</v>
      </c>
    </row>
    <row r="51" spans="1:39" x14ac:dyDescent="0.25">
      <c r="A51" s="488"/>
      <c r="B51" s="545" t="s">
        <v>1285</v>
      </c>
      <c r="C51" s="494"/>
      <c r="D51" s="494">
        <v>46750</v>
      </c>
      <c r="E51" s="494"/>
      <c r="F51" s="494"/>
      <c r="G51" s="494">
        <f t="shared" si="124"/>
        <v>46750</v>
      </c>
      <c r="H51" s="368">
        <v>46750</v>
      </c>
      <c r="I51" s="494">
        <v>0</v>
      </c>
      <c r="J51" s="494"/>
      <c r="K51" s="495">
        <f t="shared" si="9"/>
        <v>46750</v>
      </c>
      <c r="L51" s="494">
        <v>46750</v>
      </c>
      <c r="M51" s="494"/>
      <c r="N51" s="494"/>
      <c r="O51" s="494">
        <f t="shared" si="125"/>
        <v>46750</v>
      </c>
      <c r="P51" s="494">
        <v>46750</v>
      </c>
      <c r="Q51" s="494"/>
      <c r="R51" s="494"/>
      <c r="S51" s="288">
        <f>+P51</f>
        <v>46750</v>
      </c>
      <c r="T51" s="494"/>
      <c r="U51" s="494"/>
      <c r="V51" s="494"/>
      <c r="W51" s="494"/>
      <c r="X51" s="494">
        <v>11943</v>
      </c>
      <c r="Y51" s="494">
        <v>0</v>
      </c>
      <c r="Z51" s="494">
        <v>0</v>
      </c>
      <c r="AA51" s="494">
        <f t="shared" si="15"/>
        <v>11943</v>
      </c>
      <c r="AB51" s="494">
        <v>46750</v>
      </c>
      <c r="AC51" s="494"/>
      <c r="AD51" s="494"/>
      <c r="AE51" s="288">
        <v>46750</v>
      </c>
      <c r="AF51" s="494">
        <v>66169</v>
      </c>
      <c r="AG51" s="494"/>
      <c r="AH51" s="494"/>
      <c r="AI51" s="495">
        <f t="shared" si="113"/>
        <v>66169</v>
      </c>
      <c r="AJ51" s="881">
        <v>18375</v>
      </c>
      <c r="AK51" s="494"/>
      <c r="AL51" s="494"/>
      <c r="AM51" s="495">
        <f t="shared" si="114"/>
        <v>18375</v>
      </c>
    </row>
    <row r="52" spans="1:39" x14ac:dyDescent="0.25">
      <c r="A52" s="488"/>
      <c r="B52" s="489" t="s">
        <v>506</v>
      </c>
      <c r="C52" s="495">
        <v>0</v>
      </c>
      <c r="D52" s="495">
        <v>0</v>
      </c>
      <c r="E52" s="495">
        <v>0</v>
      </c>
      <c r="F52" s="495">
        <v>0</v>
      </c>
      <c r="G52" s="495">
        <f t="shared" si="7"/>
        <v>0</v>
      </c>
      <c r="H52" s="365">
        <v>0</v>
      </c>
      <c r="I52" s="495">
        <v>0</v>
      </c>
      <c r="J52" s="495">
        <v>0</v>
      </c>
      <c r="K52" s="495">
        <f t="shared" si="9"/>
        <v>0</v>
      </c>
      <c r="L52" s="495">
        <v>0</v>
      </c>
      <c r="M52" s="495">
        <v>0</v>
      </c>
      <c r="N52" s="495">
        <v>0</v>
      </c>
      <c r="O52" s="495">
        <f t="shared" si="11"/>
        <v>0</v>
      </c>
      <c r="P52" s="495">
        <v>0</v>
      </c>
      <c r="Q52" s="495">
        <v>0</v>
      </c>
      <c r="R52" s="495">
        <v>0</v>
      </c>
      <c r="S52" s="495">
        <f t="shared" si="121"/>
        <v>0</v>
      </c>
      <c r="T52" s="495">
        <v>0</v>
      </c>
      <c r="U52" s="495">
        <v>0</v>
      </c>
      <c r="V52" s="495">
        <v>0</v>
      </c>
      <c r="W52" s="495">
        <f t="shared" si="13"/>
        <v>0</v>
      </c>
      <c r="X52" s="495">
        <v>0</v>
      </c>
      <c r="Y52" s="495">
        <v>0</v>
      </c>
      <c r="Z52" s="495">
        <v>0</v>
      </c>
      <c r="AA52" s="495">
        <f t="shared" si="15"/>
        <v>0</v>
      </c>
      <c r="AB52" s="495">
        <v>0</v>
      </c>
      <c r="AC52" s="495">
        <v>0</v>
      </c>
      <c r="AD52" s="495">
        <v>0</v>
      </c>
      <c r="AE52" s="495">
        <v>0</v>
      </c>
      <c r="AF52" s="495">
        <v>0</v>
      </c>
      <c r="AG52" s="495">
        <v>0</v>
      </c>
      <c r="AH52" s="495"/>
      <c r="AI52" s="495">
        <f t="shared" si="113"/>
        <v>0</v>
      </c>
      <c r="AJ52" s="495"/>
      <c r="AK52" s="495"/>
      <c r="AL52" s="495"/>
      <c r="AM52" s="495">
        <f t="shared" si="114"/>
        <v>0</v>
      </c>
    </row>
    <row r="53" spans="1:39" x14ac:dyDescent="0.25">
      <c r="A53" s="488"/>
      <c r="B53" s="489" t="s">
        <v>507</v>
      </c>
      <c r="C53" s="495">
        <f>ROUND(C50*0.27,0)</f>
        <v>0</v>
      </c>
      <c r="D53" s="495">
        <v>4000</v>
      </c>
      <c r="E53" s="495">
        <f t="shared" ref="E53" si="126">ROUND(E50*0.27,0)</f>
        <v>0</v>
      </c>
      <c r="F53" s="495">
        <f t="shared" ref="F53" si="127">ROUND(F50*0.27,0)</f>
        <v>0</v>
      </c>
      <c r="G53" s="495">
        <f t="shared" si="7"/>
        <v>4000</v>
      </c>
      <c r="H53" s="365">
        <v>4000</v>
      </c>
      <c r="I53" s="495">
        <f t="shared" ref="I53:J53" si="128">ROUND(I50*0.27,0)</f>
        <v>0</v>
      </c>
      <c r="J53" s="495">
        <f t="shared" si="128"/>
        <v>0</v>
      </c>
      <c r="K53" s="495">
        <f t="shared" si="9"/>
        <v>4000</v>
      </c>
      <c r="L53" s="495">
        <v>7064</v>
      </c>
      <c r="M53" s="495">
        <v>0</v>
      </c>
      <c r="N53" s="495">
        <v>0</v>
      </c>
      <c r="O53" s="495">
        <f t="shared" si="11"/>
        <v>7064</v>
      </c>
      <c r="P53" s="495">
        <v>5000</v>
      </c>
      <c r="Q53" s="495">
        <v>0</v>
      </c>
      <c r="R53" s="495">
        <v>0</v>
      </c>
      <c r="S53" s="495">
        <f t="shared" ref="S53:S58" si="129">+P53</f>
        <v>5000</v>
      </c>
      <c r="T53" s="495">
        <f t="shared" ref="T53:V53" si="130">ROUND(T50*0.27,0)</f>
        <v>0</v>
      </c>
      <c r="U53" s="495">
        <f t="shared" si="130"/>
        <v>0</v>
      </c>
      <c r="V53" s="495">
        <f t="shared" si="130"/>
        <v>0</v>
      </c>
      <c r="W53" s="495">
        <f t="shared" si="13"/>
        <v>0</v>
      </c>
      <c r="X53" s="495">
        <v>236</v>
      </c>
      <c r="Y53" s="495">
        <f t="shared" ref="Y53:Z53" si="131">ROUND(Y50*0.27,0)</f>
        <v>0</v>
      </c>
      <c r="Z53" s="495">
        <f t="shared" si="131"/>
        <v>0</v>
      </c>
      <c r="AA53" s="495">
        <f t="shared" si="15"/>
        <v>236</v>
      </c>
      <c r="AB53" s="495">
        <v>7306</v>
      </c>
      <c r="AC53" s="495">
        <v>0</v>
      </c>
      <c r="AD53" s="495">
        <v>0</v>
      </c>
      <c r="AE53" s="495">
        <v>5000</v>
      </c>
      <c r="AF53" s="495">
        <v>8540</v>
      </c>
      <c r="AG53" s="495"/>
      <c r="AH53" s="495"/>
      <c r="AI53" s="495">
        <f t="shared" si="113"/>
        <v>8540</v>
      </c>
      <c r="AJ53" s="495">
        <v>2618</v>
      </c>
      <c r="AK53" s="495"/>
      <c r="AL53" s="495"/>
      <c r="AM53" s="495">
        <f t="shared" si="114"/>
        <v>2618</v>
      </c>
    </row>
    <row r="54" spans="1:39" x14ac:dyDescent="0.25">
      <c r="A54" s="488"/>
      <c r="B54" s="489" t="s">
        <v>508</v>
      </c>
      <c r="C54" s="495">
        <v>0</v>
      </c>
      <c r="D54" s="495">
        <v>9450</v>
      </c>
      <c r="E54" s="495">
        <v>0</v>
      </c>
      <c r="F54" s="495">
        <v>0</v>
      </c>
      <c r="G54" s="495">
        <f t="shared" si="7"/>
        <v>9450</v>
      </c>
      <c r="H54" s="365">
        <v>9450</v>
      </c>
      <c r="I54" s="495">
        <v>0</v>
      </c>
      <c r="J54" s="495">
        <v>0</v>
      </c>
      <c r="K54" s="495">
        <f t="shared" si="9"/>
        <v>9450</v>
      </c>
      <c r="L54" s="495">
        <v>9450</v>
      </c>
      <c r="M54" s="495">
        <v>0</v>
      </c>
      <c r="N54" s="495">
        <v>0</v>
      </c>
      <c r="O54" s="495">
        <f t="shared" si="11"/>
        <v>9450</v>
      </c>
      <c r="P54" s="495">
        <v>10000</v>
      </c>
      <c r="Q54" s="495">
        <v>0</v>
      </c>
      <c r="R54" s="495">
        <v>0</v>
      </c>
      <c r="S54" s="495">
        <f t="shared" si="129"/>
        <v>10000</v>
      </c>
      <c r="T54" s="495">
        <v>0</v>
      </c>
      <c r="U54" s="495">
        <v>0</v>
      </c>
      <c r="V54" s="495">
        <v>0</v>
      </c>
      <c r="W54" s="495">
        <f t="shared" si="13"/>
        <v>0</v>
      </c>
      <c r="X54" s="495">
        <v>0</v>
      </c>
      <c r="Y54" s="495">
        <v>0</v>
      </c>
      <c r="Z54" s="495">
        <v>0</v>
      </c>
      <c r="AA54" s="495">
        <f t="shared" si="15"/>
        <v>0</v>
      </c>
      <c r="AB54" s="495">
        <v>30884</v>
      </c>
      <c r="AC54" s="495">
        <v>0</v>
      </c>
      <c r="AD54" s="495">
        <v>0</v>
      </c>
      <c r="AE54" s="495">
        <v>10000</v>
      </c>
      <c r="AF54" s="495">
        <v>32280</v>
      </c>
      <c r="AG54" s="495"/>
      <c r="AH54" s="495"/>
      <c r="AI54" s="495">
        <f t="shared" si="113"/>
        <v>32280</v>
      </c>
      <c r="AJ54" s="495">
        <v>30884</v>
      </c>
      <c r="AK54" s="495"/>
      <c r="AL54" s="495"/>
      <c r="AM54" s="495">
        <f t="shared" si="114"/>
        <v>30884</v>
      </c>
    </row>
    <row r="55" spans="1:39" x14ac:dyDescent="0.25">
      <c r="A55" s="488"/>
      <c r="B55" s="489" t="s">
        <v>509</v>
      </c>
      <c r="C55" s="495"/>
      <c r="D55" s="495">
        <v>80</v>
      </c>
      <c r="E55" s="495"/>
      <c r="F55" s="495"/>
      <c r="G55" s="495">
        <f>SUM(D55:F55)</f>
        <v>80</v>
      </c>
      <c r="H55" s="365">
        <v>80</v>
      </c>
      <c r="I55" s="495"/>
      <c r="J55" s="495"/>
      <c r="K55" s="495">
        <f>SUM(H55:J55)</f>
        <v>80</v>
      </c>
      <c r="L55" s="495">
        <v>80</v>
      </c>
      <c r="M55" s="495"/>
      <c r="N55" s="495"/>
      <c r="O55" s="495"/>
      <c r="P55" s="495">
        <v>10</v>
      </c>
      <c r="Q55" s="495"/>
      <c r="R55" s="495"/>
      <c r="S55" s="495">
        <f t="shared" si="129"/>
        <v>10</v>
      </c>
      <c r="T55" s="495"/>
      <c r="U55" s="495"/>
      <c r="V55" s="495"/>
      <c r="W55" s="495"/>
      <c r="X55" s="495">
        <v>80</v>
      </c>
      <c r="Y55" s="495">
        <v>0</v>
      </c>
      <c r="Z55" s="495">
        <v>0</v>
      </c>
      <c r="AA55" s="495">
        <f t="shared" si="15"/>
        <v>80</v>
      </c>
      <c r="AB55" s="495">
        <v>10</v>
      </c>
      <c r="AC55" s="495"/>
      <c r="AD55" s="495"/>
      <c r="AE55" s="495">
        <v>10</v>
      </c>
      <c r="AF55" s="495">
        <v>10</v>
      </c>
      <c r="AG55" s="495"/>
      <c r="AH55" s="495"/>
      <c r="AI55" s="495">
        <f t="shared" si="113"/>
        <v>10</v>
      </c>
      <c r="AJ55" s="495">
        <v>0</v>
      </c>
      <c r="AK55" s="495"/>
      <c r="AL55" s="495"/>
      <c r="AM55" s="495">
        <f t="shared" si="114"/>
        <v>0</v>
      </c>
    </row>
    <row r="56" spans="1:39" x14ac:dyDescent="0.25">
      <c r="A56" s="488"/>
      <c r="B56" s="489" t="s">
        <v>510</v>
      </c>
      <c r="C56" s="495"/>
      <c r="D56" s="495">
        <v>6000</v>
      </c>
      <c r="E56" s="495"/>
      <c r="F56" s="495"/>
      <c r="G56" s="495">
        <f>SUM(D56:F56)</f>
        <v>6000</v>
      </c>
      <c r="H56" s="365">
        <v>24454</v>
      </c>
      <c r="I56" s="495"/>
      <c r="J56" s="495"/>
      <c r="K56" s="495">
        <f>SUM(H56:J56)</f>
        <v>24454</v>
      </c>
      <c r="L56" s="495">
        <v>24370</v>
      </c>
      <c r="M56" s="495"/>
      <c r="N56" s="495"/>
      <c r="O56" s="495"/>
      <c r="P56" s="495">
        <v>6000</v>
      </c>
      <c r="Q56" s="495"/>
      <c r="R56" s="495"/>
      <c r="S56" s="495">
        <f t="shared" si="129"/>
        <v>6000</v>
      </c>
      <c r="T56" s="495"/>
      <c r="U56" s="495"/>
      <c r="V56" s="495"/>
      <c r="W56" s="495"/>
      <c r="X56" s="495">
        <v>19925</v>
      </c>
      <c r="Y56" s="495">
        <v>0</v>
      </c>
      <c r="Z56" s="495">
        <v>0</v>
      </c>
      <c r="AA56" s="495">
        <f t="shared" si="15"/>
        <v>19925</v>
      </c>
      <c r="AB56" s="495">
        <v>6000</v>
      </c>
      <c r="AC56" s="495"/>
      <c r="AD56" s="495"/>
      <c r="AE56" s="495">
        <v>6000</v>
      </c>
      <c r="AF56" s="495">
        <v>6000</v>
      </c>
      <c r="AG56" s="495"/>
      <c r="AH56" s="495"/>
      <c r="AI56" s="495">
        <f t="shared" si="113"/>
        <v>6000</v>
      </c>
      <c r="AJ56" s="495">
        <v>3968</v>
      </c>
      <c r="AK56" s="495"/>
      <c r="AL56" s="495"/>
      <c r="AM56" s="495">
        <f t="shared" si="114"/>
        <v>3968</v>
      </c>
    </row>
    <row r="57" spans="1:39" x14ac:dyDescent="0.25">
      <c r="A57" s="643" t="s">
        <v>336</v>
      </c>
      <c r="B57" s="644" t="s">
        <v>316</v>
      </c>
      <c r="C57" s="645">
        <f t="shared" ref="C57" si="132">C58+C59</f>
        <v>0</v>
      </c>
      <c r="D57" s="645">
        <f t="shared" ref="D57:E57" si="133">D58+D59</f>
        <v>0</v>
      </c>
      <c r="E57" s="645">
        <f t="shared" si="133"/>
        <v>0</v>
      </c>
      <c r="F57" s="645">
        <f t="shared" ref="F57" si="134">F58+F59</f>
        <v>0</v>
      </c>
      <c r="G57" s="645">
        <f t="shared" si="7"/>
        <v>0</v>
      </c>
      <c r="H57" s="726">
        <f t="shared" ref="H57:J57" si="135">H58+H59</f>
        <v>0</v>
      </c>
      <c r="I57" s="645">
        <f t="shared" si="135"/>
        <v>0</v>
      </c>
      <c r="J57" s="645">
        <f t="shared" si="135"/>
        <v>0</v>
      </c>
      <c r="K57" s="645">
        <f t="shared" si="9"/>
        <v>0</v>
      </c>
      <c r="L57" s="645">
        <f t="shared" ref="L57:N57" si="136">L58+L59</f>
        <v>0</v>
      </c>
      <c r="M57" s="645">
        <f t="shared" si="136"/>
        <v>0</v>
      </c>
      <c r="N57" s="645">
        <f t="shared" si="136"/>
        <v>0</v>
      </c>
      <c r="O57" s="645">
        <f t="shared" si="11"/>
        <v>0</v>
      </c>
      <c r="P57" s="645">
        <f>+P58</f>
        <v>0</v>
      </c>
      <c r="Q57" s="645">
        <f t="shared" ref="Q57:R57" si="137">Q58+Q59</f>
        <v>0</v>
      </c>
      <c r="R57" s="645">
        <f t="shared" si="137"/>
        <v>0</v>
      </c>
      <c r="S57" s="645">
        <f t="shared" si="129"/>
        <v>0</v>
      </c>
      <c r="T57" s="645">
        <f t="shared" ref="T57:V57" si="138">T58+T59</f>
        <v>0</v>
      </c>
      <c r="U57" s="645">
        <f t="shared" si="138"/>
        <v>0</v>
      </c>
      <c r="V57" s="645">
        <f t="shared" si="138"/>
        <v>0</v>
      </c>
      <c r="W57" s="645">
        <f t="shared" si="13"/>
        <v>0</v>
      </c>
      <c r="X57" s="645">
        <f t="shared" ref="X57:Z57" si="139">X58+X59</f>
        <v>0</v>
      </c>
      <c r="Y57" s="645">
        <f t="shared" si="139"/>
        <v>0</v>
      </c>
      <c r="Z57" s="645">
        <f t="shared" si="139"/>
        <v>0</v>
      </c>
      <c r="AA57" s="645">
        <f t="shared" si="15"/>
        <v>0</v>
      </c>
      <c r="AB57" s="645">
        <f>SUM(AB58)</f>
        <v>5000</v>
      </c>
      <c r="AC57" s="645">
        <v>0</v>
      </c>
      <c r="AD57" s="645">
        <v>0</v>
      </c>
      <c r="AE57" s="645">
        <v>0</v>
      </c>
      <c r="AF57" s="645">
        <f>AF58</f>
        <v>13000</v>
      </c>
      <c r="AG57" s="645">
        <f t="shared" ref="AG57:AH57" si="140">AG58</f>
        <v>0</v>
      </c>
      <c r="AH57" s="645">
        <f t="shared" si="140"/>
        <v>0</v>
      </c>
      <c r="AI57" s="645">
        <f>SUM(AF57:AH57)</f>
        <v>13000</v>
      </c>
      <c r="AJ57" s="645">
        <f>AJ58</f>
        <v>0</v>
      </c>
      <c r="AK57" s="645">
        <f t="shared" ref="AK57:AL57" si="141">AK58</f>
        <v>0</v>
      </c>
      <c r="AL57" s="645">
        <f t="shared" si="141"/>
        <v>0</v>
      </c>
      <c r="AM57" s="645">
        <f>SUM(AJ57:AL57)</f>
        <v>0</v>
      </c>
    </row>
    <row r="58" spans="1:39" ht="30" customHeight="1" x14ac:dyDescent="0.25">
      <c r="A58" s="488"/>
      <c r="B58" s="489" t="s">
        <v>511</v>
      </c>
      <c r="C58" s="495">
        <v>0</v>
      </c>
      <c r="D58" s="495">
        <v>0</v>
      </c>
      <c r="E58" s="495">
        <v>0</v>
      </c>
      <c r="F58" s="495">
        <v>0</v>
      </c>
      <c r="G58" s="495">
        <f t="shared" si="7"/>
        <v>0</v>
      </c>
      <c r="H58" s="365">
        <v>0</v>
      </c>
      <c r="I58" s="495">
        <v>0</v>
      </c>
      <c r="J58" s="495">
        <v>0</v>
      </c>
      <c r="K58" s="495">
        <f t="shared" si="9"/>
        <v>0</v>
      </c>
      <c r="L58" s="495">
        <v>0</v>
      </c>
      <c r="M58" s="495">
        <v>0</v>
      </c>
      <c r="N58" s="495">
        <v>0</v>
      </c>
      <c r="O58" s="495">
        <f t="shared" si="11"/>
        <v>0</v>
      </c>
      <c r="P58" s="495"/>
      <c r="Q58" s="495">
        <v>0</v>
      </c>
      <c r="R58" s="495">
        <v>0</v>
      </c>
      <c r="S58" s="495">
        <f t="shared" si="129"/>
        <v>0</v>
      </c>
      <c r="T58" s="495">
        <v>0</v>
      </c>
      <c r="U58" s="495">
        <v>0</v>
      </c>
      <c r="V58" s="495">
        <v>0</v>
      </c>
      <c r="W58" s="495">
        <f t="shared" si="13"/>
        <v>0</v>
      </c>
      <c r="X58" s="495">
        <v>0</v>
      </c>
      <c r="Y58" s="495">
        <v>0</v>
      </c>
      <c r="Z58" s="495">
        <v>0</v>
      </c>
      <c r="AA58" s="495">
        <f t="shared" si="15"/>
        <v>0</v>
      </c>
      <c r="AB58" s="495">
        <v>5000</v>
      </c>
      <c r="AC58" s="495">
        <v>0</v>
      </c>
      <c r="AD58" s="495">
        <v>0</v>
      </c>
      <c r="AE58" s="495">
        <v>0</v>
      </c>
      <c r="AF58" s="495">
        <v>13000</v>
      </c>
      <c r="AG58" s="495">
        <v>0</v>
      </c>
      <c r="AH58" s="495">
        <v>0</v>
      </c>
      <c r="AI58" s="495">
        <f>SUM(AF58:AH58)</f>
        <v>13000</v>
      </c>
      <c r="AJ58" s="495">
        <v>0</v>
      </c>
      <c r="AK58" s="495">
        <v>0</v>
      </c>
      <c r="AL58" s="495">
        <v>0</v>
      </c>
      <c r="AM58" s="495">
        <f>SUM(AJ58:AL58)</f>
        <v>0</v>
      </c>
    </row>
    <row r="59" spans="1:39" ht="15" hidden="1" customHeight="1" x14ac:dyDescent="0.25">
      <c r="A59" s="488"/>
      <c r="B59" s="489" t="s">
        <v>512</v>
      </c>
      <c r="C59" s="495">
        <f>SUM(C60:C60)</f>
        <v>0</v>
      </c>
      <c r="D59" s="495"/>
      <c r="E59" s="495">
        <f>SUM(E60:E60)</f>
        <v>0</v>
      </c>
      <c r="F59" s="495">
        <v>0</v>
      </c>
      <c r="G59" s="495">
        <f>SUM(G60:G60)</f>
        <v>0</v>
      </c>
      <c r="H59" s="365"/>
      <c r="I59" s="495">
        <f>SUM(I60:I60)</f>
        <v>0</v>
      </c>
      <c r="J59" s="495">
        <v>0</v>
      </c>
      <c r="K59" s="495">
        <f>SUM(K60:K60)</f>
        <v>0</v>
      </c>
      <c r="L59" s="495"/>
      <c r="M59" s="495">
        <f>SUM(M60:M60)</f>
        <v>0</v>
      </c>
      <c r="N59" s="495">
        <v>0</v>
      </c>
      <c r="O59" s="495">
        <f>SUM(O60:O60)</f>
        <v>0</v>
      </c>
      <c r="P59" s="495"/>
      <c r="Q59" s="495">
        <f>SUM(Q60:Q60)</f>
        <v>0</v>
      </c>
      <c r="R59" s="495">
        <v>0</v>
      </c>
      <c r="S59" s="495"/>
      <c r="T59" s="495"/>
      <c r="U59" s="495">
        <f>SUM(U60:U60)</f>
        <v>0</v>
      </c>
      <c r="V59" s="495">
        <v>0</v>
      </c>
      <c r="W59" s="495">
        <f>SUM(W60:W60)</f>
        <v>0</v>
      </c>
      <c r="X59" s="495"/>
      <c r="Y59" s="495">
        <f>SUM(Y60:Y60)</f>
        <v>0</v>
      </c>
      <c r="Z59" s="495">
        <v>0</v>
      </c>
      <c r="AA59" s="495">
        <f>SUM(AA60:AA60)</f>
        <v>0</v>
      </c>
      <c r="AB59" s="495"/>
      <c r="AC59" s="495">
        <v>0</v>
      </c>
      <c r="AD59" s="495">
        <v>0</v>
      </c>
      <c r="AE59" s="495"/>
      <c r="AF59" s="495"/>
      <c r="AG59" s="495">
        <v>0</v>
      </c>
      <c r="AH59" s="495">
        <v>0</v>
      </c>
      <c r="AI59" s="495"/>
      <c r="AJ59" s="495"/>
      <c r="AK59" s="495">
        <v>0</v>
      </c>
      <c r="AL59" s="495">
        <v>0</v>
      </c>
      <c r="AM59" s="495"/>
    </row>
    <row r="60" spans="1:39" ht="15" hidden="1" customHeight="1" x14ac:dyDescent="0.25">
      <c r="A60" s="488"/>
      <c r="B60" s="545" t="s">
        <v>1412</v>
      </c>
      <c r="C60" s="494"/>
      <c r="D60" s="494"/>
      <c r="E60" s="494"/>
      <c r="F60" s="494"/>
      <c r="G60" s="494"/>
      <c r="H60" s="368"/>
      <c r="I60" s="494"/>
      <c r="J60" s="494"/>
      <c r="K60" s="494"/>
      <c r="L60" s="494"/>
      <c r="M60" s="494"/>
      <c r="N60" s="494"/>
      <c r="O60" s="494"/>
      <c r="P60" s="494"/>
      <c r="Q60" s="494"/>
      <c r="R60" s="494"/>
      <c r="S60" s="494"/>
      <c r="T60" s="494"/>
      <c r="U60" s="494"/>
      <c r="V60" s="494"/>
      <c r="W60" s="494"/>
      <c r="X60" s="494"/>
      <c r="Y60" s="494">
        <v>0</v>
      </c>
      <c r="Z60" s="494"/>
      <c r="AA60" s="494">
        <f t="shared" ref="AA60" si="142">SUM(X60:Z60)</f>
        <v>0</v>
      </c>
      <c r="AB60" s="494"/>
      <c r="AC60" s="494"/>
      <c r="AD60" s="494"/>
      <c r="AE60" s="494"/>
      <c r="AF60" s="494"/>
      <c r="AG60" s="494"/>
      <c r="AH60" s="494"/>
      <c r="AI60" s="494"/>
      <c r="AJ60" s="494"/>
      <c r="AK60" s="494"/>
      <c r="AL60" s="494"/>
      <c r="AM60" s="494"/>
    </row>
    <row r="61" spans="1:39" x14ac:dyDescent="0.25">
      <c r="A61" s="482" t="s">
        <v>318</v>
      </c>
      <c r="B61" s="483" t="s">
        <v>319</v>
      </c>
      <c r="C61" s="484">
        <f t="shared" ref="C61" si="143">C62+C70+C78</f>
        <v>0</v>
      </c>
      <c r="D61" s="484">
        <f t="shared" ref="D61:E61" si="144">D62+D70+D78</f>
        <v>51463</v>
      </c>
      <c r="E61" s="484">
        <f t="shared" si="144"/>
        <v>3600</v>
      </c>
      <c r="F61" s="484">
        <f t="shared" ref="F61" si="145">F62+F70+F78</f>
        <v>0</v>
      </c>
      <c r="G61" s="484">
        <f t="shared" si="7"/>
        <v>55063</v>
      </c>
      <c r="H61" s="725">
        <f t="shared" ref="H61:J61" si="146">H62+H70+H78</f>
        <v>842290</v>
      </c>
      <c r="I61" s="484">
        <f t="shared" si="146"/>
        <v>3600</v>
      </c>
      <c r="J61" s="484">
        <f t="shared" si="146"/>
        <v>0</v>
      </c>
      <c r="K61" s="484">
        <f t="shared" ref="K61:K84" si="147">SUM(H61:J61)</f>
        <v>845890</v>
      </c>
      <c r="L61" s="484">
        <f t="shared" ref="L61:N61" si="148">L62+L70+L78</f>
        <v>1044573</v>
      </c>
      <c r="M61" s="484">
        <f t="shared" si="148"/>
        <v>3600</v>
      </c>
      <c r="N61" s="484">
        <f t="shared" si="148"/>
        <v>0</v>
      </c>
      <c r="O61" s="484">
        <f t="shared" ref="O61:O72" si="149">SUM(L61:N61)</f>
        <v>1048173</v>
      </c>
      <c r="P61" s="484">
        <f>+P62+P70+P78</f>
        <v>2514452</v>
      </c>
      <c r="Q61" s="484">
        <f>+Q62+Q70+Q78</f>
        <v>3600</v>
      </c>
      <c r="R61" s="484">
        <f t="shared" ref="R61" si="150">R62+R70+R78</f>
        <v>0</v>
      </c>
      <c r="S61" s="484">
        <f>SUM(P61:R61)</f>
        <v>2518052</v>
      </c>
      <c r="T61" s="484">
        <f t="shared" ref="T61:V61" si="151">T62+T70+T78</f>
        <v>0</v>
      </c>
      <c r="U61" s="484">
        <f t="shared" si="151"/>
        <v>0</v>
      </c>
      <c r="V61" s="484">
        <f t="shared" si="151"/>
        <v>0</v>
      </c>
      <c r="W61" s="484">
        <f t="shared" ref="W61:W72" si="152">SUM(T61:V61)</f>
        <v>0</v>
      </c>
      <c r="X61" s="484">
        <f t="shared" ref="X61:Z61" si="153">X62+X70+X78</f>
        <v>469144</v>
      </c>
      <c r="Y61" s="484">
        <f t="shared" si="153"/>
        <v>0</v>
      </c>
      <c r="Z61" s="484">
        <f t="shared" si="153"/>
        <v>0</v>
      </c>
      <c r="AA61" s="484">
        <f t="shared" ref="AA61:AA77" si="154">SUM(X61:Z61)</f>
        <v>469144</v>
      </c>
      <c r="AB61" s="484">
        <f>+AB62+AB70+AB78</f>
        <v>2714981</v>
      </c>
      <c r="AC61" s="484">
        <f t="shared" ref="AC61:AD61" si="155">+AC62+AC70+AC78</f>
        <v>3600</v>
      </c>
      <c r="AD61" s="484">
        <f t="shared" si="155"/>
        <v>0</v>
      </c>
      <c r="AE61" s="484">
        <f>SUM(AB61:AD61)</f>
        <v>2718581</v>
      </c>
      <c r="AF61" s="484">
        <f>+AF62+AF70+AF78</f>
        <v>2952629</v>
      </c>
      <c r="AG61" s="484">
        <f t="shared" ref="AG61:AH61" si="156">+AG62+AG70+AG78</f>
        <v>3600</v>
      </c>
      <c r="AH61" s="484">
        <f t="shared" si="156"/>
        <v>0</v>
      </c>
      <c r="AI61" s="484">
        <f>SUM(AF61:AH61)</f>
        <v>2956229</v>
      </c>
      <c r="AJ61" s="484">
        <f>+AJ62+AJ70+AJ78</f>
        <v>638829</v>
      </c>
      <c r="AK61" s="484">
        <f t="shared" ref="AK61:AL61" si="157">+AK62+AK70+AK78</f>
        <v>1165</v>
      </c>
      <c r="AL61" s="484">
        <f t="shared" si="157"/>
        <v>0</v>
      </c>
      <c r="AM61" s="484">
        <f>SUM(AJ61:AL61)</f>
        <v>639994</v>
      </c>
    </row>
    <row r="62" spans="1:39" x14ac:dyDescent="0.25">
      <c r="A62" s="485" t="s">
        <v>311</v>
      </c>
      <c r="B62" s="486" t="s">
        <v>320</v>
      </c>
      <c r="C62" s="487">
        <f t="shared" ref="C62" si="158">C63+C64+C65</f>
        <v>0</v>
      </c>
      <c r="D62" s="487">
        <f t="shared" ref="D62:E62" si="159">D63+D64+D65</f>
        <v>16463</v>
      </c>
      <c r="E62" s="487">
        <f t="shared" si="159"/>
        <v>0</v>
      </c>
      <c r="F62" s="487">
        <f t="shared" ref="F62" si="160">F63+F64+F65</f>
        <v>0</v>
      </c>
      <c r="G62" s="487">
        <f t="shared" si="7"/>
        <v>16463</v>
      </c>
      <c r="H62" s="728">
        <f t="shared" ref="H62:J62" si="161">H63+H64+H65</f>
        <v>819290</v>
      </c>
      <c r="I62" s="497">
        <f t="shared" si="161"/>
        <v>0</v>
      </c>
      <c r="J62" s="487">
        <f t="shared" si="161"/>
        <v>0</v>
      </c>
      <c r="K62" s="497">
        <f t="shared" si="147"/>
        <v>819290</v>
      </c>
      <c r="L62" s="487">
        <f t="shared" ref="L62:N62" si="162">L63+L64+L65</f>
        <v>1021573</v>
      </c>
      <c r="M62" s="497">
        <f t="shared" si="162"/>
        <v>0</v>
      </c>
      <c r="N62" s="487">
        <f t="shared" si="162"/>
        <v>0</v>
      </c>
      <c r="O62" s="497">
        <f t="shared" si="149"/>
        <v>1021573</v>
      </c>
      <c r="P62" s="487">
        <f>+P63+P64+P65</f>
        <v>2479452</v>
      </c>
      <c r="Q62" s="497">
        <f t="shared" ref="Q62:R62" si="163">Q63+Q64+Q65</f>
        <v>0</v>
      </c>
      <c r="R62" s="487">
        <f t="shared" si="163"/>
        <v>0</v>
      </c>
      <c r="S62" s="497">
        <f>SUM(P62:R62)</f>
        <v>2479452</v>
      </c>
      <c r="T62" s="487">
        <f t="shared" ref="T62:V62" si="164">T63+T64+T65</f>
        <v>0</v>
      </c>
      <c r="U62" s="497">
        <f t="shared" si="164"/>
        <v>0</v>
      </c>
      <c r="V62" s="487">
        <f t="shared" si="164"/>
        <v>0</v>
      </c>
      <c r="W62" s="497">
        <f t="shared" si="152"/>
        <v>0</v>
      </c>
      <c r="X62" s="487">
        <f t="shared" ref="X62:Z62" si="165">X63+X64+X65</f>
        <v>462464</v>
      </c>
      <c r="Y62" s="497">
        <f t="shared" si="165"/>
        <v>0</v>
      </c>
      <c r="Z62" s="487">
        <f t="shared" si="165"/>
        <v>0</v>
      </c>
      <c r="AA62" s="497">
        <f t="shared" si="154"/>
        <v>462464</v>
      </c>
      <c r="AB62" s="487">
        <f>+AB63+AB64+AB65</f>
        <v>2679981</v>
      </c>
      <c r="AC62" s="487">
        <f t="shared" ref="AC62:AD62" si="166">+AC63+AC64+AC65</f>
        <v>0</v>
      </c>
      <c r="AD62" s="487">
        <f t="shared" si="166"/>
        <v>0</v>
      </c>
      <c r="AE62" s="497">
        <f>SUM(AB62:AD62)</f>
        <v>2679981</v>
      </c>
      <c r="AF62" s="487">
        <f>+AF63+AF64+AF65</f>
        <v>2917629</v>
      </c>
      <c r="AG62" s="487">
        <f t="shared" ref="AG62:AH62" si="167">+AG63+AG64+AG65</f>
        <v>0</v>
      </c>
      <c r="AH62" s="487">
        <f t="shared" si="167"/>
        <v>0</v>
      </c>
      <c r="AI62" s="497">
        <f>SUM(AF62:AH62)</f>
        <v>2917629</v>
      </c>
      <c r="AJ62" s="487">
        <f>+AJ63+AJ64+AJ65</f>
        <v>637065</v>
      </c>
      <c r="AK62" s="487">
        <f t="shared" ref="AK62:AL62" si="168">+AK63+AK64+AK65</f>
        <v>0</v>
      </c>
      <c r="AL62" s="487">
        <f t="shared" si="168"/>
        <v>0</v>
      </c>
      <c r="AM62" s="497">
        <f>SUM(AJ62:AL62)</f>
        <v>637065</v>
      </c>
    </row>
    <row r="63" spans="1:39" x14ac:dyDescent="0.25">
      <c r="A63" s="488"/>
      <c r="B63" s="498" t="s">
        <v>513</v>
      </c>
      <c r="C63" s="495">
        <v>0</v>
      </c>
      <c r="D63" s="495">
        <v>0</v>
      </c>
      <c r="E63" s="495">
        <v>0</v>
      </c>
      <c r="F63" s="495">
        <v>0</v>
      </c>
      <c r="G63" s="495">
        <f t="shared" si="7"/>
        <v>0</v>
      </c>
      <c r="H63" s="365">
        <v>42000</v>
      </c>
      <c r="I63" s="499">
        <v>0</v>
      </c>
      <c r="J63" s="495">
        <v>0</v>
      </c>
      <c r="K63" s="729">
        <f t="shared" si="147"/>
        <v>42000</v>
      </c>
      <c r="L63" s="495">
        <v>59531</v>
      </c>
      <c r="M63" s="499">
        <v>0</v>
      </c>
      <c r="N63" s="495">
        <v>0</v>
      </c>
      <c r="O63" s="499">
        <f t="shared" si="149"/>
        <v>59531</v>
      </c>
      <c r="P63" s="495">
        <v>2462989</v>
      </c>
      <c r="Q63" s="499">
        <v>0</v>
      </c>
      <c r="R63" s="495">
        <v>0</v>
      </c>
      <c r="S63" s="499">
        <f>SUM(P63:R63)</f>
        <v>2462989</v>
      </c>
      <c r="T63" s="495">
        <v>0</v>
      </c>
      <c r="U63" s="499">
        <v>0</v>
      </c>
      <c r="V63" s="495">
        <v>0</v>
      </c>
      <c r="W63" s="499">
        <f t="shared" si="152"/>
        <v>0</v>
      </c>
      <c r="X63" s="495">
        <v>42000</v>
      </c>
      <c r="Y63" s="499">
        <v>0</v>
      </c>
      <c r="Z63" s="495">
        <v>0</v>
      </c>
      <c r="AA63" s="499">
        <f t="shared" si="154"/>
        <v>42000</v>
      </c>
      <c r="AB63" s="495">
        <v>2663518</v>
      </c>
      <c r="AC63" s="499">
        <v>0</v>
      </c>
      <c r="AD63" s="495">
        <v>0</v>
      </c>
      <c r="AE63" s="499">
        <f>SUM(AB63:AD63)</f>
        <v>2663518</v>
      </c>
      <c r="AF63" s="495">
        <v>2901166</v>
      </c>
      <c r="AG63" s="499"/>
      <c r="AH63" s="495"/>
      <c r="AI63" s="499">
        <f>SUM(AF63:AH63)</f>
        <v>2901166</v>
      </c>
      <c r="AJ63" s="495">
        <v>634219</v>
      </c>
      <c r="AK63" s="499"/>
      <c r="AL63" s="495"/>
      <c r="AM63" s="499">
        <f>SUM(AJ63:AL63)</f>
        <v>634219</v>
      </c>
    </row>
    <row r="64" spans="1:39" x14ac:dyDescent="0.25">
      <c r="A64" s="488"/>
      <c r="B64" s="498" t="s">
        <v>514</v>
      </c>
      <c r="C64" s="495">
        <v>0</v>
      </c>
      <c r="D64" s="495">
        <v>0</v>
      </c>
      <c r="E64" s="495">
        <v>0</v>
      </c>
      <c r="F64" s="495">
        <v>0</v>
      </c>
      <c r="G64" s="495">
        <f t="shared" si="7"/>
        <v>0</v>
      </c>
      <c r="H64" s="365">
        <v>0</v>
      </c>
      <c r="I64" s="499">
        <v>0</v>
      </c>
      <c r="J64" s="495">
        <v>0</v>
      </c>
      <c r="K64" s="729">
        <f t="shared" si="147"/>
        <v>0</v>
      </c>
      <c r="L64" s="495">
        <v>0</v>
      </c>
      <c r="M64" s="499">
        <v>0</v>
      </c>
      <c r="N64" s="495">
        <v>0</v>
      </c>
      <c r="O64" s="499">
        <f t="shared" si="149"/>
        <v>0</v>
      </c>
      <c r="P64" s="495"/>
      <c r="Q64" s="499">
        <v>0</v>
      </c>
      <c r="R64" s="495">
        <v>0</v>
      </c>
      <c r="S64" s="499">
        <f t="shared" ref="S64:S69" si="169">SUM(P64:R64)</f>
        <v>0</v>
      </c>
      <c r="T64" s="495">
        <v>0</v>
      </c>
      <c r="U64" s="499">
        <v>0</v>
      </c>
      <c r="V64" s="495">
        <v>0</v>
      </c>
      <c r="W64" s="499">
        <f t="shared" si="152"/>
        <v>0</v>
      </c>
      <c r="X64" s="495">
        <v>0</v>
      </c>
      <c r="Y64" s="499">
        <v>0</v>
      </c>
      <c r="Z64" s="495">
        <v>0</v>
      </c>
      <c r="AA64" s="499">
        <f t="shared" si="154"/>
        <v>0</v>
      </c>
      <c r="AB64" s="495"/>
      <c r="AC64" s="499">
        <v>0</v>
      </c>
      <c r="AD64" s="495">
        <v>0</v>
      </c>
      <c r="AE64" s="499">
        <v>0</v>
      </c>
      <c r="AF64" s="495"/>
      <c r="AG64" s="499">
        <v>0</v>
      </c>
      <c r="AH64" s="495">
        <v>0</v>
      </c>
      <c r="AI64" s="499">
        <v>0</v>
      </c>
      <c r="AJ64" s="495"/>
      <c r="AK64" s="499">
        <v>0</v>
      </c>
      <c r="AL64" s="495">
        <v>0</v>
      </c>
      <c r="AM64" s="499">
        <v>0</v>
      </c>
    </row>
    <row r="65" spans="1:39" ht="30" x14ac:dyDescent="0.25">
      <c r="A65" s="488"/>
      <c r="B65" s="546" t="s">
        <v>515</v>
      </c>
      <c r="C65" s="495">
        <v>0</v>
      </c>
      <c r="D65" s="495">
        <v>16463</v>
      </c>
      <c r="E65" s="495"/>
      <c r="F65" s="495"/>
      <c r="G65" s="495">
        <f>SUM(D65:F65)</f>
        <v>16463</v>
      </c>
      <c r="H65" s="365">
        <f>SUM(H66:H69)</f>
        <v>777290</v>
      </c>
      <c r="I65" s="499"/>
      <c r="J65" s="495"/>
      <c r="K65" s="729">
        <f t="shared" si="147"/>
        <v>777290</v>
      </c>
      <c r="L65" s="495">
        <f>SUM(L66:L69)</f>
        <v>962042</v>
      </c>
      <c r="M65" s="499"/>
      <c r="N65" s="495"/>
      <c r="O65" s="368">
        <f>SUM(L65:N65)</f>
        <v>962042</v>
      </c>
      <c r="P65" s="495">
        <f>SUM(P66:P69)</f>
        <v>16463</v>
      </c>
      <c r="Q65" s="499"/>
      <c r="R65" s="495"/>
      <c r="S65" s="499">
        <f t="shared" si="169"/>
        <v>16463</v>
      </c>
      <c r="T65" s="495"/>
      <c r="U65" s="499"/>
      <c r="V65" s="495"/>
      <c r="W65" s="499"/>
      <c r="X65" s="495">
        <f>SUM(X66:X69)</f>
        <v>420464</v>
      </c>
      <c r="Y65" s="499">
        <v>0</v>
      </c>
      <c r="Z65" s="495">
        <v>0</v>
      </c>
      <c r="AA65" s="499">
        <f t="shared" si="154"/>
        <v>420464</v>
      </c>
      <c r="AB65" s="495">
        <v>16463</v>
      </c>
      <c r="AC65" s="499"/>
      <c r="AD65" s="495"/>
      <c r="AE65" s="499">
        <v>16463</v>
      </c>
      <c r="AF65" s="495">
        <f>SUM(AF66:AF68)</f>
        <v>16463</v>
      </c>
      <c r="AG65" s="495">
        <f t="shared" ref="AG65:AH65" si="170">SUM(AG66:AG68)</f>
        <v>0</v>
      </c>
      <c r="AH65" s="495">
        <f t="shared" si="170"/>
        <v>0</v>
      </c>
      <c r="AI65" s="499">
        <f>SUM(AF65:AH65)</f>
        <v>16463</v>
      </c>
      <c r="AJ65" s="495">
        <f>SUM(AJ66:AJ68)</f>
        <v>2846</v>
      </c>
      <c r="AK65" s="495">
        <f t="shared" ref="AK65:AL65" si="171">SUM(AK66:AK68)</f>
        <v>0</v>
      </c>
      <c r="AL65" s="495">
        <f t="shared" si="171"/>
        <v>0</v>
      </c>
      <c r="AM65" s="499">
        <f>SUM(AJ65:AL65)</f>
        <v>2846</v>
      </c>
    </row>
    <row r="66" spans="1:39" x14ac:dyDescent="0.25">
      <c r="A66" s="488"/>
      <c r="B66" s="238" t="s">
        <v>1286</v>
      </c>
      <c r="C66" s="288"/>
      <c r="D66" s="288">
        <v>450</v>
      </c>
      <c r="E66" s="288"/>
      <c r="F66" s="288"/>
      <c r="G66" s="495">
        <f t="shared" ref="G66:G68" si="172">SUM(D66:F66)</f>
        <v>450</v>
      </c>
      <c r="H66" s="368">
        <v>450</v>
      </c>
      <c r="I66" s="368"/>
      <c r="J66" s="288"/>
      <c r="K66" s="729">
        <f t="shared" si="147"/>
        <v>450</v>
      </c>
      <c r="L66" s="288">
        <v>450</v>
      </c>
      <c r="M66" s="368"/>
      <c r="N66" s="288"/>
      <c r="O66" s="368">
        <f t="shared" ref="O66:O69" si="173">SUM(L66:N66)</f>
        <v>450</v>
      </c>
      <c r="P66" s="288">
        <v>450</v>
      </c>
      <c r="Q66" s="368"/>
      <c r="R66" s="288"/>
      <c r="S66" s="499">
        <f t="shared" si="169"/>
        <v>450</v>
      </c>
      <c r="T66" s="288"/>
      <c r="U66" s="368"/>
      <c r="V66" s="288"/>
      <c r="W66" s="368"/>
      <c r="X66" s="288">
        <v>1015</v>
      </c>
      <c r="Y66" s="368"/>
      <c r="Z66" s="288"/>
      <c r="AA66" s="368">
        <f>SUM(X66:Z66)</f>
        <v>1015</v>
      </c>
      <c r="AB66" s="288">
        <v>450</v>
      </c>
      <c r="AC66" s="368"/>
      <c r="AD66" s="288"/>
      <c r="AE66" s="499">
        <v>450</v>
      </c>
      <c r="AF66" s="288">
        <v>450</v>
      </c>
      <c r="AG66" s="368"/>
      <c r="AH66" s="288"/>
      <c r="AI66" s="499">
        <f t="shared" ref="AI66:AI68" si="174">SUM(AF66:AH66)</f>
        <v>450</v>
      </c>
      <c r="AJ66" s="288">
        <v>160</v>
      </c>
      <c r="AK66" s="368"/>
      <c r="AL66" s="288"/>
      <c r="AM66" s="499">
        <f t="shared" ref="AM66:AM69" si="175">SUM(AJ66:AL66)</f>
        <v>160</v>
      </c>
    </row>
    <row r="67" spans="1:39" x14ac:dyDescent="0.25">
      <c r="A67" s="488"/>
      <c r="B67" s="238" t="s">
        <v>1287</v>
      </c>
      <c r="C67" s="288"/>
      <c r="D67" s="288">
        <v>13327</v>
      </c>
      <c r="E67" s="288"/>
      <c r="F67" s="288"/>
      <c r="G67" s="495">
        <f t="shared" si="172"/>
        <v>13327</v>
      </c>
      <c r="H67" s="368">
        <v>13327</v>
      </c>
      <c r="I67" s="368"/>
      <c r="J67" s="288"/>
      <c r="K67" s="729">
        <f t="shared" si="147"/>
        <v>13327</v>
      </c>
      <c r="L67" s="288">
        <v>13327</v>
      </c>
      <c r="M67" s="368"/>
      <c r="N67" s="288"/>
      <c r="O67" s="368">
        <f t="shared" si="173"/>
        <v>13327</v>
      </c>
      <c r="P67" s="288">
        <v>13327</v>
      </c>
      <c r="Q67" s="368"/>
      <c r="R67" s="288"/>
      <c r="S67" s="499">
        <f t="shared" si="169"/>
        <v>13327</v>
      </c>
      <c r="T67" s="288"/>
      <c r="U67" s="368"/>
      <c r="V67" s="288"/>
      <c r="W67" s="368"/>
      <c r="X67" s="288">
        <v>0</v>
      </c>
      <c r="Y67" s="368"/>
      <c r="Z67" s="288"/>
      <c r="AA67" s="368">
        <f t="shared" ref="AA67:AA68" si="176">SUM(X67:Z67)</f>
        <v>0</v>
      </c>
      <c r="AB67" s="288">
        <v>13327</v>
      </c>
      <c r="AC67" s="368"/>
      <c r="AD67" s="288"/>
      <c r="AE67" s="499">
        <v>13327</v>
      </c>
      <c r="AF67" s="288">
        <v>13327</v>
      </c>
      <c r="AG67" s="368"/>
      <c r="AH67" s="288"/>
      <c r="AI67" s="499">
        <f t="shared" si="174"/>
        <v>13327</v>
      </c>
      <c r="AJ67" s="288"/>
      <c r="AK67" s="368"/>
      <c r="AL67" s="288"/>
      <c r="AM67" s="499">
        <f t="shared" si="175"/>
        <v>0</v>
      </c>
    </row>
    <row r="68" spans="1:39" x14ac:dyDescent="0.25">
      <c r="A68" s="488"/>
      <c r="B68" s="238" t="s">
        <v>1288</v>
      </c>
      <c r="C68" s="288"/>
      <c r="D68" s="288">
        <v>2686</v>
      </c>
      <c r="E68" s="288"/>
      <c r="F68" s="288"/>
      <c r="G68" s="495">
        <f t="shared" si="172"/>
        <v>2686</v>
      </c>
      <c r="H68" s="368">
        <v>2686</v>
      </c>
      <c r="I68" s="368"/>
      <c r="J68" s="288"/>
      <c r="K68" s="729">
        <f t="shared" si="147"/>
        <v>2686</v>
      </c>
      <c r="L68" s="288">
        <v>2686</v>
      </c>
      <c r="M68" s="368"/>
      <c r="N68" s="288"/>
      <c r="O68" s="368">
        <f t="shared" si="173"/>
        <v>2686</v>
      </c>
      <c r="P68" s="288">
        <v>2686</v>
      </c>
      <c r="Q68" s="368"/>
      <c r="R68" s="288"/>
      <c r="S68" s="499">
        <f t="shared" si="169"/>
        <v>2686</v>
      </c>
      <c r="T68" s="288"/>
      <c r="U68" s="368"/>
      <c r="V68" s="288"/>
      <c r="W68" s="368"/>
      <c r="X68" s="288">
        <v>0</v>
      </c>
      <c r="Y68" s="368"/>
      <c r="Z68" s="288"/>
      <c r="AA68" s="368">
        <f t="shared" si="176"/>
        <v>0</v>
      </c>
      <c r="AB68" s="288">
        <v>2686</v>
      </c>
      <c r="AC68" s="368"/>
      <c r="AD68" s="288"/>
      <c r="AE68" s="499">
        <v>2686</v>
      </c>
      <c r="AF68" s="288">
        <v>2686</v>
      </c>
      <c r="AG68" s="368"/>
      <c r="AH68" s="288"/>
      <c r="AI68" s="499">
        <f t="shared" si="174"/>
        <v>2686</v>
      </c>
      <c r="AJ68" s="288">
        <v>2686</v>
      </c>
      <c r="AK68" s="368"/>
      <c r="AL68" s="288"/>
      <c r="AM68" s="499">
        <f t="shared" si="175"/>
        <v>2686</v>
      </c>
    </row>
    <row r="69" spans="1:39" x14ac:dyDescent="0.25">
      <c r="A69" s="488"/>
      <c r="B69" s="238" t="s">
        <v>1371</v>
      </c>
      <c r="C69" s="288"/>
      <c r="D69" s="288"/>
      <c r="E69" s="288"/>
      <c r="F69" s="288"/>
      <c r="G69" s="495"/>
      <c r="H69" s="368">
        <v>760827</v>
      </c>
      <c r="I69" s="368"/>
      <c r="J69" s="288"/>
      <c r="K69" s="729">
        <f t="shared" si="147"/>
        <v>760827</v>
      </c>
      <c r="L69" s="288">
        <v>945579</v>
      </c>
      <c r="M69" s="368"/>
      <c r="N69" s="288"/>
      <c r="O69" s="368">
        <f t="shared" si="173"/>
        <v>945579</v>
      </c>
      <c r="P69" s="288"/>
      <c r="Q69" s="368"/>
      <c r="R69" s="288"/>
      <c r="S69" s="499">
        <f t="shared" si="169"/>
        <v>0</v>
      </c>
      <c r="T69" s="288"/>
      <c r="U69" s="368"/>
      <c r="V69" s="288"/>
      <c r="W69" s="368"/>
      <c r="X69" s="288">
        <v>419449</v>
      </c>
      <c r="Y69" s="368"/>
      <c r="Z69" s="288"/>
      <c r="AA69" s="368">
        <f>SUM(X69:Z69)</f>
        <v>419449</v>
      </c>
      <c r="AB69" s="288"/>
      <c r="AC69" s="368"/>
      <c r="AD69" s="288"/>
      <c r="AE69" s="499">
        <v>0</v>
      </c>
      <c r="AF69" s="288"/>
      <c r="AG69" s="368"/>
      <c r="AH69" s="288"/>
      <c r="AI69" s="499">
        <f>SUM(AF69:AH69)</f>
        <v>0</v>
      </c>
      <c r="AJ69" s="288">
        <v>0</v>
      </c>
      <c r="AK69" s="368"/>
      <c r="AL69" s="288"/>
      <c r="AM69" s="499">
        <f t="shared" si="175"/>
        <v>0</v>
      </c>
    </row>
    <row r="70" spans="1:39" x14ac:dyDescent="0.25">
      <c r="A70" s="643" t="s">
        <v>322</v>
      </c>
      <c r="B70" s="644" t="s">
        <v>257</v>
      </c>
      <c r="C70" s="645">
        <f t="shared" ref="C70" si="177">C71+C72+C76+C77</f>
        <v>0</v>
      </c>
      <c r="D70" s="645">
        <f t="shared" ref="D70:E70" si="178">D71+D72+D76+D77</f>
        <v>35000</v>
      </c>
      <c r="E70" s="645">
        <f t="shared" si="178"/>
        <v>0</v>
      </c>
      <c r="F70" s="645">
        <f t="shared" ref="F70" si="179">F71+F72+F76+F77</f>
        <v>0</v>
      </c>
      <c r="G70" s="645">
        <f t="shared" si="7"/>
        <v>35000</v>
      </c>
      <c r="H70" s="726">
        <f t="shared" ref="H70:J70" si="180">H71+H72+H76+H77</f>
        <v>23000</v>
      </c>
      <c r="I70" s="645">
        <f t="shared" si="180"/>
        <v>0</v>
      </c>
      <c r="J70" s="645">
        <f t="shared" si="180"/>
        <v>0</v>
      </c>
      <c r="K70" s="497">
        <f t="shared" si="147"/>
        <v>23000</v>
      </c>
      <c r="L70" s="645">
        <f t="shared" ref="L70:N70" si="181">L71+L72+L76+L77</f>
        <v>23000</v>
      </c>
      <c r="M70" s="645">
        <f t="shared" si="181"/>
        <v>0</v>
      </c>
      <c r="N70" s="645">
        <f t="shared" si="181"/>
        <v>0</v>
      </c>
      <c r="O70" s="645">
        <f t="shared" si="149"/>
        <v>23000</v>
      </c>
      <c r="P70" s="645">
        <f>+P71+P72+P76+P77</f>
        <v>35000</v>
      </c>
      <c r="Q70" s="645">
        <f t="shared" ref="Q70:R70" si="182">Q71+Q72+Q76+Q77</f>
        <v>0</v>
      </c>
      <c r="R70" s="645">
        <f t="shared" si="182"/>
        <v>0</v>
      </c>
      <c r="S70" s="645">
        <f>SUM(P70:R70)</f>
        <v>35000</v>
      </c>
      <c r="T70" s="645">
        <f t="shared" ref="T70:V70" si="183">T71+T72+T76+T77</f>
        <v>0</v>
      </c>
      <c r="U70" s="645">
        <f t="shared" si="183"/>
        <v>0</v>
      </c>
      <c r="V70" s="645">
        <f t="shared" si="183"/>
        <v>0</v>
      </c>
      <c r="W70" s="645">
        <f t="shared" si="152"/>
        <v>0</v>
      </c>
      <c r="X70" s="645">
        <f t="shared" ref="X70:Z70" si="184">X71+X72+X76+X77</f>
        <v>6680</v>
      </c>
      <c r="Y70" s="645">
        <f t="shared" si="184"/>
        <v>0</v>
      </c>
      <c r="Z70" s="645">
        <f t="shared" si="184"/>
        <v>0</v>
      </c>
      <c r="AA70" s="645">
        <f t="shared" si="154"/>
        <v>6680</v>
      </c>
      <c r="AB70" s="645">
        <v>35000</v>
      </c>
      <c r="AC70" s="645">
        <v>0</v>
      </c>
      <c r="AD70" s="645">
        <v>0</v>
      </c>
      <c r="AE70" s="645">
        <v>35000</v>
      </c>
      <c r="AF70" s="645">
        <f>+AF71+AF72+AF76+AF77</f>
        <v>35000</v>
      </c>
      <c r="AG70" s="645">
        <f t="shared" ref="AG70:AH70" si="185">+AG71+AG72+AG76+AG77</f>
        <v>0</v>
      </c>
      <c r="AH70" s="645">
        <f t="shared" si="185"/>
        <v>0</v>
      </c>
      <c r="AI70" s="645">
        <f>SUM(AF70:AH70)</f>
        <v>35000</v>
      </c>
      <c r="AJ70" s="645">
        <f>+AJ71+AJ72+AJ76+AJ77</f>
        <v>1764</v>
      </c>
      <c r="AK70" s="645">
        <f t="shared" ref="AK70:AL70" si="186">+AK71+AK72+AK76+AK77</f>
        <v>0</v>
      </c>
      <c r="AL70" s="645">
        <f t="shared" si="186"/>
        <v>0</v>
      </c>
      <c r="AM70" s="645">
        <f>SUM(AJ70:AL70)</f>
        <v>1764</v>
      </c>
    </row>
    <row r="71" spans="1:39" x14ac:dyDescent="0.25">
      <c r="A71" s="488"/>
      <c r="B71" s="498" t="s">
        <v>323</v>
      </c>
      <c r="C71" s="495">
        <v>0</v>
      </c>
      <c r="D71" s="495">
        <v>0</v>
      </c>
      <c r="E71" s="495">
        <v>0</v>
      </c>
      <c r="F71" s="495">
        <v>0</v>
      </c>
      <c r="G71" s="495">
        <f t="shared" si="7"/>
        <v>0</v>
      </c>
      <c r="H71" s="365">
        <v>0</v>
      </c>
      <c r="I71" s="495">
        <v>0</v>
      </c>
      <c r="J71" s="495">
        <v>0</v>
      </c>
      <c r="K71" s="729">
        <f t="shared" si="147"/>
        <v>0</v>
      </c>
      <c r="L71" s="495">
        <v>0</v>
      </c>
      <c r="M71" s="495">
        <v>0</v>
      </c>
      <c r="N71" s="495">
        <v>0</v>
      </c>
      <c r="O71" s="495">
        <f t="shared" si="149"/>
        <v>0</v>
      </c>
      <c r="P71" s="495"/>
      <c r="Q71" s="495">
        <v>0</v>
      </c>
      <c r="R71" s="495">
        <v>0</v>
      </c>
      <c r="S71" s="495">
        <f>SUM(P71:R71)</f>
        <v>0</v>
      </c>
      <c r="T71" s="495">
        <v>0</v>
      </c>
      <c r="U71" s="495">
        <v>0</v>
      </c>
      <c r="V71" s="495">
        <v>0</v>
      </c>
      <c r="W71" s="495">
        <f t="shared" si="152"/>
        <v>0</v>
      </c>
      <c r="X71" s="495">
        <v>0</v>
      </c>
      <c r="Y71" s="495">
        <v>0</v>
      </c>
      <c r="Z71" s="495">
        <v>0</v>
      </c>
      <c r="AA71" s="495">
        <f t="shared" si="154"/>
        <v>0</v>
      </c>
      <c r="AB71" s="495"/>
      <c r="AC71" s="495">
        <v>0</v>
      </c>
      <c r="AD71" s="495">
        <v>0</v>
      </c>
      <c r="AE71" s="495">
        <v>0</v>
      </c>
      <c r="AF71" s="495"/>
      <c r="AG71" s="495">
        <v>0</v>
      </c>
      <c r="AH71" s="495">
        <v>0</v>
      </c>
      <c r="AI71" s="495">
        <v>0</v>
      </c>
      <c r="AJ71" s="495"/>
      <c r="AK71" s="495">
        <v>0</v>
      </c>
      <c r="AL71" s="495">
        <v>0</v>
      </c>
      <c r="AM71" s="495">
        <v>0</v>
      </c>
    </row>
    <row r="72" spans="1:39" x14ac:dyDescent="0.25">
      <c r="A72" s="488"/>
      <c r="B72" s="498" t="s">
        <v>516</v>
      </c>
      <c r="C72" s="495">
        <f t="shared" ref="C72:F72" si="187">SUM(C73:C75)</f>
        <v>0</v>
      </c>
      <c r="D72" s="495">
        <v>35000</v>
      </c>
      <c r="E72" s="495">
        <f t="shared" si="187"/>
        <v>0</v>
      </c>
      <c r="F72" s="495">
        <f t="shared" si="187"/>
        <v>0</v>
      </c>
      <c r="G72" s="495">
        <f t="shared" si="7"/>
        <v>35000</v>
      </c>
      <c r="H72" s="365">
        <v>23000</v>
      </c>
      <c r="I72" s="495">
        <f t="shared" ref="I72:J72" si="188">SUM(I73:I75)</f>
        <v>0</v>
      </c>
      <c r="J72" s="495">
        <f t="shared" si="188"/>
        <v>0</v>
      </c>
      <c r="K72" s="729">
        <f t="shared" si="147"/>
        <v>23000</v>
      </c>
      <c r="L72" s="495">
        <v>23000</v>
      </c>
      <c r="M72" s="495">
        <f t="shared" ref="M72:N72" si="189">SUM(M73:M75)</f>
        <v>0</v>
      </c>
      <c r="N72" s="495">
        <f t="shared" si="189"/>
        <v>0</v>
      </c>
      <c r="O72" s="495">
        <f t="shared" si="149"/>
        <v>23000</v>
      </c>
      <c r="P72" s="495">
        <v>35000</v>
      </c>
      <c r="Q72" s="495">
        <f t="shared" ref="Q72:R72" si="190">SUM(Q73:Q75)</f>
        <v>0</v>
      </c>
      <c r="R72" s="495">
        <f t="shared" si="190"/>
        <v>0</v>
      </c>
      <c r="S72" s="495">
        <f t="shared" ref="S72:S77" si="191">SUM(P72:R72)</f>
        <v>35000</v>
      </c>
      <c r="T72" s="495">
        <f t="shared" ref="T72:V72" si="192">SUM(T73:T75)</f>
        <v>0</v>
      </c>
      <c r="U72" s="495">
        <f t="shared" si="192"/>
        <v>0</v>
      </c>
      <c r="V72" s="495">
        <f t="shared" si="192"/>
        <v>0</v>
      </c>
      <c r="W72" s="495">
        <f t="shared" si="152"/>
        <v>0</v>
      </c>
      <c r="X72" s="495">
        <v>6680</v>
      </c>
      <c r="Y72" s="495">
        <f t="shared" ref="Y72:Z72" si="193">SUM(Y73:Y75)</f>
        <v>0</v>
      </c>
      <c r="Z72" s="495">
        <f t="shared" si="193"/>
        <v>0</v>
      </c>
      <c r="AA72" s="495">
        <f t="shared" si="154"/>
        <v>6680</v>
      </c>
      <c r="AB72" s="495">
        <v>35000</v>
      </c>
      <c r="AC72" s="495">
        <v>0</v>
      </c>
      <c r="AD72" s="495">
        <v>0</v>
      </c>
      <c r="AE72" s="495">
        <v>35000</v>
      </c>
      <c r="AF72" s="495">
        <v>35000</v>
      </c>
      <c r="AG72" s="495"/>
      <c r="AH72" s="495"/>
      <c r="AI72" s="495">
        <f>SUM(AF72:AH72)</f>
        <v>35000</v>
      </c>
      <c r="AJ72" s="495">
        <v>1764</v>
      </c>
      <c r="AK72" s="495"/>
      <c r="AL72" s="495"/>
      <c r="AM72" s="495">
        <f>SUM(AJ72:AL72)</f>
        <v>1764</v>
      </c>
    </row>
    <row r="73" spans="1:39" ht="15" hidden="1" customHeight="1" x14ac:dyDescent="0.25">
      <c r="A73" s="488"/>
      <c r="B73" s="492" t="s">
        <v>517</v>
      </c>
      <c r="C73" s="494"/>
      <c r="D73" s="494"/>
      <c r="E73" s="494"/>
      <c r="F73" s="494"/>
      <c r="G73" s="494"/>
      <c r="H73" s="368"/>
      <c r="I73" s="494"/>
      <c r="J73" s="494"/>
      <c r="K73" s="729">
        <f t="shared" si="147"/>
        <v>0</v>
      </c>
      <c r="L73" s="494"/>
      <c r="M73" s="494"/>
      <c r="N73" s="494"/>
      <c r="O73" s="494"/>
      <c r="P73" s="494"/>
      <c r="Q73" s="494"/>
      <c r="R73" s="494"/>
      <c r="S73" s="495">
        <f t="shared" si="191"/>
        <v>0</v>
      </c>
      <c r="T73" s="494"/>
      <c r="U73" s="494"/>
      <c r="V73" s="494"/>
      <c r="W73" s="494"/>
      <c r="X73" s="494">
        <v>35000</v>
      </c>
      <c r="Y73" s="494">
        <v>0</v>
      </c>
      <c r="Z73" s="494">
        <v>0</v>
      </c>
      <c r="AA73" s="494">
        <f t="shared" si="154"/>
        <v>35000</v>
      </c>
      <c r="AB73" s="494"/>
      <c r="AC73" s="494"/>
      <c r="AD73" s="494"/>
      <c r="AE73" s="495">
        <v>0</v>
      </c>
      <c r="AF73" s="494"/>
      <c r="AG73" s="494"/>
      <c r="AH73" s="494"/>
      <c r="AI73" s="495">
        <v>0</v>
      </c>
      <c r="AJ73" s="494"/>
      <c r="AK73" s="494"/>
      <c r="AL73" s="494"/>
      <c r="AM73" s="495">
        <v>0</v>
      </c>
    </row>
    <row r="74" spans="1:39" ht="15" hidden="1" customHeight="1" x14ac:dyDescent="0.25">
      <c r="A74" s="488"/>
      <c r="B74" s="492" t="s">
        <v>518</v>
      </c>
      <c r="C74" s="494"/>
      <c r="D74" s="494"/>
      <c r="E74" s="494"/>
      <c r="F74" s="494"/>
      <c r="G74" s="494"/>
      <c r="H74" s="368"/>
      <c r="I74" s="494"/>
      <c r="J74" s="494"/>
      <c r="K74" s="729">
        <f t="shared" si="147"/>
        <v>0</v>
      </c>
      <c r="L74" s="494"/>
      <c r="M74" s="494"/>
      <c r="N74" s="494"/>
      <c r="O74" s="494"/>
      <c r="P74" s="494"/>
      <c r="Q74" s="494"/>
      <c r="R74" s="494"/>
      <c r="S74" s="495">
        <f t="shared" si="191"/>
        <v>0</v>
      </c>
      <c r="T74" s="494"/>
      <c r="U74" s="494"/>
      <c r="V74" s="494"/>
      <c r="W74" s="494"/>
      <c r="X74" s="494"/>
      <c r="Y74" s="494">
        <v>0</v>
      </c>
      <c r="Z74" s="494">
        <v>0</v>
      </c>
      <c r="AA74" s="494">
        <f t="shared" si="154"/>
        <v>0</v>
      </c>
      <c r="AB74" s="494"/>
      <c r="AC74" s="494"/>
      <c r="AD74" s="494"/>
      <c r="AE74" s="495">
        <v>0</v>
      </c>
      <c r="AF74" s="494"/>
      <c r="AG74" s="494"/>
      <c r="AH74" s="494"/>
      <c r="AI74" s="495">
        <v>0</v>
      </c>
      <c r="AJ74" s="494"/>
      <c r="AK74" s="494"/>
      <c r="AL74" s="494"/>
      <c r="AM74" s="495">
        <v>0</v>
      </c>
    </row>
    <row r="75" spans="1:39" ht="15" hidden="1" customHeight="1" x14ac:dyDescent="0.25">
      <c r="A75" s="538"/>
      <c r="B75" s="539" t="s">
        <v>519</v>
      </c>
      <c r="C75" s="540"/>
      <c r="D75" s="540"/>
      <c r="E75" s="540"/>
      <c r="F75" s="540"/>
      <c r="G75" s="540"/>
      <c r="H75" s="526"/>
      <c r="I75" s="540"/>
      <c r="J75" s="540"/>
      <c r="K75" s="729">
        <f t="shared" si="147"/>
        <v>0</v>
      </c>
      <c r="L75" s="540"/>
      <c r="M75" s="540"/>
      <c r="N75" s="540"/>
      <c r="O75" s="540"/>
      <c r="P75" s="540"/>
      <c r="Q75" s="540"/>
      <c r="R75" s="540"/>
      <c r="S75" s="495">
        <f t="shared" si="191"/>
        <v>0</v>
      </c>
      <c r="T75" s="540"/>
      <c r="U75" s="540"/>
      <c r="V75" s="540"/>
      <c r="W75" s="540"/>
      <c r="X75" s="540"/>
      <c r="Y75" s="540">
        <v>0</v>
      </c>
      <c r="Z75" s="540">
        <v>0</v>
      </c>
      <c r="AA75" s="540">
        <f t="shared" si="154"/>
        <v>0</v>
      </c>
      <c r="AB75" s="540"/>
      <c r="AC75" s="540"/>
      <c r="AD75" s="540"/>
      <c r="AE75" s="495">
        <v>0</v>
      </c>
      <c r="AF75" s="540"/>
      <c r="AG75" s="540"/>
      <c r="AH75" s="540"/>
      <c r="AI75" s="495">
        <v>0</v>
      </c>
      <c r="AJ75" s="540"/>
      <c r="AK75" s="540"/>
      <c r="AL75" s="540"/>
      <c r="AM75" s="495">
        <v>0</v>
      </c>
    </row>
    <row r="76" spans="1:39" x14ac:dyDescent="0.25">
      <c r="A76" s="488"/>
      <c r="B76" s="498" t="s">
        <v>520</v>
      </c>
      <c r="C76" s="495"/>
      <c r="D76" s="495"/>
      <c r="E76" s="495"/>
      <c r="F76" s="495"/>
      <c r="G76" s="495"/>
      <c r="H76" s="365"/>
      <c r="I76" s="495"/>
      <c r="J76" s="495"/>
      <c r="K76" s="729">
        <f t="shared" si="147"/>
        <v>0</v>
      </c>
      <c r="L76" s="495"/>
      <c r="M76" s="495"/>
      <c r="N76" s="495"/>
      <c r="O76" s="495"/>
      <c r="P76" s="495"/>
      <c r="Q76" s="495"/>
      <c r="R76" s="495"/>
      <c r="S76" s="495">
        <f t="shared" si="191"/>
        <v>0</v>
      </c>
      <c r="T76" s="495"/>
      <c r="U76" s="495"/>
      <c r="V76" s="495"/>
      <c r="W76" s="495"/>
      <c r="X76" s="495"/>
      <c r="Y76" s="495">
        <v>0</v>
      </c>
      <c r="Z76" s="495">
        <v>0</v>
      </c>
      <c r="AA76" s="495">
        <f t="shared" si="154"/>
        <v>0</v>
      </c>
      <c r="AB76" s="495"/>
      <c r="AC76" s="495"/>
      <c r="AD76" s="495"/>
      <c r="AE76" s="495">
        <v>0</v>
      </c>
      <c r="AF76" s="495"/>
      <c r="AG76" s="495"/>
      <c r="AH76" s="495"/>
      <c r="AI76" s="495">
        <v>0</v>
      </c>
      <c r="AJ76" s="495"/>
      <c r="AK76" s="495"/>
      <c r="AL76" s="495"/>
      <c r="AM76" s="495">
        <v>0</v>
      </c>
    </row>
    <row r="77" spans="1:39" x14ac:dyDescent="0.25">
      <c r="A77" s="488"/>
      <c r="B77" s="498" t="s">
        <v>521</v>
      </c>
      <c r="C77" s="495"/>
      <c r="D77" s="495"/>
      <c r="E77" s="495"/>
      <c r="F77" s="495"/>
      <c r="G77" s="495"/>
      <c r="H77" s="365"/>
      <c r="I77" s="495"/>
      <c r="J77" s="495"/>
      <c r="K77" s="729">
        <f t="shared" si="147"/>
        <v>0</v>
      </c>
      <c r="L77" s="495"/>
      <c r="M77" s="495"/>
      <c r="N77" s="495"/>
      <c r="O77" s="495"/>
      <c r="P77" s="495"/>
      <c r="Q77" s="495"/>
      <c r="R77" s="495"/>
      <c r="S77" s="495">
        <f t="shared" si="191"/>
        <v>0</v>
      </c>
      <c r="T77" s="495"/>
      <c r="U77" s="495"/>
      <c r="V77" s="495"/>
      <c r="W77" s="495"/>
      <c r="X77" s="495"/>
      <c r="Y77" s="495">
        <v>0</v>
      </c>
      <c r="Z77" s="495">
        <v>0</v>
      </c>
      <c r="AA77" s="495">
        <f t="shared" si="154"/>
        <v>0</v>
      </c>
      <c r="AB77" s="495"/>
      <c r="AC77" s="495"/>
      <c r="AD77" s="495"/>
      <c r="AE77" s="495">
        <v>0</v>
      </c>
      <c r="AF77" s="495"/>
      <c r="AG77" s="495"/>
      <c r="AH77" s="495"/>
      <c r="AI77" s="495">
        <v>0</v>
      </c>
      <c r="AJ77" s="495"/>
      <c r="AK77" s="495"/>
      <c r="AL77" s="495"/>
      <c r="AM77" s="495">
        <v>0</v>
      </c>
    </row>
    <row r="78" spans="1:39" x14ac:dyDescent="0.25">
      <c r="A78" s="643" t="s">
        <v>315</v>
      </c>
      <c r="B78" s="644" t="s">
        <v>325</v>
      </c>
      <c r="C78" s="645">
        <f t="shared" ref="C78" si="194">C81+C85+C79+C80</f>
        <v>0</v>
      </c>
      <c r="D78" s="645">
        <f t="shared" ref="D78:E78" si="195">D81+D85+D79+D80</f>
        <v>0</v>
      </c>
      <c r="E78" s="645">
        <f t="shared" si="195"/>
        <v>3600</v>
      </c>
      <c r="F78" s="645">
        <f t="shared" ref="F78" si="196">F81+F85+F79+F80</f>
        <v>0</v>
      </c>
      <c r="G78" s="645">
        <f t="shared" ref="G78:G108" si="197">SUM(D78:F78)</f>
        <v>3600</v>
      </c>
      <c r="H78" s="726">
        <f t="shared" ref="H78:J78" si="198">H81+H85+H79+H80</f>
        <v>0</v>
      </c>
      <c r="I78" s="645">
        <f t="shared" si="198"/>
        <v>3600</v>
      </c>
      <c r="J78" s="645">
        <f t="shared" si="198"/>
        <v>0</v>
      </c>
      <c r="K78" s="497">
        <f t="shared" si="147"/>
        <v>3600</v>
      </c>
      <c r="L78" s="645">
        <f t="shared" ref="L78:N78" si="199">L81+L85+L79+L80</f>
        <v>0</v>
      </c>
      <c r="M78" s="645">
        <f t="shared" si="199"/>
        <v>3600</v>
      </c>
      <c r="N78" s="645">
        <f t="shared" si="199"/>
        <v>0</v>
      </c>
      <c r="O78" s="645">
        <f t="shared" ref="O78:O94" si="200">SUM(L78:N78)</f>
        <v>3600</v>
      </c>
      <c r="P78" s="645">
        <f t="shared" ref="P78:R78" si="201">P81+P85+P79+P80</f>
        <v>0</v>
      </c>
      <c r="Q78" s="645">
        <f>+Q79+Q80+Q81+Q85</f>
        <v>3600</v>
      </c>
      <c r="R78" s="645">
        <f t="shared" si="201"/>
        <v>0</v>
      </c>
      <c r="S78" s="645">
        <f>SUM(P78:R78)</f>
        <v>3600</v>
      </c>
      <c r="T78" s="645">
        <f t="shared" ref="T78:V78" si="202">T81+T85+T79+T80</f>
        <v>0</v>
      </c>
      <c r="U78" s="645">
        <f t="shared" si="202"/>
        <v>0</v>
      </c>
      <c r="V78" s="645">
        <f t="shared" si="202"/>
        <v>0</v>
      </c>
      <c r="W78" s="645">
        <f t="shared" ref="W78:W94" si="203">SUM(T78:V78)</f>
        <v>0</v>
      </c>
      <c r="X78" s="645">
        <f t="shared" ref="X78:Z78" si="204">X81+X85+X79+X80</f>
        <v>0</v>
      </c>
      <c r="Y78" s="645">
        <f t="shared" si="204"/>
        <v>0</v>
      </c>
      <c r="Z78" s="645">
        <f t="shared" si="204"/>
        <v>0</v>
      </c>
      <c r="AA78" s="645">
        <f t="shared" ref="AA78:AA94" si="205">SUM(X78:Z78)</f>
        <v>0</v>
      </c>
      <c r="AB78" s="645">
        <v>0</v>
      </c>
      <c r="AC78" s="645">
        <v>3600</v>
      </c>
      <c r="AD78" s="645">
        <v>0</v>
      </c>
      <c r="AE78" s="645">
        <v>3600</v>
      </c>
      <c r="AF78" s="645">
        <f t="shared" ref="AF78:AH78" si="206">AF81+AF85+AF79+AF80</f>
        <v>0</v>
      </c>
      <c r="AG78" s="645">
        <f t="shared" si="206"/>
        <v>3600</v>
      </c>
      <c r="AH78" s="645">
        <f t="shared" si="206"/>
        <v>0</v>
      </c>
      <c r="AI78" s="645">
        <f>SUM(AF78:AH78)</f>
        <v>3600</v>
      </c>
      <c r="AJ78" s="645">
        <f>SUM(AJ79:AJ81)</f>
        <v>0</v>
      </c>
      <c r="AK78" s="645">
        <f t="shared" ref="AK78:AL78" si="207">SUM(AK79:AK81)</f>
        <v>1165</v>
      </c>
      <c r="AL78" s="645">
        <f t="shared" si="207"/>
        <v>0</v>
      </c>
      <c r="AM78" s="645">
        <f>SUM(AJ78:AL78)</f>
        <v>1165</v>
      </c>
    </row>
    <row r="79" spans="1:39" ht="30" x14ac:dyDescent="0.25">
      <c r="A79" s="488"/>
      <c r="B79" s="546" t="s">
        <v>522</v>
      </c>
      <c r="C79" s="495">
        <v>0</v>
      </c>
      <c r="D79" s="495">
        <v>0</v>
      </c>
      <c r="E79" s="495">
        <v>0</v>
      </c>
      <c r="F79" s="495">
        <v>0</v>
      </c>
      <c r="G79" s="495">
        <f t="shared" si="197"/>
        <v>0</v>
      </c>
      <c r="H79" s="365">
        <v>0</v>
      </c>
      <c r="I79" s="495">
        <v>0</v>
      </c>
      <c r="J79" s="495">
        <v>0</v>
      </c>
      <c r="K79" s="729">
        <f t="shared" si="147"/>
        <v>0</v>
      </c>
      <c r="L79" s="495">
        <v>0</v>
      </c>
      <c r="M79" s="495">
        <v>0</v>
      </c>
      <c r="N79" s="495">
        <v>0</v>
      </c>
      <c r="O79" s="495">
        <f t="shared" si="200"/>
        <v>0</v>
      </c>
      <c r="P79" s="495">
        <v>0</v>
      </c>
      <c r="Q79" s="495">
        <v>0</v>
      </c>
      <c r="R79" s="495">
        <v>0</v>
      </c>
      <c r="S79" s="495">
        <f>SUM(P79:R79)</f>
        <v>0</v>
      </c>
      <c r="T79" s="495">
        <v>0</v>
      </c>
      <c r="U79" s="495"/>
      <c r="V79" s="495">
        <v>0</v>
      </c>
      <c r="W79" s="495">
        <f t="shared" si="203"/>
        <v>0</v>
      </c>
      <c r="X79" s="495">
        <v>0</v>
      </c>
      <c r="Y79" s="495">
        <v>0</v>
      </c>
      <c r="Z79" s="495">
        <v>0</v>
      </c>
      <c r="AA79" s="495">
        <f t="shared" si="205"/>
        <v>0</v>
      </c>
      <c r="AB79" s="495">
        <v>0</v>
      </c>
      <c r="AC79" s="495">
        <v>0</v>
      </c>
      <c r="AD79" s="495">
        <v>0</v>
      </c>
      <c r="AE79" s="495">
        <v>0</v>
      </c>
      <c r="AF79" s="495">
        <v>0</v>
      </c>
      <c r="AG79" s="495">
        <v>0</v>
      </c>
      <c r="AH79" s="495">
        <v>0</v>
      </c>
      <c r="AI79" s="495">
        <v>0</v>
      </c>
      <c r="AJ79" s="495">
        <v>0</v>
      </c>
      <c r="AK79" s="495">
        <v>0</v>
      </c>
      <c r="AL79" s="495">
        <v>0</v>
      </c>
      <c r="AM79" s="495">
        <v>0</v>
      </c>
    </row>
    <row r="80" spans="1:39" s="491" customFormat="1" ht="30" x14ac:dyDescent="0.25">
      <c r="A80" s="488"/>
      <c r="B80" s="500" t="s">
        <v>523</v>
      </c>
      <c r="C80" s="490">
        <v>0</v>
      </c>
      <c r="D80" s="490">
        <v>0</v>
      </c>
      <c r="E80" s="490">
        <v>0</v>
      </c>
      <c r="F80" s="490">
        <v>0</v>
      </c>
      <c r="G80" s="490">
        <f t="shared" si="197"/>
        <v>0</v>
      </c>
      <c r="H80" s="371">
        <v>0</v>
      </c>
      <c r="I80" s="490">
        <v>0</v>
      </c>
      <c r="J80" s="490">
        <v>0</v>
      </c>
      <c r="K80" s="729">
        <f t="shared" si="147"/>
        <v>0</v>
      </c>
      <c r="L80" s="490">
        <v>0</v>
      </c>
      <c r="M80" s="490">
        <v>0</v>
      </c>
      <c r="N80" s="490">
        <v>0</v>
      </c>
      <c r="O80" s="490">
        <f t="shared" si="200"/>
        <v>0</v>
      </c>
      <c r="P80" s="490">
        <v>0</v>
      </c>
      <c r="Q80" s="490">
        <v>0</v>
      </c>
      <c r="R80" s="490">
        <v>0</v>
      </c>
      <c r="S80" s="495">
        <f t="shared" ref="S80:S91" si="208">SUM(P80:R80)</f>
        <v>0</v>
      </c>
      <c r="T80" s="490">
        <v>0</v>
      </c>
      <c r="U80" s="490">
        <v>0</v>
      </c>
      <c r="V80" s="490">
        <v>0</v>
      </c>
      <c r="W80" s="490">
        <f t="shared" si="203"/>
        <v>0</v>
      </c>
      <c r="X80" s="490">
        <v>0</v>
      </c>
      <c r="Y80" s="490">
        <v>0</v>
      </c>
      <c r="Z80" s="490">
        <v>0</v>
      </c>
      <c r="AA80" s="490">
        <f t="shared" si="205"/>
        <v>0</v>
      </c>
      <c r="AB80" s="490">
        <v>0</v>
      </c>
      <c r="AC80" s="490">
        <v>0</v>
      </c>
      <c r="AD80" s="490">
        <v>0</v>
      </c>
      <c r="AE80" s="495">
        <v>0</v>
      </c>
      <c r="AF80" s="490">
        <v>0</v>
      </c>
      <c r="AG80" s="490">
        <v>0</v>
      </c>
      <c r="AH80" s="490">
        <v>0</v>
      </c>
      <c r="AI80" s="495">
        <v>0</v>
      </c>
      <c r="AJ80" s="490">
        <v>0</v>
      </c>
      <c r="AK80" s="490">
        <v>0</v>
      </c>
      <c r="AL80" s="490">
        <v>0</v>
      </c>
      <c r="AM80" s="495">
        <v>0</v>
      </c>
    </row>
    <row r="81" spans="1:39" ht="30" x14ac:dyDescent="0.25">
      <c r="A81" s="488"/>
      <c r="B81" s="546" t="s">
        <v>524</v>
      </c>
      <c r="C81" s="495">
        <f t="shared" ref="C81" si="209">SUM(C82:C84)</f>
        <v>0</v>
      </c>
      <c r="D81" s="495">
        <f t="shared" ref="D81:E81" si="210">SUM(D82:D84)</f>
        <v>0</v>
      </c>
      <c r="E81" s="495">
        <f t="shared" si="210"/>
        <v>3600</v>
      </c>
      <c r="F81" s="495">
        <f t="shared" ref="F81" si="211">SUM(F82:F84)</f>
        <v>0</v>
      </c>
      <c r="G81" s="495">
        <f t="shared" si="197"/>
        <v>3600</v>
      </c>
      <c r="H81" s="365">
        <f t="shared" ref="H81:J81" si="212">SUM(H82:H84)</f>
        <v>0</v>
      </c>
      <c r="I81" s="495">
        <f t="shared" si="212"/>
        <v>3600</v>
      </c>
      <c r="J81" s="495">
        <f t="shared" si="212"/>
        <v>0</v>
      </c>
      <c r="K81" s="729">
        <f t="shared" si="147"/>
        <v>3600</v>
      </c>
      <c r="L81" s="495">
        <f t="shared" ref="L81:N81" si="213">SUM(L82:L84)</f>
        <v>0</v>
      </c>
      <c r="M81" s="495">
        <f t="shared" si="213"/>
        <v>3600</v>
      </c>
      <c r="N81" s="495">
        <f t="shared" si="213"/>
        <v>0</v>
      </c>
      <c r="O81" s="495">
        <f t="shared" si="200"/>
        <v>3600</v>
      </c>
      <c r="P81" s="495">
        <f t="shared" ref="P81:R81" si="214">SUM(P82:P84)</f>
        <v>0</v>
      </c>
      <c r="Q81" s="495">
        <f>+Q82+Q83</f>
        <v>3600</v>
      </c>
      <c r="R81" s="495">
        <f t="shared" si="214"/>
        <v>0</v>
      </c>
      <c r="S81" s="495">
        <f t="shared" si="208"/>
        <v>3600</v>
      </c>
      <c r="T81" s="495">
        <f t="shared" ref="T81:V81" si="215">SUM(T82:T84)</f>
        <v>0</v>
      </c>
      <c r="U81" s="495">
        <f t="shared" si="215"/>
        <v>0</v>
      </c>
      <c r="V81" s="495">
        <f t="shared" si="215"/>
        <v>0</v>
      </c>
      <c r="W81" s="495">
        <f t="shared" si="203"/>
        <v>0</v>
      </c>
      <c r="X81" s="495">
        <f t="shared" ref="X81:Z81" si="216">SUM(X82:X84)</f>
        <v>0</v>
      </c>
      <c r="Y81" s="495">
        <f t="shared" si="216"/>
        <v>0</v>
      </c>
      <c r="Z81" s="495">
        <f t="shared" si="216"/>
        <v>0</v>
      </c>
      <c r="AA81" s="495">
        <f t="shared" si="205"/>
        <v>0</v>
      </c>
      <c r="AB81" s="495">
        <v>0</v>
      </c>
      <c r="AC81" s="495">
        <v>3600</v>
      </c>
      <c r="AD81" s="495">
        <v>0</v>
      </c>
      <c r="AE81" s="495">
        <v>3600</v>
      </c>
      <c r="AF81" s="495"/>
      <c r="AG81" s="495">
        <f>SUM(AG82:AG83)</f>
        <v>3600</v>
      </c>
      <c r="AH81" s="495"/>
      <c r="AI81" s="495">
        <f>SUM(AF81:AH81)</f>
        <v>3600</v>
      </c>
      <c r="AJ81" s="495">
        <f>SUM(AJ82:AJ85)</f>
        <v>0</v>
      </c>
      <c r="AK81" s="495">
        <f t="shared" ref="AK81:AL81" si="217">SUM(AK82:AK85)</f>
        <v>1165</v>
      </c>
      <c r="AL81" s="495">
        <f t="shared" si="217"/>
        <v>0</v>
      </c>
      <c r="AM81" s="495">
        <f>SUM(AJ81:AL81)</f>
        <v>1165</v>
      </c>
    </row>
    <row r="82" spans="1:39" x14ac:dyDescent="0.25">
      <c r="A82" s="488"/>
      <c r="B82" s="545" t="s">
        <v>1290</v>
      </c>
      <c r="C82" s="494"/>
      <c r="D82" s="494"/>
      <c r="E82" s="494">
        <v>600</v>
      </c>
      <c r="F82" s="494"/>
      <c r="G82" s="494">
        <f>SUM(D82:F82)</f>
        <v>600</v>
      </c>
      <c r="H82" s="368"/>
      <c r="I82" s="494">
        <v>600</v>
      </c>
      <c r="J82" s="494"/>
      <c r="K82" s="729">
        <f t="shared" si="147"/>
        <v>600</v>
      </c>
      <c r="L82" s="494"/>
      <c r="M82" s="494">
        <v>600</v>
      </c>
      <c r="N82" s="494"/>
      <c r="O82" s="494">
        <f>SUM(L82:N82)</f>
        <v>600</v>
      </c>
      <c r="P82" s="494">
        <v>0</v>
      </c>
      <c r="Q82" s="494">
        <v>600</v>
      </c>
      <c r="R82" s="494"/>
      <c r="S82" s="495">
        <f t="shared" si="208"/>
        <v>600</v>
      </c>
      <c r="T82" s="494"/>
      <c r="U82" s="494"/>
      <c r="V82" s="494"/>
      <c r="W82" s="494"/>
      <c r="X82" s="494"/>
      <c r="Y82" s="494">
        <v>0</v>
      </c>
      <c r="Z82" s="494">
        <v>0</v>
      </c>
      <c r="AA82" s="494">
        <f t="shared" si="205"/>
        <v>0</v>
      </c>
      <c r="AB82" s="494">
        <v>0</v>
      </c>
      <c r="AC82" s="494">
        <v>600</v>
      </c>
      <c r="AD82" s="494"/>
      <c r="AE82" s="495">
        <v>600</v>
      </c>
      <c r="AF82" s="494"/>
      <c r="AG82" s="494">
        <v>600</v>
      </c>
      <c r="AH82" s="494"/>
      <c r="AI82" s="495">
        <f t="shared" ref="AI82:AI85" si="218">SUM(AF82:AH82)</f>
        <v>600</v>
      </c>
      <c r="AJ82" s="494"/>
      <c r="AK82" s="494"/>
      <c r="AL82" s="494"/>
      <c r="AM82" s="495">
        <f t="shared" ref="AM82:AM84" si="219">SUM(AJ82:AL82)</f>
        <v>0</v>
      </c>
    </row>
    <row r="83" spans="1:39" x14ac:dyDescent="0.25">
      <c r="A83" s="488"/>
      <c r="B83" s="545" t="s">
        <v>1291</v>
      </c>
      <c r="C83" s="494"/>
      <c r="D83" s="494"/>
      <c r="E83" s="494">
        <v>3000</v>
      </c>
      <c r="F83" s="494"/>
      <c r="G83" s="494">
        <f>SUM(D83:F83)</f>
        <v>3000</v>
      </c>
      <c r="H83" s="368"/>
      <c r="I83" s="494">
        <v>3000</v>
      </c>
      <c r="J83" s="494"/>
      <c r="K83" s="729">
        <f t="shared" si="147"/>
        <v>3000</v>
      </c>
      <c r="L83" s="494"/>
      <c r="M83" s="494">
        <v>3000</v>
      </c>
      <c r="N83" s="494"/>
      <c r="O83" s="494">
        <f>SUM(L83:N83)</f>
        <v>3000</v>
      </c>
      <c r="P83" s="494">
        <v>0</v>
      </c>
      <c r="Q83" s="494">
        <v>3000</v>
      </c>
      <c r="R83" s="494"/>
      <c r="S83" s="495">
        <f t="shared" si="208"/>
        <v>3000</v>
      </c>
      <c r="T83" s="494"/>
      <c r="U83" s="494"/>
      <c r="V83" s="494"/>
      <c r="W83" s="494"/>
      <c r="X83" s="494"/>
      <c r="Y83" s="494">
        <v>0</v>
      </c>
      <c r="Z83" s="494">
        <v>0</v>
      </c>
      <c r="AA83" s="494">
        <f t="shared" si="205"/>
        <v>0</v>
      </c>
      <c r="AB83" s="494">
        <v>0</v>
      </c>
      <c r="AC83" s="494">
        <v>3000</v>
      </c>
      <c r="AD83" s="494"/>
      <c r="AE83" s="495">
        <v>3000</v>
      </c>
      <c r="AF83" s="494"/>
      <c r="AG83" s="494">
        <v>3000</v>
      </c>
      <c r="AH83" s="494"/>
      <c r="AI83" s="495">
        <f t="shared" si="218"/>
        <v>3000</v>
      </c>
      <c r="AJ83" s="494">
        <v>0</v>
      </c>
      <c r="AK83" s="494">
        <v>1165</v>
      </c>
      <c r="AL83" s="494"/>
      <c r="AM83" s="495">
        <f t="shared" si="219"/>
        <v>1165</v>
      </c>
    </row>
    <row r="84" spans="1:39" ht="30" hidden="1" customHeight="1" x14ac:dyDescent="0.25">
      <c r="A84" s="488"/>
      <c r="B84" s="492" t="s">
        <v>525</v>
      </c>
      <c r="C84" s="494"/>
      <c r="D84" s="494"/>
      <c r="E84" s="494"/>
      <c r="F84" s="494"/>
      <c r="G84" s="494"/>
      <c r="H84" s="368"/>
      <c r="I84" s="494"/>
      <c r="J84" s="494"/>
      <c r="K84" s="497">
        <f t="shared" si="147"/>
        <v>0</v>
      </c>
      <c r="L84" s="494"/>
      <c r="M84" s="494"/>
      <c r="N84" s="494"/>
      <c r="O84" s="494"/>
      <c r="P84" s="494"/>
      <c r="Q84" s="494"/>
      <c r="R84" s="494"/>
      <c r="S84" s="495">
        <f t="shared" si="208"/>
        <v>0</v>
      </c>
      <c r="T84" s="494"/>
      <c r="U84" s="494"/>
      <c r="V84" s="494"/>
      <c r="W84" s="494"/>
      <c r="X84" s="494"/>
      <c r="Y84" s="494">
        <v>0</v>
      </c>
      <c r="Z84" s="494">
        <v>0</v>
      </c>
      <c r="AA84" s="494">
        <f t="shared" si="205"/>
        <v>0</v>
      </c>
      <c r="AB84" s="494"/>
      <c r="AC84" s="494"/>
      <c r="AD84" s="494"/>
      <c r="AE84" s="495">
        <v>0</v>
      </c>
      <c r="AF84" s="494"/>
      <c r="AG84" s="494"/>
      <c r="AH84" s="494"/>
      <c r="AI84" s="495">
        <f t="shared" si="218"/>
        <v>0</v>
      </c>
      <c r="AJ84" s="494"/>
      <c r="AK84" s="494"/>
      <c r="AL84" s="494"/>
      <c r="AM84" s="495">
        <f t="shared" si="219"/>
        <v>0</v>
      </c>
    </row>
    <row r="85" spans="1:39" x14ac:dyDescent="0.25">
      <c r="A85" s="488"/>
      <c r="B85" s="498" t="s">
        <v>526</v>
      </c>
      <c r="C85" s="495">
        <f>SUM(C86:C91)</f>
        <v>0</v>
      </c>
      <c r="D85" s="495">
        <f t="shared" ref="D85:F85" si="220">SUM(D86:D91)</f>
        <v>0</v>
      </c>
      <c r="E85" s="495">
        <f t="shared" si="220"/>
        <v>0</v>
      </c>
      <c r="F85" s="495">
        <f t="shared" si="220"/>
        <v>0</v>
      </c>
      <c r="G85" s="495">
        <f t="shared" si="197"/>
        <v>0</v>
      </c>
      <c r="H85" s="365">
        <f t="shared" ref="H85:J85" si="221">SUM(H86:H91)</f>
        <v>0</v>
      </c>
      <c r="I85" s="495">
        <f t="shared" si="221"/>
        <v>0</v>
      </c>
      <c r="J85" s="495">
        <f t="shared" si="221"/>
        <v>0</v>
      </c>
      <c r="K85" s="495">
        <f t="shared" ref="K85:K94" si="222">SUM(H85:J85)</f>
        <v>0</v>
      </c>
      <c r="L85" s="495">
        <f t="shared" ref="L85:N85" si="223">SUM(L86:L91)</f>
        <v>0</v>
      </c>
      <c r="M85" s="495">
        <f t="shared" si="223"/>
        <v>0</v>
      </c>
      <c r="N85" s="495">
        <f t="shared" si="223"/>
        <v>0</v>
      </c>
      <c r="O85" s="495">
        <f t="shared" si="200"/>
        <v>0</v>
      </c>
      <c r="P85" s="495">
        <f t="shared" ref="P85:R85" si="224">SUM(P86:P91)</f>
        <v>0</v>
      </c>
      <c r="Q85" s="495">
        <f t="shared" si="224"/>
        <v>0</v>
      </c>
      <c r="R85" s="495">
        <f t="shared" si="224"/>
        <v>0</v>
      </c>
      <c r="S85" s="495">
        <f t="shared" si="208"/>
        <v>0</v>
      </c>
      <c r="T85" s="495">
        <f t="shared" ref="T85:V85" si="225">SUM(T86:T91)</f>
        <v>0</v>
      </c>
      <c r="U85" s="495">
        <f t="shared" si="225"/>
        <v>0</v>
      </c>
      <c r="V85" s="495">
        <f t="shared" si="225"/>
        <v>0</v>
      </c>
      <c r="W85" s="495">
        <f t="shared" si="203"/>
        <v>0</v>
      </c>
      <c r="X85" s="495">
        <f t="shared" ref="X85:Z85" si="226">SUM(X86:X91)</f>
        <v>0</v>
      </c>
      <c r="Y85" s="495">
        <f t="shared" si="226"/>
        <v>0</v>
      </c>
      <c r="Z85" s="495">
        <f t="shared" si="226"/>
        <v>0</v>
      </c>
      <c r="AA85" s="495">
        <f t="shared" si="205"/>
        <v>0</v>
      </c>
      <c r="AB85" s="495">
        <v>0</v>
      </c>
      <c r="AC85" s="495">
        <v>0</v>
      </c>
      <c r="AD85" s="495">
        <v>0</v>
      </c>
      <c r="AE85" s="495">
        <v>0</v>
      </c>
      <c r="AF85" s="495"/>
      <c r="AG85" s="495"/>
      <c r="AH85" s="495"/>
      <c r="AI85" s="495">
        <f t="shared" si="218"/>
        <v>0</v>
      </c>
      <c r="AJ85" s="495"/>
      <c r="AK85" s="495"/>
      <c r="AL85" s="495"/>
      <c r="AM85" s="495"/>
    </row>
    <row r="86" spans="1:39" ht="15" hidden="1" customHeight="1" x14ac:dyDescent="0.25">
      <c r="A86" s="488"/>
      <c r="B86" s="492" t="s">
        <v>527</v>
      </c>
      <c r="C86" s="494"/>
      <c r="D86" s="494"/>
      <c r="E86" s="494"/>
      <c r="F86" s="494"/>
      <c r="G86" s="494"/>
      <c r="H86" s="368"/>
      <c r="I86" s="494"/>
      <c r="J86" s="494"/>
      <c r="K86" s="494"/>
      <c r="L86" s="494"/>
      <c r="M86" s="494"/>
      <c r="N86" s="494"/>
      <c r="O86" s="494"/>
      <c r="P86" s="494"/>
      <c r="Q86" s="494"/>
      <c r="R86" s="494"/>
      <c r="S86" s="495">
        <f t="shared" si="208"/>
        <v>0</v>
      </c>
      <c r="T86" s="494"/>
      <c r="U86" s="494"/>
      <c r="V86" s="494"/>
      <c r="W86" s="494"/>
      <c r="X86" s="494">
        <v>0</v>
      </c>
      <c r="Y86" s="494">
        <v>0</v>
      </c>
      <c r="Z86" s="494">
        <v>0</v>
      </c>
      <c r="AA86" s="494">
        <f t="shared" si="205"/>
        <v>0</v>
      </c>
      <c r="AB86" s="494"/>
      <c r="AC86" s="494"/>
      <c r="AD86" s="494"/>
      <c r="AE86" s="495">
        <v>0</v>
      </c>
      <c r="AF86" s="494"/>
      <c r="AG86" s="494"/>
      <c r="AH86" s="494"/>
      <c r="AI86" s="495">
        <v>0</v>
      </c>
      <c r="AJ86" s="494"/>
      <c r="AK86" s="494"/>
      <c r="AL86" s="494"/>
      <c r="AM86" s="495">
        <v>0</v>
      </c>
    </row>
    <row r="87" spans="1:39" ht="15" hidden="1" customHeight="1" x14ac:dyDescent="0.25">
      <c r="A87" s="488"/>
      <c r="B87" s="492" t="s">
        <v>528</v>
      </c>
      <c r="C87" s="494"/>
      <c r="D87" s="494"/>
      <c r="E87" s="494"/>
      <c r="F87" s="494"/>
      <c r="G87" s="494"/>
      <c r="H87" s="368"/>
      <c r="I87" s="494"/>
      <c r="J87" s="494"/>
      <c r="K87" s="494"/>
      <c r="L87" s="494"/>
      <c r="M87" s="494"/>
      <c r="N87" s="494"/>
      <c r="O87" s="494"/>
      <c r="P87" s="494"/>
      <c r="Q87" s="494"/>
      <c r="R87" s="494"/>
      <c r="S87" s="495">
        <f t="shared" si="208"/>
        <v>0</v>
      </c>
      <c r="T87" s="494"/>
      <c r="U87" s="494"/>
      <c r="V87" s="494"/>
      <c r="W87" s="494"/>
      <c r="X87" s="494">
        <v>0</v>
      </c>
      <c r="Y87" s="494">
        <v>0</v>
      </c>
      <c r="Z87" s="494">
        <v>0</v>
      </c>
      <c r="AA87" s="494">
        <f t="shared" si="205"/>
        <v>0</v>
      </c>
      <c r="AB87" s="494"/>
      <c r="AC87" s="494"/>
      <c r="AD87" s="494"/>
      <c r="AE87" s="495">
        <v>0</v>
      </c>
      <c r="AF87" s="494"/>
      <c r="AG87" s="494"/>
      <c r="AH87" s="494"/>
      <c r="AI87" s="495">
        <v>0</v>
      </c>
      <c r="AJ87" s="494"/>
      <c r="AK87" s="494"/>
      <c r="AL87" s="494"/>
      <c r="AM87" s="495">
        <v>0</v>
      </c>
    </row>
    <row r="88" spans="1:39" ht="15" hidden="1" customHeight="1" x14ac:dyDescent="0.25">
      <c r="A88" s="488"/>
      <c r="B88" s="492" t="s">
        <v>529</v>
      </c>
      <c r="C88" s="494"/>
      <c r="D88" s="494"/>
      <c r="E88" s="494"/>
      <c r="F88" s="494"/>
      <c r="G88" s="494"/>
      <c r="H88" s="368"/>
      <c r="I88" s="494"/>
      <c r="J88" s="494"/>
      <c r="K88" s="494"/>
      <c r="L88" s="494"/>
      <c r="M88" s="494"/>
      <c r="N88" s="494"/>
      <c r="O88" s="494"/>
      <c r="P88" s="494"/>
      <c r="Q88" s="494"/>
      <c r="R88" s="494"/>
      <c r="S88" s="495">
        <f t="shared" si="208"/>
        <v>0</v>
      </c>
      <c r="T88" s="494"/>
      <c r="U88" s="494"/>
      <c r="V88" s="494"/>
      <c r="W88" s="494"/>
      <c r="X88" s="494">
        <v>0</v>
      </c>
      <c r="Y88" s="494">
        <v>0</v>
      </c>
      <c r="Z88" s="494">
        <v>0</v>
      </c>
      <c r="AA88" s="494">
        <f t="shared" si="205"/>
        <v>0</v>
      </c>
      <c r="AB88" s="494"/>
      <c r="AC88" s="494"/>
      <c r="AD88" s="494"/>
      <c r="AE88" s="495">
        <v>0</v>
      </c>
      <c r="AF88" s="494"/>
      <c r="AG88" s="494"/>
      <c r="AH88" s="494"/>
      <c r="AI88" s="495">
        <v>0</v>
      </c>
      <c r="AJ88" s="494"/>
      <c r="AK88" s="494"/>
      <c r="AL88" s="494"/>
      <c r="AM88" s="495">
        <v>0</v>
      </c>
    </row>
    <row r="89" spans="1:39" ht="15" hidden="1" customHeight="1" x14ac:dyDescent="0.25">
      <c r="A89" s="488"/>
      <c r="B89" s="492" t="s">
        <v>530</v>
      </c>
      <c r="C89" s="494"/>
      <c r="D89" s="494"/>
      <c r="E89" s="494"/>
      <c r="F89" s="494"/>
      <c r="G89" s="494"/>
      <c r="H89" s="368"/>
      <c r="I89" s="494"/>
      <c r="J89" s="494"/>
      <c r="K89" s="494"/>
      <c r="L89" s="494"/>
      <c r="M89" s="494"/>
      <c r="N89" s="494"/>
      <c r="O89" s="494"/>
      <c r="P89" s="494"/>
      <c r="Q89" s="494"/>
      <c r="R89" s="494"/>
      <c r="S89" s="495">
        <f t="shared" si="208"/>
        <v>0</v>
      </c>
      <c r="T89" s="494"/>
      <c r="U89" s="494"/>
      <c r="V89" s="494"/>
      <c r="W89" s="494"/>
      <c r="X89" s="494">
        <v>0</v>
      </c>
      <c r="Y89" s="494">
        <v>0</v>
      </c>
      <c r="Z89" s="494">
        <v>0</v>
      </c>
      <c r="AA89" s="494">
        <f t="shared" si="205"/>
        <v>0</v>
      </c>
      <c r="AB89" s="494"/>
      <c r="AC89" s="494"/>
      <c r="AD89" s="494"/>
      <c r="AE89" s="495">
        <v>0</v>
      </c>
      <c r="AF89" s="494"/>
      <c r="AG89" s="494"/>
      <c r="AH89" s="494"/>
      <c r="AI89" s="495">
        <v>0</v>
      </c>
      <c r="AJ89" s="494"/>
      <c r="AK89" s="494"/>
      <c r="AL89" s="494"/>
      <c r="AM89" s="495">
        <v>0</v>
      </c>
    </row>
    <row r="90" spans="1:39" ht="15" hidden="1" customHeight="1" x14ac:dyDescent="0.25">
      <c r="A90" s="488"/>
      <c r="B90" s="492" t="s">
        <v>1201</v>
      </c>
      <c r="C90" s="494"/>
      <c r="D90" s="494"/>
      <c r="E90" s="494"/>
      <c r="F90" s="494"/>
      <c r="G90" s="494"/>
      <c r="H90" s="368"/>
      <c r="I90" s="494"/>
      <c r="J90" s="494"/>
      <c r="K90" s="494"/>
      <c r="L90" s="494"/>
      <c r="M90" s="494"/>
      <c r="N90" s="494"/>
      <c r="O90" s="494"/>
      <c r="P90" s="494"/>
      <c r="Q90" s="494"/>
      <c r="R90" s="494"/>
      <c r="S90" s="495">
        <f t="shared" si="208"/>
        <v>0</v>
      </c>
      <c r="T90" s="494"/>
      <c r="U90" s="494"/>
      <c r="V90" s="494"/>
      <c r="W90" s="494"/>
      <c r="X90" s="494">
        <v>0</v>
      </c>
      <c r="Y90" s="494">
        <v>0</v>
      </c>
      <c r="Z90" s="494">
        <v>0</v>
      </c>
      <c r="AA90" s="494">
        <f t="shared" si="205"/>
        <v>0</v>
      </c>
      <c r="AB90" s="494"/>
      <c r="AC90" s="494"/>
      <c r="AD90" s="494"/>
      <c r="AE90" s="495">
        <v>0</v>
      </c>
      <c r="AF90" s="494"/>
      <c r="AG90" s="494"/>
      <c r="AH90" s="494"/>
      <c r="AI90" s="495">
        <v>0</v>
      </c>
      <c r="AJ90" s="494"/>
      <c r="AK90" s="494"/>
      <c r="AL90" s="494"/>
      <c r="AM90" s="495">
        <v>0</v>
      </c>
    </row>
    <row r="91" spans="1:39" ht="15" hidden="1" customHeight="1" x14ac:dyDescent="0.25">
      <c r="A91" s="488"/>
      <c r="B91" s="492" t="s">
        <v>1202</v>
      </c>
      <c r="C91" s="494"/>
      <c r="D91" s="494"/>
      <c r="E91" s="494"/>
      <c r="F91" s="494"/>
      <c r="G91" s="494"/>
      <c r="H91" s="368"/>
      <c r="I91" s="494"/>
      <c r="J91" s="494"/>
      <c r="K91" s="494"/>
      <c r="L91" s="494"/>
      <c r="M91" s="494"/>
      <c r="N91" s="494"/>
      <c r="O91" s="494"/>
      <c r="P91" s="494"/>
      <c r="Q91" s="494"/>
      <c r="R91" s="494"/>
      <c r="S91" s="495">
        <f t="shared" si="208"/>
        <v>0</v>
      </c>
      <c r="T91" s="494"/>
      <c r="U91" s="494"/>
      <c r="V91" s="494"/>
      <c r="W91" s="494"/>
      <c r="X91" s="494">
        <v>0</v>
      </c>
      <c r="Y91" s="494">
        <v>0</v>
      </c>
      <c r="Z91" s="494">
        <v>0</v>
      </c>
      <c r="AA91" s="494">
        <f t="shared" si="205"/>
        <v>0</v>
      </c>
      <c r="AB91" s="494"/>
      <c r="AC91" s="494"/>
      <c r="AD91" s="494"/>
      <c r="AE91" s="495">
        <v>0</v>
      </c>
      <c r="AF91" s="494"/>
      <c r="AG91" s="494"/>
      <c r="AH91" s="494"/>
      <c r="AI91" s="495">
        <v>0</v>
      </c>
      <c r="AJ91" s="494"/>
      <c r="AK91" s="494"/>
      <c r="AL91" s="494"/>
      <c r="AM91" s="495">
        <v>0</v>
      </c>
    </row>
    <row r="92" spans="1:39" x14ac:dyDescent="0.25">
      <c r="A92" s="651"/>
      <c r="B92" s="652" t="s">
        <v>327</v>
      </c>
      <c r="C92" s="653" t="e">
        <f>C5+C61</f>
        <v>#REF!</v>
      </c>
      <c r="D92" s="653">
        <f>D5+D61</f>
        <v>1801737</v>
      </c>
      <c r="E92" s="653">
        <f>E5+E61</f>
        <v>57450</v>
      </c>
      <c r="F92" s="653">
        <f>F5+F61</f>
        <v>0</v>
      </c>
      <c r="G92" s="653">
        <f t="shared" si="197"/>
        <v>1859187</v>
      </c>
      <c r="H92" s="623">
        <f>H5+H61</f>
        <v>2776437</v>
      </c>
      <c r="I92" s="653">
        <f>I5+I61</f>
        <v>57450</v>
      </c>
      <c r="J92" s="653">
        <f>J5+J61</f>
        <v>0</v>
      </c>
      <c r="K92" s="653">
        <f t="shared" si="222"/>
        <v>2833887</v>
      </c>
      <c r="L92" s="653">
        <f>L5+L61</f>
        <v>3005959</v>
      </c>
      <c r="M92" s="653">
        <f>M5+M61</f>
        <v>57450</v>
      </c>
      <c r="N92" s="653">
        <f>N5+N61</f>
        <v>0</v>
      </c>
      <c r="O92" s="653">
        <f t="shared" si="200"/>
        <v>3063409</v>
      </c>
      <c r="P92" s="653">
        <f>+P5+P61</f>
        <v>4433316</v>
      </c>
      <c r="Q92" s="653">
        <f>+Q5+Q61</f>
        <v>71300</v>
      </c>
      <c r="R92" s="653">
        <f>R5+R61</f>
        <v>0</v>
      </c>
      <c r="S92" s="653">
        <v>4505541</v>
      </c>
      <c r="T92" s="653" t="e">
        <f>T5+T61</f>
        <v>#REF!</v>
      </c>
      <c r="U92" s="653" t="e">
        <f>U5+U61</f>
        <v>#REF!</v>
      </c>
      <c r="V92" s="653" t="e">
        <f>V5+V61</f>
        <v>#REF!</v>
      </c>
      <c r="W92" s="653" t="e">
        <f t="shared" si="203"/>
        <v>#REF!</v>
      </c>
      <c r="X92" s="653" t="e">
        <f>X5+X61</f>
        <v>#REF!</v>
      </c>
      <c r="Y92" s="653" t="e">
        <f>Y5+Y61</f>
        <v>#REF!</v>
      </c>
      <c r="Z92" s="653" t="e">
        <f>Z5+Z61</f>
        <v>#REF!</v>
      </c>
      <c r="AA92" s="653" t="e">
        <f t="shared" si="205"/>
        <v>#REF!</v>
      </c>
      <c r="AB92" s="653">
        <f>+AB5+AB61</f>
        <v>4824200</v>
      </c>
      <c r="AC92" s="653">
        <f t="shared" ref="AC92:AD92" si="227">+AC5+AC61</f>
        <v>71300</v>
      </c>
      <c r="AD92" s="653">
        <f t="shared" si="227"/>
        <v>0</v>
      </c>
      <c r="AE92" s="653">
        <f>SUM(AB92:AD92)</f>
        <v>4895500</v>
      </c>
      <c r="AF92" s="653">
        <f>+AF5+AF61</f>
        <v>5156836</v>
      </c>
      <c r="AG92" s="653">
        <f t="shared" ref="AG92:AH92" si="228">+AG5+AG61</f>
        <v>104051</v>
      </c>
      <c r="AH92" s="653">
        <f t="shared" si="228"/>
        <v>0</v>
      </c>
      <c r="AI92" s="653">
        <f>SUM(AF92:AH92)</f>
        <v>5260887</v>
      </c>
      <c r="AJ92" s="653">
        <f>+AJ5+AJ61</f>
        <v>1736807</v>
      </c>
      <c r="AK92" s="653">
        <f t="shared" ref="AK92:AL92" si="229">+AK5+AK61</f>
        <v>29604</v>
      </c>
      <c r="AL92" s="653">
        <f t="shared" si="229"/>
        <v>0</v>
      </c>
      <c r="AM92" s="653">
        <f>SUM(AJ92:AL92)</f>
        <v>1766411</v>
      </c>
    </row>
    <row r="93" spans="1:39" x14ac:dyDescent="0.25">
      <c r="A93" s="482" t="s">
        <v>328</v>
      </c>
      <c r="B93" s="483" t="s">
        <v>329</v>
      </c>
      <c r="C93" s="484">
        <f t="shared" ref="C93" si="230">C94+C106</f>
        <v>0</v>
      </c>
      <c r="D93" s="484">
        <f t="shared" ref="D93:E93" si="231">D94+D106</f>
        <v>4582308</v>
      </c>
      <c r="E93" s="484">
        <f t="shared" si="231"/>
        <v>0</v>
      </c>
      <c r="F93" s="484">
        <f t="shared" ref="F93" si="232">F94+F106</f>
        <v>0</v>
      </c>
      <c r="G93" s="484">
        <f t="shared" si="197"/>
        <v>4582308</v>
      </c>
      <c r="H93" s="725">
        <f t="shared" ref="H93:J93" si="233">H94+H106</f>
        <v>4582308</v>
      </c>
      <c r="I93" s="484">
        <f t="shared" si="233"/>
        <v>0</v>
      </c>
      <c r="J93" s="484">
        <f t="shared" si="233"/>
        <v>0</v>
      </c>
      <c r="K93" s="484">
        <f t="shared" si="222"/>
        <v>4582308</v>
      </c>
      <c r="L93" s="484">
        <f t="shared" ref="L93:N93" si="234">L94+L106</f>
        <v>4582308</v>
      </c>
      <c r="M93" s="484">
        <f t="shared" si="234"/>
        <v>0</v>
      </c>
      <c r="N93" s="484">
        <f t="shared" si="234"/>
        <v>0</v>
      </c>
      <c r="O93" s="484">
        <f t="shared" si="200"/>
        <v>4582308</v>
      </c>
      <c r="P93" s="484">
        <f>+P94+P106</f>
        <v>2513454</v>
      </c>
      <c r="Q93" s="484">
        <f t="shared" ref="Q93:R93" si="235">Q94+Q106</f>
        <v>0</v>
      </c>
      <c r="R93" s="484">
        <f t="shared" si="235"/>
        <v>0</v>
      </c>
      <c r="S93" s="484">
        <f>SUM(P93:R93)</f>
        <v>2513454</v>
      </c>
      <c r="T93" s="484">
        <f t="shared" ref="T93:V93" si="236">T94+T106</f>
        <v>0</v>
      </c>
      <c r="U93" s="484">
        <f t="shared" si="236"/>
        <v>0</v>
      </c>
      <c r="V93" s="484">
        <f t="shared" si="236"/>
        <v>0</v>
      </c>
      <c r="W93" s="484">
        <f t="shared" si="203"/>
        <v>0</v>
      </c>
      <c r="X93" s="484">
        <f t="shared" ref="X93:Z93" si="237">X94+X106</f>
        <v>0</v>
      </c>
      <c r="Y93" s="484">
        <f t="shared" si="237"/>
        <v>0</v>
      </c>
      <c r="Z93" s="484">
        <f t="shared" si="237"/>
        <v>0</v>
      </c>
      <c r="AA93" s="484">
        <f t="shared" si="205"/>
        <v>0</v>
      </c>
      <c r="AB93" s="484">
        <v>2513454</v>
      </c>
      <c r="AC93" s="484">
        <v>0</v>
      </c>
      <c r="AD93" s="484">
        <v>0</v>
      </c>
      <c r="AE93" s="484">
        <v>2513454</v>
      </c>
      <c r="AF93" s="484">
        <f>+AF94+AF106</f>
        <v>3538365</v>
      </c>
      <c r="AG93" s="484">
        <f t="shared" ref="AG93:AH93" si="238">+AG94+AG106</f>
        <v>0</v>
      </c>
      <c r="AH93" s="484">
        <f t="shared" si="238"/>
        <v>0</v>
      </c>
      <c r="AI93" s="484">
        <f>SUM(AF93:AH93)</f>
        <v>3538365</v>
      </c>
      <c r="AJ93" s="484">
        <f>+AJ94+AJ106</f>
        <v>3538365</v>
      </c>
      <c r="AK93" s="484">
        <f t="shared" ref="AK93:AL93" si="239">+AK94+AK106</f>
        <v>0</v>
      </c>
      <c r="AL93" s="484">
        <f t="shared" si="239"/>
        <v>0</v>
      </c>
      <c r="AM93" s="484">
        <f>SUM(AJ93:AL93)</f>
        <v>3538365</v>
      </c>
    </row>
    <row r="94" spans="1:39" x14ac:dyDescent="0.25">
      <c r="A94" s="643" t="s">
        <v>311</v>
      </c>
      <c r="B94" s="644" t="s">
        <v>330</v>
      </c>
      <c r="C94" s="645">
        <f t="shared" ref="C94:E94" si="240">C95+C100+C101+C104+C105</f>
        <v>0</v>
      </c>
      <c r="D94" s="645">
        <f t="shared" ref="D94" si="241">D95+D100+D101+D104+D105</f>
        <v>4582308</v>
      </c>
      <c r="E94" s="645">
        <f t="shared" si="240"/>
        <v>0</v>
      </c>
      <c r="F94" s="645">
        <f t="shared" ref="F94" si="242">F95+F100+F101+F104+F105</f>
        <v>0</v>
      </c>
      <c r="G94" s="645">
        <f t="shared" si="197"/>
        <v>4582308</v>
      </c>
      <c r="H94" s="726">
        <f t="shared" ref="H94:J94" si="243">H95+H100+H101+H104+H105</f>
        <v>4582308</v>
      </c>
      <c r="I94" s="645">
        <f t="shared" si="243"/>
        <v>0</v>
      </c>
      <c r="J94" s="645">
        <f t="shared" si="243"/>
        <v>0</v>
      </c>
      <c r="K94" s="645">
        <f t="shared" si="222"/>
        <v>4582308</v>
      </c>
      <c r="L94" s="645">
        <f t="shared" ref="L94:N94" si="244">L95+L100+L101+L104+L105</f>
        <v>4582308</v>
      </c>
      <c r="M94" s="645">
        <f t="shared" si="244"/>
        <v>0</v>
      </c>
      <c r="N94" s="645">
        <f t="shared" si="244"/>
        <v>0</v>
      </c>
      <c r="O94" s="645">
        <f t="shared" si="200"/>
        <v>4582308</v>
      </c>
      <c r="P94" s="645">
        <f>+P95+P100+P101+P104+P105</f>
        <v>2513454</v>
      </c>
      <c r="Q94" s="645">
        <f t="shared" ref="Q94:R94" si="245">Q95+Q100+Q101+Q104+Q105</f>
        <v>0</v>
      </c>
      <c r="R94" s="645">
        <f t="shared" si="245"/>
        <v>0</v>
      </c>
      <c r="S94" s="645">
        <f>SUM(P94:R94)</f>
        <v>2513454</v>
      </c>
      <c r="T94" s="645">
        <f t="shared" ref="T94:V94" si="246">T95+T100+T101+T104+T105</f>
        <v>0</v>
      </c>
      <c r="U94" s="645">
        <f t="shared" si="246"/>
        <v>0</v>
      </c>
      <c r="V94" s="645">
        <f t="shared" si="246"/>
        <v>0</v>
      </c>
      <c r="W94" s="645">
        <f t="shared" si="203"/>
        <v>0</v>
      </c>
      <c r="X94" s="645">
        <f t="shared" ref="X94:Z94" si="247">X95+X100+X101+X104+X105</f>
        <v>0</v>
      </c>
      <c r="Y94" s="645">
        <f t="shared" si="247"/>
        <v>0</v>
      </c>
      <c r="Z94" s="645">
        <f t="shared" si="247"/>
        <v>0</v>
      </c>
      <c r="AA94" s="645">
        <f t="shared" si="205"/>
        <v>0</v>
      </c>
      <c r="AB94" s="645">
        <f>+AB95+AB100+AB101+AB104+AB105</f>
        <v>3538365</v>
      </c>
      <c r="AC94" s="645">
        <f t="shared" ref="AC94:AD94" si="248">+AC95+AC100+AC101+AC104+AC105</f>
        <v>0</v>
      </c>
      <c r="AD94" s="645">
        <f t="shared" si="248"/>
        <v>0</v>
      </c>
      <c r="AE94" s="645">
        <f>SUM(AB94:AD94)</f>
        <v>3538365</v>
      </c>
      <c r="AF94" s="645">
        <f>+AF95+AF100+AF101+AF104+AF105</f>
        <v>3538365</v>
      </c>
      <c r="AG94" s="645">
        <f t="shared" ref="AG94:AH94" si="249">+AG95+AG100+AG101+AG104+AG105</f>
        <v>0</v>
      </c>
      <c r="AH94" s="645">
        <f t="shared" si="249"/>
        <v>0</v>
      </c>
      <c r="AI94" s="645">
        <f>SUM(AF94:AH94)</f>
        <v>3538365</v>
      </c>
      <c r="AJ94" s="645">
        <f>+AJ95+AJ100+AJ101+AJ104+AJ105</f>
        <v>3538365</v>
      </c>
      <c r="AK94" s="645">
        <f t="shared" ref="AK94:AL94" si="250">+AK95+AK100+AK101+AK104+AK105</f>
        <v>0</v>
      </c>
      <c r="AL94" s="645">
        <f t="shared" si="250"/>
        <v>0</v>
      </c>
      <c r="AM94" s="645">
        <f>SUM(AJ94:AL94)</f>
        <v>3538365</v>
      </c>
    </row>
    <row r="95" spans="1:39" x14ac:dyDescent="0.25">
      <c r="A95" s="488"/>
      <c r="B95" s="498" t="s">
        <v>531</v>
      </c>
      <c r="C95" s="495">
        <f t="shared" ref="C95" si="251">SUM(C96:C99)</f>
        <v>0</v>
      </c>
      <c r="D95" s="495">
        <f t="shared" ref="D95" si="252">SUM(D96:D99)</f>
        <v>0</v>
      </c>
      <c r="E95" s="495">
        <f>SUM(E96:E99)</f>
        <v>0</v>
      </c>
      <c r="F95" s="495">
        <f t="shared" ref="F95:H95" si="253">SUM(F96:F99)</f>
        <v>0</v>
      </c>
      <c r="G95" s="495">
        <f t="shared" si="253"/>
        <v>0</v>
      </c>
      <c r="H95" s="365">
        <f t="shared" si="253"/>
        <v>0</v>
      </c>
      <c r="I95" s="495">
        <f>SUM(I96:I99)</f>
        <v>0</v>
      </c>
      <c r="J95" s="495">
        <f t="shared" ref="J95:L95" si="254">SUM(J96:J99)</f>
        <v>0</v>
      </c>
      <c r="K95" s="495">
        <f t="shared" si="254"/>
        <v>0</v>
      </c>
      <c r="L95" s="495">
        <f t="shared" si="254"/>
        <v>0</v>
      </c>
      <c r="M95" s="495">
        <f>SUM(M96:M99)</f>
        <v>0</v>
      </c>
      <c r="N95" s="495">
        <f t="shared" ref="N95:T95" si="255">SUM(N96:N99)</f>
        <v>0</v>
      </c>
      <c r="O95" s="495">
        <f t="shared" si="255"/>
        <v>0</v>
      </c>
      <c r="P95" s="495">
        <f t="shared" si="255"/>
        <v>0</v>
      </c>
      <c r="Q95" s="495">
        <f>SUM(Q96:Q99)</f>
        <v>0</v>
      </c>
      <c r="R95" s="495">
        <f t="shared" ref="R95" si="256">SUM(R96:R99)</f>
        <v>0</v>
      </c>
      <c r="S95" s="495">
        <f>SUM(P95:R95)</f>
        <v>0</v>
      </c>
      <c r="T95" s="495">
        <f t="shared" si="255"/>
        <v>0</v>
      </c>
      <c r="U95" s="495">
        <f>SUM(U96:U99)</f>
        <v>0</v>
      </c>
      <c r="V95" s="495">
        <f t="shared" ref="V95:X95" si="257">SUM(V96:V99)</f>
        <v>0</v>
      </c>
      <c r="W95" s="495">
        <f t="shared" si="257"/>
        <v>0</v>
      </c>
      <c r="X95" s="495">
        <f t="shared" si="257"/>
        <v>0</v>
      </c>
      <c r="Y95" s="495">
        <v>0</v>
      </c>
      <c r="Z95" s="495">
        <f t="shared" ref="Z95:AA95" si="258">SUM(Z96:Z99)</f>
        <v>0</v>
      </c>
      <c r="AA95" s="495">
        <f t="shared" si="258"/>
        <v>0</v>
      </c>
      <c r="AB95" s="495">
        <v>250000</v>
      </c>
      <c r="AC95" s="495">
        <v>0</v>
      </c>
      <c r="AD95" s="495">
        <v>0</v>
      </c>
      <c r="AE95" s="495">
        <f>SUM(AB95:AD95)</f>
        <v>250000</v>
      </c>
      <c r="AF95" s="495">
        <v>250000</v>
      </c>
      <c r="AG95" s="495">
        <v>0</v>
      </c>
      <c r="AH95" s="495">
        <v>0</v>
      </c>
      <c r="AI95" s="495">
        <f>SUM(AF95:AH95)</f>
        <v>250000</v>
      </c>
      <c r="AJ95" s="495">
        <v>250000</v>
      </c>
      <c r="AK95" s="495">
        <v>0</v>
      </c>
      <c r="AL95" s="495">
        <v>0</v>
      </c>
      <c r="AM95" s="495">
        <f>SUM(AJ95:AL95)</f>
        <v>250000</v>
      </c>
    </row>
    <row r="96" spans="1:39" ht="15" hidden="1" customHeight="1" x14ac:dyDescent="0.25">
      <c r="A96" s="488"/>
      <c r="B96" s="492" t="s">
        <v>532</v>
      </c>
      <c r="C96" s="494"/>
      <c r="D96" s="494"/>
      <c r="E96" s="494"/>
      <c r="F96" s="494"/>
      <c r="G96" s="494"/>
      <c r="H96" s="368"/>
      <c r="I96" s="494"/>
      <c r="J96" s="494"/>
      <c r="K96" s="494"/>
      <c r="L96" s="494"/>
      <c r="M96" s="494"/>
      <c r="N96" s="494"/>
      <c r="O96" s="494"/>
      <c r="P96" s="494"/>
      <c r="Q96" s="494"/>
      <c r="R96" s="494"/>
      <c r="S96" s="495">
        <f t="shared" ref="S96:S105" si="259">SUM(P96:R96)</f>
        <v>0</v>
      </c>
      <c r="T96" s="494"/>
      <c r="U96" s="494"/>
      <c r="V96" s="494"/>
      <c r="W96" s="494"/>
      <c r="X96" s="494"/>
      <c r="Y96" s="494">
        <v>0</v>
      </c>
      <c r="Z96" s="494">
        <v>0</v>
      </c>
      <c r="AA96" s="494">
        <f t="shared" ref="AA96:AA105" si="260">SUM(X96:Z96)</f>
        <v>0</v>
      </c>
      <c r="AB96" s="494"/>
      <c r="AC96" s="494"/>
      <c r="AD96" s="494"/>
      <c r="AE96" s="495">
        <f t="shared" ref="AE96:AE105" si="261">SUM(AB96:AD96)</f>
        <v>0</v>
      </c>
      <c r="AF96" s="494"/>
      <c r="AG96" s="494"/>
      <c r="AH96" s="494"/>
      <c r="AI96" s="495">
        <f t="shared" ref="AI96:AI105" si="262">SUM(AF96:AH96)</f>
        <v>0</v>
      </c>
      <c r="AJ96" s="494"/>
      <c r="AK96" s="494"/>
      <c r="AL96" s="494"/>
      <c r="AM96" s="495">
        <f t="shared" ref="AM96:AM105" si="263">SUM(AJ96:AL96)</f>
        <v>0</v>
      </c>
    </row>
    <row r="97" spans="1:39" ht="30" hidden="1" customHeight="1" x14ac:dyDescent="0.25">
      <c r="A97" s="488"/>
      <c r="B97" s="509" t="s">
        <v>1254</v>
      </c>
      <c r="C97" s="494"/>
      <c r="D97" s="494"/>
      <c r="E97" s="494"/>
      <c r="F97" s="494"/>
      <c r="G97" s="494"/>
      <c r="H97" s="368"/>
      <c r="I97" s="494"/>
      <c r="J97" s="494"/>
      <c r="K97" s="494"/>
      <c r="L97" s="494"/>
      <c r="M97" s="494"/>
      <c r="N97" s="494"/>
      <c r="O97" s="494"/>
      <c r="P97" s="494"/>
      <c r="Q97" s="494"/>
      <c r="R97" s="494"/>
      <c r="S97" s="495">
        <f t="shared" si="259"/>
        <v>0</v>
      </c>
      <c r="T97" s="494"/>
      <c r="U97" s="494"/>
      <c r="V97" s="494"/>
      <c r="W97" s="494"/>
      <c r="X97" s="494"/>
      <c r="Y97" s="494">
        <v>0</v>
      </c>
      <c r="Z97" s="494"/>
      <c r="AA97" s="494">
        <f t="shared" si="260"/>
        <v>0</v>
      </c>
      <c r="AB97" s="494"/>
      <c r="AC97" s="494"/>
      <c r="AD97" s="494"/>
      <c r="AE97" s="495">
        <f t="shared" si="261"/>
        <v>0</v>
      </c>
      <c r="AF97" s="494"/>
      <c r="AG97" s="494"/>
      <c r="AH97" s="494"/>
      <c r="AI97" s="495">
        <f t="shared" si="262"/>
        <v>0</v>
      </c>
      <c r="AJ97" s="494"/>
      <c r="AK97" s="494"/>
      <c r="AL97" s="494"/>
      <c r="AM97" s="495">
        <f t="shared" si="263"/>
        <v>0</v>
      </c>
    </row>
    <row r="98" spans="1:39" ht="15" hidden="1" customHeight="1" x14ac:dyDescent="0.25">
      <c r="A98" s="488"/>
      <c r="B98" s="492" t="s">
        <v>533</v>
      </c>
      <c r="C98" s="494">
        <v>0</v>
      </c>
      <c r="D98" s="494">
        <v>0</v>
      </c>
      <c r="E98" s="494">
        <v>0</v>
      </c>
      <c r="F98" s="494">
        <v>0</v>
      </c>
      <c r="G98" s="494">
        <f t="shared" si="197"/>
        <v>0</v>
      </c>
      <c r="H98" s="368">
        <v>0</v>
      </c>
      <c r="I98" s="494">
        <v>0</v>
      </c>
      <c r="J98" s="494">
        <v>0</v>
      </c>
      <c r="K98" s="494">
        <f t="shared" ref="K98:K101" si="264">SUM(H98:J98)</f>
        <v>0</v>
      </c>
      <c r="L98" s="494">
        <v>0</v>
      </c>
      <c r="M98" s="494">
        <v>0</v>
      </c>
      <c r="N98" s="494">
        <v>0</v>
      </c>
      <c r="O98" s="494">
        <f t="shared" ref="O98:O101" si="265">SUM(L98:N98)</f>
        <v>0</v>
      </c>
      <c r="P98" s="494">
        <v>0</v>
      </c>
      <c r="Q98" s="494">
        <v>0</v>
      </c>
      <c r="R98" s="494">
        <v>0</v>
      </c>
      <c r="S98" s="495">
        <f t="shared" si="259"/>
        <v>0</v>
      </c>
      <c r="T98" s="494">
        <v>0</v>
      </c>
      <c r="U98" s="494">
        <v>0</v>
      </c>
      <c r="V98" s="494">
        <v>0</v>
      </c>
      <c r="W98" s="494">
        <f t="shared" ref="W98:W101" si="266">SUM(T98:V98)</f>
        <v>0</v>
      </c>
      <c r="X98" s="494">
        <v>0</v>
      </c>
      <c r="Y98" s="494">
        <v>0</v>
      </c>
      <c r="Z98" s="494">
        <v>0</v>
      </c>
      <c r="AA98" s="494">
        <f t="shared" si="260"/>
        <v>0</v>
      </c>
      <c r="AB98" s="494">
        <v>0</v>
      </c>
      <c r="AC98" s="494">
        <v>0</v>
      </c>
      <c r="AD98" s="494">
        <v>0</v>
      </c>
      <c r="AE98" s="495">
        <f t="shared" si="261"/>
        <v>0</v>
      </c>
      <c r="AF98" s="494">
        <v>0</v>
      </c>
      <c r="AG98" s="494">
        <v>0</v>
      </c>
      <c r="AH98" s="494">
        <v>0</v>
      </c>
      <c r="AI98" s="495">
        <f t="shared" si="262"/>
        <v>0</v>
      </c>
      <c r="AJ98" s="494">
        <v>0</v>
      </c>
      <c r="AK98" s="494">
        <v>0</v>
      </c>
      <c r="AL98" s="494">
        <v>0</v>
      </c>
      <c r="AM98" s="495">
        <f t="shared" si="263"/>
        <v>0</v>
      </c>
    </row>
    <row r="99" spans="1:39" ht="15" hidden="1" customHeight="1" x14ac:dyDescent="0.25">
      <c r="A99" s="488"/>
      <c r="B99" s="492" t="s">
        <v>534</v>
      </c>
      <c r="C99" s="494">
        <v>0</v>
      </c>
      <c r="D99" s="494">
        <v>0</v>
      </c>
      <c r="E99" s="494">
        <v>0</v>
      </c>
      <c r="F99" s="494">
        <v>0</v>
      </c>
      <c r="G99" s="494">
        <f t="shared" si="197"/>
        <v>0</v>
      </c>
      <c r="H99" s="368">
        <v>0</v>
      </c>
      <c r="I99" s="494">
        <v>0</v>
      </c>
      <c r="J99" s="494">
        <v>0</v>
      </c>
      <c r="K99" s="494">
        <f t="shared" si="264"/>
        <v>0</v>
      </c>
      <c r="L99" s="494">
        <v>0</v>
      </c>
      <c r="M99" s="494">
        <v>0</v>
      </c>
      <c r="N99" s="494">
        <v>0</v>
      </c>
      <c r="O99" s="494">
        <f t="shared" si="265"/>
        <v>0</v>
      </c>
      <c r="P99" s="494">
        <v>0</v>
      </c>
      <c r="Q99" s="494">
        <v>0</v>
      </c>
      <c r="R99" s="494">
        <v>0</v>
      </c>
      <c r="S99" s="495">
        <f t="shared" si="259"/>
        <v>0</v>
      </c>
      <c r="T99" s="494">
        <v>0</v>
      </c>
      <c r="U99" s="494">
        <v>0</v>
      </c>
      <c r="V99" s="494">
        <v>0</v>
      </c>
      <c r="W99" s="494">
        <f t="shared" si="266"/>
        <v>0</v>
      </c>
      <c r="X99" s="494">
        <v>0</v>
      </c>
      <c r="Y99" s="494">
        <v>0</v>
      </c>
      <c r="Z99" s="494">
        <v>0</v>
      </c>
      <c r="AA99" s="494">
        <f t="shared" si="260"/>
        <v>0</v>
      </c>
      <c r="AB99" s="494">
        <v>0</v>
      </c>
      <c r="AC99" s="494">
        <v>0</v>
      </c>
      <c r="AD99" s="494">
        <v>0</v>
      </c>
      <c r="AE99" s="495">
        <f t="shared" si="261"/>
        <v>0</v>
      </c>
      <c r="AF99" s="494">
        <v>0</v>
      </c>
      <c r="AG99" s="494">
        <v>0</v>
      </c>
      <c r="AH99" s="494">
        <v>0</v>
      </c>
      <c r="AI99" s="495">
        <f t="shared" si="262"/>
        <v>0</v>
      </c>
      <c r="AJ99" s="494">
        <v>0</v>
      </c>
      <c r="AK99" s="494">
        <v>0</v>
      </c>
      <c r="AL99" s="494">
        <v>0</v>
      </c>
      <c r="AM99" s="495">
        <f t="shared" si="263"/>
        <v>0</v>
      </c>
    </row>
    <row r="100" spans="1:39" x14ac:dyDescent="0.25">
      <c r="A100" s="488"/>
      <c r="B100" s="498" t="s">
        <v>535</v>
      </c>
      <c r="C100" s="495">
        <v>0</v>
      </c>
      <c r="D100" s="495">
        <v>0</v>
      </c>
      <c r="E100" s="495">
        <v>0</v>
      </c>
      <c r="F100" s="495">
        <v>0</v>
      </c>
      <c r="G100" s="495">
        <f t="shared" si="197"/>
        <v>0</v>
      </c>
      <c r="H100" s="365">
        <v>0</v>
      </c>
      <c r="I100" s="495">
        <v>0</v>
      </c>
      <c r="J100" s="495">
        <v>0</v>
      </c>
      <c r="K100" s="495">
        <f t="shared" si="264"/>
        <v>0</v>
      </c>
      <c r="L100" s="495">
        <v>0</v>
      </c>
      <c r="M100" s="495">
        <v>0</v>
      </c>
      <c r="N100" s="495">
        <v>0</v>
      </c>
      <c r="O100" s="495">
        <f t="shared" si="265"/>
        <v>0</v>
      </c>
      <c r="P100" s="495">
        <v>0</v>
      </c>
      <c r="Q100" s="495">
        <v>0</v>
      </c>
      <c r="R100" s="495">
        <v>0</v>
      </c>
      <c r="S100" s="495">
        <f t="shared" si="259"/>
        <v>0</v>
      </c>
      <c r="T100" s="495">
        <v>0</v>
      </c>
      <c r="U100" s="495">
        <v>0</v>
      </c>
      <c r="V100" s="495">
        <v>0</v>
      </c>
      <c r="W100" s="495">
        <f t="shared" si="266"/>
        <v>0</v>
      </c>
      <c r="X100" s="495">
        <v>0</v>
      </c>
      <c r="Y100" s="495">
        <v>0</v>
      </c>
      <c r="Z100" s="495">
        <v>0</v>
      </c>
      <c r="AA100" s="495">
        <f t="shared" si="260"/>
        <v>0</v>
      </c>
      <c r="AB100" s="495">
        <v>0</v>
      </c>
      <c r="AC100" s="495">
        <v>0</v>
      </c>
      <c r="AD100" s="495">
        <v>0</v>
      </c>
      <c r="AE100" s="495">
        <f t="shared" si="261"/>
        <v>0</v>
      </c>
      <c r="AF100" s="495">
        <v>0</v>
      </c>
      <c r="AG100" s="495">
        <v>0</v>
      </c>
      <c r="AH100" s="495">
        <v>0</v>
      </c>
      <c r="AI100" s="495">
        <f t="shared" si="262"/>
        <v>0</v>
      </c>
      <c r="AJ100" s="495">
        <v>0</v>
      </c>
      <c r="AK100" s="495">
        <v>0</v>
      </c>
      <c r="AL100" s="495">
        <v>0</v>
      </c>
      <c r="AM100" s="495">
        <f t="shared" si="263"/>
        <v>0</v>
      </c>
    </row>
    <row r="101" spans="1:39" x14ac:dyDescent="0.25">
      <c r="A101" s="488"/>
      <c r="B101" s="498" t="s">
        <v>536</v>
      </c>
      <c r="C101" s="495">
        <f t="shared" ref="C101" si="267">C102+C103</f>
        <v>0</v>
      </c>
      <c r="D101" s="814">
        <f t="shared" ref="D101:E101" si="268">D102+D103</f>
        <v>4582308</v>
      </c>
      <c r="E101" s="814">
        <f t="shared" si="268"/>
        <v>0</v>
      </c>
      <c r="F101" s="814">
        <f t="shared" ref="F101" si="269">F102+F103</f>
        <v>0</v>
      </c>
      <c r="G101" s="814">
        <f t="shared" si="197"/>
        <v>4582308</v>
      </c>
      <c r="H101" s="520">
        <f t="shared" ref="H101:J101" si="270">H102+H103</f>
        <v>4582308</v>
      </c>
      <c r="I101" s="729">
        <f t="shared" si="270"/>
        <v>0</v>
      </c>
      <c r="J101" s="729">
        <f t="shared" si="270"/>
        <v>0</v>
      </c>
      <c r="K101" s="729">
        <f t="shared" si="264"/>
        <v>4582308</v>
      </c>
      <c r="L101" s="729">
        <f t="shared" ref="L101:N101" si="271">L102+L103</f>
        <v>4582308</v>
      </c>
      <c r="M101" s="729">
        <f t="shared" si="271"/>
        <v>0</v>
      </c>
      <c r="N101" s="729">
        <f t="shared" si="271"/>
        <v>0</v>
      </c>
      <c r="O101" s="729">
        <f t="shared" si="265"/>
        <v>4582308</v>
      </c>
      <c r="P101" s="729">
        <f>SUM(P102:P103)</f>
        <v>2513454</v>
      </c>
      <c r="Q101" s="729">
        <f t="shared" ref="Q101:R101" si="272">Q102+Q103</f>
        <v>0</v>
      </c>
      <c r="R101" s="729">
        <f t="shared" si="272"/>
        <v>0</v>
      </c>
      <c r="S101" s="814">
        <f t="shared" si="259"/>
        <v>2513454</v>
      </c>
      <c r="T101" s="499">
        <f t="shared" ref="T101:V101" si="273">T102+T103</f>
        <v>0</v>
      </c>
      <c r="U101" s="499">
        <f t="shared" si="273"/>
        <v>0</v>
      </c>
      <c r="V101" s="499">
        <f t="shared" si="273"/>
        <v>0</v>
      </c>
      <c r="W101" s="499">
        <f t="shared" si="266"/>
        <v>0</v>
      </c>
      <c r="X101" s="499">
        <f t="shared" ref="X101:Z101" si="274">X102+X103</f>
        <v>0</v>
      </c>
      <c r="Y101" s="499">
        <f t="shared" si="274"/>
        <v>0</v>
      </c>
      <c r="Z101" s="499">
        <f t="shared" si="274"/>
        <v>0</v>
      </c>
      <c r="AA101" s="499">
        <f t="shared" si="260"/>
        <v>0</v>
      </c>
      <c r="AB101" s="729">
        <f>SUM(AB102:AB103)</f>
        <v>3288365</v>
      </c>
      <c r="AC101" s="729">
        <v>0</v>
      </c>
      <c r="AD101" s="729">
        <v>0</v>
      </c>
      <c r="AE101" s="495">
        <f t="shared" si="261"/>
        <v>3288365</v>
      </c>
      <c r="AF101" s="729">
        <f>SUM(AF102:AF103)</f>
        <v>3288365</v>
      </c>
      <c r="AG101" s="729">
        <v>0</v>
      </c>
      <c r="AH101" s="729">
        <v>0</v>
      </c>
      <c r="AI101" s="495">
        <f t="shared" si="262"/>
        <v>3288365</v>
      </c>
      <c r="AJ101" s="729">
        <f>SUM(AJ102:AJ103)</f>
        <v>3288365</v>
      </c>
      <c r="AK101" s="729">
        <v>0</v>
      </c>
      <c r="AL101" s="729">
        <v>0</v>
      </c>
      <c r="AM101" s="495">
        <f t="shared" si="263"/>
        <v>3288365</v>
      </c>
    </row>
    <row r="102" spans="1:39" x14ac:dyDescent="0.25">
      <c r="A102" s="488"/>
      <c r="B102" s="492" t="s">
        <v>537</v>
      </c>
      <c r="C102" s="494"/>
      <c r="D102" s="815">
        <v>135593</v>
      </c>
      <c r="E102" s="540"/>
      <c r="F102" s="540"/>
      <c r="G102" s="540">
        <f>SUM(D102:F102)</f>
        <v>135593</v>
      </c>
      <c r="H102" s="526">
        <v>135593</v>
      </c>
      <c r="I102" s="815"/>
      <c r="J102" s="815"/>
      <c r="K102" s="815"/>
      <c r="L102" s="815">
        <v>135593</v>
      </c>
      <c r="M102" s="815"/>
      <c r="N102" s="815"/>
      <c r="O102" s="815"/>
      <c r="P102" s="815">
        <v>96879</v>
      </c>
      <c r="Q102" s="815"/>
      <c r="R102" s="815"/>
      <c r="S102" s="814">
        <f t="shared" si="259"/>
        <v>96879</v>
      </c>
      <c r="T102" s="501"/>
      <c r="U102" s="501"/>
      <c r="V102" s="501"/>
      <c r="W102" s="501"/>
      <c r="X102" s="501">
        <v>0</v>
      </c>
      <c r="Y102" s="501"/>
      <c r="Z102" s="501">
        <v>0</v>
      </c>
      <c r="AA102" s="501">
        <f t="shared" si="260"/>
        <v>0</v>
      </c>
      <c r="AB102" s="815">
        <v>96879</v>
      </c>
      <c r="AC102" s="815"/>
      <c r="AD102" s="815"/>
      <c r="AE102" s="495">
        <f t="shared" si="261"/>
        <v>96879</v>
      </c>
      <c r="AF102" s="815">
        <v>96879</v>
      </c>
      <c r="AG102" s="815"/>
      <c r="AH102" s="815"/>
      <c r="AI102" s="495">
        <f t="shared" si="262"/>
        <v>96879</v>
      </c>
      <c r="AJ102" s="815">
        <v>96879</v>
      </c>
      <c r="AK102" s="815"/>
      <c r="AL102" s="815"/>
      <c r="AM102" s="495">
        <f t="shared" si="263"/>
        <v>96879</v>
      </c>
    </row>
    <row r="103" spans="1:39" x14ac:dyDescent="0.25">
      <c r="A103" s="488"/>
      <c r="B103" s="492" t="s">
        <v>538</v>
      </c>
      <c r="C103" s="494"/>
      <c r="D103" s="540">
        <v>4446715</v>
      </c>
      <c r="E103" s="540"/>
      <c r="F103" s="540"/>
      <c r="G103" s="540">
        <f>SUM(D103:F103)</f>
        <v>4446715</v>
      </c>
      <c r="H103" s="526">
        <v>4446715</v>
      </c>
      <c r="I103" s="540"/>
      <c r="J103" s="540"/>
      <c r="K103" s="540"/>
      <c r="L103" s="540">
        <v>4446715</v>
      </c>
      <c r="M103" s="540"/>
      <c r="N103" s="540"/>
      <c r="O103" s="540"/>
      <c r="P103" s="540">
        <v>2416575</v>
      </c>
      <c r="Q103" s="540"/>
      <c r="R103" s="540"/>
      <c r="S103" s="814">
        <f t="shared" si="259"/>
        <v>2416575</v>
      </c>
      <c r="T103" s="494"/>
      <c r="U103" s="494"/>
      <c r="V103" s="494"/>
      <c r="W103" s="494"/>
      <c r="X103" s="494">
        <v>0</v>
      </c>
      <c r="Y103" s="494"/>
      <c r="Z103" s="494">
        <v>0</v>
      </c>
      <c r="AA103" s="494">
        <f t="shared" si="260"/>
        <v>0</v>
      </c>
      <c r="AB103" s="540">
        <v>3191486</v>
      </c>
      <c r="AC103" s="540"/>
      <c r="AD103" s="540"/>
      <c r="AE103" s="495">
        <f t="shared" si="261"/>
        <v>3191486</v>
      </c>
      <c r="AF103" s="540">
        <v>3191486</v>
      </c>
      <c r="AG103" s="540"/>
      <c r="AH103" s="540"/>
      <c r="AI103" s="495">
        <f t="shared" si="262"/>
        <v>3191486</v>
      </c>
      <c r="AJ103" s="540">
        <v>3191486</v>
      </c>
      <c r="AK103" s="540"/>
      <c r="AL103" s="540"/>
      <c r="AM103" s="495">
        <f t="shared" si="263"/>
        <v>3191486</v>
      </c>
    </row>
    <row r="104" spans="1:39" x14ac:dyDescent="0.25">
      <c r="A104" s="488"/>
      <c r="B104" s="498" t="s">
        <v>539</v>
      </c>
      <c r="C104" s="495"/>
      <c r="D104" s="495"/>
      <c r="E104" s="495"/>
      <c r="F104" s="495"/>
      <c r="G104" s="495"/>
      <c r="H104" s="365"/>
      <c r="I104" s="495"/>
      <c r="J104" s="495"/>
      <c r="K104" s="495"/>
      <c r="L104" s="495"/>
      <c r="M104" s="495"/>
      <c r="N104" s="495"/>
      <c r="O104" s="495"/>
      <c r="P104" s="495"/>
      <c r="Q104" s="495"/>
      <c r="R104" s="495"/>
      <c r="S104" s="495">
        <f t="shared" si="259"/>
        <v>0</v>
      </c>
      <c r="T104" s="495"/>
      <c r="U104" s="495"/>
      <c r="V104" s="495"/>
      <c r="W104" s="495"/>
      <c r="X104" s="495"/>
      <c r="Y104" s="495"/>
      <c r="Z104" s="495">
        <v>0</v>
      </c>
      <c r="AA104" s="495">
        <f t="shared" si="260"/>
        <v>0</v>
      </c>
      <c r="AB104" s="495"/>
      <c r="AC104" s="495"/>
      <c r="AD104" s="495"/>
      <c r="AE104" s="495">
        <f t="shared" si="261"/>
        <v>0</v>
      </c>
      <c r="AF104" s="495"/>
      <c r="AG104" s="495"/>
      <c r="AH104" s="495"/>
      <c r="AI104" s="495">
        <f t="shared" si="262"/>
        <v>0</v>
      </c>
      <c r="AJ104" s="495"/>
      <c r="AK104" s="495"/>
      <c r="AL104" s="495"/>
      <c r="AM104" s="495">
        <f t="shared" si="263"/>
        <v>0</v>
      </c>
    </row>
    <row r="105" spans="1:39" x14ac:dyDescent="0.25">
      <c r="A105" s="488"/>
      <c r="B105" s="498" t="s">
        <v>540</v>
      </c>
      <c r="C105" s="495"/>
      <c r="D105" s="495"/>
      <c r="E105" s="495"/>
      <c r="F105" s="495"/>
      <c r="G105" s="495"/>
      <c r="H105" s="365"/>
      <c r="I105" s="495"/>
      <c r="J105" s="495"/>
      <c r="K105" s="495"/>
      <c r="L105" s="495"/>
      <c r="M105" s="495"/>
      <c r="N105" s="495"/>
      <c r="O105" s="495"/>
      <c r="P105" s="495"/>
      <c r="Q105" s="495"/>
      <c r="R105" s="495"/>
      <c r="S105" s="495">
        <f t="shared" si="259"/>
        <v>0</v>
      </c>
      <c r="T105" s="495"/>
      <c r="U105" s="495"/>
      <c r="V105" s="495"/>
      <c r="W105" s="495"/>
      <c r="X105" s="495"/>
      <c r="Y105" s="495"/>
      <c r="Z105" s="495">
        <v>0</v>
      </c>
      <c r="AA105" s="495">
        <f t="shared" si="260"/>
        <v>0</v>
      </c>
      <c r="AB105" s="495"/>
      <c r="AC105" s="495"/>
      <c r="AD105" s="495"/>
      <c r="AE105" s="495">
        <f t="shared" si="261"/>
        <v>0</v>
      </c>
      <c r="AF105" s="495"/>
      <c r="AG105" s="495"/>
      <c r="AH105" s="495"/>
      <c r="AI105" s="495">
        <f t="shared" si="262"/>
        <v>0</v>
      </c>
      <c r="AJ105" s="495"/>
      <c r="AK105" s="495"/>
      <c r="AL105" s="495"/>
      <c r="AM105" s="495">
        <f t="shared" si="263"/>
        <v>0</v>
      </c>
    </row>
    <row r="106" spans="1:39" x14ac:dyDescent="0.25">
      <c r="A106" s="643" t="s">
        <v>322</v>
      </c>
      <c r="B106" s="644" t="s">
        <v>541</v>
      </c>
      <c r="C106" s="645">
        <f t="shared" ref="C106" si="275">C107+C108</f>
        <v>0</v>
      </c>
      <c r="D106" s="645">
        <f t="shared" ref="D106:E106" si="276">D107+D108</f>
        <v>0</v>
      </c>
      <c r="E106" s="645">
        <f t="shared" si="276"/>
        <v>0</v>
      </c>
      <c r="F106" s="645">
        <f t="shared" ref="F106" si="277">F107+F108</f>
        <v>0</v>
      </c>
      <c r="G106" s="645">
        <f t="shared" si="197"/>
        <v>0</v>
      </c>
      <c r="H106" s="726">
        <f t="shared" ref="H106:J106" si="278">H107+H108</f>
        <v>0</v>
      </c>
      <c r="I106" s="645">
        <f t="shared" si="278"/>
        <v>0</v>
      </c>
      <c r="J106" s="645">
        <f t="shared" si="278"/>
        <v>0</v>
      </c>
      <c r="K106" s="645">
        <f t="shared" ref="K106:K108" si="279">SUM(H106:J106)</f>
        <v>0</v>
      </c>
      <c r="L106" s="645">
        <f t="shared" ref="L106:N106" si="280">L107+L108</f>
        <v>0</v>
      </c>
      <c r="M106" s="645">
        <f t="shared" si="280"/>
        <v>0</v>
      </c>
      <c r="N106" s="645">
        <f t="shared" si="280"/>
        <v>0</v>
      </c>
      <c r="O106" s="645">
        <f t="shared" ref="O106:O108" si="281">SUM(L106:N106)</f>
        <v>0</v>
      </c>
      <c r="P106" s="645">
        <f t="shared" ref="P106:R106" si="282">P107+P108</f>
        <v>0</v>
      </c>
      <c r="Q106" s="645">
        <f t="shared" si="282"/>
        <v>0</v>
      </c>
      <c r="R106" s="645">
        <f t="shared" si="282"/>
        <v>0</v>
      </c>
      <c r="S106" s="645">
        <f>SUM(P106:R106)</f>
        <v>0</v>
      </c>
      <c r="T106" s="645">
        <f t="shared" ref="T106:V106" si="283">T107+T108</f>
        <v>0</v>
      </c>
      <c r="U106" s="645">
        <f t="shared" si="283"/>
        <v>0</v>
      </c>
      <c r="V106" s="645">
        <f t="shared" si="283"/>
        <v>0</v>
      </c>
      <c r="W106" s="645">
        <f t="shared" ref="W106:W109" si="284">SUM(T106:V106)</f>
        <v>0</v>
      </c>
      <c r="X106" s="645">
        <f t="shared" ref="X106:Z106" si="285">X107+X108</f>
        <v>0</v>
      </c>
      <c r="Y106" s="645">
        <f t="shared" si="285"/>
        <v>0</v>
      </c>
      <c r="Z106" s="645">
        <f t="shared" si="285"/>
        <v>0</v>
      </c>
      <c r="AA106" s="645">
        <f t="shared" ref="AA106:AA108" si="286">SUM(X106:Z106)</f>
        <v>0</v>
      </c>
      <c r="AB106" s="645">
        <v>0</v>
      </c>
      <c r="AC106" s="645">
        <v>0</v>
      </c>
      <c r="AD106" s="645">
        <v>0</v>
      </c>
      <c r="AE106" s="645">
        <v>0</v>
      </c>
      <c r="AF106" s="645">
        <v>0</v>
      </c>
      <c r="AG106" s="645">
        <v>0</v>
      </c>
      <c r="AH106" s="645">
        <v>0</v>
      </c>
      <c r="AI106" s="645">
        <v>0</v>
      </c>
      <c r="AJ106" s="645">
        <v>0</v>
      </c>
      <c r="AK106" s="645">
        <v>0</v>
      </c>
      <c r="AL106" s="645">
        <v>0</v>
      </c>
      <c r="AM106" s="645">
        <v>0</v>
      </c>
    </row>
    <row r="107" spans="1:39" ht="15" hidden="1" customHeight="1" x14ac:dyDescent="0.25">
      <c r="A107" s="648"/>
      <c r="B107" s="644" t="s">
        <v>542</v>
      </c>
      <c r="C107" s="645">
        <v>0</v>
      </c>
      <c r="D107" s="645">
        <v>0</v>
      </c>
      <c r="E107" s="645">
        <v>0</v>
      </c>
      <c r="F107" s="645">
        <v>0</v>
      </c>
      <c r="G107" s="645">
        <f t="shared" si="197"/>
        <v>0</v>
      </c>
      <c r="H107" s="726">
        <v>0</v>
      </c>
      <c r="I107" s="645">
        <v>0</v>
      </c>
      <c r="J107" s="645">
        <v>0</v>
      </c>
      <c r="K107" s="645">
        <f t="shared" si="279"/>
        <v>0</v>
      </c>
      <c r="L107" s="645">
        <v>0</v>
      </c>
      <c r="M107" s="645">
        <v>0</v>
      </c>
      <c r="N107" s="645">
        <v>0</v>
      </c>
      <c r="O107" s="645">
        <f t="shared" si="281"/>
        <v>0</v>
      </c>
      <c r="P107" s="645">
        <v>0</v>
      </c>
      <c r="Q107" s="645">
        <v>0</v>
      </c>
      <c r="R107" s="645">
        <v>0</v>
      </c>
      <c r="S107" s="645">
        <f t="shared" ref="S107:S109" si="287">SUM(P107:R107)</f>
        <v>0</v>
      </c>
      <c r="T107" s="645">
        <v>0</v>
      </c>
      <c r="U107" s="645">
        <v>0</v>
      </c>
      <c r="V107" s="645">
        <v>0</v>
      </c>
      <c r="W107" s="645">
        <f t="shared" si="284"/>
        <v>0</v>
      </c>
      <c r="X107" s="645">
        <v>0</v>
      </c>
      <c r="Y107" s="645">
        <v>0</v>
      </c>
      <c r="Z107" s="645">
        <v>0</v>
      </c>
      <c r="AA107" s="645">
        <f t="shared" si="286"/>
        <v>0</v>
      </c>
      <c r="AB107" s="645">
        <v>0</v>
      </c>
      <c r="AC107" s="645">
        <v>0</v>
      </c>
      <c r="AD107" s="645">
        <v>0</v>
      </c>
      <c r="AE107" s="645">
        <v>0</v>
      </c>
      <c r="AF107" s="645">
        <v>0</v>
      </c>
      <c r="AG107" s="645">
        <v>0</v>
      </c>
      <c r="AH107" s="645">
        <v>0</v>
      </c>
      <c r="AI107" s="645">
        <v>0</v>
      </c>
      <c r="AJ107" s="645">
        <v>0</v>
      </c>
      <c r="AK107" s="645">
        <v>0</v>
      </c>
      <c r="AL107" s="645">
        <v>0</v>
      </c>
      <c r="AM107" s="645">
        <v>0</v>
      </c>
    </row>
    <row r="108" spans="1:39" ht="15" hidden="1" customHeight="1" x14ac:dyDescent="0.25">
      <c r="A108" s="648"/>
      <c r="B108" s="644" t="s">
        <v>543</v>
      </c>
      <c r="C108" s="645">
        <v>0</v>
      </c>
      <c r="D108" s="645">
        <v>0</v>
      </c>
      <c r="E108" s="645">
        <v>0</v>
      </c>
      <c r="F108" s="645">
        <v>0</v>
      </c>
      <c r="G108" s="645">
        <f t="shared" si="197"/>
        <v>0</v>
      </c>
      <c r="H108" s="726">
        <v>0</v>
      </c>
      <c r="I108" s="645">
        <v>0</v>
      </c>
      <c r="J108" s="645">
        <v>0</v>
      </c>
      <c r="K108" s="645">
        <f t="shared" si="279"/>
        <v>0</v>
      </c>
      <c r="L108" s="645">
        <v>0</v>
      </c>
      <c r="M108" s="645">
        <v>0</v>
      </c>
      <c r="N108" s="645">
        <v>0</v>
      </c>
      <c r="O108" s="645">
        <f t="shared" si="281"/>
        <v>0</v>
      </c>
      <c r="P108" s="645">
        <v>0</v>
      </c>
      <c r="Q108" s="645">
        <v>0</v>
      </c>
      <c r="R108" s="645">
        <v>0</v>
      </c>
      <c r="S108" s="645">
        <f t="shared" si="287"/>
        <v>0</v>
      </c>
      <c r="T108" s="645">
        <v>0</v>
      </c>
      <c r="U108" s="645">
        <v>0</v>
      </c>
      <c r="V108" s="645">
        <v>0</v>
      </c>
      <c r="W108" s="645">
        <f t="shared" si="284"/>
        <v>0</v>
      </c>
      <c r="X108" s="645">
        <v>0</v>
      </c>
      <c r="Y108" s="645">
        <v>0</v>
      </c>
      <c r="Z108" s="645">
        <v>0</v>
      </c>
      <c r="AA108" s="645">
        <f t="shared" si="286"/>
        <v>0</v>
      </c>
      <c r="AB108" s="645">
        <v>0</v>
      </c>
      <c r="AC108" s="645">
        <v>0</v>
      </c>
      <c r="AD108" s="645">
        <v>0</v>
      </c>
      <c r="AE108" s="645">
        <v>0</v>
      </c>
      <c r="AF108" s="645">
        <v>0</v>
      </c>
      <c r="AG108" s="645">
        <v>0</v>
      </c>
      <c r="AH108" s="645">
        <v>0</v>
      </c>
      <c r="AI108" s="645">
        <v>0</v>
      </c>
      <c r="AJ108" s="645">
        <v>0</v>
      </c>
      <c r="AK108" s="645">
        <v>0</v>
      </c>
      <c r="AL108" s="645">
        <v>0</v>
      </c>
      <c r="AM108" s="645">
        <v>0</v>
      </c>
    </row>
    <row r="109" spans="1:39" x14ac:dyDescent="0.25">
      <c r="A109" s="649"/>
      <c r="B109" s="650" t="s">
        <v>333</v>
      </c>
      <c r="C109" s="625" t="e">
        <f>C93+C61+C5</f>
        <v>#REF!</v>
      </c>
      <c r="D109" s="625">
        <f>D93+D61+D5+1</f>
        <v>6384046</v>
      </c>
      <c r="E109" s="625">
        <f>E93+E61+E5</f>
        <v>57450</v>
      </c>
      <c r="F109" s="625">
        <f>F93+F61+F5</f>
        <v>0</v>
      </c>
      <c r="G109" s="625">
        <f>SUM(D109:F109)</f>
        <v>6441496</v>
      </c>
      <c r="H109" s="665">
        <f>H93+H61+H5+1</f>
        <v>7358746</v>
      </c>
      <c r="I109" s="625">
        <f>I93+I61+I5</f>
        <v>57450</v>
      </c>
      <c r="J109" s="625">
        <f>J93+J61+J5</f>
        <v>0</v>
      </c>
      <c r="K109" s="625">
        <f>SUM(H109:J109)+1</f>
        <v>7416197</v>
      </c>
      <c r="L109" s="625">
        <f>L93+L61+L5+1</f>
        <v>7588268</v>
      </c>
      <c r="M109" s="625">
        <f>M93+M61+M5</f>
        <v>57450</v>
      </c>
      <c r="N109" s="625">
        <f>N93+N61+N5</f>
        <v>0</v>
      </c>
      <c r="O109" s="625">
        <f>SUM(L109:N109)+1</f>
        <v>7645719</v>
      </c>
      <c r="P109" s="625">
        <f>+P5+P61+P93</f>
        <v>6946770</v>
      </c>
      <c r="Q109" s="625">
        <f>+Q5+Q61+Q93</f>
        <v>71300</v>
      </c>
      <c r="R109" s="625">
        <f>R93+R61+R5</f>
        <v>0</v>
      </c>
      <c r="S109" s="645">
        <f t="shared" si="287"/>
        <v>7018070</v>
      </c>
      <c r="T109" s="625" t="e">
        <f>T93+T61+T5</f>
        <v>#REF!</v>
      </c>
      <c r="U109" s="625" t="e">
        <f>U93+U61+U5</f>
        <v>#REF!</v>
      </c>
      <c r="V109" s="625" t="e">
        <f>V93+V61+V5</f>
        <v>#REF!</v>
      </c>
      <c r="W109" s="625" t="e">
        <f t="shared" si="284"/>
        <v>#REF!</v>
      </c>
      <c r="X109" s="625" t="e">
        <f>X93+X61+X5+1</f>
        <v>#REF!</v>
      </c>
      <c r="Y109" s="625" t="e">
        <f>Y93+Y61+Y5</f>
        <v>#REF!</v>
      </c>
      <c r="Z109" s="625" t="e">
        <f>Z93+Z61+Z5</f>
        <v>#REF!</v>
      </c>
      <c r="AA109" s="625" t="e">
        <f>SUM(X109:Z109)-1</f>
        <v>#REF!</v>
      </c>
      <c r="AB109" s="625">
        <v>8362565</v>
      </c>
      <c r="AC109" s="625">
        <f t="shared" ref="AC109:AD109" si="288">+AC5+AC61+AC93</f>
        <v>71300</v>
      </c>
      <c r="AD109" s="625">
        <f t="shared" si="288"/>
        <v>0</v>
      </c>
      <c r="AE109" s="645">
        <f>SUM(AB109:AD109)</f>
        <v>8433865</v>
      </c>
      <c r="AF109" s="625">
        <f>+AF5+AF61+AF93</f>
        <v>8695201</v>
      </c>
      <c r="AG109" s="625">
        <f t="shared" ref="AG109:AH109" si="289">+AG5+AG61+AG93</f>
        <v>104051</v>
      </c>
      <c r="AH109" s="625">
        <f t="shared" si="289"/>
        <v>0</v>
      </c>
      <c r="AI109" s="645">
        <f>SUM(AF109:AH109)</f>
        <v>8799252</v>
      </c>
      <c r="AJ109" s="625">
        <f>+AJ5+AJ61+AJ93</f>
        <v>5275172</v>
      </c>
      <c r="AK109" s="625">
        <f t="shared" ref="AK109:AL109" si="290">+AK5+AK61+AK93</f>
        <v>29604</v>
      </c>
      <c r="AL109" s="625">
        <f t="shared" si="290"/>
        <v>0</v>
      </c>
      <c r="AM109" s="645">
        <f>SUM(AJ109:AL109)</f>
        <v>5304776</v>
      </c>
    </row>
    <row r="111" spans="1:39" x14ac:dyDescent="0.25">
      <c r="K111" s="502">
        <f>+K109-G109</f>
        <v>974701</v>
      </c>
    </row>
    <row r="112" spans="1:39" x14ac:dyDescent="0.25">
      <c r="AA112" s="502"/>
    </row>
    <row r="114" spans="27:27" x14ac:dyDescent="0.25">
      <c r="AA114" s="502"/>
    </row>
  </sheetData>
  <customSheetViews>
    <customSheetView guid="{7F1DC213-A29D-4C8C-BAC3-F1BD898020FD}" scale="75" showPageBreaks="1" printArea="1" hiddenRows="1" hiddenColumns="1" view="pageBreakPreview">
      <pane xSplit="2" ySplit="4" topLeftCell="P5" activePane="bottomRight" state="frozen"/>
      <selection pane="bottomRight" activeCell="AB109" sqref="AB109"/>
      <rowBreaks count="1" manualBreakCount="1">
        <brk id="42" max="34" man="1"/>
      </rowBreaks>
      <pageMargins left="0.19685039370078741" right="0.19685039370078741" top="1.0236220472440944" bottom="0.19685039370078741" header="0.31496062992125984" footer="0.31496062992125984"/>
      <printOptions horizontalCentered="1"/>
      <pageSetup paperSize="9" scale="57" fitToHeight="2" orientation="landscape" r:id="rId1"/>
      <headerFooter>
        <oddHeader>&amp;L2.1. melléklet a ...../2019. (.....) önkormányzati rendelethez&amp;C&amp;"-,Félkövér"&amp;16Az Önkormányzat 2019. évi bevételei forrásonként és feladatonként&amp;RAdatok ezer forintban</oddHeader>
      </headerFooter>
    </customSheetView>
    <customSheetView guid="{4DCB1349-1166-4B69-AE14-D6B08F9FCE74}" scale="75" showPageBreaks="1" printArea="1" hiddenRows="1" hiddenColumns="1" view="pageBreakPreview">
      <pane xSplit="2" ySplit="4" topLeftCell="P5" activePane="bottomRight" state="frozen"/>
      <selection pane="bottomRight" activeCell="AB109" sqref="AB109"/>
      <rowBreaks count="1" manualBreakCount="1">
        <brk id="42" max="34" man="1"/>
      </rowBreaks>
      <pageMargins left="0.19685039370078741" right="0.19685039370078741" top="1.0236220472440944" bottom="0.19685039370078741" header="0.31496062992125984" footer="0.31496062992125984"/>
      <printOptions horizontalCentered="1"/>
      <pageSetup paperSize="9" scale="57" fitToHeight="2" orientation="landscape" r:id="rId2"/>
      <headerFooter>
        <oddHeader>&amp;L2.1. melléklet a ...../2019. (.....) önkormányzati rendelethez&amp;C&amp;"-,Félkövér"&amp;16Az Önkormányzat 2019. évi bevételei forrásonként és feladatonként&amp;RAdatok ezer forintban</oddHeader>
      </headerFooter>
    </customSheetView>
  </customSheetViews>
  <mergeCells count="11">
    <mergeCell ref="AF3:AI3"/>
    <mergeCell ref="AJ3:AM3"/>
    <mergeCell ref="A3:A4"/>
    <mergeCell ref="B3:B4"/>
    <mergeCell ref="D3:G3"/>
    <mergeCell ref="H3:K3"/>
    <mergeCell ref="AB3:AE3"/>
    <mergeCell ref="P3:S3"/>
    <mergeCell ref="T3:W3"/>
    <mergeCell ref="X3:AA3"/>
    <mergeCell ref="L3:O3"/>
  </mergeCells>
  <printOptions horizontalCentered="1"/>
  <pageMargins left="0.19685039370078741" right="0.19685039370078741" top="1.0236220472440944" bottom="0.19685039370078741" header="0.31496062992125984" footer="0.31496062992125984"/>
  <pageSetup paperSize="9" scale="57" fitToHeight="2" orientation="landscape" r:id="rId3"/>
  <headerFooter>
    <oddHeader>&amp;L2.1. melléklet a 3/2019. (II.20.) önkormányzati rendelethez&amp;C&amp;"-,Félkövér"&amp;16Az Önkormányzat 2019. évi bevételei forrásonként és feladatonként&amp;RAdatok ezer forintban</oddHeader>
  </headerFooter>
  <rowBreaks count="1" manualBreakCount="1">
    <brk id="42" max="3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AP58"/>
  <sheetViews>
    <sheetView view="pageLayout" zoomScaleNormal="80" zoomScaleSheetLayoutView="75" workbookViewId="0">
      <selection activeCell="AL44" sqref="AL44"/>
    </sheetView>
  </sheetViews>
  <sheetFormatPr defaultRowHeight="15" x14ac:dyDescent="0.25"/>
  <cols>
    <col min="1" max="1" width="6.140625" style="216" customWidth="1"/>
    <col min="2" max="2" width="52.42578125" style="95" customWidth="1"/>
    <col min="3" max="3" width="11.42578125" style="95" hidden="1" customWidth="1"/>
    <col min="4" max="4" width="9.7109375" style="246" hidden="1" customWidth="1"/>
    <col min="5" max="5" width="9.85546875" style="246" hidden="1" customWidth="1"/>
    <col min="6" max="6" width="11.140625" style="246" hidden="1" customWidth="1"/>
    <col min="7" max="7" width="10.7109375" style="246" hidden="1" customWidth="1"/>
    <col min="8" max="8" width="10.42578125" style="246" hidden="1" customWidth="1"/>
    <col min="9" max="9" width="13.7109375" style="246" hidden="1" customWidth="1"/>
    <col min="10" max="10" width="11.28515625" style="246" hidden="1" customWidth="1"/>
    <col min="11" max="11" width="10.140625" style="246" hidden="1" customWidth="1"/>
    <col min="12" max="12" width="10.28515625" style="246" hidden="1" customWidth="1"/>
    <col min="13" max="13" width="11" style="246" hidden="1" customWidth="1"/>
    <col min="14" max="14" width="9.85546875" style="246" hidden="1" customWidth="1"/>
    <col min="15" max="15" width="13.28515625" style="246" hidden="1" customWidth="1"/>
    <col min="16" max="16" width="10.28515625" style="246" hidden="1" customWidth="1"/>
    <col min="17" max="17" width="10.42578125" style="246" hidden="1" customWidth="1"/>
    <col min="18" max="18" width="9.85546875" style="246" hidden="1" customWidth="1"/>
    <col min="19" max="19" width="9.7109375" style="246" hidden="1" customWidth="1"/>
    <col min="20" max="20" width="13.28515625" style="246" hidden="1" customWidth="1"/>
    <col min="21" max="21" width="13.85546875" style="246" hidden="1" customWidth="1"/>
    <col min="22" max="22" width="12.42578125" style="246" hidden="1" customWidth="1"/>
    <col min="23" max="23" width="12.140625" style="246" hidden="1" customWidth="1"/>
    <col min="24" max="26" width="9.140625" style="246" hidden="1" customWidth="1"/>
    <col min="27" max="27" width="12" style="246" customWidth="1"/>
    <col min="28" max="28" width="11.28515625" style="246" customWidth="1"/>
    <col min="29" max="29" width="11" style="246" customWidth="1"/>
    <col min="30" max="30" width="11.7109375" style="246" customWidth="1"/>
    <col min="31" max="31" width="10.5703125" style="246" customWidth="1"/>
    <col min="32" max="32" width="10.42578125" style="246" customWidth="1"/>
    <col min="33" max="33" width="10.5703125" style="246" customWidth="1"/>
    <col min="34" max="34" width="11.42578125" style="246" customWidth="1"/>
    <col min="35" max="35" width="10.5703125" style="246" customWidth="1"/>
    <col min="36" max="36" width="10" style="246" customWidth="1"/>
    <col min="37" max="37" width="10.140625" style="246" customWidth="1"/>
    <col min="38" max="38" width="10.42578125" style="246" customWidth="1"/>
    <col min="39" max="39" width="10.85546875" style="246" hidden="1" customWidth="1"/>
    <col min="40" max="40" width="10.7109375" style="246" hidden="1" customWidth="1"/>
    <col min="41" max="41" width="10.28515625" style="246" hidden="1" customWidth="1"/>
    <col min="42" max="42" width="11.42578125" style="246" hidden="1" customWidth="1"/>
    <col min="43" max="16384" width="9.140625" style="246"/>
  </cols>
  <sheetData>
    <row r="1" spans="1:42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X1" s="238"/>
      <c r="Y1" s="238"/>
      <c r="Z1" s="238"/>
      <c r="AA1" s="742" t="s">
        <v>1366</v>
      </c>
      <c r="AB1" s="742" t="s">
        <v>1376</v>
      </c>
      <c r="AC1" s="742" t="s">
        <v>1377</v>
      </c>
      <c r="AD1" s="742" t="s">
        <v>1378</v>
      </c>
      <c r="AE1" s="742" t="s">
        <v>1379</v>
      </c>
      <c r="AF1" s="742" t="s">
        <v>1380</v>
      </c>
      <c r="AG1" s="742" t="s">
        <v>1381</v>
      </c>
      <c r="AH1" s="742" t="s">
        <v>1382</v>
      </c>
      <c r="AI1" s="742" t="s">
        <v>1383</v>
      </c>
      <c r="AJ1" s="742" t="s">
        <v>1384</v>
      </c>
      <c r="AK1" s="742" t="s">
        <v>1385</v>
      </c>
      <c r="AL1" s="742" t="s">
        <v>1386</v>
      </c>
      <c r="AM1" s="742"/>
      <c r="AN1" s="742"/>
      <c r="AO1" s="742"/>
      <c r="AP1" s="742"/>
    </row>
    <row r="2" spans="1:42" x14ac:dyDescent="0.25">
      <c r="A2" s="847" t="s">
        <v>470</v>
      </c>
      <c r="B2" s="847" t="s">
        <v>471</v>
      </c>
      <c r="C2" s="750"/>
      <c r="D2" s="750"/>
      <c r="E2" s="750"/>
      <c r="F2" s="750"/>
      <c r="G2" s="750"/>
      <c r="H2" s="750"/>
      <c r="I2" s="750"/>
      <c r="J2" s="750"/>
      <c r="K2" s="750"/>
      <c r="L2" s="750"/>
      <c r="M2" s="750"/>
      <c r="N2" s="750"/>
      <c r="O2" s="750"/>
      <c r="P2" s="750"/>
      <c r="Q2" s="750"/>
      <c r="R2" s="750"/>
      <c r="S2" s="750"/>
      <c r="T2" s="750"/>
      <c r="U2" s="750"/>
      <c r="V2" s="750"/>
      <c r="W2" s="750"/>
      <c r="AA2" s="803"/>
      <c r="AB2" s="803"/>
      <c r="AC2" s="803"/>
      <c r="AD2" s="803"/>
      <c r="AE2" s="803"/>
      <c r="AF2" s="803"/>
      <c r="AG2" s="803"/>
      <c r="AH2" s="803"/>
      <c r="AI2" s="803"/>
      <c r="AJ2" s="803"/>
      <c r="AK2" s="803"/>
      <c r="AL2" s="803"/>
      <c r="AM2" s="803"/>
      <c r="AN2" s="803"/>
      <c r="AO2" s="803"/>
      <c r="AP2" s="803"/>
    </row>
    <row r="3" spans="1:42" ht="48.75" customHeight="1" x14ac:dyDescent="0.25">
      <c r="A3" s="897" t="s">
        <v>305</v>
      </c>
      <c r="B3" s="897" t="s">
        <v>581</v>
      </c>
      <c r="C3" s="591" t="s">
        <v>1193</v>
      </c>
      <c r="D3" s="898" t="s">
        <v>1279</v>
      </c>
      <c r="E3" s="918"/>
      <c r="F3" s="918"/>
      <c r="G3" s="919"/>
      <c r="H3" s="898" t="s">
        <v>1391</v>
      </c>
      <c r="I3" s="899"/>
      <c r="J3" s="899"/>
      <c r="K3" s="900"/>
      <c r="L3" s="898" t="s">
        <v>1392</v>
      </c>
      <c r="M3" s="918"/>
      <c r="N3" s="918"/>
      <c r="O3" s="919"/>
      <c r="P3" s="898" t="s">
        <v>1246</v>
      </c>
      <c r="Q3" s="901"/>
      <c r="R3" s="901"/>
      <c r="S3" s="902"/>
      <c r="T3" s="898" t="s">
        <v>1387</v>
      </c>
      <c r="U3" s="901"/>
      <c r="V3" s="901"/>
      <c r="W3" s="902"/>
      <c r="AA3" s="898" t="s">
        <v>1424</v>
      </c>
      <c r="AB3" s="899"/>
      <c r="AC3" s="899"/>
      <c r="AD3" s="900"/>
      <c r="AE3" s="898" t="s">
        <v>1452</v>
      </c>
      <c r="AF3" s="899"/>
      <c r="AG3" s="899"/>
      <c r="AH3" s="900"/>
      <c r="AI3" s="898" t="s">
        <v>1444</v>
      </c>
      <c r="AJ3" s="899"/>
      <c r="AK3" s="899"/>
      <c r="AL3" s="900"/>
      <c r="AM3" s="898" t="s">
        <v>1456</v>
      </c>
      <c r="AN3" s="899"/>
      <c r="AO3" s="899"/>
      <c r="AP3" s="900"/>
    </row>
    <row r="4" spans="1:42" ht="45" x14ac:dyDescent="0.25">
      <c r="A4" s="897"/>
      <c r="B4" s="897"/>
      <c r="C4" s="591" t="s">
        <v>546</v>
      </c>
      <c r="D4" s="591" t="s">
        <v>1209</v>
      </c>
      <c r="E4" s="591" t="s">
        <v>1210</v>
      </c>
      <c r="F4" s="591" t="s">
        <v>1211</v>
      </c>
      <c r="G4" s="591" t="s">
        <v>546</v>
      </c>
      <c r="H4" s="591" t="s">
        <v>1209</v>
      </c>
      <c r="I4" s="591" t="s">
        <v>1210</v>
      </c>
      <c r="J4" s="591" t="s">
        <v>1211</v>
      </c>
      <c r="K4" s="591" t="s">
        <v>546</v>
      </c>
      <c r="L4" s="591" t="s">
        <v>1209</v>
      </c>
      <c r="M4" s="591" t="s">
        <v>1210</v>
      </c>
      <c r="N4" s="591" t="s">
        <v>1211</v>
      </c>
      <c r="O4" s="591" t="s">
        <v>546</v>
      </c>
      <c r="P4" s="591" t="s">
        <v>1209</v>
      </c>
      <c r="Q4" s="591" t="s">
        <v>1210</v>
      </c>
      <c r="R4" s="591" t="s">
        <v>1211</v>
      </c>
      <c r="S4" s="806" t="s">
        <v>546</v>
      </c>
      <c r="T4" s="591" t="s">
        <v>1209</v>
      </c>
      <c r="U4" s="591" t="s">
        <v>1210</v>
      </c>
      <c r="V4" s="591" t="s">
        <v>1211</v>
      </c>
      <c r="W4" s="591" t="s">
        <v>546</v>
      </c>
      <c r="AA4" s="808" t="s">
        <v>1209</v>
      </c>
      <c r="AB4" s="808" t="s">
        <v>1210</v>
      </c>
      <c r="AC4" s="808" t="s">
        <v>1211</v>
      </c>
      <c r="AD4" s="808" t="s">
        <v>546</v>
      </c>
      <c r="AE4" s="642" t="s">
        <v>1209</v>
      </c>
      <c r="AF4" s="642" t="s">
        <v>1210</v>
      </c>
      <c r="AG4" s="642" t="s">
        <v>1211</v>
      </c>
      <c r="AH4" s="642" t="s">
        <v>546</v>
      </c>
      <c r="AI4" s="642" t="s">
        <v>1209</v>
      </c>
      <c r="AJ4" s="642" t="s">
        <v>1210</v>
      </c>
      <c r="AK4" s="642" t="s">
        <v>1211</v>
      </c>
      <c r="AL4" s="642" t="s">
        <v>546</v>
      </c>
      <c r="AM4" s="642" t="s">
        <v>1209</v>
      </c>
      <c r="AN4" s="642" t="s">
        <v>1210</v>
      </c>
      <c r="AO4" s="642" t="s">
        <v>1211</v>
      </c>
      <c r="AP4" s="642" t="s">
        <v>546</v>
      </c>
    </row>
    <row r="5" spans="1:42" hidden="1" x14ac:dyDescent="0.25">
      <c r="A5" s="290"/>
      <c r="B5" s="455" t="s">
        <v>307</v>
      </c>
      <c r="C5" s="292">
        <v>12</v>
      </c>
      <c r="D5" s="292">
        <v>24</v>
      </c>
      <c r="E5" s="292">
        <v>0</v>
      </c>
      <c r="F5" s="292">
        <v>0</v>
      </c>
      <c r="G5" s="292">
        <f>SUM(D5:F5)</f>
        <v>24</v>
      </c>
      <c r="H5" s="292">
        <v>24</v>
      </c>
      <c r="I5" s="292">
        <v>0</v>
      </c>
      <c r="J5" s="292">
        <v>0</v>
      </c>
      <c r="K5" s="292">
        <f>SUM(H5:J5)</f>
        <v>24</v>
      </c>
      <c r="L5" s="292">
        <v>12</v>
      </c>
      <c r="M5" s="292">
        <v>0</v>
      </c>
      <c r="N5" s="292">
        <v>0</v>
      </c>
      <c r="O5" s="292">
        <f>SUM(L5:N5)</f>
        <v>12</v>
      </c>
      <c r="P5" s="292">
        <v>12</v>
      </c>
      <c r="Q5" s="292">
        <v>0</v>
      </c>
      <c r="R5" s="292">
        <v>0</v>
      </c>
      <c r="S5" s="292">
        <f>SUM(P5:R5)</f>
        <v>12</v>
      </c>
      <c r="T5" s="292">
        <v>24</v>
      </c>
      <c r="U5" s="292">
        <v>0</v>
      </c>
      <c r="V5" s="292">
        <v>0</v>
      </c>
      <c r="W5" s="292">
        <f>SUM(T5:V5)</f>
        <v>24</v>
      </c>
      <c r="AA5" s="804">
        <v>12</v>
      </c>
      <c r="AB5" s="804">
        <v>0</v>
      </c>
      <c r="AC5" s="804">
        <v>0</v>
      </c>
      <c r="AD5" s="804">
        <f>SUM(AA5:AC5)</f>
        <v>12</v>
      </c>
      <c r="AE5" s="804"/>
      <c r="AF5" s="804"/>
      <c r="AG5" s="804"/>
      <c r="AH5" s="804"/>
      <c r="AI5" s="804"/>
      <c r="AJ5" s="804"/>
      <c r="AK5" s="804"/>
      <c r="AL5" s="804"/>
      <c r="AM5" s="804"/>
      <c r="AN5" s="804"/>
      <c r="AO5" s="804"/>
      <c r="AP5" s="804"/>
    </row>
    <row r="6" spans="1:42" hidden="1" x14ac:dyDescent="0.25">
      <c r="A6" s="290"/>
      <c r="B6" s="455" t="s">
        <v>308</v>
      </c>
      <c r="C6" s="292">
        <v>25</v>
      </c>
      <c r="D6" s="292">
        <v>75</v>
      </c>
      <c r="E6" s="292">
        <v>0</v>
      </c>
      <c r="F6" s="292">
        <v>0</v>
      </c>
      <c r="G6" s="292">
        <f t="shared" ref="G6:G44" si="0">SUM(D6:F6)</f>
        <v>75</v>
      </c>
      <c r="H6" s="292">
        <v>75</v>
      </c>
      <c r="I6" s="292">
        <v>0</v>
      </c>
      <c r="J6" s="292">
        <v>0</v>
      </c>
      <c r="K6" s="292">
        <f t="shared" ref="K6:K43" si="1">SUM(H6:J6)</f>
        <v>75</v>
      </c>
      <c r="L6" s="292">
        <v>25</v>
      </c>
      <c r="M6" s="292">
        <v>0</v>
      </c>
      <c r="N6" s="292">
        <v>0</v>
      </c>
      <c r="O6" s="292">
        <f t="shared" ref="O6:O38" si="2">SUM(L6:N6)</f>
        <v>25</v>
      </c>
      <c r="P6" s="292">
        <v>25</v>
      </c>
      <c r="Q6" s="292">
        <v>0</v>
      </c>
      <c r="R6" s="292">
        <v>0</v>
      </c>
      <c r="S6" s="292">
        <f t="shared" ref="S6:S38" si="3">SUM(P6:R6)</f>
        <v>25</v>
      </c>
      <c r="T6" s="292">
        <v>75</v>
      </c>
      <c r="U6" s="292">
        <v>0</v>
      </c>
      <c r="V6" s="292">
        <v>0</v>
      </c>
      <c r="W6" s="292">
        <f t="shared" ref="W6:W38" si="4">SUM(T6:V6)</f>
        <v>75</v>
      </c>
      <c r="AA6" s="804">
        <v>25</v>
      </c>
      <c r="AB6" s="804">
        <v>0</v>
      </c>
      <c r="AC6" s="804">
        <v>0</v>
      </c>
      <c r="AD6" s="804">
        <f t="shared" ref="AD6:AD38" si="5">SUM(AA6:AC6)</f>
        <v>25</v>
      </c>
      <c r="AE6" s="804"/>
      <c r="AF6" s="804"/>
      <c r="AG6" s="804"/>
      <c r="AH6" s="804"/>
      <c r="AI6" s="804"/>
      <c r="AJ6" s="804"/>
      <c r="AK6" s="804"/>
      <c r="AL6" s="804"/>
      <c r="AM6" s="804"/>
      <c r="AN6" s="804"/>
      <c r="AO6" s="804"/>
      <c r="AP6" s="804"/>
    </row>
    <row r="7" spans="1:42" x14ac:dyDescent="0.25">
      <c r="A7" s="456" t="s">
        <v>309</v>
      </c>
      <c r="B7" s="437" t="s">
        <v>334</v>
      </c>
      <c r="C7" s="438" t="e">
        <f t="shared" ref="C7" si="6">C8+C9+C10+C11+C12</f>
        <v>#REF!</v>
      </c>
      <c r="D7" s="438" t="e">
        <f t="shared" ref="D7:F7" si="7">D8+D9+D10+D11+D12</f>
        <v>#REF!</v>
      </c>
      <c r="E7" s="438">
        <f t="shared" si="7"/>
        <v>53850</v>
      </c>
      <c r="F7" s="438">
        <f t="shared" si="7"/>
        <v>0</v>
      </c>
      <c r="G7" s="438" t="e">
        <f t="shared" si="0"/>
        <v>#REF!</v>
      </c>
      <c r="H7" s="438">
        <f t="shared" ref="H7:J7" si="8">H8+H9+H10+H11+H12</f>
        <v>574237</v>
      </c>
      <c r="I7" s="438">
        <f t="shared" si="8"/>
        <v>55930</v>
      </c>
      <c r="J7" s="438">
        <f t="shared" si="8"/>
        <v>0</v>
      </c>
      <c r="K7" s="438">
        <f t="shared" si="1"/>
        <v>630167</v>
      </c>
      <c r="L7" s="438">
        <f t="shared" ref="L7:N7" si="9">L8+L9+L10+L11+L12</f>
        <v>620939</v>
      </c>
      <c r="M7" s="438">
        <f t="shared" si="9"/>
        <v>48493</v>
      </c>
      <c r="N7" s="438">
        <f t="shared" si="9"/>
        <v>0</v>
      </c>
      <c r="O7" s="438">
        <f t="shared" si="2"/>
        <v>669432</v>
      </c>
      <c r="P7" s="438">
        <f t="shared" ref="P7:R7" si="10">P8+P9+P10+P11+P12</f>
        <v>389937</v>
      </c>
      <c r="Q7" s="438">
        <f t="shared" si="10"/>
        <v>0</v>
      </c>
      <c r="R7" s="438">
        <f t="shared" si="10"/>
        <v>0</v>
      </c>
      <c r="S7" s="438">
        <f t="shared" si="3"/>
        <v>389937</v>
      </c>
      <c r="T7" s="438">
        <f t="shared" ref="T7:V7" si="11">T8+T9+T10+T11+T12</f>
        <v>181512</v>
      </c>
      <c r="U7" s="438">
        <f t="shared" si="11"/>
        <v>19468</v>
      </c>
      <c r="V7" s="438">
        <f t="shared" si="11"/>
        <v>930643</v>
      </c>
      <c r="W7" s="438">
        <f t="shared" si="4"/>
        <v>1131623</v>
      </c>
      <c r="Y7" s="246">
        <v>1617899</v>
      </c>
      <c r="Z7" s="435">
        <f>+S7-Y7</f>
        <v>-1227962</v>
      </c>
      <c r="AA7" s="438">
        <f>+AA8+AA9+AA10+AA11+AA12</f>
        <v>508297</v>
      </c>
      <c r="AB7" s="438">
        <f>+AB8+AB9+AB10+AB11+AB12</f>
        <v>67700</v>
      </c>
      <c r="AC7" s="438">
        <f t="shared" ref="AC7" si="12">AC8+AC9+AC10+AC11+AC12</f>
        <v>0</v>
      </c>
      <c r="AD7" s="438">
        <f t="shared" si="5"/>
        <v>575997</v>
      </c>
      <c r="AE7" s="438">
        <f>+AE8+AE9+AE10+AE11+AE12</f>
        <v>773879</v>
      </c>
      <c r="AF7" s="438">
        <f t="shared" ref="AF7:AG7" si="13">+AF8+AF9+AF10+AF11+AF12</f>
        <v>67700</v>
      </c>
      <c r="AG7" s="438">
        <f t="shared" si="13"/>
        <v>0</v>
      </c>
      <c r="AH7" s="438">
        <f>SUM(AE7:AG7)</f>
        <v>841579</v>
      </c>
      <c r="AI7" s="438">
        <f>+AI8+AI9+AI10+AI11+AI12</f>
        <v>992577</v>
      </c>
      <c r="AJ7" s="438">
        <f t="shared" ref="AJ7:AK7" si="14">+AJ8+AJ9+AJ10+AJ11+AJ12</f>
        <v>100451</v>
      </c>
      <c r="AK7" s="438">
        <f t="shared" si="14"/>
        <v>0</v>
      </c>
      <c r="AL7" s="438">
        <f>SUM(AI7:AK7)</f>
        <v>1093028</v>
      </c>
      <c r="AM7" s="438">
        <f>+AM8+AM9+AM10+AM11+AM12</f>
        <v>548658</v>
      </c>
      <c r="AN7" s="438">
        <f t="shared" ref="AN7:AO7" si="15">+AN8+AN9+AN10+AN11+AN12</f>
        <v>27839</v>
      </c>
      <c r="AO7" s="438">
        <f t="shared" si="15"/>
        <v>0</v>
      </c>
      <c r="AP7" s="438">
        <f>SUM(AM7:AO7)</f>
        <v>576497</v>
      </c>
    </row>
    <row r="8" spans="1:42" s="656" customFormat="1" x14ac:dyDescent="0.25">
      <c r="A8" s="290" t="s">
        <v>311</v>
      </c>
      <c r="B8" s="654" t="s">
        <v>286</v>
      </c>
      <c r="C8" s="655" t="e">
        <f>'2.3.Önk kiad fel'!C207</f>
        <v>#REF!</v>
      </c>
      <c r="D8" s="655">
        <f>'2.3.Önk kiad fel'!F8+'2.3.Önk kiad fel'!F24+'2.3.Önk kiad fel'!F32</f>
        <v>100962</v>
      </c>
      <c r="E8" s="655">
        <f>'2.3.Önk kiad fel'!F83+'2.3.Önk kiad fel'!F88+'2.3.Önk kiad fel'!F121+'2.3.Önk kiad fel'!F168+'2.3.Önk kiad fel'!F183+'2.3.Önk kiad fel'!F189+'2.3.Önk kiad fel'!F177</f>
        <v>0</v>
      </c>
      <c r="F8" s="655">
        <f>'2.3.Önk kiad fel'!F207</f>
        <v>0</v>
      </c>
      <c r="G8" s="655">
        <f t="shared" si="0"/>
        <v>100962</v>
      </c>
      <c r="H8" s="655">
        <f>'2.3.Önk kiad fel'!I8+'2.3.Önk kiad fel'!I24+'2.3.Önk kiad fel'!I32</f>
        <v>168779</v>
      </c>
      <c r="I8" s="655">
        <f>'2.3.Önk kiad fel'!I83+'2.3.Önk kiad fel'!I88+'2.3.Önk kiad fel'!I121+'2.3.Önk kiad fel'!I168+'2.3.Önk kiad fel'!I183+'2.3.Önk kiad fel'!I189+'2.3.Önk kiad fel'!I177</f>
        <v>0</v>
      </c>
      <c r="J8" s="655">
        <f>'2.3.Önk kiad fel'!J207</f>
        <v>0</v>
      </c>
      <c r="K8" s="655">
        <f t="shared" si="1"/>
        <v>168779</v>
      </c>
      <c r="L8" s="655">
        <f>+'2.3.Önk kiad fel'!L8+'2.3.Önk kiad fel'!L24+'2.3.Önk kiad fel'!L32+'2.3.Önk kiad fel'!L51+'2.3.Önk kiad fel'!L112+'2.3.Önk kiad fel'!L117</f>
        <v>183103</v>
      </c>
      <c r="M8" s="655">
        <f>'2.3.Önk kiad fel'!L83+'2.3.Önk kiad fel'!L88+'2.3.Önk kiad fel'!L121+'2.3.Önk kiad fel'!L168+'2.3.Önk kiad fel'!L183+'2.3.Önk kiad fel'!L189+'2.3.Önk kiad fel'!L177</f>
        <v>0</v>
      </c>
      <c r="N8" s="655">
        <f>'2.3.Önk kiad fel'!L207</f>
        <v>0</v>
      </c>
      <c r="O8" s="655">
        <f t="shared" si="2"/>
        <v>183103</v>
      </c>
      <c r="P8" s="655">
        <f>'2.3.Önk kiad fel'!P24+'2.3.Önk kiad fel'!P24+'2.3.Önk kiad fel'!P59+'2.3.Önk kiad fel'!P70</f>
        <v>0</v>
      </c>
      <c r="Q8" s="655">
        <f>'2.3.Önk kiad fel'!O83+'2.3.Önk kiad fel'!O88+'2.3.Önk kiad fel'!O121+'2.3.Önk kiad fel'!O168+'2.3.Önk kiad fel'!O183+'2.3.Önk kiad fel'!O189+'2.3.Önk kiad fel'!O177</f>
        <v>0</v>
      </c>
      <c r="R8" s="655"/>
      <c r="S8" s="655">
        <f t="shared" si="3"/>
        <v>0</v>
      </c>
      <c r="T8" s="655">
        <f>'2.3.Önk kiad fel'!R8+'2.3.Önk kiad fel'!R24+'2.3.Önk kiad fel'!R32</f>
        <v>70757</v>
      </c>
      <c r="U8" s="655">
        <f>'2.3.Önk kiad fel'!R83+'2.3.Önk kiad fel'!R88+'2.3.Önk kiad fel'!R121+'2.3.Önk kiad fel'!R168+'2.3.Önk kiad fel'!R183+'2.3.Önk kiad fel'!R189+'2.3.Önk kiad fel'!R177</f>
        <v>0</v>
      </c>
      <c r="V8" s="655">
        <f>'2.3.Önk kiad fel'!U207</f>
        <v>0</v>
      </c>
      <c r="W8" s="655">
        <f t="shared" si="4"/>
        <v>70757</v>
      </c>
      <c r="AA8" s="655">
        <f>+'2.3.Önk kiad fel'!S8+'2.3.Önk kiad fel'!S24+'2.3.Önk kiad fel'!S32+'2.3.Önk kiad fel'!S44+'2.3.Önk kiad fel'!S51</f>
        <v>168931</v>
      </c>
      <c r="AB8" s="655">
        <f>+'2.3.Önk kiad fel'!S101+'2.3.Önk kiad fel'!S112+'2.3.Önk kiad fel'!S117</f>
        <v>0</v>
      </c>
      <c r="AC8" s="655">
        <f>'2.3.Önk kiad fel'!Z207</f>
        <v>0</v>
      </c>
      <c r="AD8" s="655">
        <f t="shared" si="5"/>
        <v>168931</v>
      </c>
      <c r="AE8" s="655">
        <v>217118</v>
      </c>
      <c r="AF8" s="655">
        <v>0</v>
      </c>
      <c r="AG8" s="655">
        <v>0</v>
      </c>
      <c r="AH8" s="655">
        <f>SUM(AE8:AG8)</f>
        <v>217118</v>
      </c>
      <c r="AI8" s="655">
        <v>269167</v>
      </c>
      <c r="AJ8" s="655"/>
      <c r="AK8" s="655"/>
      <c r="AL8" s="655">
        <f>SUM(AI8:AK8)</f>
        <v>269167</v>
      </c>
      <c r="AM8" s="655">
        <v>128842</v>
      </c>
      <c r="AN8" s="655"/>
      <c r="AO8" s="655"/>
      <c r="AP8" s="655">
        <f>SUM(AM8:AO8)</f>
        <v>128842</v>
      </c>
    </row>
    <row r="9" spans="1:42" s="656" customFormat="1" ht="30" x14ac:dyDescent="0.25">
      <c r="A9" s="290" t="s">
        <v>322</v>
      </c>
      <c r="B9" s="654" t="s">
        <v>335</v>
      </c>
      <c r="C9" s="655" t="e">
        <f>'2.3.Önk kiad fel'!C208</f>
        <v>#REF!</v>
      </c>
      <c r="D9" s="655">
        <f>'2.3.Önk kiad fel'!F9+'2.3.Önk kiad fel'!F25+'2.3.Önk kiad fel'!F33</f>
        <v>19047</v>
      </c>
      <c r="E9" s="655">
        <f>'2.3.Önk kiad fel'!F84+'2.3.Önk kiad fel'!F89+'2.3.Önk kiad fel'!F122+'2.3.Önk kiad fel'!F169+'2.3.Önk kiad fel'!F184+'2.3.Önk kiad fel'!F190+'2.3.Önk kiad fel'!F178</f>
        <v>0</v>
      </c>
      <c r="F9" s="655">
        <f>'2.3.Önk kiad fel'!F208</f>
        <v>0</v>
      </c>
      <c r="G9" s="655">
        <f t="shared" si="0"/>
        <v>19047</v>
      </c>
      <c r="H9" s="655">
        <f>'2.3.Önk kiad fel'!I9+'2.3.Önk kiad fel'!I25+'2.3.Önk kiad fel'!I33</f>
        <v>32322</v>
      </c>
      <c r="I9" s="655">
        <f>'2.3.Önk kiad fel'!I84+'2.3.Önk kiad fel'!I89+'2.3.Önk kiad fel'!I122+'2.3.Önk kiad fel'!I169+'2.3.Önk kiad fel'!I178+'2.3.Önk kiad fel'!I184+'2.3.Önk kiad fel'!I190</f>
        <v>0</v>
      </c>
      <c r="J9" s="655">
        <f>'2.3.Önk kiad fel'!J208</f>
        <v>0</v>
      </c>
      <c r="K9" s="655">
        <f t="shared" si="1"/>
        <v>32322</v>
      </c>
      <c r="L9" s="655">
        <f>+'2.3.Önk kiad fel'!L9+'2.3.Önk kiad fel'!L25+'2.3.Önk kiad fel'!L33+'2.3.Önk kiad fel'!L52+'2.3.Önk kiad fel'!L102+'2.3.Önk kiad fel'!L113+'2.3.Önk kiad fel'!L118</f>
        <v>33561</v>
      </c>
      <c r="M9" s="655">
        <f>'2.3.Önk kiad fel'!L84+'2.3.Önk kiad fel'!L89+'2.3.Önk kiad fel'!L122+'2.3.Önk kiad fel'!L169+'2.3.Önk kiad fel'!L178+'2.3.Önk kiad fel'!L184+'2.3.Önk kiad fel'!L190</f>
        <v>0</v>
      </c>
      <c r="N9" s="655">
        <f>'2.3.Önk kiad fel'!L208</f>
        <v>0</v>
      </c>
      <c r="O9" s="655">
        <f t="shared" si="2"/>
        <v>33561</v>
      </c>
      <c r="P9" s="655">
        <f>'2.3.Önk kiad fel'!P25+'2.3.Önk kiad fel'!P25+'2.3.Önk kiad fel'!P60+'2.3.Önk kiad fel'!P71</f>
        <v>0</v>
      </c>
      <c r="Q9" s="655">
        <f>'2.3.Önk kiad fel'!O84+'2.3.Önk kiad fel'!O89+'2.3.Önk kiad fel'!O122+'2.3.Önk kiad fel'!O169+'2.3.Önk kiad fel'!O178+'2.3.Önk kiad fel'!O184+'2.3.Önk kiad fel'!O190</f>
        <v>0</v>
      </c>
      <c r="R9" s="655"/>
      <c r="S9" s="655">
        <f t="shared" si="3"/>
        <v>0</v>
      </c>
      <c r="T9" s="655">
        <f>'2.3.Önk kiad fel'!R9+'2.3.Önk kiad fel'!R25+'2.3.Önk kiad fel'!R33</f>
        <v>12450</v>
      </c>
      <c r="U9" s="655">
        <f>'2.3.Önk kiad fel'!R84+'2.3.Önk kiad fel'!R89+'2.3.Önk kiad fel'!R122+'2.3.Önk kiad fel'!R169+'2.3.Önk kiad fel'!R178+'2.3.Önk kiad fel'!R184+'2.3.Önk kiad fel'!R190</f>
        <v>0</v>
      </c>
      <c r="V9" s="655">
        <f>'2.3.Önk kiad fel'!U208</f>
        <v>269167</v>
      </c>
      <c r="W9" s="655">
        <f t="shared" si="4"/>
        <v>281617</v>
      </c>
      <c r="AA9" s="655">
        <f>+'2.3.Önk kiad fel'!S9+'2.3.Önk kiad fel'!S25+'2.3.Önk kiad fel'!S33+'2.3.Önk kiad fel'!S45+'2.3.Önk kiad fel'!S52</f>
        <v>37498</v>
      </c>
      <c r="AB9" s="655">
        <f>+'2.3.Önk kiad fel'!S102+'2.3.Önk kiad fel'!S113+'2.3.Önk kiad fel'!S118</f>
        <v>0</v>
      </c>
      <c r="AC9" s="655">
        <f>'2.3.Önk kiad fel'!Z208</f>
        <v>0</v>
      </c>
      <c r="AD9" s="655">
        <f t="shared" si="5"/>
        <v>37498</v>
      </c>
      <c r="AE9" s="655">
        <v>43451</v>
      </c>
      <c r="AF9" s="655">
        <v>0</v>
      </c>
      <c r="AG9" s="655">
        <v>0</v>
      </c>
      <c r="AH9" s="655">
        <f t="shared" ref="AH9:AH16" si="16">SUM(AE9:AG9)</f>
        <v>43451</v>
      </c>
      <c r="AI9" s="655">
        <v>50832</v>
      </c>
      <c r="AJ9" s="655"/>
      <c r="AK9" s="655"/>
      <c r="AL9" s="655">
        <f t="shared" ref="AL9:AL16" si="17">SUM(AI9:AK9)</f>
        <v>50832</v>
      </c>
      <c r="AM9" s="655">
        <v>22199</v>
      </c>
      <c r="AN9" s="655"/>
      <c r="AO9" s="655"/>
      <c r="AP9" s="655">
        <f t="shared" ref="AP9:AP16" si="18">SUM(AM9:AO9)</f>
        <v>22199</v>
      </c>
    </row>
    <row r="10" spans="1:42" s="656" customFormat="1" x14ac:dyDescent="0.25">
      <c r="A10" s="290" t="s">
        <v>315</v>
      </c>
      <c r="B10" s="654" t="s">
        <v>292</v>
      </c>
      <c r="C10" s="655">
        <f>'2.3.Önk kiad fel'!C209</f>
        <v>0</v>
      </c>
      <c r="D10" s="534">
        <f>'2.3.Önk kiad fel'!F10+'2.3.Önk kiad fel'!F22+'2.3.Önk kiad fel'!F26+'2.3.Önk kiad fel'!F28+'2.3.Önk kiad fel'!F30+'2.3.Önk kiad fel'!F34+'2.3.Önk kiad fel'!F46+'2.3.Önk kiad fel'!F48+'2.3.Önk kiad fel'!F53</f>
        <v>232178</v>
      </c>
      <c r="E10" s="534">
        <f>'2.3.Önk kiad fel'!F85+'2.3.Önk kiad fel'!F90+'2.3.Önk kiad fel'!F96</f>
        <v>19000</v>
      </c>
      <c r="F10" s="534">
        <f>'2.3.Önk kiad fel'!F209</f>
        <v>0</v>
      </c>
      <c r="G10" s="534">
        <f t="shared" si="0"/>
        <v>251178</v>
      </c>
      <c r="H10" s="534">
        <f>'2.3.Önk kiad fel'!I10+'2.3.Önk kiad fel'!I22+'2.3.Önk kiad fel'!I26+'2.3.Önk kiad fel'!I28+'2.3.Önk kiad fel'!I30+'2.3.Önk kiad fel'!I34+'2.3.Önk kiad fel'!I46+'2.3.Önk kiad fel'!I48+'2.3.Önk kiad fel'!I53</f>
        <v>328625</v>
      </c>
      <c r="I10" s="534">
        <f>'2.3.Önk kiad fel'!I85+'2.3.Önk kiad fel'!I90+'2.3.Önk kiad fel'!I96</f>
        <v>19000</v>
      </c>
      <c r="J10" s="534">
        <f>'2.3.Önk kiad fel'!J209</f>
        <v>0</v>
      </c>
      <c r="K10" s="534">
        <f t="shared" si="1"/>
        <v>347625</v>
      </c>
      <c r="L10" s="534">
        <f>'2.3.Önk kiad fel'!L10+'2.3.Önk kiad fel'!L22+'2.3.Önk kiad fel'!L26+'2.3.Önk kiad fel'!L28+'2.3.Önk kiad fel'!L30+'2.3.Önk kiad fel'!L34+'2.3.Önk kiad fel'!L46+'2.3.Önk kiad fel'!L48+'2.3.Önk kiad fel'!L53</f>
        <v>364513</v>
      </c>
      <c r="M10" s="534">
        <f>+'2.3.Önk kiad fel'!L85+'2.3.Önk kiad fel'!L96+'2.3.Önk kiad fel'!L114+'2.3.Önk kiad fel'!L90</f>
        <v>6971</v>
      </c>
      <c r="N10" s="534">
        <f>'2.3.Önk kiad fel'!L209</f>
        <v>0</v>
      </c>
      <c r="O10" s="534">
        <f t="shared" si="2"/>
        <v>371484</v>
      </c>
      <c r="P10" s="534">
        <f>'2.3.Önk kiad fel'!O8+'2.3.Önk kiad fel'!O22+'2.3.Önk kiad fel'!O26+'2.3.Önk kiad fel'!O28+'2.3.Önk kiad fel'!O30+'2.3.Önk kiad fel'!O34+'2.3.Önk kiad fel'!O46+'2.3.Önk kiad fel'!O48+'2.3.Önk kiad fel'!O53+'2.3.Önk kiad fel'!O56+'2.3.Önk kiad fel'!O61+'2.3.Önk kiad fel'!O66</f>
        <v>0</v>
      </c>
      <c r="Q10" s="534">
        <f>'2.3.Önk kiad fel'!O77+'2.3.Önk kiad fel'!O80+'2.3.Önk kiad fel'!O85+'2.3.Önk kiad fel'!O92+'2.3.Önk kiad fel'!O94+'2.3.Önk kiad fel'!O96+'2.3.Önk kiad fel'!O99+'2.3.Önk kiad fel'!O103+'2.3.Önk kiad fel'!O105+'2.3.Önk kiad fel'!O109+'2.3.Önk kiad fel'!O107+'2.3.Önk kiad fel'!O115+'2.3.Önk kiad fel'!O119+'2.3.Önk kiad fel'!O123+'2.3.Önk kiad fel'!O130+'2.3.Önk kiad fel'!O148+'2.3.Önk kiad fel'!O152+'2.3.Önk kiad fel'!O164+'2.3.Önk kiad fel'!O170+'2.3.Önk kiad fel'!O179+'2.3.Önk kiad fel'!O187+'2.3.Önk kiad fel'!O191+'2.3.Önk kiad fel'!O196+'2.3.Önk kiad fel'!O74+'2.3.Önk kiad fel'!O185</f>
        <v>0</v>
      </c>
      <c r="R10" s="534"/>
      <c r="S10" s="534">
        <f>90416+60686+1226</f>
        <v>152328</v>
      </c>
      <c r="T10" s="534">
        <f>'2.3.Önk kiad fel'!R10+'2.3.Önk kiad fel'!R22+'2.3.Önk kiad fel'!R26+'2.3.Önk kiad fel'!R28+'2.3.Önk kiad fel'!R30+'2.3.Önk kiad fel'!R34+'2.3.Önk kiad fel'!R46+'2.3.Önk kiad fel'!R48+'2.3.Önk kiad fel'!R53</f>
        <v>89344</v>
      </c>
      <c r="U10" s="534">
        <f>'2.3.Önk kiad fel'!R85+'2.3.Önk kiad fel'!R90+'2.3.Önk kiad fel'!R96</f>
        <v>6162</v>
      </c>
      <c r="V10" s="534">
        <f>'2.3.Önk kiad fel'!U209</f>
        <v>50831</v>
      </c>
      <c r="W10" s="534">
        <f t="shared" si="4"/>
        <v>146337</v>
      </c>
      <c r="AA10" s="534">
        <f>+'2.3.Önk kiad fel'!S10+'2.3.Önk kiad fel'!S22+'2.3.Önk kiad fel'!S26+'2.3.Önk kiad fel'!S28+'2.3.Önk kiad fel'!S30+'2.3.Önk kiad fel'!S34+'2.3.Önk kiad fel'!S46+'2.3.Önk kiad fel'!S48+'2.3.Önk kiad fel'!S53</f>
        <v>230097</v>
      </c>
      <c r="AB10" s="534">
        <f>+'2.3.Önk kiad fel'!S77+'2.3.Önk kiad fel'!S85+'2.3.Önk kiad fel'!S90+'2.3.Önk kiad fel'!S96+'2.3.Önk kiad fel'!S98+'2.3.Önk kiad fel'!S114</f>
        <v>34500</v>
      </c>
      <c r="AC10" s="534"/>
      <c r="AD10" s="807">
        <f t="shared" si="5"/>
        <v>264597</v>
      </c>
      <c r="AE10" s="807">
        <v>406130</v>
      </c>
      <c r="AF10" s="534">
        <v>34500</v>
      </c>
      <c r="AG10" s="534"/>
      <c r="AH10" s="655">
        <f t="shared" si="16"/>
        <v>440630</v>
      </c>
      <c r="AI10" s="807">
        <v>566941</v>
      </c>
      <c r="AJ10" s="807">
        <v>34500</v>
      </c>
      <c r="AK10" s="534"/>
      <c r="AL10" s="655">
        <f t="shared" si="17"/>
        <v>601441</v>
      </c>
      <c r="AM10" s="807">
        <v>323521</v>
      </c>
      <c r="AN10" s="807">
        <v>16453</v>
      </c>
      <c r="AO10" s="534"/>
      <c r="AP10" s="655">
        <f t="shared" si="18"/>
        <v>339974</v>
      </c>
    </row>
    <row r="11" spans="1:42" s="656" customFormat="1" x14ac:dyDescent="0.25">
      <c r="A11" s="290" t="s">
        <v>336</v>
      </c>
      <c r="B11" s="654" t="s">
        <v>337</v>
      </c>
      <c r="C11" s="655">
        <f>'2.3.Önk kiad fel'!C210</f>
        <v>0</v>
      </c>
      <c r="D11" s="534">
        <f>'2.3.Önk kiad fel'!F56</f>
        <v>33837</v>
      </c>
      <c r="E11" s="534">
        <f>'2.3.Önk kiad fel'!F166</f>
        <v>0</v>
      </c>
      <c r="F11" s="534">
        <f>'2.3.Önk kiad fel'!F210</f>
        <v>0</v>
      </c>
      <c r="G11" s="534">
        <f t="shared" si="0"/>
        <v>33837</v>
      </c>
      <c r="H11" s="534">
        <f>'2.3.Önk kiad fel'!I56</f>
        <v>33837</v>
      </c>
      <c r="I11" s="534">
        <f>'2.3.Önk kiad fel'!I166</f>
        <v>0</v>
      </c>
      <c r="J11" s="534">
        <f>'2.3.Önk kiad fel'!J210</f>
        <v>0</v>
      </c>
      <c r="K11" s="534">
        <f t="shared" si="1"/>
        <v>33837</v>
      </c>
      <c r="L11" s="534">
        <f>'2.3.Önk kiad fel'!L56</f>
        <v>33837</v>
      </c>
      <c r="M11" s="534">
        <f>'2.3.Önk kiad fel'!L166</f>
        <v>0</v>
      </c>
      <c r="N11" s="534">
        <f>'2.3.Önk kiad fel'!L210</f>
        <v>0</v>
      </c>
      <c r="O11" s="534">
        <f t="shared" si="2"/>
        <v>33837</v>
      </c>
      <c r="P11" s="534"/>
      <c r="Q11" s="534">
        <f>'2.3.Önk kiad fel'!O166</f>
        <v>0</v>
      </c>
      <c r="R11" s="534"/>
      <c r="S11" s="534">
        <f t="shared" si="3"/>
        <v>0</v>
      </c>
      <c r="T11" s="534">
        <f>'2.3.Önk kiad fel'!R56</f>
        <v>5804</v>
      </c>
      <c r="U11" s="534">
        <f>'2.3.Önk kiad fel'!R166</f>
        <v>0</v>
      </c>
      <c r="V11" s="534">
        <f>'2.3.Önk kiad fel'!U210</f>
        <v>610645</v>
      </c>
      <c r="W11" s="534">
        <f t="shared" si="4"/>
        <v>616449</v>
      </c>
      <c r="AA11" s="534">
        <f>'2.3.Önk kiad fel'!S55</f>
        <v>34671</v>
      </c>
      <c r="AB11" s="534">
        <f>'2.3.Önk kiad fel'!S166</f>
        <v>0</v>
      </c>
      <c r="AC11" s="534">
        <f>'2.3.Önk kiad fel'!Z210</f>
        <v>0</v>
      </c>
      <c r="AD11" s="534">
        <f t="shared" si="5"/>
        <v>34671</v>
      </c>
      <c r="AE11" s="534">
        <v>34671</v>
      </c>
      <c r="AF11" s="534">
        <v>0</v>
      </c>
      <c r="AG11" s="534">
        <v>0</v>
      </c>
      <c r="AH11" s="655">
        <f t="shared" si="16"/>
        <v>34671</v>
      </c>
      <c r="AI11" s="807">
        <v>34671</v>
      </c>
      <c r="AJ11" s="807"/>
      <c r="AK11" s="534"/>
      <c r="AL11" s="655">
        <f t="shared" si="17"/>
        <v>34671</v>
      </c>
      <c r="AM11" s="807">
        <v>7893</v>
      </c>
      <c r="AN11" s="807"/>
      <c r="AO11" s="534"/>
      <c r="AP11" s="655">
        <f t="shared" si="18"/>
        <v>7893</v>
      </c>
    </row>
    <row r="12" spans="1:42" s="656" customFormat="1" x14ac:dyDescent="0.25">
      <c r="A12" s="290" t="s">
        <v>338</v>
      </c>
      <c r="B12" s="654" t="s">
        <v>339</v>
      </c>
      <c r="C12" s="655">
        <f>'2.3.Önk kiad fel'!C211</f>
        <v>0</v>
      </c>
      <c r="D12" s="534" t="e">
        <f>SUM(D13:D17)</f>
        <v>#REF!</v>
      </c>
      <c r="E12" s="534">
        <f t="shared" ref="E12:G12" si="19">SUM(E13:E17)</f>
        <v>34850</v>
      </c>
      <c r="F12" s="534">
        <f t="shared" si="19"/>
        <v>0</v>
      </c>
      <c r="G12" s="534" t="e">
        <f t="shared" si="19"/>
        <v>#REF!</v>
      </c>
      <c r="H12" s="534">
        <f>SUM(H13:H17)</f>
        <v>10674</v>
      </c>
      <c r="I12" s="534">
        <f t="shared" ref="I12:K12" si="20">SUM(I13:I17)</f>
        <v>36930</v>
      </c>
      <c r="J12" s="534">
        <f t="shared" si="20"/>
        <v>0</v>
      </c>
      <c r="K12" s="534">
        <f t="shared" si="20"/>
        <v>47604</v>
      </c>
      <c r="L12" s="534">
        <f>SUM(L13:L17)</f>
        <v>5925</v>
      </c>
      <c r="M12" s="534">
        <f t="shared" ref="M12:N12" si="21">SUM(M13:M17)</f>
        <v>41522</v>
      </c>
      <c r="N12" s="534">
        <f t="shared" si="21"/>
        <v>0</v>
      </c>
      <c r="O12" s="534">
        <f t="shared" si="2"/>
        <v>47447</v>
      </c>
      <c r="P12" s="534">
        <f>SUM(P13:P17)</f>
        <v>389937</v>
      </c>
      <c r="Q12" s="534">
        <f t="shared" ref="Q12:R12" si="22">SUM(Q13:Q17)</f>
        <v>0</v>
      </c>
      <c r="R12" s="534">
        <f t="shared" si="22"/>
        <v>0</v>
      </c>
      <c r="S12" s="534">
        <f t="shared" si="3"/>
        <v>389937</v>
      </c>
      <c r="T12" s="534">
        <f>SUM(T13:T17)</f>
        <v>3157</v>
      </c>
      <c r="U12" s="534">
        <f t="shared" ref="U12:V12" si="23">SUM(U13:U17)</f>
        <v>13306</v>
      </c>
      <c r="V12" s="534">
        <f t="shared" si="23"/>
        <v>0</v>
      </c>
      <c r="W12" s="534">
        <f t="shared" si="4"/>
        <v>16463</v>
      </c>
      <c r="Y12" s="656">
        <v>1001957</v>
      </c>
      <c r="Z12" s="657">
        <f>+Y12-S12</f>
        <v>612020</v>
      </c>
      <c r="AA12" s="534">
        <f>SUM(AA13:AA17)</f>
        <v>37100</v>
      </c>
      <c r="AB12" s="534">
        <f t="shared" ref="AB12:AC12" si="24">SUM(AB13:AB17)</f>
        <v>33200</v>
      </c>
      <c r="AC12" s="534">
        <f t="shared" si="24"/>
        <v>0</v>
      </c>
      <c r="AD12" s="807">
        <f t="shared" si="5"/>
        <v>70300</v>
      </c>
      <c r="AE12" s="534">
        <f>SUM(AE13:AE17)</f>
        <v>72509</v>
      </c>
      <c r="AF12" s="534">
        <f t="shared" ref="AF12:AG12" si="25">SUM(AF13:AF17)</f>
        <v>33200</v>
      </c>
      <c r="AG12" s="534">
        <f t="shared" si="25"/>
        <v>0</v>
      </c>
      <c r="AH12" s="655">
        <f t="shared" si="16"/>
        <v>105709</v>
      </c>
      <c r="AI12" s="807">
        <v>70966</v>
      </c>
      <c r="AJ12" s="807">
        <f>SUM(AJ13:AJ17)</f>
        <v>65951</v>
      </c>
      <c r="AK12" s="534"/>
      <c r="AL12" s="655">
        <f t="shared" si="17"/>
        <v>136917</v>
      </c>
      <c r="AM12" s="807">
        <v>66203</v>
      </c>
      <c r="AN12" s="807">
        <v>11386</v>
      </c>
      <c r="AO12" s="534"/>
      <c r="AP12" s="655">
        <f t="shared" si="18"/>
        <v>77589</v>
      </c>
    </row>
    <row r="13" spans="1:42" s="656" customFormat="1" x14ac:dyDescent="0.25">
      <c r="A13" s="583"/>
      <c r="B13" s="455" t="s">
        <v>667</v>
      </c>
      <c r="C13" s="655">
        <f>20000+339695</f>
        <v>359695</v>
      </c>
      <c r="D13" s="534">
        <v>0</v>
      </c>
      <c r="E13" s="534">
        <v>0</v>
      </c>
      <c r="F13" s="534">
        <v>0</v>
      </c>
      <c r="G13" s="534">
        <f t="shared" si="0"/>
        <v>0</v>
      </c>
      <c r="H13" s="534">
        <v>0</v>
      </c>
      <c r="I13" s="534">
        <v>0</v>
      </c>
      <c r="J13" s="534">
        <v>0</v>
      </c>
      <c r="K13" s="534">
        <f t="shared" si="1"/>
        <v>0</v>
      </c>
      <c r="L13" s="534">
        <v>769</v>
      </c>
      <c r="M13" s="534">
        <v>0</v>
      </c>
      <c r="N13" s="534">
        <v>0</v>
      </c>
      <c r="O13" s="534">
        <f t="shared" si="2"/>
        <v>769</v>
      </c>
      <c r="P13" s="534">
        <f>351139+27175+11619</f>
        <v>389933</v>
      </c>
      <c r="Q13" s="534">
        <v>0</v>
      </c>
      <c r="R13" s="534">
        <v>0</v>
      </c>
      <c r="S13" s="534">
        <f t="shared" si="3"/>
        <v>389933</v>
      </c>
      <c r="T13" s="534">
        <v>0</v>
      </c>
      <c r="U13" s="534">
        <v>0</v>
      </c>
      <c r="V13" s="534">
        <v>0</v>
      </c>
      <c r="W13" s="534">
        <f t="shared" si="4"/>
        <v>0</v>
      </c>
      <c r="AA13" s="534"/>
      <c r="AB13" s="534">
        <v>0</v>
      </c>
      <c r="AC13" s="534">
        <v>0</v>
      </c>
      <c r="AD13" s="534">
        <f t="shared" si="5"/>
        <v>0</v>
      </c>
      <c r="AE13" s="534"/>
      <c r="AF13" s="534">
        <v>0</v>
      </c>
      <c r="AG13" s="534">
        <v>0</v>
      </c>
      <c r="AH13" s="655">
        <f t="shared" si="16"/>
        <v>0</v>
      </c>
      <c r="AI13" s="807"/>
      <c r="AJ13" s="807"/>
      <c r="AK13" s="534"/>
      <c r="AL13" s="655">
        <f t="shared" si="17"/>
        <v>0</v>
      </c>
      <c r="AM13" s="807"/>
      <c r="AN13" s="807"/>
      <c r="AO13" s="534"/>
      <c r="AP13" s="655">
        <f t="shared" si="18"/>
        <v>0</v>
      </c>
    </row>
    <row r="14" spans="1:42" s="95" customFormat="1" ht="30" x14ac:dyDescent="0.25">
      <c r="A14" s="430"/>
      <c r="B14" s="320" t="s">
        <v>668</v>
      </c>
      <c r="C14" s="459">
        <v>0</v>
      </c>
      <c r="D14" s="425">
        <v>0</v>
      </c>
      <c r="E14" s="534">
        <v>0</v>
      </c>
      <c r="F14" s="425">
        <v>0</v>
      </c>
      <c r="G14" s="425">
        <f t="shared" si="0"/>
        <v>0</v>
      </c>
      <c r="H14" s="425">
        <v>0</v>
      </c>
      <c r="I14" s="425">
        <v>0</v>
      </c>
      <c r="J14" s="425">
        <v>0</v>
      </c>
      <c r="K14" s="425">
        <f t="shared" si="1"/>
        <v>0</v>
      </c>
      <c r="L14" s="425">
        <v>0</v>
      </c>
      <c r="M14" s="425">
        <v>0</v>
      </c>
      <c r="N14" s="425">
        <v>0</v>
      </c>
      <c r="O14" s="425">
        <f t="shared" si="2"/>
        <v>0</v>
      </c>
      <c r="P14" s="425">
        <v>0</v>
      </c>
      <c r="Q14" s="425">
        <v>0</v>
      </c>
      <c r="R14" s="425">
        <v>0</v>
      </c>
      <c r="S14" s="425">
        <f t="shared" si="3"/>
        <v>0</v>
      </c>
      <c r="T14" s="425">
        <v>0</v>
      </c>
      <c r="U14" s="425">
        <v>0</v>
      </c>
      <c r="V14" s="425">
        <v>0</v>
      </c>
      <c r="W14" s="425">
        <f t="shared" si="4"/>
        <v>0</v>
      </c>
      <c r="Y14" s="95">
        <v>594338</v>
      </c>
      <c r="Z14" s="461">
        <f>+Y14-P12</f>
        <v>204401</v>
      </c>
      <c r="AA14" s="425">
        <v>0</v>
      </c>
      <c r="AB14" s="425">
        <v>0</v>
      </c>
      <c r="AC14" s="425">
        <v>0</v>
      </c>
      <c r="AD14" s="425">
        <f t="shared" si="5"/>
        <v>0</v>
      </c>
      <c r="AE14" s="425">
        <v>0</v>
      </c>
      <c r="AF14" s="425">
        <v>0</v>
      </c>
      <c r="AG14" s="425">
        <v>0</v>
      </c>
      <c r="AH14" s="655">
        <f t="shared" si="16"/>
        <v>0</v>
      </c>
      <c r="AI14" s="807"/>
      <c r="AJ14" s="807"/>
      <c r="AK14" s="425"/>
      <c r="AL14" s="655">
        <f t="shared" si="17"/>
        <v>0</v>
      </c>
      <c r="AM14" s="807"/>
      <c r="AN14" s="807"/>
      <c r="AO14" s="425"/>
      <c r="AP14" s="655">
        <f t="shared" si="18"/>
        <v>0</v>
      </c>
    </row>
    <row r="15" spans="1:42" s="95" customFormat="1" ht="30" x14ac:dyDescent="0.25">
      <c r="A15" s="430"/>
      <c r="B15" s="320" t="s">
        <v>669</v>
      </c>
      <c r="C15" s="459">
        <f>'2.3.Önk kiad fel'!C90+'2.3.Önk kiad fel'!C128+'2.3.Önk kiad fel'!C126+'2.3.Önk kiad fel'!C132+'2.3.Önk kiad fel'!C136+'2.3.Önk kiad fel'!C138+'2.3.Önk kiad fel'!C140</f>
        <v>0</v>
      </c>
      <c r="D15" s="425" t="e">
        <f>'2.3.Önk kiad fel'!#REF!</f>
        <v>#REF!</v>
      </c>
      <c r="E15" s="425">
        <f>'2.3.Önk kiad fel'!F80+'2.3.Önk kiad fel'!F92+'2.3.Önk kiad fel'!F99+'2.3.Önk kiad fel'!F103+'2.3.Önk kiad fel'!F105+'2.3.Önk kiad fel'!F107+'2.3.Önk kiad fel'!F109+'2.3.Önk kiad fel'!F115+'2.3.Önk kiad fel'!F119+'2.3.Önk kiad fel'!F124+'2.3.Önk kiad fel'!F126</f>
        <v>34850</v>
      </c>
      <c r="F15" s="425">
        <v>0</v>
      </c>
      <c r="G15" s="425" t="e">
        <f t="shared" si="0"/>
        <v>#REF!</v>
      </c>
      <c r="H15" s="425">
        <f>'2.3.Önk kiad fel'!I11</f>
        <v>5537</v>
      </c>
      <c r="I15" s="425">
        <f>'2.3.Önk kiad fel'!I80+'2.3.Önk kiad fel'!I92+'2.3.Önk kiad fel'!I99+'2.3.Önk kiad fel'!I103+'2.3.Önk kiad fel'!I105+'2.3.Önk kiad fel'!I107+'2.3.Önk kiad fel'!I109+'2.3.Önk kiad fel'!I115+'2.3.Önk kiad fel'!I119+'2.3.Önk kiad fel'!I124+'2.3.Önk kiad fel'!I126</f>
        <v>36930</v>
      </c>
      <c r="J15" s="425">
        <v>0</v>
      </c>
      <c r="K15" s="425">
        <f t="shared" si="1"/>
        <v>42467</v>
      </c>
      <c r="L15" s="425">
        <f>+'2.3.Önk kiad fel'!L11</f>
        <v>43</v>
      </c>
      <c r="M15" s="425"/>
      <c r="N15" s="425">
        <v>0</v>
      </c>
      <c r="O15" s="425">
        <f t="shared" si="2"/>
        <v>43</v>
      </c>
      <c r="P15" s="425">
        <f>+'2.3.Önk kiad fel'!O72</f>
        <v>0</v>
      </c>
      <c r="Q15" s="425">
        <f>'2.3.Önk kiad fel'!O90+'2.3.Önk kiad fel'!O126+'2.3.Önk kiad fel'!O128+'2.3.Önk kiad fel'!O132+'2.3.Önk kiad fel'!O136+'2.3.Önk kiad fel'!O138+'2.3.Önk kiad fel'!O140</f>
        <v>0</v>
      </c>
      <c r="R15" s="425">
        <v>0</v>
      </c>
      <c r="S15" s="425">
        <f t="shared" si="3"/>
        <v>0</v>
      </c>
      <c r="T15" s="425">
        <f>'2.3.Önk kiad fel'!R11</f>
        <v>3157</v>
      </c>
      <c r="U15" s="425">
        <f>'2.3.Önk kiad fel'!R80+'2.3.Önk kiad fel'!R92+'2.3.Önk kiad fel'!R99+'2.3.Önk kiad fel'!R103+'2.3.Önk kiad fel'!R105+'2.3.Önk kiad fel'!R107+'2.3.Önk kiad fel'!R109+'2.3.Önk kiad fel'!R115+'2.3.Önk kiad fel'!R119+'2.3.Önk kiad fel'!R124+'2.3.Önk kiad fel'!R126</f>
        <v>13306</v>
      </c>
      <c r="V15" s="425">
        <v>0</v>
      </c>
      <c r="W15" s="425">
        <f t="shared" si="4"/>
        <v>16463</v>
      </c>
      <c r="AA15" s="425">
        <v>0</v>
      </c>
      <c r="AB15" s="425">
        <f>'2.3.Önk kiad fel'!S80+'2.3.Önk kiad fel'!S92+'2.3.Önk kiad fel'!S99+'2.3.Önk kiad fel'!S103+'2.3.Önk kiad fel'!S105+'2.3.Önk kiad fel'!S107+'2.3.Önk kiad fel'!S109+'2.3.Önk kiad fel'!S115+'2.3.Önk kiad fel'!S119+'2.3.Önk kiad fel'!S124+'2.3.Önk kiad fel'!S126</f>
        <v>33200</v>
      </c>
      <c r="AC15" s="425">
        <v>0</v>
      </c>
      <c r="AD15" s="425">
        <f t="shared" si="5"/>
        <v>33200</v>
      </c>
      <c r="AE15" s="425">
        <v>0</v>
      </c>
      <c r="AF15" s="425">
        <v>33200</v>
      </c>
      <c r="AG15" s="425">
        <v>0</v>
      </c>
      <c r="AH15" s="655">
        <f t="shared" si="16"/>
        <v>33200</v>
      </c>
      <c r="AI15" s="807"/>
      <c r="AJ15" s="807">
        <v>65951</v>
      </c>
      <c r="AK15" s="425"/>
      <c r="AL15" s="655">
        <f t="shared" si="17"/>
        <v>65951</v>
      </c>
      <c r="AM15" s="807"/>
      <c r="AN15" s="807">
        <v>11386</v>
      </c>
      <c r="AO15" s="425"/>
      <c r="AP15" s="655">
        <f t="shared" si="18"/>
        <v>11386</v>
      </c>
    </row>
    <row r="16" spans="1:42" ht="30" x14ac:dyDescent="0.25">
      <c r="A16" s="430"/>
      <c r="B16" s="320" t="s">
        <v>670</v>
      </c>
      <c r="C16" s="322">
        <f>'2.3.Önk kiad fel'!C142+'2.3.Önk kiad fel'!C144+'2.3.Önk kiad fel'!C146+'2.3.Önk kiad fel'!C149+'2.3.Önk kiad fel'!C151+'2.3.Önk kiad fel'!C154+'2.3.Önk kiad fel'!C156+'2.3.Önk kiad fel'!C158+'2.3.Önk kiad fel'!C160+'2.3.Önk kiad fel'!C162</f>
        <v>0</v>
      </c>
      <c r="D16" s="425">
        <f>'2.3.Önk kiad fel'!F35</f>
        <v>5137</v>
      </c>
      <c r="E16" s="411">
        <f>'2.3.Önk kiad fel'!F142+'2.3.Önk kiad fel'!F144+'2.3.Önk kiad fel'!F146+'2.3.Önk kiad fel'!F149+'2.3.Önk kiad fel'!F151+'2.3.Önk kiad fel'!F154+'2.3.Önk kiad fel'!F156+'2.3.Önk kiad fel'!F158+'2.3.Önk kiad fel'!F160+'2.3.Önk kiad fel'!F162+'2.3.Önk kiad fel'!F193</f>
        <v>0</v>
      </c>
      <c r="F16" s="411">
        <v>0</v>
      </c>
      <c r="G16" s="411">
        <f t="shared" si="0"/>
        <v>5137</v>
      </c>
      <c r="H16" s="425">
        <f>'2.3.Önk kiad fel'!I35</f>
        <v>5137</v>
      </c>
      <c r="I16" s="411">
        <f>'2.3.Önk kiad fel'!I142+'2.3.Önk kiad fel'!I144+'2.3.Önk kiad fel'!I146+'2.3.Önk kiad fel'!I149+'2.3.Önk kiad fel'!I151+'2.3.Önk kiad fel'!I154+'2.3.Önk kiad fel'!I156+'2.3.Önk kiad fel'!I158+'2.3.Önk kiad fel'!I160+'2.3.Önk kiad fel'!I162+'2.3.Önk kiad fel'!I193</f>
        <v>0</v>
      </c>
      <c r="J16" s="411">
        <v>0</v>
      </c>
      <c r="K16" s="411">
        <f t="shared" si="1"/>
        <v>5137</v>
      </c>
      <c r="L16" s="425">
        <f>+'2.3.Önk kiad fel'!L13</f>
        <v>5113</v>
      </c>
      <c r="M16" s="425">
        <f>+'2.3.Önk kiad fel'!L80+'2.3.Önk kiad fel'!L86+'2.3.Önk kiad fel'!L92+'2.3.Önk kiad fel'!L99+'2.3.Önk kiad fel'!L103+'2.3.Önk kiad fel'!L105+'2.3.Önk kiad fel'!L107+'2.3.Önk kiad fel'!L109+'2.3.Önk kiad fel'!L115+'2.3.Önk kiad fel'!L119+'2.3.Önk kiad fel'!L124+'2.3.Önk kiad fel'!L126-8440</f>
        <v>41522</v>
      </c>
      <c r="N16" s="411">
        <v>0</v>
      </c>
      <c r="O16" s="411">
        <f t="shared" si="2"/>
        <v>46635</v>
      </c>
      <c r="P16" s="425">
        <v>4</v>
      </c>
      <c r="Q16" s="411">
        <f>'2.3.Önk kiad fel'!O142+'2.3.Önk kiad fel'!O144+'2.3.Önk kiad fel'!O146+'2.3.Önk kiad fel'!O149+'2.3.Önk kiad fel'!O151+'2.3.Önk kiad fel'!O154+'2.3.Önk kiad fel'!O156+'2.3.Önk kiad fel'!O158+'2.3.Önk kiad fel'!O160+'2.3.Önk kiad fel'!O162+'2.3.Önk kiad fel'!O193+'2.3.Önk kiad fel'!O171</f>
        <v>0</v>
      </c>
      <c r="R16" s="411">
        <v>0</v>
      </c>
      <c r="S16" s="411">
        <f t="shared" si="3"/>
        <v>4</v>
      </c>
      <c r="T16" s="425">
        <f>'2.3.Önk kiad fel'!R35</f>
        <v>0</v>
      </c>
      <c r="U16" s="411">
        <f>'2.3.Önk kiad fel'!R142+'2.3.Önk kiad fel'!R144+'2.3.Önk kiad fel'!R146+'2.3.Önk kiad fel'!R149+'2.3.Önk kiad fel'!R151+'2.3.Önk kiad fel'!R154+'2.3.Önk kiad fel'!R156+'2.3.Önk kiad fel'!R158+'2.3.Önk kiad fel'!R160+'2.3.Önk kiad fel'!R162+'2.3.Önk kiad fel'!R193+'2.3.Önk kiad fel'!R171</f>
        <v>0</v>
      </c>
      <c r="V16" s="411">
        <v>0</v>
      </c>
      <c r="W16" s="411">
        <f t="shared" si="4"/>
        <v>0</v>
      </c>
      <c r="AA16" s="425">
        <f>+'2.3.Önk kiad fel'!S13+'2.3.Önk kiad fel'!S35</f>
        <v>37100</v>
      </c>
      <c r="AB16" s="425"/>
      <c r="AC16" s="411">
        <v>0</v>
      </c>
      <c r="AD16" s="411">
        <f t="shared" si="5"/>
        <v>37100</v>
      </c>
      <c r="AE16" s="425">
        <v>72509</v>
      </c>
      <c r="AF16" s="425"/>
      <c r="AG16" s="411">
        <v>0</v>
      </c>
      <c r="AH16" s="655">
        <f t="shared" si="16"/>
        <v>72509</v>
      </c>
      <c r="AI16" s="807">
        <v>70966</v>
      </c>
      <c r="AJ16" s="807"/>
      <c r="AK16" s="411"/>
      <c r="AL16" s="655">
        <f t="shared" si="17"/>
        <v>70966</v>
      </c>
      <c r="AM16" s="807">
        <v>66203</v>
      </c>
      <c r="AN16" s="807"/>
      <c r="AO16" s="411"/>
      <c r="AP16" s="655">
        <f t="shared" si="18"/>
        <v>66203</v>
      </c>
    </row>
    <row r="17" spans="1:42" x14ac:dyDescent="0.25">
      <c r="A17" s="430"/>
      <c r="B17" s="320" t="s">
        <v>671</v>
      </c>
      <c r="C17" s="459">
        <f>C18+C19+C20</f>
        <v>0</v>
      </c>
      <c r="D17" s="425">
        <f>D18+D19+D20</f>
        <v>0</v>
      </c>
      <c r="E17" s="425">
        <f>E18+E19+E20</f>
        <v>0</v>
      </c>
      <c r="F17" s="425">
        <f>F18+F19+F20</f>
        <v>0</v>
      </c>
      <c r="G17" s="425">
        <f t="shared" si="0"/>
        <v>0</v>
      </c>
      <c r="H17" s="425">
        <f>H18+H19+H20</f>
        <v>0</v>
      </c>
      <c r="I17" s="425">
        <f>I18+I19+I20</f>
        <v>0</v>
      </c>
      <c r="J17" s="425">
        <f>J18+J19+J20</f>
        <v>0</v>
      </c>
      <c r="K17" s="425">
        <f t="shared" si="1"/>
        <v>0</v>
      </c>
      <c r="L17" s="425">
        <f>L18+L19+L20</f>
        <v>0</v>
      </c>
      <c r="M17" s="425">
        <f>M18+M19+M20</f>
        <v>0</v>
      </c>
      <c r="N17" s="425">
        <f>N18+N19+N20</f>
        <v>0</v>
      </c>
      <c r="O17" s="425">
        <f t="shared" si="2"/>
        <v>0</v>
      </c>
      <c r="P17" s="425">
        <f>P18+P19+P20</f>
        <v>0</v>
      </c>
      <c r="Q17" s="425">
        <f>Q18+Q19+Q20</f>
        <v>0</v>
      </c>
      <c r="R17" s="425">
        <f>R18+R19+R20</f>
        <v>0</v>
      </c>
      <c r="S17" s="425">
        <f t="shared" si="3"/>
        <v>0</v>
      </c>
      <c r="T17" s="425">
        <f>T18+T19+T20</f>
        <v>0</v>
      </c>
      <c r="U17" s="425">
        <f>U18+U19+U20</f>
        <v>0</v>
      </c>
      <c r="V17" s="425">
        <f>V18+V19+V20</f>
        <v>0</v>
      </c>
      <c r="W17" s="425">
        <f t="shared" si="4"/>
        <v>0</v>
      </c>
      <c r="AA17" s="425">
        <f>AA18+AA19+AA20</f>
        <v>0</v>
      </c>
      <c r="AB17" s="425">
        <f>AB18+AB19+AB20</f>
        <v>0</v>
      </c>
      <c r="AC17" s="425">
        <f>AC18+AC19+AC20</f>
        <v>0</v>
      </c>
      <c r="AD17" s="425">
        <f t="shared" si="5"/>
        <v>0</v>
      </c>
      <c r="AE17" s="425">
        <v>0</v>
      </c>
      <c r="AF17" s="425">
        <v>0</v>
      </c>
      <c r="AG17" s="425">
        <v>0</v>
      </c>
      <c r="AH17" s="425">
        <v>0</v>
      </c>
      <c r="AI17" s="807">
        <v>0</v>
      </c>
      <c r="AJ17" s="807">
        <v>0</v>
      </c>
      <c r="AK17" s="425">
        <v>0</v>
      </c>
      <c r="AL17" s="425">
        <v>0</v>
      </c>
      <c r="AM17" s="807">
        <v>0</v>
      </c>
      <c r="AN17" s="807">
        <v>0</v>
      </c>
      <c r="AO17" s="425">
        <v>0</v>
      </c>
      <c r="AP17" s="425">
        <v>0</v>
      </c>
    </row>
    <row r="18" spans="1:42" x14ac:dyDescent="0.25">
      <c r="A18" s="430"/>
      <c r="B18" s="323"/>
      <c r="C18" s="325">
        <f>'2D Céltartalék'!B3</f>
        <v>0</v>
      </c>
      <c r="D18" s="423">
        <f>'2D Céltartalék'!B3</f>
        <v>0</v>
      </c>
      <c r="E18" s="423">
        <v>0</v>
      </c>
      <c r="F18" s="423">
        <v>0</v>
      </c>
      <c r="G18" s="423">
        <f t="shared" si="0"/>
        <v>0</v>
      </c>
      <c r="H18" s="423">
        <f>'2D Céltartalék'!C3</f>
        <v>0</v>
      </c>
      <c r="I18" s="423">
        <v>0</v>
      </c>
      <c r="J18" s="423">
        <v>0</v>
      </c>
      <c r="K18" s="423">
        <f t="shared" si="1"/>
        <v>0</v>
      </c>
      <c r="L18" s="423">
        <v>0</v>
      </c>
      <c r="M18" s="423">
        <v>0</v>
      </c>
      <c r="N18" s="423">
        <v>0</v>
      </c>
      <c r="O18" s="423">
        <f t="shared" si="2"/>
        <v>0</v>
      </c>
      <c r="P18" s="423">
        <f>'2D Céltartalék'!E3</f>
        <v>0</v>
      </c>
      <c r="Q18" s="423">
        <v>0</v>
      </c>
      <c r="R18" s="423">
        <v>0</v>
      </c>
      <c r="S18" s="423">
        <f t="shared" si="3"/>
        <v>0</v>
      </c>
      <c r="T18" s="423">
        <f>'2D Céltartalék'!F3</f>
        <v>0</v>
      </c>
      <c r="U18" s="423">
        <v>0</v>
      </c>
      <c r="V18" s="423">
        <v>0</v>
      </c>
      <c r="W18" s="423">
        <f t="shared" si="4"/>
        <v>0</v>
      </c>
      <c r="AA18" s="423">
        <v>0</v>
      </c>
      <c r="AB18" s="423">
        <v>0</v>
      </c>
      <c r="AC18" s="423">
        <v>0</v>
      </c>
      <c r="AD18" s="423">
        <f t="shared" si="5"/>
        <v>0</v>
      </c>
      <c r="AE18" s="423">
        <v>0</v>
      </c>
      <c r="AF18" s="423">
        <v>0</v>
      </c>
      <c r="AG18" s="423">
        <v>0</v>
      </c>
      <c r="AH18" s="423">
        <v>0</v>
      </c>
      <c r="AI18" s="423">
        <v>0</v>
      </c>
      <c r="AJ18" s="423">
        <v>0</v>
      </c>
      <c r="AK18" s="423">
        <v>0</v>
      </c>
      <c r="AL18" s="423">
        <v>0</v>
      </c>
      <c r="AM18" s="423">
        <v>0</v>
      </c>
      <c r="AN18" s="423">
        <v>0</v>
      </c>
      <c r="AO18" s="423">
        <v>0</v>
      </c>
      <c r="AP18" s="423">
        <v>0</v>
      </c>
    </row>
    <row r="19" spans="1:42" x14ac:dyDescent="0.25">
      <c r="A19" s="430"/>
      <c r="B19" s="323" t="s">
        <v>672</v>
      </c>
      <c r="C19" s="325">
        <f>'2D Céltartalék'!B4</f>
        <v>0</v>
      </c>
      <c r="D19" s="423">
        <f>'2D Céltartalék'!B4</f>
        <v>0</v>
      </c>
      <c r="E19" s="423">
        <v>0</v>
      </c>
      <c r="F19" s="423">
        <v>0</v>
      </c>
      <c r="G19" s="423">
        <f t="shared" si="0"/>
        <v>0</v>
      </c>
      <c r="H19" s="423">
        <f>'2D Céltartalék'!C4</f>
        <v>0</v>
      </c>
      <c r="I19" s="423">
        <f>'2D Céltartalék'!H4</f>
        <v>0</v>
      </c>
      <c r="J19" s="423">
        <f>'2D Céltartalék'!I4</f>
        <v>0</v>
      </c>
      <c r="K19" s="423">
        <f t="shared" si="1"/>
        <v>0</v>
      </c>
      <c r="L19" s="423">
        <v>0</v>
      </c>
      <c r="M19" s="423">
        <v>0</v>
      </c>
      <c r="N19" s="423">
        <v>0</v>
      </c>
      <c r="O19" s="423">
        <f t="shared" si="2"/>
        <v>0</v>
      </c>
      <c r="P19" s="423">
        <f>'2D Céltartalék'!E4</f>
        <v>0</v>
      </c>
      <c r="Q19" s="423">
        <v>0</v>
      </c>
      <c r="R19" s="423">
        <f>'2D Céltartalék'!Q4</f>
        <v>0</v>
      </c>
      <c r="S19" s="423">
        <f t="shared" si="3"/>
        <v>0</v>
      </c>
      <c r="T19" s="423">
        <f>'2D Céltartalék'!F4</f>
        <v>0</v>
      </c>
      <c r="U19" s="423">
        <v>0</v>
      </c>
      <c r="V19" s="423">
        <f>'2D Céltartalék'!U4</f>
        <v>0</v>
      </c>
      <c r="W19" s="423">
        <f t="shared" si="4"/>
        <v>0</v>
      </c>
      <c r="AA19" s="423">
        <v>0</v>
      </c>
      <c r="AB19" s="423">
        <v>0</v>
      </c>
      <c r="AC19" s="423">
        <v>0</v>
      </c>
      <c r="AD19" s="423">
        <f t="shared" si="5"/>
        <v>0</v>
      </c>
      <c r="AE19" s="423">
        <v>0</v>
      </c>
      <c r="AF19" s="423">
        <v>0</v>
      </c>
      <c r="AG19" s="423">
        <v>0</v>
      </c>
      <c r="AH19" s="423">
        <v>0</v>
      </c>
      <c r="AI19" s="423">
        <v>0</v>
      </c>
      <c r="AJ19" s="423">
        <v>0</v>
      </c>
      <c r="AK19" s="423">
        <v>0</v>
      </c>
      <c r="AL19" s="423">
        <v>0</v>
      </c>
      <c r="AM19" s="423">
        <v>0</v>
      </c>
      <c r="AN19" s="423">
        <v>0</v>
      </c>
      <c r="AO19" s="423">
        <v>0</v>
      </c>
      <c r="AP19" s="423">
        <v>0</v>
      </c>
    </row>
    <row r="20" spans="1:42" x14ac:dyDescent="0.25">
      <c r="A20" s="430"/>
      <c r="B20" s="323" t="s">
        <v>673</v>
      </c>
      <c r="C20" s="325">
        <f>'2D Céltartalék'!B26</f>
        <v>0</v>
      </c>
      <c r="D20" s="325">
        <f>'2D Céltartalék'!B26</f>
        <v>0</v>
      </c>
      <c r="E20" s="325">
        <v>0</v>
      </c>
      <c r="F20" s="325">
        <v>0</v>
      </c>
      <c r="G20" s="325">
        <f t="shared" si="0"/>
        <v>0</v>
      </c>
      <c r="H20" s="325">
        <f>'2D Céltartalék'!C26</f>
        <v>0</v>
      </c>
      <c r="I20" s="325">
        <f>'2D Céltartalék'!H26</f>
        <v>0</v>
      </c>
      <c r="J20" s="325">
        <f>'2D Céltartalék'!I26</f>
        <v>0</v>
      </c>
      <c r="K20" s="325">
        <f t="shared" si="1"/>
        <v>0</v>
      </c>
      <c r="L20" s="423">
        <v>0</v>
      </c>
      <c r="M20" s="325">
        <v>0</v>
      </c>
      <c r="N20" s="325">
        <v>0</v>
      </c>
      <c r="O20" s="325">
        <f t="shared" si="2"/>
        <v>0</v>
      </c>
      <c r="P20" s="325">
        <f>'2D Céltartalék'!E26</f>
        <v>0</v>
      </c>
      <c r="Q20" s="325">
        <v>0</v>
      </c>
      <c r="R20" s="325">
        <f>'2D Céltartalék'!Q26</f>
        <v>0</v>
      </c>
      <c r="S20" s="325">
        <f t="shared" si="3"/>
        <v>0</v>
      </c>
      <c r="T20" s="325">
        <f>'2D Céltartalék'!F26</f>
        <v>0</v>
      </c>
      <c r="U20" s="325">
        <f>'2D Céltartalék'!T26</f>
        <v>0</v>
      </c>
      <c r="V20" s="325">
        <f>'2D Céltartalék'!U26</f>
        <v>0</v>
      </c>
      <c r="W20" s="325">
        <f t="shared" si="4"/>
        <v>0</v>
      </c>
      <c r="AA20" s="423">
        <v>0</v>
      </c>
      <c r="AB20" s="325">
        <v>0</v>
      </c>
      <c r="AC20" s="325">
        <v>0</v>
      </c>
      <c r="AD20" s="325">
        <f t="shared" si="5"/>
        <v>0</v>
      </c>
      <c r="AE20" s="423">
        <v>0</v>
      </c>
      <c r="AF20" s="325">
        <v>0</v>
      </c>
      <c r="AG20" s="325">
        <v>0</v>
      </c>
      <c r="AH20" s="325">
        <v>0</v>
      </c>
      <c r="AI20" s="423">
        <v>0</v>
      </c>
      <c r="AJ20" s="325">
        <v>0</v>
      </c>
      <c r="AK20" s="325">
        <v>0</v>
      </c>
      <c r="AL20" s="325">
        <v>0</v>
      </c>
      <c r="AM20" s="423">
        <v>0</v>
      </c>
      <c r="AN20" s="325">
        <v>0</v>
      </c>
      <c r="AO20" s="325">
        <v>0</v>
      </c>
      <c r="AP20" s="325">
        <v>0</v>
      </c>
    </row>
    <row r="21" spans="1:42" x14ac:dyDescent="0.25">
      <c r="A21" s="456" t="s">
        <v>318</v>
      </c>
      <c r="B21" s="437" t="s">
        <v>340</v>
      </c>
      <c r="C21" s="438" t="e">
        <f t="shared" ref="C21" si="26">C22+C23+C24</f>
        <v>#REF!</v>
      </c>
      <c r="D21" s="438">
        <f t="shared" ref="D21:F21" si="27">D22+D23+D24</f>
        <v>4579915</v>
      </c>
      <c r="E21" s="438">
        <f t="shared" si="27"/>
        <v>3600</v>
      </c>
      <c r="F21" s="438">
        <f t="shared" si="27"/>
        <v>0</v>
      </c>
      <c r="G21" s="438">
        <f t="shared" si="0"/>
        <v>4583515</v>
      </c>
      <c r="H21" s="438">
        <f t="shared" ref="H21:J21" si="28">H22+H23+H24</f>
        <v>5268306</v>
      </c>
      <c r="I21" s="438">
        <f t="shared" si="28"/>
        <v>3600</v>
      </c>
      <c r="J21" s="438">
        <f t="shared" si="28"/>
        <v>0</v>
      </c>
      <c r="K21" s="438">
        <f t="shared" si="1"/>
        <v>5271906</v>
      </c>
      <c r="L21" s="438">
        <f t="shared" ref="L21:N21" si="29">L22+L23+L24</f>
        <v>5461011</v>
      </c>
      <c r="M21" s="438">
        <f t="shared" si="29"/>
        <v>4100</v>
      </c>
      <c r="N21" s="438">
        <f t="shared" si="29"/>
        <v>0</v>
      </c>
      <c r="O21" s="438">
        <f t="shared" si="2"/>
        <v>5465111</v>
      </c>
      <c r="P21" s="438" t="e">
        <f t="shared" ref="P21:R21" si="30">P22+P23+P24</f>
        <v>#REF!</v>
      </c>
      <c r="Q21" s="438">
        <f t="shared" si="30"/>
        <v>0</v>
      </c>
      <c r="R21" s="438">
        <f t="shared" si="30"/>
        <v>0</v>
      </c>
      <c r="S21" s="438" t="e">
        <f t="shared" si="3"/>
        <v>#REF!</v>
      </c>
      <c r="T21" s="438">
        <f t="shared" ref="T21:V21" si="31">T22+T23+T24</f>
        <v>336459</v>
      </c>
      <c r="U21" s="438">
        <f t="shared" si="31"/>
        <v>0</v>
      </c>
      <c r="V21" s="438">
        <f t="shared" si="31"/>
        <v>0</v>
      </c>
      <c r="W21" s="438">
        <f>SUM(T21:V21)</f>
        <v>336459</v>
      </c>
      <c r="AA21" s="438">
        <f>+AA22+AA23+AA24</f>
        <v>4887854</v>
      </c>
      <c r="AB21" s="438">
        <f t="shared" ref="AB21:AC21" si="32">AB22+AB23+AB24</f>
        <v>3600</v>
      </c>
      <c r="AC21" s="438">
        <f t="shared" si="32"/>
        <v>0</v>
      </c>
      <c r="AD21" s="438">
        <f t="shared" si="5"/>
        <v>4891454</v>
      </c>
      <c r="AE21" s="438">
        <f>+AE22+AE23+AE24</f>
        <v>5941405</v>
      </c>
      <c r="AF21" s="438">
        <f t="shared" ref="AF21:AG21" si="33">+AF22+AF23+AF24</f>
        <v>3600</v>
      </c>
      <c r="AG21" s="438">
        <f t="shared" si="33"/>
        <v>0</v>
      </c>
      <c r="AH21" s="438">
        <f>SUM(AE21:AG21)</f>
        <v>5945005</v>
      </c>
      <c r="AI21" s="438">
        <f>+AI22+AI23+AI24</f>
        <v>6081845</v>
      </c>
      <c r="AJ21" s="438">
        <f t="shared" ref="AJ21:AK21" si="34">+AJ22+AJ23+AJ24</f>
        <v>3600</v>
      </c>
      <c r="AK21" s="438">
        <f t="shared" si="34"/>
        <v>0</v>
      </c>
      <c r="AL21" s="438">
        <f>SUM(AI21:AK21)</f>
        <v>6085445</v>
      </c>
      <c r="AM21" s="438">
        <f>+AM22+AM23+AM24</f>
        <v>978620</v>
      </c>
      <c r="AN21" s="438">
        <f t="shared" ref="AN21:AO21" si="35">+AN22+AN23+AN24</f>
        <v>600</v>
      </c>
      <c r="AO21" s="438">
        <f t="shared" si="35"/>
        <v>0</v>
      </c>
      <c r="AP21" s="438">
        <f>SUM(AM21:AO21)</f>
        <v>979220</v>
      </c>
    </row>
    <row r="22" spans="1:42" x14ac:dyDescent="0.25">
      <c r="A22" s="617" t="s">
        <v>311</v>
      </c>
      <c r="B22" s="658" t="s">
        <v>351</v>
      </c>
      <c r="C22" s="659" t="e">
        <f>'2.3.Önk kiad fel'!C212</f>
        <v>#REF!</v>
      </c>
      <c r="D22" s="660">
        <f>'2.3.Önk kiad fel'!F36</f>
        <v>4526715</v>
      </c>
      <c r="E22" s="660">
        <v>0</v>
      </c>
      <c r="F22" s="660">
        <f>'2.3.Önk kiad fel'!F212</f>
        <v>0</v>
      </c>
      <c r="G22" s="660">
        <f t="shared" si="0"/>
        <v>4526715</v>
      </c>
      <c r="H22" s="660">
        <f>'2.3.Önk kiad fel'!I36</f>
        <v>3455334</v>
      </c>
      <c r="I22" s="660">
        <v>0</v>
      </c>
      <c r="J22" s="660">
        <f>'2.3.Önk kiad fel'!J212</f>
        <v>0</v>
      </c>
      <c r="K22" s="660">
        <f t="shared" si="1"/>
        <v>3455334</v>
      </c>
      <c r="L22" s="660">
        <f>'2.3.Önk kiad fel'!L36+'2.3.Önk kiad fel'!L54</f>
        <v>3631402</v>
      </c>
      <c r="M22" s="660"/>
      <c r="N22" s="660">
        <f>'2.3.Önk kiad fel'!L212</f>
        <v>0</v>
      </c>
      <c r="O22" s="660">
        <f t="shared" si="2"/>
        <v>3631402</v>
      </c>
      <c r="P22" s="660" t="e">
        <f>'2.3.Önk kiad fel'!O9+'2.3.Önk kiad fel'!#REF!+'2.3.Önk kiad fel'!#REF!+'2.3.Önk kiad fel'!O54+'2.3.Önk kiad fel'!O63+'2.3.Önk kiad fel'!#REF!+'2.3.Önk kiad fel'!#REF!</f>
        <v>#REF!</v>
      </c>
      <c r="Q22" s="660">
        <f>'2.3.Önk kiad fel'!O81+'2.3.Önk kiad fel'!O124+'2.3.Önk kiad fel'!O174+'2.3.Önk kiad fel'!O194+'2.3.Önk kiad fel'!O180+'2.3.Önk kiad fel'!O78+'2.3.Önk kiad fel'!O172</f>
        <v>0</v>
      </c>
      <c r="R22" s="660"/>
      <c r="S22" s="660" t="e">
        <f t="shared" si="3"/>
        <v>#REF!</v>
      </c>
      <c r="T22" s="660">
        <f>'2.3.Önk kiad fel'!R36</f>
        <v>141237</v>
      </c>
      <c r="U22" s="660"/>
      <c r="V22" s="660">
        <f>'2.3.Önk kiad fel'!U212</f>
        <v>0</v>
      </c>
      <c r="W22" s="660">
        <f>SUM(T22:V22)</f>
        <v>141237</v>
      </c>
      <c r="AA22" s="660">
        <f>'2.3.Önk kiad fel'!S36+'2.3.Önk kiad fel'!S54</f>
        <v>4745394</v>
      </c>
      <c r="AB22" s="660"/>
      <c r="AC22" s="660">
        <f>'2.3.Önk kiad fel'!Z212</f>
        <v>0</v>
      </c>
      <c r="AD22" s="660">
        <f t="shared" si="5"/>
        <v>4745394</v>
      </c>
      <c r="AE22" s="660">
        <v>4939050</v>
      </c>
      <c r="AF22" s="660"/>
      <c r="AG22" s="660">
        <v>0</v>
      </c>
      <c r="AH22" s="660">
        <f>SUM(AE22:AG22)</f>
        <v>4939050</v>
      </c>
      <c r="AI22" s="660">
        <v>4354797</v>
      </c>
      <c r="AJ22" s="660"/>
      <c r="AK22" s="660"/>
      <c r="AL22" s="660">
        <f>SUM(AI22:AK22)</f>
        <v>4354797</v>
      </c>
      <c r="AM22" s="660">
        <v>440936</v>
      </c>
      <c r="AN22" s="660"/>
      <c r="AO22" s="660"/>
      <c r="AP22" s="660">
        <f>SUM(AM22:AO22)</f>
        <v>440936</v>
      </c>
    </row>
    <row r="23" spans="1:42" x14ac:dyDescent="0.25">
      <c r="A23" s="617" t="s">
        <v>322</v>
      </c>
      <c r="B23" s="658" t="s">
        <v>342</v>
      </c>
      <c r="C23" s="659">
        <f>'2.3.Önk kiad fel'!C213</f>
        <v>0</v>
      </c>
      <c r="D23" s="660">
        <f>'2.3.Önk kiad fel'!F37</f>
        <v>50000</v>
      </c>
      <c r="E23" s="660">
        <f>'2.3.Önk kiad fel'!F175+'2.3.Önk kiad fel'!F181</f>
        <v>0</v>
      </c>
      <c r="F23" s="660">
        <f>'2.3.Önk kiad fel'!F213</f>
        <v>0</v>
      </c>
      <c r="G23" s="660">
        <f t="shared" si="0"/>
        <v>50000</v>
      </c>
      <c r="H23" s="660">
        <f>'2.3.Önk kiad fel'!I37</f>
        <v>1810736</v>
      </c>
      <c r="I23" s="660">
        <f>'2.3.Önk kiad fel'!I175+'2.3.Önk kiad fel'!I181+'2.3.Önk kiad fel'!I197</f>
        <v>0</v>
      </c>
      <c r="J23" s="660">
        <f>'2.3.Önk kiad fel'!J213</f>
        <v>0</v>
      </c>
      <c r="K23" s="660">
        <f t="shared" si="1"/>
        <v>1810736</v>
      </c>
      <c r="L23" s="660">
        <f>'2.3.Önk kiad fel'!L37+'2.3.Önk kiad fel'!L42+'2.3.Önk kiad fel'!L49</f>
        <v>1827873</v>
      </c>
      <c r="M23" s="660">
        <f>'2.3.Önk kiad fel'!L175+'2.3.Önk kiad fel'!L181+'2.3.Önk kiad fel'!L197</f>
        <v>0</v>
      </c>
      <c r="N23" s="660">
        <f>'2.3.Önk kiad fel'!L213</f>
        <v>0</v>
      </c>
      <c r="O23" s="660">
        <f t="shared" si="2"/>
        <v>1827873</v>
      </c>
      <c r="P23" s="660">
        <f>'2.3.Önk kiad fel'!O64</f>
        <v>0</v>
      </c>
      <c r="Q23" s="660">
        <f>'2.3.Önk kiad fel'!O175+'2.3.Önk kiad fel'!O181+'2.3.Önk kiad fel'!O197</f>
        <v>0</v>
      </c>
      <c r="R23" s="660"/>
      <c r="S23" s="660">
        <f t="shared" si="3"/>
        <v>0</v>
      </c>
      <c r="T23" s="660">
        <f>'2.3.Önk kiad fel'!R37</f>
        <v>195222</v>
      </c>
      <c r="U23" s="660"/>
      <c r="V23" s="660">
        <f>'2.3.Önk kiad fel'!U213</f>
        <v>0</v>
      </c>
      <c r="W23" s="660">
        <f t="shared" si="4"/>
        <v>195222</v>
      </c>
      <c r="AA23" s="660">
        <f>+'2.3.Önk kiad fel'!S37+'2.3.Önk kiad fel'!S42+'2.3.Önk kiad fel'!S49</f>
        <v>139260</v>
      </c>
      <c r="AB23" s="660">
        <f>'2.3.Önk kiad fel'!Z175+'2.3.Önk kiad fel'!Z181+'2.3.Önk kiad fel'!Z197</f>
        <v>0</v>
      </c>
      <c r="AC23" s="660">
        <f>'2.3.Önk kiad fel'!Z213</f>
        <v>0</v>
      </c>
      <c r="AD23" s="660">
        <f t="shared" si="5"/>
        <v>139260</v>
      </c>
      <c r="AE23" s="660">
        <v>1001155</v>
      </c>
      <c r="AF23" s="660">
        <v>0</v>
      </c>
      <c r="AG23" s="660">
        <v>0</v>
      </c>
      <c r="AH23" s="660">
        <f t="shared" ref="AH23:AH24" si="36">SUM(AE23:AG23)</f>
        <v>1001155</v>
      </c>
      <c r="AI23" s="660">
        <v>1725348</v>
      </c>
      <c r="AJ23" s="660"/>
      <c r="AK23" s="660"/>
      <c r="AL23" s="660">
        <f t="shared" ref="AL23:AL24" si="37">SUM(AI23:AK23)</f>
        <v>1725348</v>
      </c>
      <c r="AM23" s="660">
        <v>537684</v>
      </c>
      <c r="AN23" s="660"/>
      <c r="AO23" s="660"/>
      <c r="AP23" s="660">
        <f t="shared" ref="AP23:AP24" si="38">SUM(AM23:AO23)</f>
        <v>537684</v>
      </c>
    </row>
    <row r="24" spans="1:42" x14ac:dyDescent="0.25">
      <c r="A24" s="617" t="s">
        <v>315</v>
      </c>
      <c r="B24" s="658" t="s">
        <v>343</v>
      </c>
      <c r="C24" s="659">
        <f>SUM(C25:C29)</f>
        <v>0</v>
      </c>
      <c r="D24" s="659">
        <f t="shared" ref="D24:I24" si="39">SUM(D25:D29)</f>
        <v>3200</v>
      </c>
      <c r="E24" s="659">
        <f t="shared" si="39"/>
        <v>3600</v>
      </c>
      <c r="F24" s="659">
        <f t="shared" si="39"/>
        <v>0</v>
      </c>
      <c r="G24" s="659">
        <f t="shared" si="0"/>
        <v>6800</v>
      </c>
      <c r="H24" s="659">
        <f t="shared" si="39"/>
        <v>2236</v>
      </c>
      <c r="I24" s="659">
        <f t="shared" si="39"/>
        <v>3600</v>
      </c>
      <c r="J24" s="659">
        <f t="shared" ref="J24" si="40">SUM(J25:J29)</f>
        <v>0</v>
      </c>
      <c r="K24" s="659">
        <f t="shared" si="1"/>
        <v>5836</v>
      </c>
      <c r="L24" s="659">
        <f t="shared" ref="L24" si="41">SUM(L25:L29)</f>
        <v>1736</v>
      </c>
      <c r="M24" s="659">
        <f t="shared" ref="M24:N24" si="42">SUM(M25:M29)</f>
        <v>4100</v>
      </c>
      <c r="N24" s="659">
        <f t="shared" si="42"/>
        <v>0</v>
      </c>
      <c r="O24" s="659">
        <f t="shared" si="2"/>
        <v>5836</v>
      </c>
      <c r="P24" s="659">
        <f t="shared" ref="P24:R24" si="43">SUM(P25:P29)</f>
        <v>0</v>
      </c>
      <c r="Q24" s="659">
        <f t="shared" si="43"/>
        <v>0</v>
      </c>
      <c r="R24" s="659">
        <f t="shared" si="43"/>
        <v>0</v>
      </c>
      <c r="S24" s="659">
        <f t="shared" si="3"/>
        <v>0</v>
      </c>
      <c r="T24" s="659">
        <f t="shared" ref="T24:V24" si="44">SUM(T25:T29)</f>
        <v>0</v>
      </c>
      <c r="U24" s="660">
        <f>'2.3.Önk kiad fel'!R78+'2.3.Önk kiad fel'!R94</f>
        <v>0</v>
      </c>
      <c r="V24" s="659">
        <f t="shared" si="44"/>
        <v>0</v>
      </c>
      <c r="W24" s="659">
        <f t="shared" si="4"/>
        <v>0</v>
      </c>
      <c r="AA24" s="659">
        <f t="shared" ref="AA24:AC24" si="45">SUM(AA25:AA29)</f>
        <v>3200</v>
      </c>
      <c r="AB24" s="659">
        <f t="shared" si="45"/>
        <v>3600</v>
      </c>
      <c r="AC24" s="659">
        <f t="shared" si="45"/>
        <v>0</v>
      </c>
      <c r="AD24" s="659">
        <f t="shared" si="5"/>
        <v>6800</v>
      </c>
      <c r="AE24" s="659">
        <v>1200</v>
      </c>
      <c r="AF24" s="659">
        <v>3600</v>
      </c>
      <c r="AG24" s="659">
        <v>0</v>
      </c>
      <c r="AH24" s="660">
        <f t="shared" si="36"/>
        <v>4800</v>
      </c>
      <c r="AI24" s="659">
        <v>1700</v>
      </c>
      <c r="AJ24" s="659">
        <f t="shared" ref="AJ24:AK24" si="46">SUM(AJ25:AJ29)</f>
        <v>3600</v>
      </c>
      <c r="AK24" s="659">
        <f t="shared" si="46"/>
        <v>0</v>
      </c>
      <c r="AL24" s="660">
        <f t="shared" si="37"/>
        <v>5300</v>
      </c>
      <c r="AM24" s="659">
        <f t="shared" ref="AM24:AO24" si="47">SUM(AM25:AM29)</f>
        <v>0</v>
      </c>
      <c r="AN24" s="659">
        <f t="shared" si="47"/>
        <v>600</v>
      </c>
      <c r="AO24" s="659">
        <f t="shared" si="47"/>
        <v>0</v>
      </c>
      <c r="AP24" s="660">
        <f t="shared" si="38"/>
        <v>600</v>
      </c>
    </row>
    <row r="25" spans="1:42" ht="30" x14ac:dyDescent="0.25">
      <c r="A25" s="430"/>
      <c r="B25" s="320" t="s">
        <v>674</v>
      </c>
      <c r="C25" s="459">
        <v>0</v>
      </c>
      <c r="D25" s="459">
        <v>0</v>
      </c>
      <c r="E25" s="459">
        <v>0</v>
      </c>
      <c r="F25" s="459">
        <v>0</v>
      </c>
      <c r="G25" s="459">
        <f t="shared" si="0"/>
        <v>0</v>
      </c>
      <c r="H25" s="459">
        <v>0</v>
      </c>
      <c r="I25" s="459">
        <v>0</v>
      </c>
      <c r="J25" s="459">
        <v>0</v>
      </c>
      <c r="K25" s="459">
        <f t="shared" si="1"/>
        <v>0</v>
      </c>
      <c r="L25" s="459">
        <v>0</v>
      </c>
      <c r="M25" s="459">
        <v>0</v>
      </c>
      <c r="N25" s="459">
        <v>0</v>
      </c>
      <c r="O25" s="459">
        <f t="shared" si="2"/>
        <v>0</v>
      </c>
      <c r="P25" s="459">
        <v>0</v>
      </c>
      <c r="Q25" s="459">
        <v>0</v>
      </c>
      <c r="R25" s="459">
        <v>0</v>
      </c>
      <c r="S25" s="459">
        <f t="shared" si="3"/>
        <v>0</v>
      </c>
      <c r="T25" s="459">
        <v>0</v>
      </c>
      <c r="U25" s="459">
        <v>0</v>
      </c>
      <c r="V25" s="459">
        <v>0</v>
      </c>
      <c r="W25" s="459">
        <f t="shared" si="4"/>
        <v>0</v>
      </c>
      <c r="AA25" s="459">
        <v>0</v>
      </c>
      <c r="AB25" s="459">
        <v>0</v>
      </c>
      <c r="AC25" s="459">
        <v>0</v>
      </c>
      <c r="AD25" s="459">
        <f t="shared" si="5"/>
        <v>0</v>
      </c>
      <c r="AE25" s="459">
        <v>0</v>
      </c>
      <c r="AF25" s="459">
        <v>0</v>
      </c>
      <c r="AG25" s="459">
        <v>0</v>
      </c>
      <c r="AH25" s="459">
        <v>0</v>
      </c>
      <c r="AI25" s="459">
        <v>0</v>
      </c>
      <c r="AJ25" s="459">
        <v>0</v>
      </c>
      <c r="AK25" s="459">
        <v>0</v>
      </c>
      <c r="AL25" s="459">
        <v>0</v>
      </c>
      <c r="AM25" s="459">
        <v>0</v>
      </c>
      <c r="AN25" s="459">
        <v>0</v>
      </c>
      <c r="AO25" s="459">
        <v>0</v>
      </c>
      <c r="AP25" s="459">
        <v>0</v>
      </c>
    </row>
    <row r="26" spans="1:42" ht="30" x14ac:dyDescent="0.25">
      <c r="A26" s="430"/>
      <c r="B26" s="320" t="s">
        <v>675</v>
      </c>
      <c r="C26" s="459"/>
      <c r="D26" s="459">
        <v>0</v>
      </c>
      <c r="E26" s="459">
        <v>0</v>
      </c>
      <c r="F26" s="459">
        <v>0</v>
      </c>
      <c r="G26" s="459">
        <f t="shared" si="0"/>
        <v>0</v>
      </c>
      <c r="H26" s="459">
        <v>0</v>
      </c>
      <c r="I26" s="459">
        <v>0</v>
      </c>
      <c r="J26" s="459">
        <v>0</v>
      </c>
      <c r="K26" s="459">
        <f t="shared" si="1"/>
        <v>0</v>
      </c>
      <c r="L26" s="459">
        <v>0</v>
      </c>
      <c r="M26" s="459">
        <v>0</v>
      </c>
      <c r="N26" s="459">
        <v>0</v>
      </c>
      <c r="O26" s="459">
        <f t="shared" si="2"/>
        <v>0</v>
      </c>
      <c r="P26" s="459">
        <v>0</v>
      </c>
      <c r="Q26" s="459">
        <v>0</v>
      </c>
      <c r="R26" s="459">
        <v>0</v>
      </c>
      <c r="S26" s="459">
        <f t="shared" si="3"/>
        <v>0</v>
      </c>
      <c r="T26" s="459">
        <v>0</v>
      </c>
      <c r="U26" s="459">
        <v>0</v>
      </c>
      <c r="V26" s="459">
        <v>0</v>
      </c>
      <c r="W26" s="459">
        <f t="shared" si="4"/>
        <v>0</v>
      </c>
      <c r="AA26" s="459">
        <v>0</v>
      </c>
      <c r="AB26" s="459">
        <v>0</v>
      </c>
      <c r="AC26" s="459">
        <v>0</v>
      </c>
      <c r="AD26" s="459">
        <f t="shared" si="5"/>
        <v>0</v>
      </c>
      <c r="AE26" s="459">
        <v>0</v>
      </c>
      <c r="AF26" s="459">
        <v>0</v>
      </c>
      <c r="AG26" s="459">
        <v>0</v>
      </c>
      <c r="AH26" s="459">
        <v>0</v>
      </c>
      <c r="AI26" s="459">
        <v>0</v>
      </c>
      <c r="AJ26" s="459">
        <v>0</v>
      </c>
      <c r="AK26" s="459">
        <v>0</v>
      </c>
      <c r="AL26" s="459">
        <v>0</v>
      </c>
      <c r="AM26" s="459">
        <v>0</v>
      </c>
      <c r="AN26" s="459">
        <v>0</v>
      </c>
      <c r="AO26" s="459">
        <v>0</v>
      </c>
      <c r="AP26" s="459">
        <v>0</v>
      </c>
    </row>
    <row r="27" spans="1:42" x14ac:dyDescent="0.25">
      <c r="A27" s="430"/>
      <c r="B27" s="320" t="s">
        <v>676</v>
      </c>
      <c r="C27" s="459"/>
      <c r="D27" s="459">
        <v>0</v>
      </c>
      <c r="E27" s="459">
        <v>0</v>
      </c>
      <c r="F27" s="459">
        <v>0</v>
      </c>
      <c r="G27" s="459">
        <f t="shared" si="0"/>
        <v>0</v>
      </c>
      <c r="H27" s="459">
        <v>0</v>
      </c>
      <c r="I27" s="459">
        <v>0</v>
      </c>
      <c r="J27" s="459">
        <v>0</v>
      </c>
      <c r="K27" s="459">
        <f t="shared" si="1"/>
        <v>0</v>
      </c>
      <c r="L27" s="459">
        <v>0</v>
      </c>
      <c r="M27" s="459">
        <v>0</v>
      </c>
      <c r="N27" s="459">
        <v>0</v>
      </c>
      <c r="O27" s="459">
        <f t="shared" si="2"/>
        <v>0</v>
      </c>
      <c r="P27" s="459">
        <v>0</v>
      </c>
      <c r="Q27" s="459">
        <v>0</v>
      </c>
      <c r="R27" s="459">
        <v>0</v>
      </c>
      <c r="S27" s="459">
        <f t="shared" si="3"/>
        <v>0</v>
      </c>
      <c r="T27" s="459">
        <v>0</v>
      </c>
      <c r="U27" s="459">
        <v>0</v>
      </c>
      <c r="V27" s="459">
        <v>0</v>
      </c>
      <c r="W27" s="459">
        <f t="shared" si="4"/>
        <v>0</v>
      </c>
      <c r="AA27" s="459">
        <v>0</v>
      </c>
      <c r="AB27" s="459">
        <v>0</v>
      </c>
      <c r="AC27" s="459">
        <v>0</v>
      </c>
      <c r="AD27" s="459">
        <f t="shared" si="5"/>
        <v>0</v>
      </c>
      <c r="AE27" s="459">
        <v>0</v>
      </c>
      <c r="AF27" s="459">
        <v>0</v>
      </c>
      <c r="AG27" s="459">
        <v>0</v>
      </c>
      <c r="AH27" s="459">
        <v>0</v>
      </c>
      <c r="AI27" s="459">
        <v>0</v>
      </c>
      <c r="AJ27" s="459">
        <v>0</v>
      </c>
      <c r="AK27" s="459">
        <v>0</v>
      </c>
      <c r="AL27" s="459">
        <v>0</v>
      </c>
      <c r="AM27" s="459">
        <v>0</v>
      </c>
      <c r="AN27" s="459">
        <v>0</v>
      </c>
      <c r="AO27" s="459">
        <v>0</v>
      </c>
      <c r="AP27" s="459">
        <v>0</v>
      </c>
    </row>
    <row r="28" spans="1:42" ht="30" x14ac:dyDescent="0.25">
      <c r="A28" s="430"/>
      <c r="B28" s="320" t="s">
        <v>677</v>
      </c>
      <c r="C28" s="459"/>
      <c r="D28" s="459">
        <v>0</v>
      </c>
      <c r="E28" s="459">
        <v>0</v>
      </c>
      <c r="F28" s="459">
        <v>0</v>
      </c>
      <c r="G28" s="459">
        <f t="shared" si="0"/>
        <v>0</v>
      </c>
      <c r="H28" s="459">
        <v>0</v>
      </c>
      <c r="I28" s="459">
        <v>0</v>
      </c>
      <c r="J28" s="459">
        <v>0</v>
      </c>
      <c r="K28" s="459">
        <f t="shared" si="1"/>
        <v>0</v>
      </c>
      <c r="L28" s="459">
        <v>0</v>
      </c>
      <c r="M28" s="459">
        <v>0</v>
      </c>
      <c r="N28" s="459">
        <v>0</v>
      </c>
      <c r="O28" s="459">
        <f t="shared" si="2"/>
        <v>0</v>
      </c>
      <c r="P28" s="459">
        <v>0</v>
      </c>
      <c r="Q28" s="459">
        <v>0</v>
      </c>
      <c r="R28" s="459">
        <v>0</v>
      </c>
      <c r="S28" s="459">
        <f t="shared" si="3"/>
        <v>0</v>
      </c>
      <c r="T28" s="459">
        <v>0</v>
      </c>
      <c r="U28" s="459">
        <v>0</v>
      </c>
      <c r="V28" s="459">
        <v>0</v>
      </c>
      <c r="W28" s="459">
        <f t="shared" si="4"/>
        <v>0</v>
      </c>
      <c r="AA28" s="459">
        <v>0</v>
      </c>
      <c r="AB28" s="459">
        <v>0</v>
      </c>
      <c r="AC28" s="459">
        <v>0</v>
      </c>
      <c r="AD28" s="459">
        <f t="shared" si="5"/>
        <v>0</v>
      </c>
      <c r="AE28" s="459">
        <v>0</v>
      </c>
      <c r="AF28" s="459">
        <v>0</v>
      </c>
      <c r="AG28" s="459">
        <v>0</v>
      </c>
      <c r="AH28" s="459">
        <v>0</v>
      </c>
      <c r="AI28" s="459">
        <v>0</v>
      </c>
      <c r="AJ28" s="459">
        <v>0</v>
      </c>
      <c r="AK28" s="459">
        <v>0</v>
      </c>
      <c r="AL28" s="459">
        <v>0</v>
      </c>
      <c r="AM28" s="459">
        <v>0</v>
      </c>
      <c r="AN28" s="459">
        <v>0</v>
      </c>
      <c r="AO28" s="459">
        <v>0</v>
      </c>
      <c r="AP28" s="459">
        <v>0</v>
      </c>
    </row>
    <row r="29" spans="1:42" ht="30" x14ac:dyDescent="0.25">
      <c r="A29" s="430"/>
      <c r="B29" s="320" t="s">
        <v>678</v>
      </c>
      <c r="C29" s="460">
        <f>'2.3.Önk kiad fel'!C214</f>
        <v>0</v>
      </c>
      <c r="D29" s="459">
        <f>'2.3.Önk kiad fel'!F38</f>
        <v>3200</v>
      </c>
      <c r="E29" s="459">
        <f>'2.3.Önk kiad fel'!F78+'2.3.Önk kiad fel'!F94</f>
        <v>3600</v>
      </c>
      <c r="F29" s="459">
        <v>0</v>
      </c>
      <c r="G29" s="459">
        <f t="shared" si="0"/>
        <v>6800</v>
      </c>
      <c r="H29" s="459">
        <f>'2.3.Önk kiad fel'!I38</f>
        <v>2236</v>
      </c>
      <c r="I29" s="459">
        <f>'2.3.Önk kiad fel'!I78+'2.3.Önk kiad fel'!I94</f>
        <v>3600</v>
      </c>
      <c r="J29" s="459">
        <v>0</v>
      </c>
      <c r="K29" s="459">
        <f t="shared" si="1"/>
        <v>5836</v>
      </c>
      <c r="L29" s="459">
        <f>+'2.3.Önk kiad fel'!L39+'2.3.Önk kiad fel'!L41</f>
        <v>1736</v>
      </c>
      <c r="M29" s="459">
        <f>+'2.3.Önk kiad fel'!L78+'2.3.Önk kiad fel'!L94+'2.3.Önk kiad fel'!L110</f>
        <v>4100</v>
      </c>
      <c r="N29" s="459">
        <v>0</v>
      </c>
      <c r="O29" s="459">
        <f t="shared" si="2"/>
        <v>5836</v>
      </c>
      <c r="P29" s="459">
        <f>'2.3.Önk kiad fel'!O11</f>
        <v>0</v>
      </c>
      <c r="Q29" s="459">
        <v>0</v>
      </c>
      <c r="R29" s="459">
        <v>0</v>
      </c>
      <c r="S29" s="459">
        <f t="shared" si="3"/>
        <v>0</v>
      </c>
      <c r="T29" s="459">
        <f>'2.3.Önk kiad fel'!R38</f>
        <v>0</v>
      </c>
      <c r="U29" s="459">
        <f>'2.3.Önk kiad fel'!R78+'2.3.Önk kiad fel'!R94</f>
        <v>0</v>
      </c>
      <c r="V29" s="459">
        <v>0</v>
      </c>
      <c r="W29" s="459">
        <f t="shared" si="4"/>
        <v>0</v>
      </c>
      <c r="AA29" s="459">
        <f>+'2.3.Önk kiad fel'!S39+'2.3.Önk kiad fel'!S40</f>
        <v>3200</v>
      </c>
      <c r="AB29" s="459">
        <f>+'2.3.Önk kiad fel'!S78+'2.3.Önk kiad fel'!S94+'2.3.Önk kiad fel'!S110</f>
        <v>3600</v>
      </c>
      <c r="AC29" s="459">
        <v>0</v>
      </c>
      <c r="AD29" s="459">
        <f t="shared" si="5"/>
        <v>6800</v>
      </c>
      <c r="AE29" s="459">
        <v>1200</v>
      </c>
      <c r="AF29" s="459">
        <v>3600</v>
      </c>
      <c r="AG29" s="459">
        <v>0</v>
      </c>
      <c r="AH29" s="459">
        <f>SUM(AE29:AG29)</f>
        <v>4800</v>
      </c>
      <c r="AI29" s="459">
        <v>1700</v>
      </c>
      <c r="AJ29" s="459">
        <v>3600</v>
      </c>
      <c r="AK29" s="459"/>
      <c r="AL29" s="459">
        <f>SUM(AI29:AK29)</f>
        <v>5300</v>
      </c>
      <c r="AM29" s="459"/>
      <c r="AN29" s="459">
        <v>600</v>
      </c>
      <c r="AO29" s="459"/>
      <c r="AP29" s="459">
        <f>SUM(AM29:AO29)</f>
        <v>600</v>
      </c>
    </row>
    <row r="30" spans="1:42" x14ac:dyDescent="0.25">
      <c r="A30" s="589"/>
      <c r="B30" s="621" t="s">
        <v>588</v>
      </c>
      <c r="C30" s="622" t="e">
        <f>C21+C7</f>
        <v>#REF!</v>
      </c>
      <c r="D30" s="622" t="e">
        <f>D21+D7</f>
        <v>#REF!</v>
      </c>
      <c r="E30" s="622">
        <f>E21+E7</f>
        <v>57450</v>
      </c>
      <c r="F30" s="622">
        <f>F21+F7</f>
        <v>0</v>
      </c>
      <c r="G30" s="622" t="e">
        <f t="shared" si="0"/>
        <v>#REF!</v>
      </c>
      <c r="H30" s="622">
        <f>H21+H7</f>
        <v>5842543</v>
      </c>
      <c r="I30" s="622">
        <f>I21+I7</f>
        <v>59530</v>
      </c>
      <c r="J30" s="622">
        <f>J21+J7</f>
        <v>0</v>
      </c>
      <c r="K30" s="622">
        <f t="shared" si="1"/>
        <v>5902073</v>
      </c>
      <c r="L30" s="622">
        <f>L21+L7</f>
        <v>6081950</v>
      </c>
      <c r="M30" s="622">
        <f>M21+M7</f>
        <v>52593</v>
      </c>
      <c r="N30" s="622">
        <f>N21+N7</f>
        <v>0</v>
      </c>
      <c r="O30" s="622">
        <f t="shared" si="2"/>
        <v>6134543</v>
      </c>
      <c r="P30" s="622" t="e">
        <f>P21+P7</f>
        <v>#REF!</v>
      </c>
      <c r="Q30" s="622">
        <f>Q21+Q7</f>
        <v>0</v>
      </c>
      <c r="R30" s="622">
        <f>R21+R7</f>
        <v>0</v>
      </c>
      <c r="S30" s="622" t="e">
        <f t="shared" si="3"/>
        <v>#REF!</v>
      </c>
      <c r="T30" s="622">
        <f>T21+T7</f>
        <v>517971</v>
      </c>
      <c r="U30" s="622">
        <f>U21+U7</f>
        <v>19468</v>
      </c>
      <c r="V30" s="622">
        <f>V21+V7</f>
        <v>930643</v>
      </c>
      <c r="W30" s="622">
        <f>SUM(T30:V30)</f>
        <v>1468082</v>
      </c>
      <c r="AA30" s="622">
        <f>AA21+AA7</f>
        <v>5396151</v>
      </c>
      <c r="AB30" s="622">
        <f>AB21+AB7</f>
        <v>71300</v>
      </c>
      <c r="AC30" s="622">
        <f>AC21+AC7</f>
        <v>0</v>
      </c>
      <c r="AD30" s="622">
        <f t="shared" si="5"/>
        <v>5467451</v>
      </c>
      <c r="AE30" s="622">
        <f>AE21+AE7</f>
        <v>6715284</v>
      </c>
      <c r="AF30" s="622">
        <f t="shared" ref="AF30:AG30" si="48">AF21+AF7</f>
        <v>71300</v>
      </c>
      <c r="AG30" s="622">
        <f t="shared" si="48"/>
        <v>0</v>
      </c>
      <c r="AH30" s="622">
        <f>SUM(AE30:AG30)</f>
        <v>6786584</v>
      </c>
      <c r="AI30" s="622">
        <f>AI21+AI7</f>
        <v>7074422</v>
      </c>
      <c r="AJ30" s="622">
        <f t="shared" ref="AJ30:AK30" si="49">AJ21+AJ7</f>
        <v>104051</v>
      </c>
      <c r="AK30" s="622">
        <f t="shared" si="49"/>
        <v>0</v>
      </c>
      <c r="AL30" s="622">
        <f>SUM(AI30:AK30)</f>
        <v>7178473</v>
      </c>
      <c r="AM30" s="622">
        <f>AM21+AM7</f>
        <v>1527278</v>
      </c>
      <c r="AN30" s="622">
        <f t="shared" ref="AN30:AO30" si="50">AN21+AN7</f>
        <v>28439</v>
      </c>
      <c r="AO30" s="622">
        <f t="shared" si="50"/>
        <v>0</v>
      </c>
      <c r="AP30" s="622">
        <f>SUM(AM30:AO30)</f>
        <v>1555717</v>
      </c>
    </row>
    <row r="31" spans="1:42" x14ac:dyDescent="0.25">
      <c r="A31" s="456" t="s">
        <v>328</v>
      </c>
      <c r="B31" s="437" t="s">
        <v>591</v>
      </c>
      <c r="C31" s="438">
        <f t="shared" ref="C31" si="51">C32+C41</f>
        <v>0</v>
      </c>
      <c r="D31" s="438">
        <f t="shared" ref="D31:F31" si="52">D32+D41</f>
        <v>1405150</v>
      </c>
      <c r="E31" s="438">
        <f t="shared" si="52"/>
        <v>0</v>
      </c>
      <c r="F31" s="438">
        <f t="shared" si="52"/>
        <v>0</v>
      </c>
      <c r="G31" s="438">
        <f t="shared" si="0"/>
        <v>1405150</v>
      </c>
      <c r="H31" s="438">
        <f t="shared" ref="H31:J31" si="53">H32+H41</f>
        <v>136215</v>
      </c>
      <c r="I31" s="438">
        <f t="shared" si="53"/>
        <v>0</v>
      </c>
      <c r="J31" s="438">
        <f t="shared" si="53"/>
        <v>0</v>
      </c>
      <c r="K31" s="438">
        <f t="shared" si="1"/>
        <v>136215</v>
      </c>
      <c r="L31" s="438">
        <f t="shared" ref="L31:N31" si="54">L32+L41</f>
        <v>53227</v>
      </c>
      <c r="M31" s="438">
        <f t="shared" si="54"/>
        <v>0</v>
      </c>
      <c r="N31" s="438">
        <f t="shared" si="54"/>
        <v>27555</v>
      </c>
      <c r="O31" s="438">
        <f t="shared" si="2"/>
        <v>80782</v>
      </c>
      <c r="P31" s="438">
        <f t="shared" ref="P31:R31" si="55">P32+P41</f>
        <v>0</v>
      </c>
      <c r="Q31" s="438">
        <f t="shared" si="55"/>
        <v>174440</v>
      </c>
      <c r="R31" s="438">
        <f t="shared" si="55"/>
        <v>1477264</v>
      </c>
      <c r="S31" s="438">
        <f t="shared" si="3"/>
        <v>1651704</v>
      </c>
      <c r="T31" s="438">
        <f t="shared" ref="T31:V31" si="56">T32+T41</f>
        <v>1904735</v>
      </c>
      <c r="U31" s="438">
        <f t="shared" si="56"/>
        <v>0</v>
      </c>
      <c r="V31" s="438">
        <f t="shared" si="56"/>
        <v>0</v>
      </c>
      <c r="W31" s="438">
        <f t="shared" si="4"/>
        <v>1904735</v>
      </c>
      <c r="AA31" s="438">
        <f t="shared" ref="AA31:AH31" si="57">AA32+AA41</f>
        <v>1551544</v>
      </c>
      <c r="AB31" s="438">
        <f t="shared" si="57"/>
        <v>0</v>
      </c>
      <c r="AC31" s="438">
        <f t="shared" si="57"/>
        <v>0</v>
      </c>
      <c r="AD31" s="438">
        <f t="shared" si="5"/>
        <v>1551544</v>
      </c>
      <c r="AE31" s="438">
        <f t="shared" si="57"/>
        <v>1647282</v>
      </c>
      <c r="AF31" s="438">
        <f t="shared" si="57"/>
        <v>0</v>
      </c>
      <c r="AG31" s="438">
        <f t="shared" si="57"/>
        <v>0</v>
      </c>
      <c r="AH31" s="438">
        <f t="shared" si="57"/>
        <v>1551544</v>
      </c>
      <c r="AI31" s="438">
        <f t="shared" ref="AI31:AL31" si="58">AI32+AI41</f>
        <v>1620779</v>
      </c>
      <c r="AJ31" s="438">
        <f t="shared" si="58"/>
        <v>0</v>
      </c>
      <c r="AK31" s="438">
        <f t="shared" si="58"/>
        <v>0</v>
      </c>
      <c r="AL31" s="438">
        <f t="shared" si="58"/>
        <v>1620779</v>
      </c>
      <c r="AM31" s="438">
        <f t="shared" ref="AM31:AP31" si="59">AM32+AM41</f>
        <v>834220</v>
      </c>
      <c r="AN31" s="438">
        <f t="shared" si="59"/>
        <v>0</v>
      </c>
      <c r="AO31" s="438">
        <f t="shared" si="59"/>
        <v>0</v>
      </c>
      <c r="AP31" s="438">
        <f t="shared" si="59"/>
        <v>834220</v>
      </c>
    </row>
    <row r="32" spans="1:42" x14ac:dyDescent="0.25">
      <c r="A32" s="617" t="s">
        <v>311</v>
      </c>
      <c r="B32" s="658" t="s">
        <v>594</v>
      </c>
      <c r="C32" s="625">
        <f t="shared" ref="C32" si="60">C33+C38+C36+C40+C39+C37</f>
        <v>0</v>
      </c>
      <c r="D32" s="625">
        <f t="shared" ref="D32:F32" si="61">D33+D38+D36+D40+D39+D37</f>
        <v>1405150</v>
      </c>
      <c r="E32" s="625">
        <f t="shared" si="61"/>
        <v>0</v>
      </c>
      <c r="F32" s="625">
        <f t="shared" si="61"/>
        <v>0</v>
      </c>
      <c r="G32" s="625">
        <f t="shared" si="0"/>
        <v>1405150</v>
      </c>
      <c r="H32" s="625">
        <f t="shared" ref="H32:I32" si="62">H33+H38+H36+H40+H39+H37</f>
        <v>136215</v>
      </c>
      <c r="I32" s="625">
        <f t="shared" si="62"/>
        <v>0</v>
      </c>
      <c r="J32" s="625">
        <f t="shared" ref="J32" si="63">J33+J38+J36+J40+J39+J37</f>
        <v>0</v>
      </c>
      <c r="K32" s="625">
        <f t="shared" si="1"/>
        <v>136215</v>
      </c>
      <c r="L32" s="625">
        <f t="shared" ref="L32:N32" si="64">L33+L38+L36+L40+L39+L37</f>
        <v>53227</v>
      </c>
      <c r="M32" s="625">
        <f t="shared" si="64"/>
        <v>0</v>
      </c>
      <c r="N32" s="625">
        <f t="shared" si="64"/>
        <v>27555</v>
      </c>
      <c r="O32" s="625">
        <f t="shared" si="2"/>
        <v>80782</v>
      </c>
      <c r="P32" s="625">
        <f t="shared" ref="P32:R32" si="65">P33+P38+P36+P40+P39+P37</f>
        <v>0</v>
      </c>
      <c r="Q32" s="625">
        <f t="shared" si="65"/>
        <v>174440</v>
      </c>
      <c r="R32" s="625">
        <f t="shared" si="65"/>
        <v>1477264</v>
      </c>
      <c r="S32" s="625">
        <f t="shared" si="3"/>
        <v>1651704</v>
      </c>
      <c r="T32" s="625">
        <f t="shared" ref="T32:V32" si="66">T33+T38+T36+T40+T39+T37</f>
        <v>1904735</v>
      </c>
      <c r="U32" s="625">
        <f t="shared" si="66"/>
        <v>0</v>
      </c>
      <c r="V32" s="625">
        <f t="shared" si="66"/>
        <v>0</v>
      </c>
      <c r="W32" s="625">
        <f t="shared" si="4"/>
        <v>1904735</v>
      </c>
      <c r="AA32" s="625">
        <f t="shared" ref="AA32:AG32" si="67">AA33+AA38+AA36+AA40+AA39+AA37</f>
        <v>1551544</v>
      </c>
      <c r="AB32" s="625">
        <f t="shared" si="67"/>
        <v>0</v>
      </c>
      <c r="AC32" s="625">
        <f t="shared" si="67"/>
        <v>0</v>
      </c>
      <c r="AD32" s="625">
        <f t="shared" si="5"/>
        <v>1551544</v>
      </c>
      <c r="AE32" s="625">
        <f t="shared" si="67"/>
        <v>1647282</v>
      </c>
      <c r="AF32" s="625">
        <f t="shared" si="67"/>
        <v>0</v>
      </c>
      <c r="AG32" s="625">
        <f t="shared" si="67"/>
        <v>0</v>
      </c>
      <c r="AH32" s="625">
        <v>1551544</v>
      </c>
      <c r="AI32" s="625">
        <f t="shared" ref="AI32:AK32" si="68">AI33+AI38+AI36+AI40+AI39+AI37</f>
        <v>1620779</v>
      </c>
      <c r="AJ32" s="625">
        <f t="shared" si="68"/>
        <v>0</v>
      </c>
      <c r="AK32" s="625">
        <f t="shared" si="68"/>
        <v>0</v>
      </c>
      <c r="AL32" s="625">
        <f>SUM(AI32:AK32)</f>
        <v>1620779</v>
      </c>
      <c r="AM32" s="625">
        <f t="shared" ref="AM32:AO32" si="69">AM33+AM38+AM36+AM40+AM39+AM37</f>
        <v>834220</v>
      </c>
      <c r="AN32" s="625">
        <f t="shared" si="69"/>
        <v>0</v>
      </c>
      <c r="AO32" s="625">
        <f t="shared" si="69"/>
        <v>0</v>
      </c>
      <c r="AP32" s="625">
        <f>SUM(AM32:AO32)</f>
        <v>834220</v>
      </c>
    </row>
    <row r="33" spans="1:42" x14ac:dyDescent="0.25">
      <c r="A33" s="430"/>
      <c r="B33" s="321" t="s">
        <v>679</v>
      </c>
      <c r="C33" s="322"/>
      <c r="D33" s="322">
        <v>35240</v>
      </c>
      <c r="E33" s="322"/>
      <c r="F33" s="322"/>
      <c r="G33" s="322">
        <f t="shared" si="0"/>
        <v>35240</v>
      </c>
      <c r="H33" s="322">
        <v>37022</v>
      </c>
      <c r="I33" s="322"/>
      <c r="J33" s="322"/>
      <c r="K33" s="322">
        <f t="shared" si="1"/>
        <v>37022</v>
      </c>
      <c r="L33" s="322">
        <f>+'2.3.Önk kiad fel'!L204</f>
        <v>35240</v>
      </c>
      <c r="M33" s="322"/>
      <c r="N33" s="322"/>
      <c r="O33" s="322">
        <f t="shared" si="2"/>
        <v>35240</v>
      </c>
      <c r="P33" s="322"/>
      <c r="Q33" s="322"/>
      <c r="R33" s="322"/>
      <c r="S33" s="322">
        <f t="shared" si="3"/>
        <v>0</v>
      </c>
      <c r="T33" s="322">
        <v>8810</v>
      </c>
      <c r="U33" s="322"/>
      <c r="V33" s="322"/>
      <c r="W33" s="322">
        <f>SUM(T33:V33)</f>
        <v>8810</v>
      </c>
      <c r="AA33" s="322">
        <f>+'2.3.Önk kiad fel'!S204</f>
        <v>57860</v>
      </c>
      <c r="AB33" s="322"/>
      <c r="AC33" s="322"/>
      <c r="AD33" s="322">
        <f t="shared" si="5"/>
        <v>57860</v>
      </c>
      <c r="AE33" s="322">
        <v>65630</v>
      </c>
      <c r="AF33" s="322"/>
      <c r="AG33" s="322"/>
      <c r="AH33" s="322">
        <f>SUM(AE33:AG33)</f>
        <v>65630</v>
      </c>
      <c r="AI33" s="322">
        <v>65630</v>
      </c>
      <c r="AJ33" s="322"/>
      <c r="AK33" s="322"/>
      <c r="AL33" s="322">
        <f>SUM(AI33:AK33)</f>
        <v>65630</v>
      </c>
      <c r="AM33" s="322">
        <v>25390</v>
      </c>
      <c r="AN33" s="322"/>
      <c r="AO33" s="322"/>
      <c r="AP33" s="322">
        <f>SUM(AM33:AO33)</f>
        <v>25390</v>
      </c>
    </row>
    <row r="34" spans="1:42" hidden="1" x14ac:dyDescent="0.25">
      <c r="A34" s="430"/>
      <c r="B34" s="323" t="s">
        <v>680</v>
      </c>
      <c r="C34" s="300"/>
      <c r="D34" s="300"/>
      <c r="E34" s="300"/>
      <c r="F34" s="300"/>
      <c r="G34" s="300">
        <f t="shared" si="0"/>
        <v>0</v>
      </c>
      <c r="H34" s="300"/>
      <c r="I34" s="300"/>
      <c r="J34" s="300"/>
      <c r="K34" s="300">
        <f t="shared" si="1"/>
        <v>0</v>
      </c>
      <c r="L34" s="300"/>
      <c r="M34" s="300"/>
      <c r="N34" s="300"/>
      <c r="O34" s="300">
        <f t="shared" si="2"/>
        <v>0</v>
      </c>
      <c r="P34" s="300"/>
      <c r="Q34" s="300"/>
      <c r="R34" s="300"/>
      <c r="S34" s="300">
        <f t="shared" si="3"/>
        <v>0</v>
      </c>
      <c r="T34" s="300"/>
      <c r="U34" s="300"/>
      <c r="V34" s="300"/>
      <c r="W34" s="300">
        <f t="shared" si="4"/>
        <v>0</v>
      </c>
      <c r="AA34" s="300"/>
      <c r="AB34" s="300"/>
      <c r="AC34" s="300"/>
      <c r="AD34" s="300">
        <f t="shared" si="5"/>
        <v>0</v>
      </c>
      <c r="AE34" s="300"/>
      <c r="AF34" s="300"/>
      <c r="AG34" s="300"/>
      <c r="AH34" s="322">
        <f t="shared" ref="AH34:AH40" si="70">SUM(AE34:AG34)</f>
        <v>0</v>
      </c>
      <c r="AI34" s="300"/>
      <c r="AJ34" s="300"/>
      <c r="AK34" s="300"/>
      <c r="AL34" s="322">
        <f t="shared" ref="AL34:AL40" si="71">SUM(AI34:AK34)</f>
        <v>0</v>
      </c>
      <c r="AM34" s="300"/>
      <c r="AN34" s="300"/>
      <c r="AO34" s="300"/>
      <c r="AP34" s="322">
        <f t="shared" ref="AP34:AP40" si="72">SUM(AM34:AO34)</f>
        <v>0</v>
      </c>
    </row>
    <row r="35" spans="1:42" hidden="1" x14ac:dyDescent="0.25">
      <c r="A35" s="430"/>
      <c r="B35" s="323" t="s">
        <v>681</v>
      </c>
      <c r="C35" s="300"/>
      <c r="D35" s="300"/>
      <c r="E35" s="300"/>
      <c r="F35" s="300"/>
      <c r="G35" s="300">
        <f t="shared" si="0"/>
        <v>0</v>
      </c>
      <c r="H35" s="300"/>
      <c r="I35" s="300"/>
      <c r="J35" s="300"/>
      <c r="K35" s="300">
        <f t="shared" si="1"/>
        <v>0</v>
      </c>
      <c r="L35" s="300"/>
      <c r="M35" s="300"/>
      <c r="N35" s="300"/>
      <c r="O35" s="300">
        <f t="shared" si="2"/>
        <v>0</v>
      </c>
      <c r="P35" s="300"/>
      <c r="Q35" s="300"/>
      <c r="R35" s="300"/>
      <c r="S35" s="300">
        <f t="shared" si="3"/>
        <v>0</v>
      </c>
      <c r="T35" s="300"/>
      <c r="U35" s="300"/>
      <c r="V35" s="300"/>
      <c r="W35" s="300">
        <f t="shared" si="4"/>
        <v>0</v>
      </c>
      <c r="AA35" s="300"/>
      <c r="AB35" s="300"/>
      <c r="AC35" s="300"/>
      <c r="AD35" s="300">
        <f t="shared" si="5"/>
        <v>0</v>
      </c>
      <c r="AE35" s="300"/>
      <c r="AF35" s="300"/>
      <c r="AG35" s="300"/>
      <c r="AH35" s="322">
        <f t="shared" si="70"/>
        <v>0</v>
      </c>
      <c r="AI35" s="300"/>
      <c r="AJ35" s="300"/>
      <c r="AK35" s="300"/>
      <c r="AL35" s="322">
        <f t="shared" si="71"/>
        <v>0</v>
      </c>
      <c r="AM35" s="300"/>
      <c r="AN35" s="300"/>
      <c r="AO35" s="300"/>
      <c r="AP35" s="322">
        <f t="shared" si="72"/>
        <v>0</v>
      </c>
    </row>
    <row r="36" spans="1:42" x14ac:dyDescent="0.25">
      <c r="A36" s="430"/>
      <c r="B36" s="321" t="s">
        <v>682</v>
      </c>
      <c r="C36" s="322"/>
      <c r="D36" s="322"/>
      <c r="E36" s="322"/>
      <c r="F36" s="322"/>
      <c r="G36" s="322">
        <f t="shared" si="0"/>
        <v>0</v>
      </c>
      <c r="H36" s="322"/>
      <c r="I36" s="322"/>
      <c r="J36" s="322"/>
      <c r="K36" s="322">
        <f t="shared" si="1"/>
        <v>0</v>
      </c>
      <c r="L36" s="322"/>
      <c r="M36" s="322"/>
      <c r="N36" s="322"/>
      <c r="O36" s="322">
        <f t="shared" si="2"/>
        <v>0</v>
      </c>
      <c r="P36" s="322"/>
      <c r="Q36" s="322"/>
      <c r="R36" s="322"/>
      <c r="S36" s="322">
        <f t="shared" si="3"/>
        <v>0</v>
      </c>
      <c r="T36" s="322"/>
      <c r="U36" s="322"/>
      <c r="V36" s="322"/>
      <c r="W36" s="322">
        <f t="shared" si="4"/>
        <v>0</v>
      </c>
      <c r="AA36" s="322"/>
      <c r="AB36" s="322"/>
      <c r="AC36" s="322"/>
      <c r="AD36" s="322">
        <f t="shared" si="5"/>
        <v>0</v>
      </c>
      <c r="AE36" s="322"/>
      <c r="AF36" s="322"/>
      <c r="AG36" s="322"/>
      <c r="AH36" s="322">
        <f t="shared" si="70"/>
        <v>0</v>
      </c>
      <c r="AI36" s="322"/>
      <c r="AJ36" s="322"/>
      <c r="AK36" s="322"/>
      <c r="AL36" s="322">
        <f t="shared" si="71"/>
        <v>0</v>
      </c>
      <c r="AM36" s="322"/>
      <c r="AN36" s="322"/>
      <c r="AO36" s="322"/>
      <c r="AP36" s="322">
        <f t="shared" si="72"/>
        <v>0</v>
      </c>
    </row>
    <row r="37" spans="1:42" ht="30" x14ac:dyDescent="0.25">
      <c r="A37" s="430"/>
      <c r="B37" s="321" t="s">
        <v>683</v>
      </c>
      <c r="C37" s="322"/>
      <c r="D37" s="322"/>
      <c r="E37" s="322"/>
      <c r="F37" s="322"/>
      <c r="G37" s="322">
        <f t="shared" si="0"/>
        <v>0</v>
      </c>
      <c r="H37" s="322"/>
      <c r="I37" s="322"/>
      <c r="J37" s="322">
        <f>'2.3.Önk kiad fel'!I203</f>
        <v>0</v>
      </c>
      <c r="K37" s="322">
        <f t="shared" si="1"/>
        <v>0</v>
      </c>
      <c r="L37" s="322"/>
      <c r="M37" s="322"/>
      <c r="N37" s="322">
        <f>'2.3.Önk kiad fel'!L203</f>
        <v>27555</v>
      </c>
      <c r="O37" s="322">
        <f t="shared" si="2"/>
        <v>27555</v>
      </c>
      <c r="P37" s="322"/>
      <c r="Q37" s="322"/>
      <c r="R37" s="322">
        <f>'2.3.Önk kiad fel'!O203</f>
        <v>0</v>
      </c>
      <c r="S37" s="322">
        <f t="shared" si="3"/>
        <v>0</v>
      </c>
      <c r="T37" s="322"/>
      <c r="U37" s="322"/>
      <c r="V37" s="322">
        <f>'2.3.Önk kiad fel'!R203</f>
        <v>0</v>
      </c>
      <c r="W37" s="322">
        <f t="shared" si="4"/>
        <v>0</v>
      </c>
      <c r="AA37" s="322"/>
      <c r="AB37" s="322"/>
      <c r="AC37" s="322">
        <f>'2.3.Önk kiad fel'!S203</f>
        <v>0</v>
      </c>
      <c r="AD37" s="322">
        <f t="shared" si="5"/>
        <v>0</v>
      </c>
      <c r="AE37" s="322">
        <v>28857</v>
      </c>
      <c r="AF37" s="322"/>
      <c r="AG37" s="322">
        <v>0</v>
      </c>
      <c r="AH37" s="322">
        <f t="shared" si="70"/>
        <v>28857</v>
      </c>
      <c r="AI37" s="322">
        <v>28857</v>
      </c>
      <c r="AJ37" s="322"/>
      <c r="AK37" s="322"/>
      <c r="AL37" s="322">
        <f t="shared" si="71"/>
        <v>28857</v>
      </c>
      <c r="AM37" s="322">
        <v>28857</v>
      </c>
      <c r="AN37" s="322"/>
      <c r="AO37" s="322"/>
      <c r="AP37" s="322">
        <f t="shared" si="72"/>
        <v>28857</v>
      </c>
    </row>
    <row r="38" spans="1:42" x14ac:dyDescent="0.25">
      <c r="A38" s="430"/>
      <c r="B38" s="321" t="s">
        <v>684</v>
      </c>
      <c r="C38" s="322">
        <f>'2.3.Önk kiad fel'!C202</f>
        <v>0</v>
      </c>
      <c r="D38" s="322">
        <f>'2.3.Önk kiad fel'!F202</f>
        <v>1369910</v>
      </c>
      <c r="E38" s="322">
        <v>0</v>
      </c>
      <c r="F38" s="322">
        <v>0</v>
      </c>
      <c r="G38" s="322">
        <f t="shared" si="0"/>
        <v>1369910</v>
      </c>
      <c r="H38" s="322">
        <f>'2.3.Önk kiad fel'!I202</f>
        <v>99193</v>
      </c>
      <c r="I38" s="322">
        <v>0</v>
      </c>
      <c r="J38" s="322">
        <v>0</v>
      </c>
      <c r="K38" s="322">
        <f t="shared" si="1"/>
        <v>99193</v>
      </c>
      <c r="L38" s="322">
        <f>'2.3.Önk kiad fel'!L202</f>
        <v>17987</v>
      </c>
      <c r="M38" s="322">
        <v>0</v>
      </c>
      <c r="N38" s="322">
        <v>0</v>
      </c>
      <c r="O38" s="322">
        <f t="shared" si="2"/>
        <v>17987</v>
      </c>
      <c r="P38" s="322"/>
      <c r="Q38" s="322">
        <f>'2.3.Önk kiad fel'!Q202</f>
        <v>174440</v>
      </c>
      <c r="R38" s="322">
        <f>'2.3.Önk kiad fel'!O202</f>
        <v>1477264</v>
      </c>
      <c r="S38" s="322">
        <f t="shared" si="3"/>
        <v>1651704</v>
      </c>
      <c r="T38" s="322">
        <f>'2.3.Önk kiad fel'!R202</f>
        <v>1895925</v>
      </c>
      <c r="U38" s="322">
        <v>0</v>
      </c>
      <c r="V38" s="322">
        <v>0</v>
      </c>
      <c r="W38" s="322">
        <f t="shared" si="4"/>
        <v>1895925</v>
      </c>
      <c r="AA38" s="322">
        <f>'2.3.Önk kiad fel'!S202</f>
        <v>1491546</v>
      </c>
      <c r="AB38" s="322">
        <v>0</v>
      </c>
      <c r="AC38" s="322">
        <v>0</v>
      </c>
      <c r="AD38" s="322">
        <f t="shared" si="5"/>
        <v>1491546</v>
      </c>
      <c r="AE38" s="322">
        <v>1550657</v>
      </c>
      <c r="AF38" s="322">
        <v>0</v>
      </c>
      <c r="AG38" s="322">
        <v>0</v>
      </c>
      <c r="AH38" s="322">
        <f t="shared" si="70"/>
        <v>1550657</v>
      </c>
      <c r="AI38" s="322">
        <v>1524154</v>
      </c>
      <c r="AJ38" s="322"/>
      <c r="AK38" s="322"/>
      <c r="AL38" s="322">
        <f t="shared" si="71"/>
        <v>1524154</v>
      </c>
      <c r="AM38" s="322">
        <v>778984</v>
      </c>
      <c r="AN38" s="322"/>
      <c r="AO38" s="322"/>
      <c r="AP38" s="322">
        <f t="shared" si="72"/>
        <v>778984</v>
      </c>
    </row>
    <row r="39" spans="1:42" x14ac:dyDescent="0.25">
      <c r="A39" s="430"/>
      <c r="B39" s="321" t="s">
        <v>685</v>
      </c>
      <c r="C39" s="322">
        <f>'2.3.Önk kiad fel'!C205</f>
        <v>0</v>
      </c>
      <c r="D39" s="322">
        <f>'2.3.Önk kiad fel'!F205</f>
        <v>0</v>
      </c>
      <c r="E39" s="322">
        <f>'2.3.Önk kiad fel'!E205</f>
        <v>0</v>
      </c>
      <c r="F39" s="322">
        <f>'2.3.Önk kiad fel'!F205</f>
        <v>0</v>
      </c>
      <c r="G39" s="322">
        <f t="shared" si="0"/>
        <v>0</v>
      </c>
      <c r="H39" s="322">
        <f>'2.3.Önk kiad fel'!I205</f>
        <v>0</v>
      </c>
      <c r="J39" s="322">
        <f>'2.3.Önk kiad fel'!I205</f>
        <v>0</v>
      </c>
      <c r="K39" s="322">
        <f>SUM(H39:J39)</f>
        <v>0</v>
      </c>
      <c r="L39" s="322">
        <f>'2.3.Önk kiad fel'!L205</f>
        <v>0</v>
      </c>
      <c r="N39" s="322">
        <f>'2.3.Önk kiad fel'!L205</f>
        <v>0</v>
      </c>
      <c r="O39" s="322">
        <f>SUM(L39:N39)</f>
        <v>0</v>
      </c>
      <c r="P39" s="322"/>
      <c r="R39" s="322">
        <f>'2.3.Önk kiad fel'!O205</f>
        <v>0</v>
      </c>
      <c r="S39" s="322">
        <f>SUM(P39:R39)</f>
        <v>0</v>
      </c>
      <c r="T39" s="322"/>
      <c r="V39" s="322">
        <f>'2.3.Önk kiad fel'!R205</f>
        <v>0</v>
      </c>
      <c r="W39" s="322">
        <f>SUM(T39:V39)</f>
        <v>0</v>
      </c>
      <c r="AA39" s="322">
        <f>'2.3.Önk kiad fel'!Z205</f>
        <v>0</v>
      </c>
      <c r="AC39" s="322">
        <f>'2.3.Önk kiad fel'!Z205</f>
        <v>0</v>
      </c>
      <c r="AD39" s="322">
        <f>SUM(AA39:AC39)</f>
        <v>0</v>
      </c>
      <c r="AE39" s="322">
        <v>0</v>
      </c>
      <c r="AG39" s="322">
        <v>0</v>
      </c>
      <c r="AH39" s="322">
        <f t="shared" si="70"/>
        <v>0</v>
      </c>
      <c r="AI39" s="322"/>
      <c r="AK39" s="322"/>
      <c r="AL39" s="322">
        <f t="shared" si="71"/>
        <v>0</v>
      </c>
      <c r="AM39" s="322">
        <v>0</v>
      </c>
      <c r="AO39" s="322"/>
      <c r="AP39" s="322">
        <f t="shared" si="72"/>
        <v>0</v>
      </c>
    </row>
    <row r="40" spans="1:42" x14ac:dyDescent="0.25">
      <c r="A40" s="430"/>
      <c r="B40" s="321" t="s">
        <v>686</v>
      </c>
      <c r="C40" s="322"/>
      <c r="D40" s="322"/>
      <c r="E40" s="322"/>
      <c r="F40" s="322"/>
      <c r="G40" s="322">
        <f t="shared" si="0"/>
        <v>0</v>
      </c>
      <c r="H40" s="322"/>
      <c r="I40" s="322"/>
      <c r="J40" s="322"/>
      <c r="K40" s="322">
        <f t="shared" si="1"/>
        <v>0</v>
      </c>
      <c r="L40" s="322"/>
      <c r="M40" s="322"/>
      <c r="N40" s="322"/>
      <c r="O40" s="322">
        <f t="shared" ref="O40:O44" si="73">SUM(L40:N40)</f>
        <v>0</v>
      </c>
      <c r="P40" s="322"/>
      <c r="Q40" s="322"/>
      <c r="R40" s="322"/>
      <c r="S40" s="322">
        <f t="shared" ref="S40:S44" si="74">SUM(P40:R40)</f>
        <v>0</v>
      </c>
      <c r="T40" s="322"/>
      <c r="U40" s="322"/>
      <c r="V40" s="322"/>
      <c r="W40" s="322">
        <f t="shared" ref="W40:W43" si="75">SUM(T40:V40)</f>
        <v>0</v>
      </c>
      <c r="AA40" s="322">
        <f>'2.3.Önk kiad fel'!S205</f>
        <v>2138</v>
      </c>
      <c r="AB40" s="322"/>
      <c r="AC40" s="322"/>
      <c r="AD40" s="322">
        <f t="shared" ref="AD40:AD44" si="76">SUM(AA40:AC40)</f>
        <v>2138</v>
      </c>
      <c r="AE40" s="322">
        <v>2138</v>
      </c>
      <c r="AF40" s="322"/>
      <c r="AG40" s="322"/>
      <c r="AH40" s="322">
        <f t="shared" si="70"/>
        <v>2138</v>
      </c>
      <c r="AI40" s="322">
        <v>2138</v>
      </c>
      <c r="AJ40" s="322"/>
      <c r="AK40" s="322"/>
      <c r="AL40" s="322">
        <f t="shared" si="71"/>
        <v>2138</v>
      </c>
      <c r="AM40" s="322">
        <v>989</v>
      </c>
      <c r="AN40" s="322"/>
      <c r="AO40" s="322"/>
      <c r="AP40" s="322">
        <f t="shared" si="72"/>
        <v>989</v>
      </c>
    </row>
    <row r="41" spans="1:42" x14ac:dyDescent="0.25">
      <c r="A41" s="617" t="s">
        <v>322</v>
      </c>
      <c r="B41" s="658" t="s">
        <v>595</v>
      </c>
      <c r="C41" s="625">
        <f t="shared" ref="C41:F41" si="77">C42+C43</f>
        <v>0</v>
      </c>
      <c r="D41" s="625">
        <f t="shared" si="77"/>
        <v>0</v>
      </c>
      <c r="E41" s="625">
        <f t="shared" si="77"/>
        <v>0</v>
      </c>
      <c r="F41" s="625">
        <f t="shared" si="77"/>
        <v>0</v>
      </c>
      <c r="G41" s="625">
        <f t="shared" si="0"/>
        <v>0</v>
      </c>
      <c r="H41" s="625">
        <f t="shared" ref="H41:J41" si="78">H42+H43</f>
        <v>0</v>
      </c>
      <c r="I41" s="625">
        <f t="shared" si="78"/>
        <v>0</v>
      </c>
      <c r="J41" s="625">
        <f t="shared" si="78"/>
        <v>0</v>
      </c>
      <c r="K41" s="625">
        <f t="shared" si="1"/>
        <v>0</v>
      </c>
      <c r="L41" s="625">
        <f t="shared" ref="L41:N41" si="79">L42+L43</f>
        <v>0</v>
      </c>
      <c r="M41" s="625">
        <f t="shared" si="79"/>
        <v>0</v>
      </c>
      <c r="N41" s="625">
        <f t="shared" si="79"/>
        <v>0</v>
      </c>
      <c r="O41" s="625">
        <f t="shared" si="73"/>
        <v>0</v>
      </c>
      <c r="P41" s="625">
        <f t="shared" ref="P41:R41" si="80">P42+P43</f>
        <v>0</v>
      </c>
      <c r="Q41" s="625">
        <f t="shared" si="80"/>
        <v>0</v>
      </c>
      <c r="R41" s="625">
        <f t="shared" si="80"/>
        <v>0</v>
      </c>
      <c r="S41" s="625">
        <f t="shared" si="74"/>
        <v>0</v>
      </c>
      <c r="T41" s="625">
        <f t="shared" ref="T41:V41" si="81">T42+T43</f>
        <v>0</v>
      </c>
      <c r="U41" s="625">
        <f t="shared" si="81"/>
        <v>0</v>
      </c>
      <c r="V41" s="625">
        <f t="shared" si="81"/>
        <v>0</v>
      </c>
      <c r="W41" s="625">
        <f t="shared" si="75"/>
        <v>0</v>
      </c>
      <c r="AA41" s="625">
        <f t="shared" ref="AA41:AC41" si="82">AA42+AA43</f>
        <v>0</v>
      </c>
      <c r="AB41" s="625">
        <f t="shared" si="82"/>
        <v>0</v>
      </c>
      <c r="AC41" s="625">
        <f t="shared" si="82"/>
        <v>0</v>
      </c>
      <c r="AD41" s="625">
        <f t="shared" si="76"/>
        <v>0</v>
      </c>
      <c r="AE41" s="625">
        <v>0</v>
      </c>
      <c r="AF41" s="625">
        <v>0</v>
      </c>
      <c r="AG41" s="625">
        <v>0</v>
      </c>
      <c r="AH41" s="625">
        <v>0</v>
      </c>
      <c r="AI41" s="625">
        <v>0</v>
      </c>
      <c r="AJ41" s="625">
        <v>0</v>
      </c>
      <c r="AK41" s="625">
        <v>0</v>
      </c>
      <c r="AL41" s="625">
        <v>0</v>
      </c>
      <c r="AM41" s="625">
        <v>0</v>
      </c>
      <c r="AN41" s="625">
        <v>0</v>
      </c>
      <c r="AO41" s="625">
        <v>0</v>
      </c>
      <c r="AP41" s="625">
        <v>0</v>
      </c>
    </row>
    <row r="42" spans="1:42" x14ac:dyDescent="0.25">
      <c r="A42" s="430"/>
      <c r="B42" s="321" t="s">
        <v>687</v>
      </c>
      <c r="C42" s="322"/>
      <c r="D42" s="322"/>
      <c r="E42" s="322"/>
      <c r="F42" s="322"/>
      <c r="G42" s="322">
        <f t="shared" si="0"/>
        <v>0</v>
      </c>
      <c r="H42" s="322"/>
      <c r="I42" s="322"/>
      <c r="J42" s="322"/>
      <c r="K42" s="322">
        <f t="shared" si="1"/>
        <v>0</v>
      </c>
      <c r="L42" s="322"/>
      <c r="M42" s="322"/>
      <c r="N42" s="322"/>
      <c r="O42" s="322">
        <f t="shared" si="73"/>
        <v>0</v>
      </c>
      <c r="P42" s="322"/>
      <c r="Q42" s="322"/>
      <c r="R42" s="322"/>
      <c r="S42" s="322">
        <f t="shared" si="74"/>
        <v>0</v>
      </c>
      <c r="T42" s="322"/>
      <c r="U42" s="322"/>
      <c r="V42" s="322"/>
      <c r="W42" s="322">
        <f t="shared" si="75"/>
        <v>0</v>
      </c>
      <c r="AA42" s="322"/>
      <c r="AB42" s="322"/>
      <c r="AC42" s="322"/>
      <c r="AD42" s="322">
        <f t="shared" si="76"/>
        <v>0</v>
      </c>
      <c r="AE42" s="322"/>
      <c r="AF42" s="322"/>
      <c r="AG42" s="322"/>
      <c r="AH42" s="322">
        <v>0</v>
      </c>
      <c r="AI42" s="322"/>
      <c r="AJ42" s="322"/>
      <c r="AK42" s="322"/>
      <c r="AL42" s="322">
        <v>0</v>
      </c>
      <c r="AM42" s="322"/>
      <c r="AN42" s="322"/>
      <c r="AO42" s="322"/>
      <c r="AP42" s="322">
        <v>0</v>
      </c>
    </row>
    <row r="43" spans="1:42" x14ac:dyDescent="0.25">
      <c r="A43" s="430"/>
      <c r="B43" s="321" t="s">
        <v>688</v>
      </c>
      <c r="C43" s="322"/>
      <c r="D43" s="322"/>
      <c r="E43" s="322"/>
      <c r="F43" s="322"/>
      <c r="G43" s="322">
        <f t="shared" si="0"/>
        <v>0</v>
      </c>
      <c r="H43" s="322"/>
      <c r="I43" s="322"/>
      <c r="J43" s="322"/>
      <c r="K43" s="322">
        <f t="shared" si="1"/>
        <v>0</v>
      </c>
      <c r="L43" s="322"/>
      <c r="M43" s="322"/>
      <c r="N43" s="322"/>
      <c r="O43" s="322">
        <f t="shared" si="73"/>
        <v>0</v>
      </c>
      <c r="P43" s="322"/>
      <c r="Q43" s="322"/>
      <c r="R43" s="322"/>
      <c r="S43" s="322">
        <f t="shared" si="74"/>
        <v>0</v>
      </c>
      <c r="T43" s="322"/>
      <c r="U43" s="322"/>
      <c r="V43" s="322"/>
      <c r="W43" s="322">
        <f t="shared" si="75"/>
        <v>0</v>
      </c>
      <c r="AA43" s="322"/>
      <c r="AB43" s="322"/>
      <c r="AC43" s="322"/>
      <c r="AD43" s="322">
        <f t="shared" si="76"/>
        <v>0</v>
      </c>
      <c r="AE43" s="322"/>
      <c r="AF43" s="322"/>
      <c r="AG43" s="322"/>
      <c r="AH43" s="322">
        <v>0</v>
      </c>
      <c r="AI43" s="322"/>
      <c r="AJ43" s="322"/>
      <c r="AK43" s="322"/>
      <c r="AL43" s="322">
        <v>0</v>
      </c>
      <c r="AM43" s="322"/>
      <c r="AN43" s="322"/>
      <c r="AO43" s="322"/>
      <c r="AP43" s="322">
        <v>0</v>
      </c>
    </row>
    <row r="44" spans="1:42" ht="15" customHeight="1" x14ac:dyDescent="0.25">
      <c r="A44" s="617"/>
      <c r="B44" s="624" t="s">
        <v>344</v>
      </c>
      <c r="C44" s="625" t="e">
        <f t="shared" ref="C44" si="83">C31+C30</f>
        <v>#REF!</v>
      </c>
      <c r="D44" s="625" t="e">
        <f t="shared" ref="D44:F44" si="84">D31+D30</f>
        <v>#REF!</v>
      </c>
      <c r="E44" s="625">
        <f t="shared" si="84"/>
        <v>57450</v>
      </c>
      <c r="F44" s="625">
        <f t="shared" si="84"/>
        <v>0</v>
      </c>
      <c r="G44" s="625" t="e">
        <f t="shared" si="0"/>
        <v>#REF!</v>
      </c>
      <c r="H44" s="625">
        <f t="shared" ref="H44:J44" si="85">H31+H30</f>
        <v>5978758</v>
      </c>
      <c r="I44" s="625">
        <f t="shared" si="85"/>
        <v>59530</v>
      </c>
      <c r="J44" s="625">
        <f t="shared" si="85"/>
        <v>0</v>
      </c>
      <c r="K44" s="625">
        <v>6645197</v>
      </c>
      <c r="L44" s="625">
        <f t="shared" ref="L44:N44" si="86">L31+L30</f>
        <v>6135177</v>
      </c>
      <c r="M44" s="625">
        <f t="shared" si="86"/>
        <v>52593</v>
      </c>
      <c r="N44" s="625">
        <f t="shared" si="86"/>
        <v>27555</v>
      </c>
      <c r="O44" s="625">
        <f t="shared" si="73"/>
        <v>6215325</v>
      </c>
      <c r="P44" s="625" t="e">
        <f t="shared" ref="P44:R44" si="87">P31+P30</f>
        <v>#REF!</v>
      </c>
      <c r="Q44" s="625">
        <f t="shared" si="87"/>
        <v>174440</v>
      </c>
      <c r="R44" s="625">
        <f t="shared" si="87"/>
        <v>1477264</v>
      </c>
      <c r="S44" s="625" t="e">
        <f t="shared" si="74"/>
        <v>#REF!</v>
      </c>
      <c r="T44" s="625">
        <f t="shared" ref="T44:V44" si="88">T31+T30</f>
        <v>2422706</v>
      </c>
      <c r="U44" s="625">
        <f t="shared" si="88"/>
        <v>19468</v>
      </c>
      <c r="V44" s="625">
        <f t="shared" si="88"/>
        <v>930643</v>
      </c>
      <c r="W44" s="625">
        <f>SUM(T44:V44)</f>
        <v>3372817</v>
      </c>
      <c r="AA44" s="625">
        <f t="shared" ref="AA44:AG44" si="89">AA31+AA30</f>
        <v>6947695</v>
      </c>
      <c r="AB44" s="625">
        <f t="shared" si="89"/>
        <v>71300</v>
      </c>
      <c r="AC44" s="625">
        <f t="shared" si="89"/>
        <v>0</v>
      </c>
      <c r="AD44" s="625">
        <f t="shared" si="76"/>
        <v>7018995</v>
      </c>
      <c r="AE44" s="625">
        <f t="shared" si="89"/>
        <v>8362566</v>
      </c>
      <c r="AF44" s="625">
        <f t="shared" si="89"/>
        <v>71300</v>
      </c>
      <c r="AG44" s="625">
        <f t="shared" si="89"/>
        <v>0</v>
      </c>
      <c r="AH44" s="625">
        <f>SUM(AE44:AG44)</f>
        <v>8433866</v>
      </c>
      <c r="AI44" s="625">
        <f t="shared" ref="AI44:AK44" si="90">AI31+AI30</f>
        <v>8695201</v>
      </c>
      <c r="AJ44" s="625">
        <f t="shared" si="90"/>
        <v>104051</v>
      </c>
      <c r="AK44" s="625">
        <f t="shared" si="90"/>
        <v>0</v>
      </c>
      <c r="AL44" s="625">
        <f>SUM(AI44:AK44)</f>
        <v>8799252</v>
      </c>
      <c r="AM44" s="625">
        <f t="shared" ref="AM44:AO44" si="91">AM31+AM30</f>
        <v>2361498</v>
      </c>
      <c r="AN44" s="625">
        <f t="shared" si="91"/>
        <v>28439</v>
      </c>
      <c r="AO44" s="625">
        <f t="shared" si="91"/>
        <v>0</v>
      </c>
      <c r="AP44" s="625">
        <f>SUM(AM44:AO44)</f>
        <v>2389937</v>
      </c>
    </row>
    <row r="45" spans="1:42" x14ac:dyDescent="0.25">
      <c r="C45" s="461"/>
      <c r="K45" s="435"/>
    </row>
    <row r="46" spans="1:42" x14ac:dyDescent="0.25">
      <c r="K46" s="435" t="e">
        <f>+J44-G44</f>
        <v>#REF!</v>
      </c>
      <c r="S46" s="435">
        <v>5913433</v>
      </c>
    </row>
    <row r="47" spans="1:42" x14ac:dyDescent="0.25">
      <c r="K47" s="435"/>
      <c r="S47" s="435" t="e">
        <f>+S44-S46</f>
        <v>#REF!</v>
      </c>
    </row>
    <row r="48" spans="1:42" x14ac:dyDescent="0.25">
      <c r="G48" s="435" t="e">
        <f t="shared" ref="G48:AD48" si="92">+G44-G38</f>
        <v>#REF!</v>
      </c>
      <c r="H48" s="435">
        <f t="shared" si="92"/>
        <v>5879565</v>
      </c>
      <c r="I48" s="435">
        <f t="shared" si="92"/>
        <v>59530</v>
      </c>
      <c r="J48" s="435">
        <f t="shared" si="92"/>
        <v>0</v>
      </c>
      <c r="K48" s="435">
        <f t="shared" si="92"/>
        <v>6546004</v>
      </c>
      <c r="L48" s="435">
        <f t="shared" si="92"/>
        <v>6117190</v>
      </c>
      <c r="M48" s="435">
        <f t="shared" si="92"/>
        <v>52593</v>
      </c>
      <c r="N48" s="435">
        <f t="shared" si="92"/>
        <v>27555</v>
      </c>
      <c r="O48" s="435">
        <f t="shared" si="92"/>
        <v>6197338</v>
      </c>
      <c r="P48" s="435" t="e">
        <f t="shared" si="92"/>
        <v>#REF!</v>
      </c>
      <c r="Q48" s="435">
        <f t="shared" si="92"/>
        <v>0</v>
      </c>
      <c r="R48" s="435">
        <f t="shared" si="92"/>
        <v>0</v>
      </c>
      <c r="S48" s="435" t="e">
        <f t="shared" si="92"/>
        <v>#REF!</v>
      </c>
      <c r="T48" s="435">
        <f t="shared" si="92"/>
        <v>526781</v>
      </c>
      <c r="U48" s="435">
        <f t="shared" si="92"/>
        <v>19468</v>
      </c>
      <c r="V48" s="435">
        <f t="shared" si="92"/>
        <v>930643</v>
      </c>
      <c r="W48" s="435">
        <f t="shared" si="92"/>
        <v>1476892</v>
      </c>
      <c r="X48" s="435">
        <f t="shared" si="92"/>
        <v>0</v>
      </c>
      <c r="Y48" s="435">
        <f t="shared" si="92"/>
        <v>0</v>
      </c>
      <c r="Z48" s="435">
        <f t="shared" si="92"/>
        <v>0</v>
      </c>
      <c r="AA48" s="435">
        <f t="shared" si="92"/>
        <v>5456149</v>
      </c>
      <c r="AB48" s="435">
        <f t="shared" si="92"/>
        <v>71300</v>
      </c>
      <c r="AC48" s="435">
        <f t="shared" si="92"/>
        <v>0</v>
      </c>
      <c r="AD48" s="435">
        <f t="shared" si="92"/>
        <v>5527449</v>
      </c>
    </row>
    <row r="50" spans="18:23" x14ac:dyDescent="0.25">
      <c r="S50" s="246">
        <v>6071999</v>
      </c>
      <c r="W50" s="435"/>
    </row>
    <row r="51" spans="18:23" x14ac:dyDescent="0.25">
      <c r="R51" s="246">
        <v>589698</v>
      </c>
      <c r="S51" s="435" t="e">
        <f>+S50-S44</f>
        <v>#REF!</v>
      </c>
    </row>
    <row r="52" spans="18:23" x14ac:dyDescent="0.25">
      <c r="R52" s="435">
        <f>+S10-R51</f>
        <v>-437370</v>
      </c>
    </row>
    <row r="55" spans="18:23" x14ac:dyDescent="0.25">
      <c r="S55" s="246">
        <v>5980721</v>
      </c>
    </row>
    <row r="56" spans="18:23" x14ac:dyDescent="0.25">
      <c r="S56" s="435" t="e">
        <f>+S55-S44</f>
        <v>#REF!</v>
      </c>
    </row>
    <row r="58" spans="18:23" x14ac:dyDescent="0.25">
      <c r="S58" s="435"/>
    </row>
  </sheetData>
  <customSheetViews>
    <customSheetView guid="{7F1DC213-A29D-4C8C-BAC3-F1BD898020FD}" scale="80" hiddenRows="1" hiddenColumns="1">
      <pane xSplit="2" ySplit="4" topLeftCell="D26" activePane="bottomRight" state="frozen"/>
      <selection pane="bottomRight" activeCell="AE39" sqref="AE39"/>
      <pageMargins left="0.19685039370078741" right="0.19685039370078741" top="1.1023622047244095" bottom="0.15748031496062992" header="0.39370078740157483" footer="0.23622047244094491"/>
      <printOptions horizontalCentered="1"/>
      <pageSetup paperSize="9" scale="55" fitToWidth="0" fitToHeight="0" orientation="portrait" copies="4" r:id="rId1"/>
      <headerFooter>
        <oddHeader>&amp;L2.2. melléklet a ...../2019. (......) önkormányzati rendelethez&amp;C&amp;"-,Félkövér"&amp;16Az Önkormányzat 2019. évi kiadásai jogcímenként és feladatonként&amp;RAdatok ezer forintban</oddHeader>
      </headerFooter>
    </customSheetView>
    <customSheetView guid="{4DCB1349-1166-4B69-AE14-D6B08F9FCE74}" scale="80" hiddenRows="1" hiddenColumns="1">
      <pane xSplit="2" ySplit="4" topLeftCell="D26" activePane="bottomRight" state="frozen"/>
      <selection pane="bottomRight" activeCell="AE39" sqref="AE39"/>
      <pageMargins left="0.19685039370078741" right="0.19685039370078741" top="1.1023622047244095" bottom="0.15748031496062992" header="0.39370078740157483" footer="0.23622047244094491"/>
      <printOptions horizontalCentered="1"/>
      <pageSetup paperSize="9" scale="55" fitToWidth="0" fitToHeight="0" orientation="portrait" copies="4" r:id="rId2"/>
      <headerFooter>
        <oddHeader>&amp;L2.2. melléklet a ...../2019. (......) önkormányzati rendelethez&amp;C&amp;"-,Félkövér"&amp;16Az Önkormányzat 2019. évi kiadásai jogcímenként és feladatonként&amp;RAdatok ezer forintban</oddHeader>
      </headerFooter>
    </customSheetView>
  </customSheetViews>
  <mergeCells count="11">
    <mergeCell ref="AI3:AL3"/>
    <mergeCell ref="AM3:AP3"/>
    <mergeCell ref="A3:A4"/>
    <mergeCell ref="B3:B4"/>
    <mergeCell ref="D3:G3"/>
    <mergeCell ref="H3:K3"/>
    <mergeCell ref="AE3:AH3"/>
    <mergeCell ref="AA3:AD3"/>
    <mergeCell ref="P3:S3"/>
    <mergeCell ref="T3:W3"/>
    <mergeCell ref="L3:O3"/>
  </mergeCells>
  <printOptions horizontalCentered="1"/>
  <pageMargins left="0.19685039370078741" right="0.19685039370078741" top="1.1023622047244095" bottom="0.15748031496062992" header="0.39370078740157483" footer="0.23622047244094491"/>
  <pageSetup paperSize="9" scale="65" fitToWidth="0" fitToHeight="0" orientation="landscape" copies="4" r:id="rId3"/>
  <headerFooter>
    <oddHeader>&amp;L2.2. melléklet a 3/2019. (II.20.) önkormányzati rendelethez&amp;C&amp;"-,Félkövér"&amp;16Az Önkormányzat 2019. évi kiadásai jogcímenként és feladatonként&amp;RAdatok ezer forintban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C226"/>
  <sheetViews>
    <sheetView view="pageLayout" zoomScaleNormal="100" zoomScaleSheetLayoutView="75" workbookViewId="0">
      <selection sqref="A1:U1"/>
    </sheetView>
  </sheetViews>
  <sheetFormatPr defaultRowHeight="15" x14ac:dyDescent="0.25"/>
  <cols>
    <col min="1" max="1" width="6.140625" style="354" customWidth="1"/>
    <col min="2" max="2" width="59.28515625" style="355" customWidth="1"/>
    <col min="3" max="3" width="10.5703125" style="356" hidden="1" customWidth="1"/>
    <col min="4" max="5" width="10.85546875" style="358" hidden="1" customWidth="1"/>
    <col min="6" max="6" width="17" style="427" hidden="1" customWidth="1"/>
    <col min="7" max="8" width="10.85546875" style="427" hidden="1" customWidth="1"/>
    <col min="9" max="9" width="16.140625" style="427" hidden="1" customWidth="1"/>
    <col min="10" max="11" width="10" style="359" hidden="1" customWidth="1"/>
    <col min="12" max="12" width="15.140625" style="359" hidden="1" customWidth="1"/>
    <col min="13" max="17" width="10" style="359" hidden="1" customWidth="1"/>
    <col min="18" max="18" width="13.5703125" style="359" hidden="1" customWidth="1"/>
    <col min="19" max="19" width="19.85546875" style="356" customWidth="1"/>
    <col min="20" max="20" width="19.140625" style="359" customWidth="1"/>
    <col min="21" max="21" width="18" style="359" customWidth="1"/>
    <col min="22" max="22" width="14.85546875" style="359" hidden="1" customWidth="1"/>
    <col min="23" max="16384" width="9.140625" style="359"/>
  </cols>
  <sheetData>
    <row r="1" spans="1:29" x14ac:dyDescent="0.25">
      <c r="A1" s="367" t="s">
        <v>1375</v>
      </c>
      <c r="B1" s="848" t="s">
        <v>1365</v>
      </c>
      <c r="C1" s="745"/>
      <c r="D1" s="849"/>
      <c r="E1" s="849"/>
      <c r="F1" s="850" t="s">
        <v>1366</v>
      </c>
      <c r="G1" s="851"/>
      <c r="H1" s="851"/>
      <c r="I1" s="744" t="s">
        <v>1376</v>
      </c>
      <c r="J1" s="852"/>
      <c r="K1" s="853"/>
      <c r="L1" s="745" t="s">
        <v>1377</v>
      </c>
      <c r="M1" s="852"/>
      <c r="N1" s="852"/>
      <c r="O1" s="745" t="s">
        <v>302</v>
      </c>
      <c r="P1" s="852"/>
      <c r="Q1" s="852"/>
      <c r="R1" s="745" t="s">
        <v>1377</v>
      </c>
      <c r="S1" s="745" t="s">
        <v>1366</v>
      </c>
      <c r="T1" s="852" t="s">
        <v>1376</v>
      </c>
      <c r="U1" s="852" t="s">
        <v>1377</v>
      </c>
      <c r="V1" s="852"/>
    </row>
    <row r="2" spans="1:29" ht="27.75" customHeight="1" x14ac:dyDescent="0.25">
      <c r="A2" s="928" t="s">
        <v>545</v>
      </c>
      <c r="B2" s="930" t="s">
        <v>306</v>
      </c>
      <c r="C2" s="933" t="s">
        <v>345</v>
      </c>
      <c r="D2" s="935" t="s">
        <v>1242</v>
      </c>
      <c r="E2" s="935" t="s">
        <v>1217</v>
      </c>
      <c r="F2" s="885" t="s">
        <v>1214</v>
      </c>
      <c r="G2" s="885"/>
      <c r="H2" s="885"/>
      <c r="I2" s="885"/>
      <c r="J2" s="885"/>
      <c r="K2" s="885"/>
      <c r="L2" s="885"/>
      <c r="M2" s="885"/>
      <c r="N2" s="885"/>
      <c r="O2" s="885"/>
      <c r="P2" s="885"/>
      <c r="Q2" s="885"/>
      <c r="R2" s="885"/>
      <c r="S2" s="920" t="s">
        <v>345</v>
      </c>
      <c r="T2" s="921"/>
      <c r="U2" s="921"/>
      <c r="V2" s="922"/>
    </row>
    <row r="3" spans="1:29" s="44" customFormat="1" ht="20.25" customHeight="1" x14ac:dyDescent="0.25">
      <c r="A3" s="929"/>
      <c r="B3" s="931"/>
      <c r="C3" s="934"/>
      <c r="D3" s="936"/>
      <c r="E3" s="93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923"/>
      <c r="T3" s="924"/>
      <c r="U3" s="924"/>
      <c r="V3" s="925"/>
      <c r="Z3" s="870"/>
      <c r="AA3" s="870"/>
      <c r="AB3" s="870"/>
      <c r="AC3" s="870"/>
    </row>
    <row r="4" spans="1:29" s="44" customFormat="1" ht="51.75" customHeight="1" x14ac:dyDescent="0.25">
      <c r="A4" s="927"/>
      <c r="B4" s="932"/>
      <c r="C4" s="825" t="s">
        <v>1187</v>
      </c>
      <c r="D4" s="926" t="s">
        <v>1368</v>
      </c>
      <c r="E4" s="927"/>
      <c r="F4" s="927"/>
      <c r="G4" s="926" t="s">
        <v>1393</v>
      </c>
      <c r="H4" s="927"/>
      <c r="I4" s="927"/>
      <c r="J4" s="926" t="s">
        <v>1394</v>
      </c>
      <c r="K4" s="927"/>
      <c r="L4" s="927"/>
      <c r="M4" s="926" t="s">
        <v>1246</v>
      </c>
      <c r="N4" s="927"/>
      <c r="O4" s="927"/>
      <c r="P4" s="926" t="s">
        <v>1387</v>
      </c>
      <c r="Q4" s="926"/>
      <c r="R4" s="926"/>
      <c r="S4" s="616" t="s">
        <v>1415</v>
      </c>
      <c r="T4" s="858" t="s">
        <v>1460</v>
      </c>
      <c r="U4" s="884" t="s">
        <v>1461</v>
      </c>
      <c r="V4" s="884" t="s">
        <v>1456</v>
      </c>
      <c r="Z4" s="870"/>
      <c r="AA4" s="870"/>
      <c r="AB4" s="870"/>
      <c r="AC4" s="870"/>
    </row>
    <row r="5" spans="1:29" s="44" customFormat="1" x14ac:dyDescent="0.25">
      <c r="A5" s="661" t="s">
        <v>311</v>
      </c>
      <c r="B5" s="662" t="s">
        <v>692</v>
      </c>
      <c r="C5" s="663">
        <f>C6+C75+C201</f>
        <v>0</v>
      </c>
      <c r="D5" s="664"/>
      <c r="E5" s="664"/>
      <c r="F5" s="665">
        <f>F6+F75+F201</f>
        <v>6441496</v>
      </c>
      <c r="G5" s="666"/>
      <c r="H5" s="666"/>
      <c r="I5" s="665">
        <f t="shared" ref="I5:T5" si="0">I6+I75+I201</f>
        <v>6036506</v>
      </c>
      <c r="J5" s="665">
        <f t="shared" si="0"/>
        <v>0</v>
      </c>
      <c r="K5" s="665">
        <f t="shared" si="0"/>
        <v>0</v>
      </c>
      <c r="L5" s="665">
        <f t="shared" si="0"/>
        <v>6215325</v>
      </c>
      <c r="M5" s="665">
        <f t="shared" si="0"/>
        <v>-7922</v>
      </c>
      <c r="N5" s="665">
        <f t="shared" si="0"/>
        <v>-7922</v>
      </c>
      <c r="O5" s="665">
        <f t="shared" si="0"/>
        <v>1469342</v>
      </c>
      <c r="P5" s="665">
        <f t="shared" si="0"/>
        <v>-7922</v>
      </c>
      <c r="Q5" s="665">
        <f t="shared" si="0"/>
        <v>-7922</v>
      </c>
      <c r="R5" s="665">
        <f t="shared" si="0"/>
        <v>2434252</v>
      </c>
      <c r="S5" s="665">
        <f t="shared" si="0"/>
        <v>7018995</v>
      </c>
      <c r="T5" s="665">
        <f t="shared" si="0"/>
        <v>8433865</v>
      </c>
      <c r="U5" s="665">
        <f t="shared" ref="U5" si="1">U6+U75+U201</f>
        <v>8799252</v>
      </c>
      <c r="V5" s="665">
        <f t="shared" ref="V5" si="2">V6+V75+V201</f>
        <v>2389937</v>
      </c>
    </row>
    <row r="6" spans="1:29" x14ac:dyDescent="0.25">
      <c r="A6" s="307" t="s">
        <v>309</v>
      </c>
      <c r="B6" s="360" t="s">
        <v>348</v>
      </c>
      <c r="C6" s="361">
        <f t="shared" ref="C6:K6" si="3">C7+C21+C23+C27+C29+C43+C47+C50+C55+C58+C65+C67+C69+C31</f>
        <v>0</v>
      </c>
      <c r="D6" s="362">
        <f t="shared" si="3"/>
        <v>0</v>
      </c>
      <c r="E6" s="362">
        <f t="shared" si="3"/>
        <v>0</v>
      </c>
      <c r="F6" s="417">
        <f t="shared" si="3"/>
        <v>4978896</v>
      </c>
      <c r="G6" s="417">
        <f t="shared" si="3"/>
        <v>4918062</v>
      </c>
      <c r="H6" s="417">
        <f t="shared" si="3"/>
        <v>4918065</v>
      </c>
      <c r="I6" s="417">
        <f t="shared" si="3"/>
        <v>5842543</v>
      </c>
      <c r="J6" s="417">
        <f t="shared" si="3"/>
        <v>0</v>
      </c>
      <c r="K6" s="417">
        <f t="shared" si="3"/>
        <v>0</v>
      </c>
      <c r="L6" s="417">
        <f t="shared" ref="L6:R6" si="4">L7+L21+L23+L27+L29+L43+L47+L50+L55+L58+L65+L67+L69+L31+1003</f>
        <v>6081950</v>
      </c>
      <c r="M6" s="417">
        <f t="shared" si="4"/>
        <v>1003</v>
      </c>
      <c r="N6" s="417">
        <f t="shared" si="4"/>
        <v>1003</v>
      </c>
      <c r="O6" s="417">
        <f t="shared" si="4"/>
        <v>1003</v>
      </c>
      <c r="P6" s="417">
        <f t="shared" si="4"/>
        <v>1003</v>
      </c>
      <c r="Q6" s="417">
        <f t="shared" si="4"/>
        <v>1003</v>
      </c>
      <c r="R6" s="417">
        <f t="shared" si="4"/>
        <v>518974</v>
      </c>
      <c r="S6" s="417">
        <f>S7+S21+S23+S27+S29+S43+S47+S50+S55+S58+S65+S67+S69+S31</f>
        <v>5396151</v>
      </c>
      <c r="T6" s="417">
        <f>T7+T21+T23+T27+T29+T43+T47+T50+T55+T58+T65+T67+T69+T31</f>
        <v>6715284</v>
      </c>
      <c r="U6" s="417">
        <f>U7+U21+U23+U27+U29+U43+U47+U50+U55+U58+U65+U67+U69+U31</f>
        <v>7074422</v>
      </c>
      <c r="V6" s="417">
        <f>V7+V21+V23+V27+V29+V43+V47+V50+V55+V58+V65+V67+V69+V31</f>
        <v>1527278</v>
      </c>
    </row>
    <row r="7" spans="1:29" s="523" customFormat="1" x14ac:dyDescent="0.25">
      <c r="A7" s="518" t="s">
        <v>311</v>
      </c>
      <c r="B7" s="373" t="s">
        <v>1013</v>
      </c>
      <c r="C7" s="520">
        <f>SUM(C8:C11)</f>
        <v>0</v>
      </c>
      <c r="D7" s="521"/>
      <c r="E7" s="521"/>
      <c r="F7" s="516">
        <f>SUM(F8:F11)</f>
        <v>158711</v>
      </c>
      <c r="G7" s="516">
        <f t="shared" ref="G7:I7" si="5">SUM(G8:G11)</f>
        <v>158711</v>
      </c>
      <c r="H7" s="516">
        <f t="shared" si="5"/>
        <v>158711</v>
      </c>
      <c r="I7" s="516">
        <f t="shared" si="5"/>
        <v>157077</v>
      </c>
      <c r="J7" s="522"/>
      <c r="K7" s="522"/>
      <c r="L7" s="516">
        <f t="shared" ref="L7:R7" si="6">+L8+L9+L10+L11+L13</f>
        <v>164545</v>
      </c>
      <c r="M7" s="516">
        <f t="shared" si="6"/>
        <v>0</v>
      </c>
      <c r="N7" s="516">
        <f t="shared" si="6"/>
        <v>0</v>
      </c>
      <c r="O7" s="516">
        <f t="shared" si="6"/>
        <v>0</v>
      </c>
      <c r="P7" s="516">
        <f t="shared" si="6"/>
        <v>0</v>
      </c>
      <c r="Q7" s="516">
        <f t="shared" si="6"/>
        <v>0</v>
      </c>
      <c r="R7" s="516">
        <f t="shared" si="6"/>
        <v>36828</v>
      </c>
      <c r="S7" s="516">
        <f>+S8+S9+S10+S11+S13+S20</f>
        <v>190282</v>
      </c>
      <c r="T7" s="516">
        <f>+T8+T9+T10+T11+T13+T20</f>
        <v>211966</v>
      </c>
      <c r="U7" s="516">
        <f>+U8+U9+U10+U11+U13+U20</f>
        <v>210309</v>
      </c>
      <c r="V7" s="516">
        <f>+V8+V9+V10+V11+V13+V20</f>
        <v>139214</v>
      </c>
    </row>
    <row r="8" spans="1:29" s="523" customFormat="1" x14ac:dyDescent="0.25">
      <c r="A8" s="524"/>
      <c r="B8" s="525" t="s">
        <v>286</v>
      </c>
      <c r="C8" s="526"/>
      <c r="D8" s="527"/>
      <c r="E8" s="527"/>
      <c r="F8" s="463">
        <v>50976</v>
      </c>
      <c r="G8" s="463">
        <v>50976</v>
      </c>
      <c r="H8" s="463">
        <v>50976</v>
      </c>
      <c r="I8" s="463">
        <v>51509</v>
      </c>
      <c r="J8" s="464"/>
      <c r="K8" s="464"/>
      <c r="L8" s="463">
        <v>50976</v>
      </c>
      <c r="M8" s="464"/>
      <c r="N8" s="464"/>
      <c r="O8" s="463"/>
      <c r="P8" s="464"/>
      <c r="Q8" s="464"/>
      <c r="R8" s="463">
        <v>17509</v>
      </c>
      <c r="S8" s="526">
        <v>53414</v>
      </c>
      <c r="T8" s="526">
        <v>52674</v>
      </c>
      <c r="U8" s="526">
        <v>54174</v>
      </c>
      <c r="V8" s="526">
        <v>25944</v>
      </c>
      <c r="X8" s="805"/>
    </row>
    <row r="9" spans="1:29" s="523" customFormat="1" x14ac:dyDescent="0.25">
      <c r="A9" s="524"/>
      <c r="B9" s="525" t="s">
        <v>287</v>
      </c>
      <c r="C9" s="526"/>
      <c r="D9" s="527"/>
      <c r="E9" s="527"/>
      <c r="F9" s="463">
        <v>9265</v>
      </c>
      <c r="G9" s="463">
        <v>9265</v>
      </c>
      <c r="H9" s="463">
        <v>9265</v>
      </c>
      <c r="I9" s="463">
        <v>9381</v>
      </c>
      <c r="J9" s="464"/>
      <c r="K9" s="464"/>
      <c r="L9" s="463">
        <v>9265</v>
      </c>
      <c r="M9" s="464"/>
      <c r="N9" s="464"/>
      <c r="O9" s="463"/>
      <c r="P9" s="464"/>
      <c r="Q9" s="464"/>
      <c r="R9" s="463">
        <v>3332</v>
      </c>
      <c r="S9" s="526">
        <v>15118</v>
      </c>
      <c r="T9" s="526">
        <v>14549</v>
      </c>
      <c r="U9" s="526">
        <v>14549</v>
      </c>
      <c r="V9" s="526">
        <v>4744</v>
      </c>
      <c r="X9" s="805"/>
    </row>
    <row r="10" spans="1:29" s="523" customFormat="1" x14ac:dyDescent="0.25">
      <c r="A10" s="524"/>
      <c r="B10" s="525" t="s">
        <v>292</v>
      </c>
      <c r="C10" s="526"/>
      <c r="D10" s="527"/>
      <c r="E10" s="527"/>
      <c r="F10" s="463">
        <v>90650</v>
      </c>
      <c r="G10" s="463">
        <v>90650</v>
      </c>
      <c r="H10" s="463">
        <v>90650</v>
      </c>
      <c r="I10" s="463">
        <v>90650</v>
      </c>
      <c r="J10" s="464"/>
      <c r="K10" s="464"/>
      <c r="L10" s="463">
        <v>99148</v>
      </c>
      <c r="M10" s="464"/>
      <c r="N10" s="464"/>
      <c r="O10" s="463"/>
      <c r="P10" s="464"/>
      <c r="Q10" s="464"/>
      <c r="R10" s="463">
        <v>12830</v>
      </c>
      <c r="S10" s="526">
        <v>90650</v>
      </c>
      <c r="T10" s="526">
        <v>108643</v>
      </c>
      <c r="U10" s="526">
        <v>99024</v>
      </c>
      <c r="V10" s="526">
        <v>80941</v>
      </c>
      <c r="X10" s="805"/>
      <c r="AA10" s="805"/>
    </row>
    <row r="11" spans="1:29" s="523" customFormat="1" x14ac:dyDescent="0.25">
      <c r="A11" s="730"/>
      <c r="B11" s="558" t="s">
        <v>1322</v>
      </c>
      <c r="C11" s="789"/>
      <c r="D11" s="559"/>
      <c r="E11" s="559"/>
      <c r="F11" s="560">
        <v>7820</v>
      </c>
      <c r="G11" s="560">
        <v>7820</v>
      </c>
      <c r="H11" s="560">
        <v>7820</v>
      </c>
      <c r="I11" s="560">
        <f t="shared" ref="I11:S11" si="7">SUM(I12:I12)</f>
        <v>5537</v>
      </c>
      <c r="J11" s="560">
        <f t="shared" si="7"/>
        <v>0</v>
      </c>
      <c r="K11" s="560">
        <f t="shared" si="7"/>
        <v>0</v>
      </c>
      <c r="L11" s="560">
        <f t="shared" si="7"/>
        <v>43</v>
      </c>
      <c r="M11" s="560">
        <f t="shared" si="7"/>
        <v>0</v>
      </c>
      <c r="N11" s="560">
        <f t="shared" si="7"/>
        <v>0</v>
      </c>
      <c r="O11" s="560">
        <f t="shared" si="7"/>
        <v>0</v>
      </c>
      <c r="P11" s="560">
        <f t="shared" si="7"/>
        <v>0</v>
      </c>
      <c r="Q11" s="560">
        <f t="shared" si="7"/>
        <v>0</v>
      </c>
      <c r="R11" s="560">
        <f t="shared" si="7"/>
        <v>3157</v>
      </c>
      <c r="S11" s="560">
        <f t="shared" si="7"/>
        <v>0</v>
      </c>
      <c r="T11" s="560">
        <v>0</v>
      </c>
      <c r="U11" s="560"/>
      <c r="V11" s="560"/>
    </row>
    <row r="12" spans="1:29" s="523" customFormat="1" x14ac:dyDescent="0.25">
      <c r="A12" s="730"/>
      <c r="B12" s="525" t="s">
        <v>1372</v>
      </c>
      <c r="C12" s="731"/>
      <c r="D12" s="527"/>
      <c r="E12" s="527"/>
      <c r="F12" s="463">
        <v>0</v>
      </c>
      <c r="G12" s="463"/>
      <c r="H12" s="463"/>
      <c r="I12" s="463">
        <v>5537</v>
      </c>
      <c r="J12" s="464"/>
      <c r="K12" s="464"/>
      <c r="L12" s="463">
        <v>43</v>
      </c>
      <c r="M12" s="464"/>
      <c r="N12" s="464"/>
      <c r="O12" s="463"/>
      <c r="P12" s="464"/>
      <c r="Q12" s="464"/>
      <c r="R12" s="463">
        <v>3157</v>
      </c>
      <c r="S12" s="526">
        <v>0</v>
      </c>
      <c r="T12" s="526">
        <v>0</v>
      </c>
      <c r="U12" s="526"/>
      <c r="V12" s="526"/>
    </row>
    <row r="13" spans="1:29" s="523" customFormat="1" x14ac:dyDescent="0.25">
      <c r="A13" s="730"/>
      <c r="B13" s="788" t="s">
        <v>1400</v>
      </c>
      <c r="C13" s="731"/>
      <c r="D13" s="527"/>
      <c r="E13" s="527"/>
      <c r="F13" s="463"/>
      <c r="G13" s="463"/>
      <c r="H13" s="463"/>
      <c r="I13" s="463">
        <f>+I14</f>
        <v>0</v>
      </c>
      <c r="J13" s="464"/>
      <c r="K13" s="464"/>
      <c r="L13" s="463">
        <f>+L14</f>
        <v>5113</v>
      </c>
      <c r="M13" s="463">
        <f t="shared" ref="M13:R13" si="8">+M14</f>
        <v>0</v>
      </c>
      <c r="N13" s="463">
        <f t="shared" si="8"/>
        <v>0</v>
      </c>
      <c r="O13" s="463">
        <f t="shared" si="8"/>
        <v>0</v>
      </c>
      <c r="P13" s="463">
        <f t="shared" si="8"/>
        <v>0</v>
      </c>
      <c r="Q13" s="463">
        <f t="shared" si="8"/>
        <v>0</v>
      </c>
      <c r="R13" s="463">
        <f t="shared" si="8"/>
        <v>0</v>
      </c>
      <c r="S13" s="463">
        <f>+S14</f>
        <v>31100</v>
      </c>
      <c r="T13" s="463">
        <v>36100</v>
      </c>
      <c r="U13" s="463">
        <v>36100</v>
      </c>
      <c r="V13" s="463">
        <f>+V14</f>
        <v>27585</v>
      </c>
    </row>
    <row r="14" spans="1:29" s="523" customFormat="1" x14ac:dyDescent="0.25">
      <c r="A14" s="730"/>
      <c r="B14" s="525" t="s">
        <v>1372</v>
      </c>
      <c r="C14" s="731"/>
      <c r="D14" s="527"/>
      <c r="E14" s="527"/>
      <c r="F14" s="463"/>
      <c r="G14" s="463"/>
      <c r="H14" s="463"/>
      <c r="I14" s="463">
        <v>0</v>
      </c>
      <c r="J14" s="464"/>
      <c r="K14" s="464"/>
      <c r="L14" s="463">
        <v>5113</v>
      </c>
      <c r="M14" s="464"/>
      <c r="N14" s="464"/>
      <c r="O14" s="463"/>
      <c r="P14" s="464"/>
      <c r="Q14" s="464"/>
      <c r="R14" s="463"/>
      <c r="S14" s="526">
        <f>SUM(S15:S18)</f>
        <v>31100</v>
      </c>
      <c r="T14" s="526">
        <f>SUM(T15:T19)</f>
        <v>36100</v>
      </c>
      <c r="U14" s="526">
        <f>SUM(U15:U19)</f>
        <v>36100</v>
      </c>
      <c r="V14" s="526">
        <f>SUM(V15:V19)</f>
        <v>27585</v>
      </c>
    </row>
    <row r="15" spans="1:29" s="523" customFormat="1" x14ac:dyDescent="0.25">
      <c r="A15" s="730"/>
      <c r="B15" s="823" t="s">
        <v>1441</v>
      </c>
      <c r="C15" s="731"/>
      <c r="D15" s="527"/>
      <c r="E15" s="527"/>
      <c r="F15" s="463"/>
      <c r="G15" s="463"/>
      <c r="H15" s="463"/>
      <c r="I15" s="463"/>
      <c r="J15" s="464"/>
      <c r="K15" s="464"/>
      <c r="L15" s="463"/>
      <c r="M15" s="464"/>
      <c r="N15" s="464"/>
      <c r="O15" s="463"/>
      <c r="P15" s="464"/>
      <c r="Q15" s="464"/>
      <c r="R15" s="463"/>
      <c r="S15" s="526">
        <v>4000</v>
      </c>
      <c r="T15" s="526">
        <v>4000</v>
      </c>
      <c r="U15" s="526">
        <v>4000</v>
      </c>
      <c r="V15" s="526">
        <v>0</v>
      </c>
    </row>
    <row r="16" spans="1:29" s="523" customFormat="1" x14ac:dyDescent="0.25">
      <c r="A16" s="730"/>
      <c r="B16" s="823" t="s">
        <v>1442</v>
      </c>
      <c r="C16" s="731"/>
      <c r="D16" s="527"/>
      <c r="E16" s="527"/>
      <c r="F16" s="463"/>
      <c r="G16" s="463"/>
      <c r="H16" s="463"/>
      <c r="I16" s="463"/>
      <c r="J16" s="464"/>
      <c r="K16" s="464"/>
      <c r="L16" s="463"/>
      <c r="M16" s="464"/>
      <c r="N16" s="464"/>
      <c r="O16" s="463"/>
      <c r="P16" s="464"/>
      <c r="Q16" s="464"/>
      <c r="R16" s="463"/>
      <c r="S16" s="526">
        <v>22100</v>
      </c>
      <c r="T16" s="526">
        <v>22100</v>
      </c>
      <c r="U16" s="526">
        <v>22100</v>
      </c>
      <c r="V16" s="526">
        <v>22585</v>
      </c>
    </row>
    <row r="17" spans="1:22" s="523" customFormat="1" ht="15" hidden="1" customHeight="1" x14ac:dyDescent="0.25">
      <c r="A17" s="730"/>
      <c r="B17" s="823" t="s">
        <v>1421</v>
      </c>
      <c r="C17" s="731"/>
      <c r="D17" s="527"/>
      <c r="E17" s="527"/>
      <c r="F17" s="463"/>
      <c r="G17" s="463"/>
      <c r="H17" s="463"/>
      <c r="I17" s="463"/>
      <c r="J17" s="464"/>
      <c r="K17" s="464"/>
      <c r="L17" s="463"/>
      <c r="M17" s="464"/>
      <c r="N17" s="464"/>
      <c r="O17" s="463"/>
      <c r="P17" s="464"/>
      <c r="Q17" s="464"/>
      <c r="R17" s="463"/>
      <c r="S17" s="526">
        <v>0</v>
      </c>
      <c r="T17" s="526">
        <v>0</v>
      </c>
      <c r="U17" s="526">
        <v>0</v>
      </c>
      <c r="V17" s="526"/>
    </row>
    <row r="18" spans="1:22" s="523" customFormat="1" x14ac:dyDescent="0.25">
      <c r="A18" s="730"/>
      <c r="B18" s="823" t="s">
        <v>1422</v>
      </c>
      <c r="C18" s="731"/>
      <c r="D18" s="527"/>
      <c r="E18" s="527"/>
      <c r="F18" s="463"/>
      <c r="G18" s="463"/>
      <c r="H18" s="463"/>
      <c r="I18" s="463"/>
      <c r="J18" s="464"/>
      <c r="K18" s="464"/>
      <c r="L18" s="463"/>
      <c r="M18" s="464"/>
      <c r="N18" s="464"/>
      <c r="O18" s="463"/>
      <c r="P18" s="464"/>
      <c r="Q18" s="464"/>
      <c r="R18" s="463"/>
      <c r="S18" s="526">
        <v>5000</v>
      </c>
      <c r="T18" s="526">
        <v>5000</v>
      </c>
      <c r="U18" s="526">
        <v>5000</v>
      </c>
      <c r="V18" s="526">
        <v>0</v>
      </c>
    </row>
    <row r="19" spans="1:22" s="523" customFormat="1" x14ac:dyDescent="0.25">
      <c r="A19" s="730"/>
      <c r="B19" s="823" t="s">
        <v>1464</v>
      </c>
      <c r="C19" s="731"/>
      <c r="D19" s="527"/>
      <c r="E19" s="527"/>
      <c r="F19" s="463"/>
      <c r="G19" s="463"/>
      <c r="H19" s="463"/>
      <c r="I19" s="463"/>
      <c r="J19" s="464"/>
      <c r="K19" s="464"/>
      <c r="L19" s="463"/>
      <c r="M19" s="464"/>
      <c r="N19" s="464"/>
      <c r="O19" s="463"/>
      <c r="P19" s="464"/>
      <c r="Q19" s="464"/>
      <c r="R19" s="463"/>
      <c r="S19" s="526"/>
      <c r="T19" s="526">
        <v>5000</v>
      </c>
      <c r="U19" s="526">
        <v>5000</v>
      </c>
      <c r="V19" s="526">
        <v>5000</v>
      </c>
    </row>
    <row r="20" spans="1:22" s="523" customFormat="1" x14ac:dyDescent="0.25">
      <c r="A20" s="730"/>
      <c r="B20" s="894" t="s">
        <v>351</v>
      </c>
      <c r="C20" s="731"/>
      <c r="D20" s="527"/>
      <c r="E20" s="527"/>
      <c r="F20" s="463"/>
      <c r="G20" s="463"/>
      <c r="H20" s="463"/>
      <c r="I20" s="463"/>
      <c r="J20" s="464"/>
      <c r="K20" s="464"/>
      <c r="L20" s="463"/>
      <c r="M20" s="464"/>
      <c r="N20" s="464"/>
      <c r="O20" s="463"/>
      <c r="P20" s="464"/>
      <c r="Q20" s="464"/>
      <c r="R20" s="463"/>
      <c r="S20" s="526"/>
      <c r="T20" s="526"/>
      <c r="U20" s="526">
        <v>6462</v>
      </c>
      <c r="V20" s="526"/>
    </row>
    <row r="21" spans="1:22" s="523" customFormat="1" x14ac:dyDescent="0.25">
      <c r="A21" s="552" t="s">
        <v>322</v>
      </c>
      <c r="B21" s="555" t="s">
        <v>550</v>
      </c>
      <c r="C21" s="553">
        <f>SUM(C22:C22)</f>
        <v>0</v>
      </c>
      <c r="D21" s="521"/>
      <c r="E21" s="521"/>
      <c r="F21" s="516">
        <f>SUM(F22:F22)</f>
        <v>16000</v>
      </c>
      <c r="G21" s="516">
        <f t="shared" ref="G21:I21" si="9">SUM(G22:G22)</f>
        <v>16001</v>
      </c>
      <c r="H21" s="516">
        <f t="shared" si="9"/>
        <v>16002</v>
      </c>
      <c r="I21" s="516">
        <f t="shared" si="9"/>
        <v>16000</v>
      </c>
      <c r="J21" s="522"/>
      <c r="K21" s="522"/>
      <c r="L21" s="516">
        <f>SUM(L22:L22)</f>
        <v>16000</v>
      </c>
      <c r="M21" s="516">
        <f t="shared" ref="M21:V21" si="10">SUM(M22:M22)</f>
        <v>0</v>
      </c>
      <c r="N21" s="516">
        <f t="shared" si="10"/>
        <v>0</v>
      </c>
      <c r="O21" s="516">
        <f t="shared" si="10"/>
        <v>0</v>
      </c>
      <c r="P21" s="516">
        <f t="shared" si="10"/>
        <v>0</v>
      </c>
      <c r="Q21" s="516">
        <f t="shared" si="10"/>
        <v>0</v>
      </c>
      <c r="R21" s="516">
        <f t="shared" si="10"/>
        <v>0</v>
      </c>
      <c r="S21" s="516">
        <f t="shared" si="10"/>
        <v>16000</v>
      </c>
      <c r="T21" s="516">
        <f t="shared" si="10"/>
        <v>16000</v>
      </c>
      <c r="U21" s="516">
        <f t="shared" si="10"/>
        <v>16000</v>
      </c>
      <c r="V21" s="516">
        <f t="shared" si="10"/>
        <v>9603</v>
      </c>
    </row>
    <row r="22" spans="1:22" s="523" customFormat="1" x14ac:dyDescent="0.25">
      <c r="A22" s="524"/>
      <c r="B22" s="554" t="s">
        <v>292</v>
      </c>
      <c r="C22" s="526"/>
      <c r="D22" s="527"/>
      <c r="E22" s="527"/>
      <c r="F22" s="463">
        <v>16000</v>
      </c>
      <c r="G22" s="463">
        <v>16001</v>
      </c>
      <c r="H22" s="463">
        <v>16002</v>
      </c>
      <c r="I22" s="463">
        <v>16000</v>
      </c>
      <c r="J22" s="464"/>
      <c r="K22" s="464"/>
      <c r="L22" s="463">
        <v>16000</v>
      </c>
      <c r="M22" s="464"/>
      <c r="N22" s="464"/>
      <c r="O22" s="463"/>
      <c r="P22" s="464"/>
      <c r="Q22" s="464"/>
      <c r="R22" s="463">
        <v>0</v>
      </c>
      <c r="S22" s="526">
        <v>16000</v>
      </c>
      <c r="T22" s="526">
        <v>16000</v>
      </c>
      <c r="U22" s="526">
        <v>16000</v>
      </c>
      <c r="V22" s="526">
        <v>9603</v>
      </c>
    </row>
    <row r="23" spans="1:22" s="523" customFormat="1" x14ac:dyDescent="0.25">
      <c r="A23" s="518" t="s">
        <v>315</v>
      </c>
      <c r="B23" s="536" t="s">
        <v>693</v>
      </c>
      <c r="C23" s="520">
        <f>SUM(C24:C26)</f>
        <v>0</v>
      </c>
      <c r="D23" s="521"/>
      <c r="E23" s="521"/>
      <c r="F23" s="516">
        <f>SUM(F24:F26)</f>
        <v>67820</v>
      </c>
      <c r="G23" s="516">
        <f t="shared" ref="G23:I23" si="11">SUM(G24:G26)</f>
        <v>67820</v>
      </c>
      <c r="H23" s="516">
        <f t="shared" si="11"/>
        <v>67820</v>
      </c>
      <c r="I23" s="516">
        <f t="shared" si="11"/>
        <v>67820</v>
      </c>
      <c r="J23" s="522"/>
      <c r="K23" s="522"/>
      <c r="L23" s="516">
        <f>SUM(L24:L26)</f>
        <v>66113</v>
      </c>
      <c r="M23" s="516">
        <f t="shared" ref="M23:V23" si="12">SUM(M24:M26)</f>
        <v>0</v>
      </c>
      <c r="N23" s="516">
        <f t="shared" si="12"/>
        <v>0</v>
      </c>
      <c r="O23" s="516">
        <f t="shared" si="12"/>
        <v>0</v>
      </c>
      <c r="P23" s="516">
        <f t="shared" si="12"/>
        <v>0</v>
      </c>
      <c r="Q23" s="516">
        <f t="shared" si="12"/>
        <v>0</v>
      </c>
      <c r="R23" s="516">
        <f t="shared" si="12"/>
        <v>16407</v>
      </c>
      <c r="S23" s="516">
        <f t="shared" si="12"/>
        <v>73217</v>
      </c>
      <c r="T23" s="516">
        <f t="shared" si="12"/>
        <v>73217</v>
      </c>
      <c r="U23" s="516">
        <f t="shared" si="12"/>
        <v>73217</v>
      </c>
      <c r="V23" s="516">
        <f t="shared" si="12"/>
        <v>38924</v>
      </c>
    </row>
    <row r="24" spans="1:22" s="523" customFormat="1" x14ac:dyDescent="0.25">
      <c r="A24" s="524"/>
      <c r="B24" s="525" t="s">
        <v>286</v>
      </c>
      <c r="C24" s="526"/>
      <c r="D24" s="527"/>
      <c r="E24" s="527"/>
      <c r="F24" s="463">
        <v>29694</v>
      </c>
      <c r="G24" s="463">
        <v>29694</v>
      </c>
      <c r="H24" s="463">
        <v>29694</v>
      </c>
      <c r="I24" s="463">
        <v>29694</v>
      </c>
      <c r="J24" s="464"/>
      <c r="K24" s="464"/>
      <c r="L24" s="463">
        <v>28974</v>
      </c>
      <c r="M24" s="464"/>
      <c r="N24" s="464"/>
      <c r="O24" s="463"/>
      <c r="P24" s="464"/>
      <c r="Q24" s="464"/>
      <c r="R24" s="463">
        <v>11149</v>
      </c>
      <c r="S24" s="526">
        <v>34446</v>
      </c>
      <c r="T24" s="526">
        <v>34446</v>
      </c>
      <c r="U24" s="526">
        <v>34446</v>
      </c>
      <c r="V24" s="526">
        <v>17429</v>
      </c>
    </row>
    <row r="25" spans="1:22" s="523" customFormat="1" x14ac:dyDescent="0.25">
      <c r="A25" s="524"/>
      <c r="B25" s="525" t="s">
        <v>287</v>
      </c>
      <c r="C25" s="526"/>
      <c r="D25" s="527"/>
      <c r="E25" s="527"/>
      <c r="F25" s="463">
        <v>5845</v>
      </c>
      <c r="G25" s="463">
        <v>5845</v>
      </c>
      <c r="H25" s="463">
        <v>5845</v>
      </c>
      <c r="I25" s="463">
        <v>5845</v>
      </c>
      <c r="J25" s="464"/>
      <c r="K25" s="464"/>
      <c r="L25" s="463">
        <v>6815</v>
      </c>
      <c r="M25" s="464"/>
      <c r="N25" s="464"/>
      <c r="O25" s="463"/>
      <c r="P25" s="464"/>
      <c r="Q25" s="464"/>
      <c r="R25" s="463">
        <v>2568</v>
      </c>
      <c r="S25" s="526">
        <v>6571</v>
      </c>
      <c r="T25" s="526">
        <v>6571</v>
      </c>
      <c r="U25" s="526">
        <v>6571</v>
      </c>
      <c r="V25" s="526">
        <v>3324</v>
      </c>
    </row>
    <row r="26" spans="1:22" s="523" customFormat="1" x14ac:dyDescent="0.25">
      <c r="A26" s="524"/>
      <c r="B26" s="525" t="s">
        <v>292</v>
      </c>
      <c r="C26" s="526"/>
      <c r="D26" s="527"/>
      <c r="E26" s="527"/>
      <c r="F26" s="463">
        <v>32281</v>
      </c>
      <c r="G26" s="463">
        <v>32281</v>
      </c>
      <c r="H26" s="463">
        <v>32281</v>
      </c>
      <c r="I26" s="463">
        <v>32281</v>
      </c>
      <c r="J26" s="464"/>
      <c r="K26" s="464"/>
      <c r="L26" s="463">
        <v>30324</v>
      </c>
      <c r="M26" s="464"/>
      <c r="N26" s="464"/>
      <c r="O26" s="463"/>
      <c r="P26" s="464"/>
      <c r="Q26" s="464"/>
      <c r="R26" s="463">
        <v>2690</v>
      </c>
      <c r="S26" s="526">
        <v>32200</v>
      </c>
      <c r="T26" s="526">
        <v>32200</v>
      </c>
      <c r="U26" s="526">
        <v>32200</v>
      </c>
      <c r="V26" s="526">
        <v>18171</v>
      </c>
    </row>
    <row r="27" spans="1:22" s="523" customFormat="1" x14ac:dyDescent="0.25">
      <c r="A27" s="518" t="s">
        <v>336</v>
      </c>
      <c r="B27" s="536" t="s">
        <v>696</v>
      </c>
      <c r="C27" s="520">
        <f>SUM(C28:C28)</f>
        <v>0</v>
      </c>
      <c r="D27" s="521">
        <v>0</v>
      </c>
      <c r="E27" s="521"/>
      <c r="F27" s="516">
        <f>SUM(F28:F28)</f>
        <v>20000</v>
      </c>
      <c r="G27" s="516">
        <f t="shared" ref="G27:I27" si="13">SUM(G28:G28)</f>
        <v>20001</v>
      </c>
      <c r="H27" s="516">
        <f t="shared" si="13"/>
        <v>20002</v>
      </c>
      <c r="I27" s="516">
        <f t="shared" si="13"/>
        <v>20000</v>
      </c>
      <c r="J27" s="522">
        <v>0</v>
      </c>
      <c r="K27" s="522"/>
      <c r="L27" s="516">
        <f>SUM(L28:L28)</f>
        <v>20000</v>
      </c>
      <c r="M27" s="516">
        <f t="shared" ref="M27:V27" si="14">SUM(M28:M28)</f>
        <v>0</v>
      </c>
      <c r="N27" s="516">
        <f t="shared" si="14"/>
        <v>0</v>
      </c>
      <c r="O27" s="516">
        <f t="shared" si="14"/>
        <v>0</v>
      </c>
      <c r="P27" s="516">
        <f t="shared" si="14"/>
        <v>0</v>
      </c>
      <c r="Q27" s="516">
        <f t="shared" si="14"/>
        <v>0</v>
      </c>
      <c r="R27" s="516">
        <f t="shared" si="14"/>
        <v>5970</v>
      </c>
      <c r="S27" s="516">
        <f t="shared" si="14"/>
        <v>10000</v>
      </c>
      <c r="T27" s="516">
        <f t="shared" si="14"/>
        <v>10000</v>
      </c>
      <c r="U27" s="516">
        <f t="shared" si="14"/>
        <v>13041</v>
      </c>
      <c r="V27" s="516">
        <f t="shared" si="14"/>
        <v>4632</v>
      </c>
    </row>
    <row r="28" spans="1:22" s="523" customFormat="1" x14ac:dyDescent="0.25">
      <c r="A28" s="524"/>
      <c r="B28" s="525" t="s">
        <v>292</v>
      </c>
      <c r="C28" s="526"/>
      <c r="D28" s="527"/>
      <c r="E28" s="527"/>
      <c r="F28" s="463">
        <v>20000</v>
      </c>
      <c r="G28" s="463">
        <v>20001</v>
      </c>
      <c r="H28" s="463">
        <v>20002</v>
      </c>
      <c r="I28" s="463">
        <v>20000</v>
      </c>
      <c r="J28" s="464"/>
      <c r="K28" s="464"/>
      <c r="L28" s="463">
        <v>20000</v>
      </c>
      <c r="M28" s="464"/>
      <c r="N28" s="464"/>
      <c r="O28" s="463"/>
      <c r="P28" s="464"/>
      <c r="Q28" s="464"/>
      <c r="R28" s="463">
        <v>5970</v>
      </c>
      <c r="S28" s="526">
        <v>10000</v>
      </c>
      <c r="T28" s="526">
        <v>10000</v>
      </c>
      <c r="U28" s="526">
        <v>13041</v>
      </c>
      <c r="V28" s="526">
        <v>4632</v>
      </c>
    </row>
    <row r="29" spans="1:22" s="523" customFormat="1" x14ac:dyDescent="0.25">
      <c r="A29" s="518" t="s">
        <v>338</v>
      </c>
      <c r="B29" s="551" t="s">
        <v>1319</v>
      </c>
      <c r="C29" s="520">
        <f>C30</f>
        <v>0</v>
      </c>
      <c r="D29" s="521"/>
      <c r="E29" s="521"/>
      <c r="F29" s="516">
        <f>F30</f>
        <v>25000</v>
      </c>
      <c r="G29" s="516">
        <f t="shared" ref="G29:I29" si="15">G30</f>
        <v>25001</v>
      </c>
      <c r="H29" s="516">
        <f t="shared" si="15"/>
        <v>25002</v>
      </c>
      <c r="I29" s="516">
        <f t="shared" si="15"/>
        <v>25000</v>
      </c>
      <c r="J29" s="522"/>
      <c r="K29" s="522"/>
      <c r="L29" s="516">
        <f>L30</f>
        <v>25000</v>
      </c>
      <c r="M29" s="516">
        <f t="shared" ref="M29:V29" si="16">M30</f>
        <v>0</v>
      </c>
      <c r="N29" s="516">
        <f t="shared" si="16"/>
        <v>0</v>
      </c>
      <c r="O29" s="516">
        <f t="shared" si="16"/>
        <v>0</v>
      </c>
      <c r="P29" s="516">
        <f t="shared" si="16"/>
        <v>0</v>
      </c>
      <c r="Q29" s="516">
        <f t="shared" si="16"/>
        <v>0</v>
      </c>
      <c r="R29" s="516">
        <f t="shared" si="16"/>
        <v>4640</v>
      </c>
      <c r="S29" s="516">
        <f t="shared" si="16"/>
        <v>20000</v>
      </c>
      <c r="T29" s="516">
        <f t="shared" si="16"/>
        <v>20000</v>
      </c>
      <c r="U29" s="516">
        <f t="shared" si="16"/>
        <v>20680</v>
      </c>
      <c r="V29" s="516">
        <f t="shared" si="16"/>
        <v>13290</v>
      </c>
    </row>
    <row r="30" spans="1:22" s="523" customFormat="1" x14ac:dyDescent="0.25">
      <c r="A30" s="524"/>
      <c r="B30" s="528" t="s">
        <v>292</v>
      </c>
      <c r="C30" s="529"/>
      <c r="D30" s="530"/>
      <c r="E30" s="530"/>
      <c r="F30" s="517">
        <v>25000</v>
      </c>
      <c r="G30" s="517">
        <v>25001</v>
      </c>
      <c r="H30" s="517">
        <v>25002</v>
      </c>
      <c r="I30" s="517">
        <v>25000</v>
      </c>
      <c r="J30" s="531"/>
      <c r="K30" s="531"/>
      <c r="L30" s="517">
        <v>25000</v>
      </c>
      <c r="M30" s="531"/>
      <c r="N30" s="531"/>
      <c r="O30" s="517"/>
      <c r="P30" s="531"/>
      <c r="Q30" s="531"/>
      <c r="R30" s="517">
        <v>4640</v>
      </c>
      <c r="S30" s="526">
        <v>20000</v>
      </c>
      <c r="T30" s="526">
        <v>20000</v>
      </c>
      <c r="U30" s="526">
        <v>20680</v>
      </c>
      <c r="V30" s="526">
        <v>13290</v>
      </c>
    </row>
    <row r="31" spans="1:22" s="523" customFormat="1" ht="17.25" customHeight="1" x14ac:dyDescent="0.25">
      <c r="A31" s="518" t="s">
        <v>552</v>
      </c>
      <c r="B31" s="551" t="s">
        <v>1308</v>
      </c>
      <c r="C31" s="532">
        <f>C34</f>
        <v>0</v>
      </c>
      <c r="D31" s="533"/>
      <c r="E31" s="533"/>
      <c r="F31" s="534">
        <f t="shared" ref="F31:T31" si="17">SUM(F32:F38)</f>
        <v>4630528</v>
      </c>
      <c r="G31" s="534">
        <f t="shared" si="17"/>
        <v>4630528</v>
      </c>
      <c r="H31" s="534">
        <f t="shared" si="17"/>
        <v>4630528</v>
      </c>
      <c r="I31" s="534">
        <f t="shared" si="17"/>
        <v>5477885</v>
      </c>
      <c r="J31" s="534">
        <f t="shared" si="17"/>
        <v>0</v>
      </c>
      <c r="K31" s="534">
        <f t="shared" si="17"/>
        <v>0</v>
      </c>
      <c r="L31" s="534">
        <f t="shared" si="17"/>
        <v>5645489</v>
      </c>
      <c r="M31" s="534">
        <f t="shared" si="17"/>
        <v>0</v>
      </c>
      <c r="N31" s="534">
        <f t="shared" si="17"/>
        <v>0</v>
      </c>
      <c r="O31" s="534">
        <f t="shared" si="17"/>
        <v>0</v>
      </c>
      <c r="P31" s="534">
        <f t="shared" si="17"/>
        <v>0</v>
      </c>
      <c r="Q31" s="534">
        <f t="shared" si="17"/>
        <v>0</v>
      </c>
      <c r="R31" s="534">
        <f t="shared" si="17"/>
        <v>430660</v>
      </c>
      <c r="S31" s="534">
        <f t="shared" si="17"/>
        <v>5021981</v>
      </c>
      <c r="T31" s="534">
        <f t="shared" si="17"/>
        <v>6273816</v>
      </c>
      <c r="U31" s="534">
        <f t="shared" ref="U31" si="18">SUM(U32:U38)</f>
        <v>6585786</v>
      </c>
      <c r="V31" s="534">
        <f t="shared" ref="V31" si="19">SUM(V32:V38)</f>
        <v>1250323</v>
      </c>
    </row>
    <row r="32" spans="1:22" s="523" customFormat="1" x14ac:dyDescent="0.25">
      <c r="A32" s="518"/>
      <c r="B32" s="557" t="s">
        <v>286</v>
      </c>
      <c r="C32" s="532"/>
      <c r="D32" s="533"/>
      <c r="E32" s="533"/>
      <c r="F32" s="517">
        <v>20292</v>
      </c>
      <c r="G32" s="517">
        <v>20292</v>
      </c>
      <c r="H32" s="517">
        <v>20292</v>
      </c>
      <c r="I32" s="517">
        <v>87576</v>
      </c>
      <c r="J32" s="535"/>
      <c r="K32" s="535"/>
      <c r="L32" s="517">
        <v>59688</v>
      </c>
      <c r="M32" s="535"/>
      <c r="N32" s="535"/>
      <c r="O32" s="534"/>
      <c r="P32" s="535"/>
      <c r="Q32" s="535"/>
      <c r="R32" s="517">
        <v>42099</v>
      </c>
      <c r="S32" s="526">
        <v>81071</v>
      </c>
      <c r="T32" s="526">
        <v>129258</v>
      </c>
      <c r="U32" s="526">
        <v>129258</v>
      </c>
      <c r="V32" s="526">
        <v>54155</v>
      </c>
    </row>
    <row r="33" spans="1:22" s="523" customFormat="1" x14ac:dyDescent="0.25">
      <c r="A33" s="518"/>
      <c r="B33" s="556" t="s">
        <v>287</v>
      </c>
      <c r="C33" s="532"/>
      <c r="D33" s="533"/>
      <c r="E33" s="533"/>
      <c r="F33" s="517">
        <v>3937</v>
      </c>
      <c r="G33" s="517">
        <v>3937</v>
      </c>
      <c r="H33" s="517">
        <v>3937</v>
      </c>
      <c r="I33" s="517">
        <v>17096</v>
      </c>
      <c r="J33" s="535"/>
      <c r="K33" s="535"/>
      <c r="L33" s="517">
        <v>11859</v>
      </c>
      <c r="M33" s="535"/>
      <c r="N33" s="535"/>
      <c r="O33" s="534"/>
      <c r="P33" s="535"/>
      <c r="Q33" s="535"/>
      <c r="R33" s="517">
        <v>6550</v>
      </c>
      <c r="S33" s="526">
        <v>15809</v>
      </c>
      <c r="T33" s="526">
        <v>21762</v>
      </c>
      <c r="U33" s="526">
        <v>25198</v>
      </c>
      <c r="V33" s="526">
        <v>10785</v>
      </c>
    </row>
    <row r="34" spans="1:22" s="523" customFormat="1" x14ac:dyDescent="0.25">
      <c r="A34" s="524"/>
      <c r="B34" s="528" t="s">
        <v>292</v>
      </c>
      <c r="C34" s="529"/>
      <c r="D34" s="530"/>
      <c r="E34" s="530"/>
      <c r="F34" s="517">
        <v>21247</v>
      </c>
      <c r="G34" s="517">
        <v>21247</v>
      </c>
      <c r="H34" s="517">
        <v>21247</v>
      </c>
      <c r="I34" s="517">
        <v>99770</v>
      </c>
      <c r="J34" s="531"/>
      <c r="K34" s="531"/>
      <c r="L34" s="517">
        <v>114200</v>
      </c>
      <c r="M34" s="531"/>
      <c r="N34" s="531"/>
      <c r="O34" s="517">
        <v>0</v>
      </c>
      <c r="P34" s="531"/>
      <c r="Q34" s="531"/>
      <c r="R34" s="517">
        <v>45552</v>
      </c>
      <c r="S34" s="526">
        <v>31247</v>
      </c>
      <c r="T34" s="526">
        <v>175391</v>
      </c>
      <c r="U34" s="526">
        <v>343985</v>
      </c>
      <c r="V34" s="526">
        <v>203939</v>
      </c>
    </row>
    <row r="35" spans="1:22" s="523" customFormat="1" x14ac:dyDescent="0.25">
      <c r="A35" s="524"/>
      <c r="B35" s="528" t="s">
        <v>1325</v>
      </c>
      <c r="C35" s="529"/>
      <c r="D35" s="530"/>
      <c r="E35" s="530"/>
      <c r="F35" s="517">
        <v>5137</v>
      </c>
      <c r="G35" s="517">
        <v>5137</v>
      </c>
      <c r="H35" s="517">
        <v>5137</v>
      </c>
      <c r="I35" s="517">
        <v>5137</v>
      </c>
      <c r="J35" s="531"/>
      <c r="K35" s="531"/>
      <c r="L35" s="517">
        <v>0</v>
      </c>
      <c r="M35" s="531"/>
      <c r="N35" s="531"/>
      <c r="O35" s="517"/>
      <c r="P35" s="531"/>
      <c r="Q35" s="531"/>
      <c r="R35" s="517">
        <v>0</v>
      </c>
      <c r="S35" s="526">
        <v>6000</v>
      </c>
      <c r="T35" s="526">
        <v>6000</v>
      </c>
      <c r="U35" s="526">
        <v>6000</v>
      </c>
      <c r="V35" s="526">
        <v>2848</v>
      </c>
    </row>
    <row r="36" spans="1:22" s="523" customFormat="1" x14ac:dyDescent="0.25">
      <c r="A36" s="524"/>
      <c r="B36" s="528" t="s">
        <v>1323</v>
      </c>
      <c r="C36" s="529"/>
      <c r="D36" s="530"/>
      <c r="E36" s="530"/>
      <c r="F36" s="517">
        <v>4526715</v>
      </c>
      <c r="G36" s="517">
        <v>4526715</v>
      </c>
      <c r="H36" s="517">
        <v>4526715</v>
      </c>
      <c r="I36" s="517">
        <v>3455334</v>
      </c>
      <c r="J36" s="531"/>
      <c r="K36" s="531"/>
      <c r="L36" s="517">
        <v>3631183</v>
      </c>
      <c r="M36" s="531"/>
      <c r="N36" s="531"/>
      <c r="O36" s="517"/>
      <c r="P36" s="531"/>
      <c r="Q36" s="531"/>
      <c r="R36" s="517">
        <v>141237</v>
      </c>
      <c r="S36" s="526">
        <v>4745394</v>
      </c>
      <c r="T36" s="526">
        <v>4939050</v>
      </c>
      <c r="U36" s="526">
        <v>4354797</v>
      </c>
      <c r="V36" s="526">
        <v>440912</v>
      </c>
    </row>
    <row r="37" spans="1:22" s="523" customFormat="1" x14ac:dyDescent="0.25">
      <c r="A37" s="524"/>
      <c r="B37" s="528" t="s">
        <v>1324</v>
      </c>
      <c r="C37" s="529"/>
      <c r="D37" s="530"/>
      <c r="E37" s="530"/>
      <c r="F37" s="517">
        <v>50000</v>
      </c>
      <c r="G37" s="517">
        <v>50000</v>
      </c>
      <c r="H37" s="517">
        <v>50000</v>
      </c>
      <c r="I37" s="517">
        <v>1810736</v>
      </c>
      <c r="J37" s="531"/>
      <c r="K37" s="531"/>
      <c r="L37" s="517">
        <v>1825720</v>
      </c>
      <c r="M37" s="531"/>
      <c r="N37" s="531"/>
      <c r="O37" s="517"/>
      <c r="P37" s="531"/>
      <c r="Q37" s="531"/>
      <c r="R37" s="517">
        <v>195222</v>
      </c>
      <c r="S37" s="526">
        <v>139260</v>
      </c>
      <c r="T37" s="526">
        <v>1001155</v>
      </c>
      <c r="U37" s="526">
        <v>1725348</v>
      </c>
      <c r="V37" s="526">
        <v>537684</v>
      </c>
    </row>
    <row r="38" spans="1:22" s="523" customFormat="1" x14ac:dyDescent="0.25">
      <c r="A38" s="524"/>
      <c r="B38" s="561" t="s">
        <v>343</v>
      </c>
      <c r="C38" s="562"/>
      <c r="D38" s="563"/>
      <c r="E38" s="563"/>
      <c r="F38" s="564">
        <f>SUM(F39:F40)</f>
        <v>3200</v>
      </c>
      <c r="G38" s="564">
        <f t="shared" ref="G38:I38" si="20">SUM(G39:G40)</f>
        <v>3200</v>
      </c>
      <c r="H38" s="564">
        <f t="shared" si="20"/>
        <v>3200</v>
      </c>
      <c r="I38" s="564">
        <f t="shared" si="20"/>
        <v>2236</v>
      </c>
      <c r="J38" s="565"/>
      <c r="K38" s="565"/>
      <c r="L38" s="564">
        <f t="shared" ref="L38:S38" si="21">SUM(L39:L40)</f>
        <v>2839</v>
      </c>
      <c r="M38" s="564">
        <f t="shared" si="21"/>
        <v>0</v>
      </c>
      <c r="N38" s="564">
        <f t="shared" si="21"/>
        <v>0</v>
      </c>
      <c r="O38" s="564">
        <f t="shared" si="21"/>
        <v>0</v>
      </c>
      <c r="P38" s="564">
        <f t="shared" si="21"/>
        <v>0</v>
      </c>
      <c r="Q38" s="564">
        <f t="shared" si="21"/>
        <v>0</v>
      </c>
      <c r="R38" s="564">
        <f t="shared" si="21"/>
        <v>0</v>
      </c>
      <c r="S38" s="564">
        <f t="shared" si="21"/>
        <v>3200</v>
      </c>
      <c r="T38" s="564">
        <v>1200</v>
      </c>
      <c r="U38" s="564">
        <v>1200</v>
      </c>
      <c r="V38" s="564">
        <v>0</v>
      </c>
    </row>
    <row r="39" spans="1:22" s="523" customFormat="1" x14ac:dyDescent="0.25">
      <c r="A39" s="524"/>
      <c r="B39" s="528" t="s">
        <v>1417</v>
      </c>
      <c r="C39" s="529"/>
      <c r="D39" s="530"/>
      <c r="E39" s="530"/>
      <c r="F39" s="517">
        <v>1000</v>
      </c>
      <c r="G39" s="517">
        <v>1000</v>
      </c>
      <c r="H39" s="517">
        <v>1000</v>
      </c>
      <c r="I39" s="517">
        <v>1000</v>
      </c>
      <c r="J39" s="531"/>
      <c r="K39" s="531"/>
      <c r="L39" s="517">
        <v>639</v>
      </c>
      <c r="M39" s="531"/>
      <c r="N39" s="531"/>
      <c r="O39" s="517"/>
      <c r="P39" s="531"/>
      <c r="Q39" s="531"/>
      <c r="R39" s="517">
        <v>0</v>
      </c>
      <c r="S39" s="526">
        <v>1000</v>
      </c>
      <c r="T39" s="526">
        <v>1000</v>
      </c>
      <c r="U39" s="526">
        <v>1000</v>
      </c>
      <c r="V39" s="526">
        <v>0</v>
      </c>
    </row>
    <row r="40" spans="1:22" s="523" customFormat="1" x14ac:dyDescent="0.25">
      <c r="A40" s="524"/>
      <c r="B40" s="528" t="s">
        <v>1401</v>
      </c>
      <c r="C40" s="529"/>
      <c r="D40" s="530"/>
      <c r="E40" s="530"/>
      <c r="F40" s="517">
        <v>2200</v>
      </c>
      <c r="G40" s="517">
        <v>2200</v>
      </c>
      <c r="H40" s="517">
        <v>2200</v>
      </c>
      <c r="I40" s="517">
        <v>1236</v>
      </c>
      <c r="J40" s="531"/>
      <c r="K40" s="531"/>
      <c r="L40" s="517">
        <f>+L41+L42</f>
        <v>2200</v>
      </c>
      <c r="M40" s="517">
        <f t="shared" ref="M40:R40" si="22">+M41+M42</f>
        <v>0</v>
      </c>
      <c r="N40" s="517">
        <f t="shared" si="22"/>
        <v>0</v>
      </c>
      <c r="O40" s="517">
        <f t="shared" si="22"/>
        <v>0</v>
      </c>
      <c r="P40" s="517">
        <f t="shared" si="22"/>
        <v>0</v>
      </c>
      <c r="Q40" s="517">
        <f t="shared" si="22"/>
        <v>0</v>
      </c>
      <c r="R40" s="517">
        <f t="shared" si="22"/>
        <v>0</v>
      </c>
      <c r="S40" s="517">
        <v>2200</v>
      </c>
      <c r="T40" s="517">
        <v>200</v>
      </c>
      <c r="U40" s="517">
        <v>200</v>
      </c>
      <c r="V40" s="517">
        <v>0</v>
      </c>
    </row>
    <row r="41" spans="1:22" s="523" customFormat="1" ht="15" hidden="1" customHeight="1" x14ac:dyDescent="0.25">
      <c r="A41" s="524"/>
      <c r="B41" s="528" t="s">
        <v>1402</v>
      </c>
      <c r="C41" s="529"/>
      <c r="D41" s="530"/>
      <c r="E41" s="530"/>
      <c r="F41" s="517"/>
      <c r="G41" s="517"/>
      <c r="H41" s="517"/>
      <c r="I41" s="517"/>
      <c r="J41" s="531"/>
      <c r="K41" s="531"/>
      <c r="L41" s="517">
        <v>1097</v>
      </c>
      <c r="M41" s="531"/>
      <c r="N41" s="531"/>
      <c r="O41" s="517"/>
      <c r="P41" s="531"/>
      <c r="Q41" s="531"/>
      <c r="R41" s="517"/>
      <c r="S41" s="526"/>
      <c r="T41" s="526"/>
      <c r="U41" s="526"/>
      <c r="V41" s="526"/>
    </row>
    <row r="42" spans="1:22" s="523" customFormat="1" ht="15" hidden="1" customHeight="1" x14ac:dyDescent="0.25">
      <c r="A42" s="524"/>
      <c r="B42" s="528" t="s">
        <v>1403</v>
      </c>
      <c r="C42" s="529"/>
      <c r="D42" s="530"/>
      <c r="E42" s="530"/>
      <c r="F42" s="517"/>
      <c r="G42" s="517"/>
      <c r="H42" s="517"/>
      <c r="I42" s="517"/>
      <c r="J42" s="531"/>
      <c r="K42" s="531"/>
      <c r="L42" s="517">
        <v>1103</v>
      </c>
      <c r="M42" s="531"/>
      <c r="N42" s="531"/>
      <c r="O42" s="517"/>
      <c r="P42" s="531"/>
      <c r="Q42" s="531"/>
      <c r="R42" s="517"/>
      <c r="S42" s="526"/>
      <c r="T42" s="526"/>
      <c r="U42" s="526"/>
      <c r="V42" s="526"/>
    </row>
    <row r="43" spans="1:22" s="523" customFormat="1" x14ac:dyDescent="0.25">
      <c r="A43" s="518" t="s">
        <v>554</v>
      </c>
      <c r="B43" s="519" t="s">
        <v>694</v>
      </c>
      <c r="C43" s="520">
        <f>SUM(C46:C46)</f>
        <v>0</v>
      </c>
      <c r="D43" s="521"/>
      <c r="E43" s="521"/>
      <c r="F43" s="516">
        <f>SUM(F46:F46)</f>
        <v>0</v>
      </c>
      <c r="G43" s="522"/>
      <c r="H43" s="522"/>
      <c r="I43" s="516">
        <f>SUM(I46:I46)</f>
        <v>0</v>
      </c>
      <c r="J43" s="522"/>
      <c r="K43" s="522"/>
      <c r="L43" s="516">
        <f>SUM(L46:L46)</f>
        <v>0</v>
      </c>
      <c r="M43" s="516">
        <f t="shared" ref="M43:S43" si="23">SUM(M46:M46)</f>
        <v>0</v>
      </c>
      <c r="N43" s="516">
        <f t="shared" si="23"/>
        <v>0</v>
      </c>
      <c r="O43" s="516">
        <f t="shared" si="23"/>
        <v>0</v>
      </c>
      <c r="P43" s="516">
        <f t="shared" si="23"/>
        <v>0</v>
      </c>
      <c r="Q43" s="516">
        <f t="shared" si="23"/>
        <v>0</v>
      </c>
      <c r="R43" s="516">
        <f t="shared" si="23"/>
        <v>0</v>
      </c>
      <c r="S43" s="516">
        <f t="shared" si="23"/>
        <v>0</v>
      </c>
      <c r="T43" s="516">
        <v>0</v>
      </c>
      <c r="U43" s="516">
        <v>0</v>
      </c>
      <c r="V43" s="516">
        <v>0</v>
      </c>
    </row>
    <row r="44" spans="1:22" s="523" customFormat="1" x14ac:dyDescent="0.25">
      <c r="A44" s="518"/>
      <c r="B44" s="525" t="s">
        <v>286</v>
      </c>
      <c r="C44" s="520"/>
      <c r="D44" s="521"/>
      <c r="E44" s="521"/>
      <c r="F44" s="722">
        <v>0</v>
      </c>
      <c r="G44" s="722">
        <v>0</v>
      </c>
      <c r="H44" s="722">
        <v>0</v>
      </c>
      <c r="I44" s="722">
        <v>0</v>
      </c>
      <c r="J44" s="522"/>
      <c r="K44" s="522"/>
      <c r="L44" s="516"/>
      <c r="M44" s="522"/>
      <c r="N44" s="522"/>
      <c r="O44" s="517">
        <v>0</v>
      </c>
      <c r="P44" s="522"/>
      <c r="Q44" s="522"/>
      <c r="R44" s="463">
        <v>0</v>
      </c>
      <c r="S44" s="526">
        <v>0</v>
      </c>
      <c r="T44" s="526">
        <v>0</v>
      </c>
      <c r="U44" s="526">
        <v>0</v>
      </c>
      <c r="V44" s="526">
        <v>0</v>
      </c>
    </row>
    <row r="45" spans="1:22" s="523" customFormat="1" x14ac:dyDescent="0.25">
      <c r="A45" s="518"/>
      <c r="B45" s="525" t="s">
        <v>287</v>
      </c>
      <c r="C45" s="520"/>
      <c r="D45" s="521"/>
      <c r="E45" s="521"/>
      <c r="F45" s="722">
        <v>0</v>
      </c>
      <c r="G45" s="722">
        <v>0</v>
      </c>
      <c r="H45" s="722">
        <v>0</v>
      </c>
      <c r="I45" s="722">
        <v>0</v>
      </c>
      <c r="J45" s="522"/>
      <c r="K45" s="522"/>
      <c r="L45" s="516"/>
      <c r="M45" s="522"/>
      <c r="N45" s="522"/>
      <c r="O45" s="517">
        <v>0</v>
      </c>
      <c r="P45" s="522"/>
      <c r="Q45" s="522"/>
      <c r="R45" s="463">
        <v>0</v>
      </c>
      <c r="S45" s="526">
        <v>0</v>
      </c>
      <c r="T45" s="526">
        <v>0</v>
      </c>
      <c r="U45" s="526">
        <v>0</v>
      </c>
      <c r="V45" s="526">
        <v>0</v>
      </c>
    </row>
    <row r="46" spans="1:22" s="523" customFormat="1" x14ac:dyDescent="0.25">
      <c r="A46" s="524"/>
      <c r="B46" s="528" t="s">
        <v>292</v>
      </c>
      <c r="C46" s="529">
        <v>0</v>
      </c>
      <c r="D46" s="530"/>
      <c r="E46" s="530"/>
      <c r="F46" s="517">
        <v>0</v>
      </c>
      <c r="G46" s="531"/>
      <c r="H46" s="531"/>
      <c r="I46" s="517">
        <v>0</v>
      </c>
      <c r="J46" s="531"/>
      <c r="K46" s="531"/>
      <c r="L46" s="517">
        <v>0</v>
      </c>
      <c r="M46" s="531"/>
      <c r="N46" s="531"/>
      <c r="O46" s="517">
        <v>0</v>
      </c>
      <c r="P46" s="531"/>
      <c r="Q46" s="531"/>
      <c r="R46" s="517">
        <v>0</v>
      </c>
      <c r="S46" s="526">
        <v>0</v>
      </c>
      <c r="T46" s="526">
        <v>0</v>
      </c>
      <c r="U46" s="526">
        <v>0</v>
      </c>
      <c r="V46" s="526">
        <v>0</v>
      </c>
    </row>
    <row r="47" spans="1:22" s="523" customFormat="1" x14ac:dyDescent="0.25">
      <c r="A47" s="518" t="s">
        <v>556</v>
      </c>
      <c r="B47" s="519" t="s">
        <v>695</v>
      </c>
      <c r="C47" s="520">
        <f>C48</f>
        <v>0</v>
      </c>
      <c r="D47" s="521"/>
      <c r="E47" s="521"/>
      <c r="F47" s="516">
        <f>F48</f>
        <v>27000</v>
      </c>
      <c r="G47" s="522"/>
      <c r="H47" s="522"/>
      <c r="I47" s="516">
        <f>I48</f>
        <v>27000</v>
      </c>
      <c r="J47" s="522"/>
      <c r="K47" s="522"/>
      <c r="L47" s="516">
        <f>+L48+L49</f>
        <v>27000</v>
      </c>
      <c r="M47" s="516">
        <f t="shared" ref="M47:V47" si="24">+M48+M49</f>
        <v>0</v>
      </c>
      <c r="N47" s="516">
        <f t="shared" si="24"/>
        <v>0</v>
      </c>
      <c r="O47" s="516">
        <f t="shared" si="24"/>
        <v>0</v>
      </c>
      <c r="P47" s="516">
        <f t="shared" si="24"/>
        <v>0</v>
      </c>
      <c r="Q47" s="516">
        <f t="shared" si="24"/>
        <v>0</v>
      </c>
      <c r="R47" s="516">
        <f t="shared" si="24"/>
        <v>6956</v>
      </c>
      <c r="S47" s="516">
        <f t="shared" si="24"/>
        <v>30000</v>
      </c>
      <c r="T47" s="516">
        <f t="shared" si="24"/>
        <v>30000</v>
      </c>
      <c r="U47" s="516">
        <f t="shared" si="24"/>
        <v>44406</v>
      </c>
      <c r="V47" s="516">
        <f t="shared" si="24"/>
        <v>21890</v>
      </c>
    </row>
    <row r="48" spans="1:22" s="523" customFormat="1" x14ac:dyDescent="0.25">
      <c r="A48" s="524"/>
      <c r="B48" s="525" t="s">
        <v>292</v>
      </c>
      <c r="C48" s="526"/>
      <c r="D48" s="527"/>
      <c r="E48" s="527"/>
      <c r="F48" s="463">
        <v>27000</v>
      </c>
      <c r="G48" s="463">
        <v>27000</v>
      </c>
      <c r="H48" s="463">
        <v>27000</v>
      </c>
      <c r="I48" s="463">
        <v>27000</v>
      </c>
      <c r="J48" s="464"/>
      <c r="K48" s="464"/>
      <c r="L48" s="463">
        <v>25950</v>
      </c>
      <c r="M48" s="464"/>
      <c r="N48" s="464"/>
      <c r="O48" s="463"/>
      <c r="P48" s="464"/>
      <c r="Q48" s="464"/>
      <c r="R48" s="463">
        <v>6956</v>
      </c>
      <c r="S48" s="526">
        <v>30000</v>
      </c>
      <c r="T48" s="526">
        <v>30000</v>
      </c>
      <c r="U48" s="526">
        <v>35228</v>
      </c>
      <c r="V48" s="526">
        <v>19926</v>
      </c>
    </row>
    <row r="49" spans="1:22" s="523" customFormat="1" x14ac:dyDescent="0.25">
      <c r="A49" s="524"/>
      <c r="B49" s="525" t="s">
        <v>1324</v>
      </c>
      <c r="C49" s="526"/>
      <c r="D49" s="527"/>
      <c r="E49" s="527"/>
      <c r="F49" s="463">
        <v>0</v>
      </c>
      <c r="G49" s="463"/>
      <c r="H49" s="463"/>
      <c r="I49" s="463"/>
      <c r="J49" s="464"/>
      <c r="K49" s="464"/>
      <c r="L49" s="463">
        <v>1050</v>
      </c>
      <c r="M49" s="464"/>
      <c r="N49" s="464"/>
      <c r="O49" s="463"/>
      <c r="P49" s="464"/>
      <c r="Q49" s="464"/>
      <c r="R49" s="463"/>
      <c r="S49" s="526">
        <v>0</v>
      </c>
      <c r="T49" s="526">
        <v>0</v>
      </c>
      <c r="U49" s="526">
        <v>9178</v>
      </c>
      <c r="V49" s="526">
        <v>1964</v>
      </c>
    </row>
    <row r="50" spans="1:22" s="523" customFormat="1" x14ac:dyDescent="0.25">
      <c r="A50" s="518" t="s">
        <v>558</v>
      </c>
      <c r="B50" s="519" t="s">
        <v>1413</v>
      </c>
      <c r="C50" s="520">
        <f>SUM(C53:C54)</f>
        <v>0</v>
      </c>
      <c r="D50" s="521"/>
      <c r="E50" s="521"/>
      <c r="F50" s="516">
        <f>SUM(F53:F54)</f>
        <v>0</v>
      </c>
      <c r="G50" s="522"/>
      <c r="H50" s="522"/>
      <c r="I50" s="516">
        <f>SUM(I53:I54)</f>
        <v>17924</v>
      </c>
      <c r="J50" s="522"/>
      <c r="K50" s="522"/>
      <c r="L50" s="516">
        <f>+L51+L52+L53+L54</f>
        <v>82963</v>
      </c>
      <c r="M50" s="516">
        <f t="shared" ref="M50:S50" si="25">+M51+M52+M53+M54</f>
        <v>0</v>
      </c>
      <c r="N50" s="516">
        <f t="shared" si="25"/>
        <v>0</v>
      </c>
      <c r="O50" s="516">
        <f t="shared" si="25"/>
        <v>0</v>
      </c>
      <c r="P50" s="516">
        <f t="shared" si="25"/>
        <v>0</v>
      </c>
      <c r="Q50" s="516">
        <f t="shared" si="25"/>
        <v>0</v>
      </c>
      <c r="R50" s="516">
        <f t="shared" si="25"/>
        <v>10706</v>
      </c>
      <c r="S50" s="516">
        <f t="shared" si="25"/>
        <v>0</v>
      </c>
      <c r="T50" s="516">
        <f>SUM(T51:T54)</f>
        <v>45614</v>
      </c>
      <c r="U50" s="516">
        <f>SUM(U51:U54)</f>
        <v>76312</v>
      </c>
      <c r="V50" s="516">
        <f>SUM(V51:V54)</f>
        <v>38012</v>
      </c>
    </row>
    <row r="51" spans="1:22" s="523" customFormat="1" x14ac:dyDescent="0.25">
      <c r="A51" s="518"/>
      <c r="B51" s="525" t="s">
        <v>286</v>
      </c>
      <c r="C51" s="520"/>
      <c r="D51" s="521"/>
      <c r="E51" s="521"/>
      <c r="F51" s="516">
        <v>0</v>
      </c>
      <c r="G51" s="522"/>
      <c r="H51" s="522"/>
      <c r="I51" s="516"/>
      <c r="J51" s="522"/>
      <c r="K51" s="522"/>
      <c r="L51" s="463">
        <v>43310</v>
      </c>
      <c r="M51" s="522"/>
      <c r="N51" s="522"/>
      <c r="O51" s="516"/>
      <c r="P51" s="522"/>
      <c r="Q51" s="522"/>
      <c r="R51" s="516"/>
      <c r="S51" s="526">
        <v>0</v>
      </c>
      <c r="T51" s="526">
        <v>31314</v>
      </c>
      <c r="U51" s="526">
        <v>51289</v>
      </c>
      <c r="V51" s="526">
        <v>31314</v>
      </c>
    </row>
    <row r="52" spans="1:22" s="523" customFormat="1" x14ac:dyDescent="0.25">
      <c r="A52" s="518"/>
      <c r="B52" s="525" t="s">
        <v>287</v>
      </c>
      <c r="C52" s="520"/>
      <c r="D52" s="521"/>
      <c r="E52" s="521"/>
      <c r="F52" s="516">
        <v>0</v>
      </c>
      <c r="G52" s="522"/>
      <c r="H52" s="522"/>
      <c r="I52" s="516"/>
      <c r="J52" s="522"/>
      <c r="K52" s="522"/>
      <c r="L52" s="463">
        <v>5543</v>
      </c>
      <c r="M52" s="522"/>
      <c r="N52" s="522"/>
      <c r="O52" s="516"/>
      <c r="P52" s="522"/>
      <c r="Q52" s="522"/>
      <c r="R52" s="516"/>
      <c r="S52" s="526">
        <v>0</v>
      </c>
      <c r="T52" s="526">
        <v>3346</v>
      </c>
      <c r="U52" s="526">
        <v>4513</v>
      </c>
      <c r="V52" s="526">
        <v>3346</v>
      </c>
    </row>
    <row r="53" spans="1:22" s="523" customFormat="1" x14ac:dyDescent="0.25">
      <c r="A53" s="524"/>
      <c r="B53" s="525" t="s">
        <v>292</v>
      </c>
      <c r="C53" s="526"/>
      <c r="D53" s="527"/>
      <c r="E53" s="527"/>
      <c r="F53" s="463">
        <v>0</v>
      </c>
      <c r="G53" s="463">
        <v>0</v>
      </c>
      <c r="H53" s="463">
        <v>0</v>
      </c>
      <c r="I53" s="463">
        <v>17924</v>
      </c>
      <c r="J53" s="464"/>
      <c r="K53" s="464"/>
      <c r="L53" s="463">
        <v>33891</v>
      </c>
      <c r="M53" s="464"/>
      <c r="N53" s="464"/>
      <c r="O53" s="463"/>
      <c r="P53" s="464"/>
      <c r="Q53" s="464"/>
      <c r="R53" s="463">
        <v>10706</v>
      </c>
      <c r="S53" s="794">
        <v>0</v>
      </c>
      <c r="T53" s="794">
        <v>10931</v>
      </c>
      <c r="U53" s="794">
        <v>20487</v>
      </c>
      <c r="V53" s="794">
        <v>3329</v>
      </c>
    </row>
    <row r="54" spans="1:22" s="523" customFormat="1" x14ac:dyDescent="0.25">
      <c r="A54" s="524"/>
      <c r="B54" s="525" t="s">
        <v>351</v>
      </c>
      <c r="C54" s="526"/>
      <c r="D54" s="527"/>
      <c r="E54" s="527"/>
      <c r="F54" s="463">
        <v>0</v>
      </c>
      <c r="G54" s="463">
        <v>0</v>
      </c>
      <c r="H54" s="463">
        <v>0</v>
      </c>
      <c r="I54" s="463">
        <v>0</v>
      </c>
      <c r="J54" s="464"/>
      <c r="K54" s="464"/>
      <c r="L54" s="463">
        <v>219</v>
      </c>
      <c r="M54" s="464"/>
      <c r="N54" s="464"/>
      <c r="O54" s="463"/>
      <c r="P54" s="464"/>
      <c r="Q54" s="464"/>
      <c r="R54" s="463">
        <v>0</v>
      </c>
      <c r="S54" s="526">
        <v>0</v>
      </c>
      <c r="T54" s="526">
        <v>23</v>
      </c>
      <c r="U54" s="526">
        <v>23</v>
      </c>
      <c r="V54" s="526">
        <v>23</v>
      </c>
    </row>
    <row r="55" spans="1:22" s="523" customFormat="1" x14ac:dyDescent="0.25">
      <c r="A55" s="518" t="s">
        <v>559</v>
      </c>
      <c r="B55" s="519" t="s">
        <v>610</v>
      </c>
      <c r="C55" s="520">
        <f>SUM(C56:C56)</f>
        <v>0</v>
      </c>
      <c r="D55" s="521"/>
      <c r="E55" s="521"/>
      <c r="F55" s="516">
        <f>SUM(F56:F56)</f>
        <v>33837</v>
      </c>
      <c r="G55" s="522"/>
      <c r="H55" s="522"/>
      <c r="I55" s="516">
        <f>SUM(I56:I56)</f>
        <v>33837</v>
      </c>
      <c r="J55" s="522"/>
      <c r="K55" s="522"/>
      <c r="L55" s="516">
        <f>SUM(L56:L56)</f>
        <v>33837</v>
      </c>
      <c r="M55" s="516">
        <f t="shared" ref="M55:R55" si="26">SUM(M56:M56)</f>
        <v>0</v>
      </c>
      <c r="N55" s="516">
        <f t="shared" si="26"/>
        <v>0</v>
      </c>
      <c r="O55" s="516">
        <f t="shared" si="26"/>
        <v>0</v>
      </c>
      <c r="P55" s="516">
        <f t="shared" si="26"/>
        <v>0</v>
      </c>
      <c r="Q55" s="516">
        <f t="shared" si="26"/>
        <v>0</v>
      </c>
      <c r="R55" s="516">
        <f t="shared" si="26"/>
        <v>5804</v>
      </c>
      <c r="S55" s="516">
        <f>+S56+S57</f>
        <v>34671</v>
      </c>
      <c r="T55" s="516">
        <f t="shared" ref="T55:V55" si="27">+T56+T57</f>
        <v>34671</v>
      </c>
      <c r="U55" s="516">
        <f t="shared" si="27"/>
        <v>34671</v>
      </c>
      <c r="V55" s="516">
        <f t="shared" si="27"/>
        <v>11390</v>
      </c>
    </row>
    <row r="56" spans="1:22" s="523" customFormat="1" x14ac:dyDescent="0.25">
      <c r="A56" s="524"/>
      <c r="B56" s="525" t="s">
        <v>337</v>
      </c>
      <c r="C56" s="526"/>
      <c r="D56" s="527"/>
      <c r="E56" s="527"/>
      <c r="F56" s="463">
        <v>33837</v>
      </c>
      <c r="G56" s="463">
        <v>33837</v>
      </c>
      <c r="H56" s="463">
        <v>33837</v>
      </c>
      <c r="I56" s="463">
        <v>33837</v>
      </c>
      <c r="J56" s="464"/>
      <c r="K56" s="464"/>
      <c r="L56" s="463">
        <v>33837</v>
      </c>
      <c r="M56" s="464"/>
      <c r="N56" s="464"/>
      <c r="O56" s="463"/>
      <c r="P56" s="464"/>
      <c r="Q56" s="464"/>
      <c r="R56" s="463">
        <v>5804</v>
      </c>
      <c r="S56" s="526">
        <v>34671</v>
      </c>
      <c r="T56" s="526">
        <v>34671</v>
      </c>
      <c r="U56" s="526">
        <v>34671</v>
      </c>
      <c r="V56" s="526">
        <v>11390</v>
      </c>
    </row>
    <row r="57" spans="1:22" s="523" customFormat="1" x14ac:dyDescent="0.25">
      <c r="A57" s="524"/>
      <c r="B57" s="525"/>
      <c r="C57" s="526"/>
      <c r="D57" s="527"/>
      <c r="E57" s="527"/>
      <c r="F57" s="463"/>
      <c r="G57" s="463"/>
      <c r="H57" s="463"/>
      <c r="I57" s="463"/>
      <c r="J57" s="464"/>
      <c r="K57" s="464"/>
      <c r="L57" s="463"/>
      <c r="M57" s="464"/>
      <c r="N57" s="464"/>
      <c r="O57" s="463"/>
      <c r="P57" s="464"/>
      <c r="Q57" s="464"/>
      <c r="R57" s="463"/>
      <c r="S57" s="526"/>
      <c r="T57" s="526"/>
      <c r="U57" s="526"/>
      <c r="V57" s="526"/>
    </row>
    <row r="58" spans="1:22" s="523" customFormat="1" ht="15" hidden="1" customHeight="1" x14ac:dyDescent="0.25">
      <c r="A58" s="518" t="s">
        <v>561</v>
      </c>
      <c r="B58" s="519" t="s">
        <v>697</v>
      </c>
      <c r="C58" s="520">
        <f>SUM(C59:C64)</f>
        <v>0</v>
      </c>
      <c r="D58" s="521">
        <v>0</v>
      </c>
      <c r="E58" s="521"/>
      <c r="F58" s="516">
        <f>SUM(F59:F64)</f>
        <v>0</v>
      </c>
      <c r="G58" s="522">
        <v>0</v>
      </c>
      <c r="H58" s="522"/>
      <c r="I58" s="516">
        <f>SUM(I59:I64)</f>
        <v>0</v>
      </c>
      <c r="J58" s="522">
        <v>0</v>
      </c>
      <c r="K58" s="522"/>
      <c r="L58" s="516">
        <f>SUM(L59:L64)</f>
        <v>0</v>
      </c>
      <c r="M58" s="522">
        <v>0</v>
      </c>
      <c r="N58" s="522"/>
      <c r="O58" s="516">
        <f>SUM(O59:O64)</f>
        <v>0</v>
      </c>
      <c r="P58" s="522">
        <v>0</v>
      </c>
      <c r="Q58" s="522"/>
      <c r="R58" s="516"/>
      <c r="S58" s="526"/>
      <c r="T58" s="526"/>
      <c r="U58" s="526"/>
      <c r="V58" s="526"/>
    </row>
    <row r="59" spans="1:22" s="523" customFormat="1" ht="15" hidden="1" customHeight="1" x14ac:dyDescent="0.25">
      <c r="A59" s="524"/>
      <c r="B59" s="525" t="s">
        <v>286</v>
      </c>
      <c r="C59" s="526"/>
      <c r="D59" s="527"/>
      <c r="E59" s="527"/>
      <c r="F59" s="463"/>
      <c r="G59" s="464"/>
      <c r="H59" s="464"/>
      <c r="I59" s="463"/>
      <c r="J59" s="464"/>
      <c r="K59" s="464"/>
      <c r="L59" s="463"/>
      <c r="M59" s="464"/>
      <c r="N59" s="464"/>
      <c r="O59" s="463"/>
      <c r="P59" s="464"/>
      <c r="Q59" s="464"/>
      <c r="R59" s="463"/>
      <c r="S59" s="526"/>
      <c r="T59" s="526"/>
      <c r="U59" s="526"/>
      <c r="V59" s="526"/>
    </row>
    <row r="60" spans="1:22" s="523" customFormat="1" ht="15" hidden="1" customHeight="1" x14ac:dyDescent="0.25">
      <c r="A60" s="524"/>
      <c r="B60" s="525" t="s">
        <v>287</v>
      </c>
      <c r="C60" s="526"/>
      <c r="D60" s="527"/>
      <c r="E60" s="527"/>
      <c r="F60" s="463"/>
      <c r="G60" s="464"/>
      <c r="H60" s="464"/>
      <c r="I60" s="463"/>
      <c r="J60" s="464"/>
      <c r="K60" s="464"/>
      <c r="L60" s="463"/>
      <c r="M60" s="464"/>
      <c r="N60" s="464"/>
      <c r="O60" s="463"/>
      <c r="P60" s="464"/>
      <c r="Q60" s="464"/>
      <c r="R60" s="463"/>
      <c r="S60" s="526"/>
      <c r="T60" s="526"/>
      <c r="U60" s="526"/>
      <c r="V60" s="526"/>
    </row>
    <row r="61" spans="1:22" s="523" customFormat="1" ht="15" hidden="1" customHeight="1" x14ac:dyDescent="0.25">
      <c r="A61" s="524"/>
      <c r="B61" s="525" t="s">
        <v>292</v>
      </c>
      <c r="C61" s="526"/>
      <c r="D61" s="527"/>
      <c r="E61" s="527"/>
      <c r="F61" s="463"/>
      <c r="G61" s="464"/>
      <c r="H61" s="464"/>
      <c r="I61" s="463"/>
      <c r="J61" s="464"/>
      <c r="K61" s="464"/>
      <c r="L61" s="463"/>
      <c r="M61" s="464"/>
      <c r="N61" s="464"/>
      <c r="O61" s="463"/>
      <c r="P61" s="464"/>
      <c r="Q61" s="464"/>
      <c r="R61" s="463"/>
      <c r="S61" s="526"/>
      <c r="T61" s="526"/>
      <c r="U61" s="526"/>
      <c r="V61" s="526"/>
    </row>
    <row r="62" spans="1:22" s="523" customFormat="1" ht="15" hidden="1" customHeight="1" x14ac:dyDescent="0.25">
      <c r="A62" s="524"/>
      <c r="B62" s="525" t="s">
        <v>698</v>
      </c>
      <c r="C62" s="526"/>
      <c r="D62" s="527"/>
      <c r="E62" s="527"/>
      <c r="F62" s="463"/>
      <c r="G62" s="464"/>
      <c r="H62" s="464"/>
      <c r="I62" s="463"/>
      <c r="J62" s="464"/>
      <c r="K62" s="464"/>
      <c r="L62" s="463"/>
      <c r="M62" s="464"/>
      <c r="N62" s="464"/>
      <c r="O62" s="463"/>
      <c r="P62" s="464"/>
      <c r="Q62" s="464"/>
      <c r="R62" s="463"/>
      <c r="S62" s="526"/>
      <c r="T62" s="526"/>
      <c r="U62" s="526"/>
      <c r="V62" s="526"/>
    </row>
    <row r="63" spans="1:22" s="523" customFormat="1" ht="15" hidden="1" customHeight="1" x14ac:dyDescent="0.25">
      <c r="A63" s="524"/>
      <c r="B63" s="525" t="s">
        <v>351</v>
      </c>
      <c r="C63" s="526"/>
      <c r="D63" s="527"/>
      <c r="E63" s="527"/>
      <c r="F63" s="463"/>
      <c r="G63" s="464"/>
      <c r="H63" s="464"/>
      <c r="I63" s="463"/>
      <c r="J63" s="464"/>
      <c r="K63" s="464"/>
      <c r="L63" s="463"/>
      <c r="M63" s="464"/>
      <c r="N63" s="464"/>
      <c r="O63" s="463"/>
      <c r="P63" s="464"/>
      <c r="Q63" s="464"/>
      <c r="R63" s="463"/>
      <c r="S63" s="526"/>
      <c r="T63" s="526"/>
      <c r="U63" s="526"/>
      <c r="V63" s="526"/>
    </row>
    <row r="64" spans="1:22" s="523" customFormat="1" ht="15" hidden="1" customHeight="1" x14ac:dyDescent="0.25">
      <c r="A64" s="524"/>
      <c r="B64" s="525" t="s">
        <v>342</v>
      </c>
      <c r="C64" s="526"/>
      <c r="D64" s="527"/>
      <c r="E64" s="527"/>
      <c r="F64" s="463"/>
      <c r="G64" s="464"/>
      <c r="H64" s="464"/>
      <c r="I64" s="463"/>
      <c r="J64" s="464"/>
      <c r="K64" s="464"/>
      <c r="L64" s="463"/>
      <c r="M64" s="464"/>
      <c r="N64" s="464"/>
      <c r="O64" s="463"/>
      <c r="P64" s="464"/>
      <c r="Q64" s="464"/>
      <c r="R64" s="463"/>
      <c r="S64" s="526"/>
      <c r="T64" s="526"/>
      <c r="U64" s="526"/>
      <c r="V64" s="526"/>
    </row>
    <row r="65" spans="1:22" s="523" customFormat="1" ht="15" hidden="1" customHeight="1" x14ac:dyDescent="0.25">
      <c r="A65" s="518" t="s">
        <v>562</v>
      </c>
      <c r="B65" s="519" t="s">
        <v>600</v>
      </c>
      <c r="C65" s="520">
        <f>C66</f>
        <v>0</v>
      </c>
      <c r="D65" s="521"/>
      <c r="E65" s="521"/>
      <c r="F65" s="516">
        <f>F66</f>
        <v>0</v>
      </c>
      <c r="G65" s="522"/>
      <c r="H65" s="522"/>
      <c r="I65" s="516">
        <f>I66</f>
        <v>0</v>
      </c>
      <c r="J65" s="522"/>
      <c r="K65" s="522"/>
      <c r="L65" s="516">
        <f>L66</f>
        <v>0</v>
      </c>
      <c r="M65" s="522"/>
      <c r="N65" s="522"/>
      <c r="O65" s="516">
        <f>O66</f>
        <v>0</v>
      </c>
      <c r="P65" s="522"/>
      <c r="Q65" s="522"/>
      <c r="R65" s="516"/>
      <c r="S65" s="526"/>
      <c r="T65" s="526"/>
      <c r="U65" s="526"/>
      <c r="V65" s="526"/>
    </row>
    <row r="66" spans="1:22" s="523" customFormat="1" ht="15" hidden="1" customHeight="1" x14ac:dyDescent="0.25">
      <c r="A66" s="524"/>
      <c r="B66" s="525" t="s">
        <v>292</v>
      </c>
      <c r="C66" s="526"/>
      <c r="D66" s="527"/>
      <c r="E66" s="527"/>
      <c r="F66" s="463"/>
      <c r="G66" s="464"/>
      <c r="H66" s="464"/>
      <c r="I66" s="463"/>
      <c r="J66" s="464"/>
      <c r="K66" s="464"/>
      <c r="L66" s="463"/>
      <c r="M66" s="464"/>
      <c r="N66" s="464"/>
      <c r="O66" s="543"/>
      <c r="P66" s="464"/>
      <c r="Q66" s="464"/>
      <c r="R66" s="463">
        <v>0</v>
      </c>
      <c r="S66" s="526"/>
      <c r="T66" s="526"/>
      <c r="U66" s="526"/>
      <c r="V66" s="526"/>
    </row>
    <row r="67" spans="1:22" s="523" customFormat="1" ht="15" hidden="1" customHeight="1" x14ac:dyDescent="0.25">
      <c r="A67" s="518" t="s">
        <v>563</v>
      </c>
      <c r="B67" s="519" t="s">
        <v>699</v>
      </c>
      <c r="C67" s="520">
        <f>C68</f>
        <v>0</v>
      </c>
      <c r="D67" s="521"/>
      <c r="E67" s="521"/>
      <c r="F67" s="516">
        <f>F68</f>
        <v>0</v>
      </c>
      <c r="G67" s="522"/>
      <c r="H67" s="522"/>
      <c r="I67" s="516">
        <f>I68</f>
        <v>0</v>
      </c>
      <c r="J67" s="522"/>
      <c r="K67" s="522"/>
      <c r="L67" s="516">
        <f>L68</f>
        <v>0</v>
      </c>
      <c r="M67" s="522"/>
      <c r="N67" s="522"/>
      <c r="O67" s="516">
        <f>O68</f>
        <v>0</v>
      </c>
      <c r="P67" s="522"/>
      <c r="Q67" s="522"/>
      <c r="R67" s="516">
        <f>R68</f>
        <v>0</v>
      </c>
      <c r="S67" s="526"/>
      <c r="T67" s="526"/>
      <c r="U67" s="526"/>
      <c r="V67" s="526"/>
    </row>
    <row r="68" spans="1:22" s="523" customFormat="1" ht="15" hidden="1" customHeight="1" x14ac:dyDescent="0.25">
      <c r="A68" s="524"/>
      <c r="B68" s="525" t="s">
        <v>337</v>
      </c>
      <c r="C68" s="526">
        <v>0</v>
      </c>
      <c r="D68" s="527"/>
      <c r="E68" s="527"/>
      <c r="F68" s="463">
        <v>0</v>
      </c>
      <c r="G68" s="464"/>
      <c r="H68" s="464"/>
      <c r="I68" s="463">
        <v>0</v>
      </c>
      <c r="J68" s="464"/>
      <c r="K68" s="464"/>
      <c r="L68" s="463">
        <v>0</v>
      </c>
      <c r="M68" s="464"/>
      <c r="N68" s="464"/>
      <c r="O68" s="463">
        <v>0</v>
      </c>
      <c r="P68" s="464"/>
      <c r="Q68" s="464"/>
      <c r="R68" s="463">
        <v>0</v>
      </c>
      <c r="S68" s="526"/>
      <c r="T68" s="526"/>
      <c r="U68" s="526"/>
      <c r="V68" s="526"/>
    </row>
    <row r="69" spans="1:22" s="536" customFormat="1" ht="15" hidden="1" customHeight="1" x14ac:dyDescent="0.25">
      <c r="A69" s="518" t="s">
        <v>564</v>
      </c>
      <c r="B69" s="519" t="s">
        <v>606</v>
      </c>
      <c r="C69" s="520">
        <f>SUM(C70:C71)</f>
        <v>0</v>
      </c>
      <c r="D69" s="521"/>
      <c r="E69" s="521">
        <v>0</v>
      </c>
      <c r="F69" s="516">
        <f>SUM(F70:F71)</f>
        <v>0</v>
      </c>
      <c r="G69" s="522"/>
      <c r="H69" s="522">
        <v>0</v>
      </c>
      <c r="I69" s="516">
        <f>SUM(I70:I71)</f>
        <v>0</v>
      </c>
      <c r="J69" s="522"/>
      <c r="K69" s="522">
        <v>0</v>
      </c>
      <c r="L69" s="516">
        <f>SUM(L70:L71)</f>
        <v>0</v>
      </c>
      <c r="M69" s="522"/>
      <c r="N69" s="522">
        <v>0</v>
      </c>
      <c r="O69" s="516">
        <f>SUM(O70:O72)</f>
        <v>0</v>
      </c>
      <c r="P69" s="522"/>
      <c r="Q69" s="522">
        <v>0</v>
      </c>
      <c r="R69" s="516">
        <f>SUM(R70:R71)</f>
        <v>0</v>
      </c>
      <c r="S69" s="520"/>
      <c r="T69" s="520"/>
      <c r="U69" s="520"/>
      <c r="V69" s="520"/>
    </row>
    <row r="70" spans="1:22" s="523" customFormat="1" ht="15" hidden="1" customHeight="1" x14ac:dyDescent="0.25">
      <c r="A70" s="524"/>
      <c r="B70" s="525" t="s">
        <v>286</v>
      </c>
      <c r="C70" s="526"/>
      <c r="D70" s="527"/>
      <c r="E70" s="527"/>
      <c r="F70" s="463"/>
      <c r="G70" s="464"/>
      <c r="H70" s="464"/>
      <c r="I70" s="463"/>
      <c r="J70" s="464"/>
      <c r="K70" s="464"/>
      <c r="L70" s="463"/>
      <c r="M70" s="464"/>
      <c r="N70" s="464"/>
      <c r="O70" s="463"/>
      <c r="P70" s="464"/>
      <c r="Q70" s="464"/>
      <c r="R70" s="463">
        <v>0</v>
      </c>
      <c r="S70" s="526"/>
      <c r="T70" s="526"/>
      <c r="U70" s="526"/>
      <c r="V70" s="526"/>
    </row>
    <row r="71" spans="1:22" s="523" customFormat="1" ht="15" hidden="1" customHeight="1" x14ac:dyDescent="0.25">
      <c r="A71" s="524"/>
      <c r="B71" s="525" t="s">
        <v>287</v>
      </c>
      <c r="C71" s="526"/>
      <c r="D71" s="527"/>
      <c r="E71" s="527"/>
      <c r="F71" s="463"/>
      <c r="G71" s="464"/>
      <c r="H71" s="464"/>
      <c r="I71" s="463"/>
      <c r="J71" s="464"/>
      <c r="K71" s="464"/>
      <c r="L71" s="463"/>
      <c r="M71" s="464"/>
      <c r="N71" s="464"/>
      <c r="O71" s="463"/>
      <c r="P71" s="464"/>
      <c r="Q71" s="464"/>
      <c r="R71" s="463">
        <v>0</v>
      </c>
      <c r="S71" s="526"/>
      <c r="T71" s="526"/>
      <c r="U71" s="526"/>
      <c r="V71" s="526"/>
    </row>
    <row r="72" spans="1:22" s="523" customFormat="1" ht="15" hidden="1" customHeight="1" x14ac:dyDescent="0.25">
      <c r="A72" s="524"/>
      <c r="B72" s="525" t="s">
        <v>1248</v>
      </c>
      <c r="C72" s="526"/>
      <c r="D72" s="527"/>
      <c r="E72" s="527"/>
      <c r="F72" s="463"/>
      <c r="G72" s="464"/>
      <c r="H72" s="464"/>
      <c r="I72" s="463"/>
      <c r="J72" s="464"/>
      <c r="K72" s="464"/>
      <c r="L72" s="463"/>
      <c r="M72" s="464"/>
      <c r="N72" s="464"/>
      <c r="O72" s="463"/>
      <c r="P72" s="464"/>
      <c r="Q72" s="464"/>
      <c r="R72" s="463"/>
      <c r="S72" s="526"/>
      <c r="T72" s="526"/>
      <c r="U72" s="526"/>
      <c r="V72" s="526"/>
    </row>
    <row r="73" spans="1:22" s="523" customFormat="1" ht="15" hidden="1" customHeight="1" x14ac:dyDescent="0.25">
      <c r="A73" s="518" t="s">
        <v>1118</v>
      </c>
      <c r="B73" s="537" t="s">
        <v>550</v>
      </c>
      <c r="C73" s="526"/>
      <c r="D73" s="527"/>
      <c r="E73" s="527"/>
      <c r="F73" s="463"/>
      <c r="G73" s="464"/>
      <c r="H73" s="464"/>
      <c r="I73" s="463"/>
      <c r="J73" s="464"/>
      <c r="K73" s="464"/>
      <c r="L73" s="463"/>
      <c r="M73" s="464"/>
      <c r="N73" s="464"/>
      <c r="O73" s="516">
        <f>SUM(O74:O74)</f>
        <v>0</v>
      </c>
      <c r="P73" s="464"/>
      <c r="Q73" s="464"/>
      <c r="R73" s="516">
        <f>SUM(R74:R74)</f>
        <v>0</v>
      </c>
      <c r="S73" s="526"/>
      <c r="T73" s="526"/>
      <c r="U73" s="526"/>
      <c r="V73" s="526"/>
    </row>
    <row r="74" spans="1:22" s="523" customFormat="1" ht="15" hidden="1" customHeight="1" x14ac:dyDescent="0.25">
      <c r="A74" s="524"/>
      <c r="B74" s="525" t="s">
        <v>292</v>
      </c>
      <c r="C74" s="526"/>
      <c r="D74" s="527"/>
      <c r="E74" s="527"/>
      <c r="F74" s="463"/>
      <c r="G74" s="464"/>
      <c r="H74" s="464"/>
      <c r="I74" s="463"/>
      <c r="J74" s="464"/>
      <c r="K74" s="464"/>
      <c r="L74" s="463"/>
      <c r="M74" s="464"/>
      <c r="N74" s="464"/>
      <c r="O74" s="463"/>
      <c r="P74" s="464"/>
      <c r="Q74" s="464"/>
      <c r="R74" s="463">
        <v>0</v>
      </c>
      <c r="S74" s="526"/>
      <c r="T74" s="526"/>
      <c r="U74" s="526"/>
      <c r="V74" s="526"/>
    </row>
    <row r="75" spans="1:22" x14ac:dyDescent="0.25">
      <c r="A75" s="307" t="s">
        <v>318</v>
      </c>
      <c r="B75" s="360" t="s">
        <v>353</v>
      </c>
      <c r="C75" s="361">
        <f>C76+C79+C82+C87+C91+C93+C95+C97+C100+C104+C106+C111+C116+C120+C125+C127+C129+C131+C135+C139+C141+C143+C147+C150+C153+C155+C157+C159+C161+C163+C165+C167+C173+C176+C182+C137+C108+C186+C145+C188+C192</f>
        <v>0</v>
      </c>
      <c r="D75" s="362"/>
      <c r="E75" s="362"/>
      <c r="F75" s="417">
        <f t="shared" ref="F75:K75" si="28">F76+F79+F82+F87+F91+F93+F95+F97+F100+F104+F106+F111+F116+F120+F125+F127+F129+F131+F135+F139+F141+F143+F147+F150+F153+F155+F157+F159+F161+F163+F165+F167+F173+F176+F182+F137+F108+F186+F145+F188+F192+F195</f>
        <v>57450</v>
      </c>
      <c r="G75" s="417">
        <f t="shared" si="28"/>
        <v>0</v>
      </c>
      <c r="H75" s="417">
        <f t="shared" si="28"/>
        <v>0</v>
      </c>
      <c r="I75" s="417">
        <f t="shared" si="28"/>
        <v>59530</v>
      </c>
      <c r="J75" s="417">
        <f t="shared" si="28"/>
        <v>0</v>
      </c>
      <c r="K75" s="417">
        <f t="shared" si="28"/>
        <v>0</v>
      </c>
      <c r="L75" s="417">
        <f t="shared" ref="L75:R75" si="29">L76+L79+L82+L87+L91+L93+L95+L97+L100+L104+L106+L111+L116+L120+L125+L127+L129+L131+L135+L139+L141+L143+L147+L150+L153+L155+L157+L159+L161+L163+L165+L167+L173+L176+L182+L137+L108+L186+L145+L188+L192+L195-8925</f>
        <v>52593</v>
      </c>
      <c r="M75" s="417">
        <f t="shared" si="29"/>
        <v>-8925</v>
      </c>
      <c r="N75" s="417">
        <f t="shared" si="29"/>
        <v>-8925</v>
      </c>
      <c r="O75" s="417">
        <f t="shared" si="29"/>
        <v>-8925</v>
      </c>
      <c r="P75" s="417">
        <f t="shared" si="29"/>
        <v>-8925</v>
      </c>
      <c r="Q75" s="417">
        <f t="shared" si="29"/>
        <v>-8925</v>
      </c>
      <c r="R75" s="417">
        <f t="shared" si="29"/>
        <v>10543</v>
      </c>
      <c r="S75" s="417">
        <f>+S76+S79+S82+S87+S91+S93+S95+S97+S100+S104+S106+S108+S111+S116+S120+S125</f>
        <v>71300</v>
      </c>
      <c r="T75" s="417">
        <f t="shared" ref="T75:V75" si="30">+T76+T79+T82+T87+T91+T93+T95+T97+T100+T104+T106+T108+T111+T116+T120+T125</f>
        <v>71300</v>
      </c>
      <c r="U75" s="417">
        <f t="shared" si="30"/>
        <v>104051</v>
      </c>
      <c r="V75" s="417">
        <f t="shared" si="30"/>
        <v>28439</v>
      </c>
    </row>
    <row r="76" spans="1:22" s="373" customFormat="1" x14ac:dyDescent="0.25">
      <c r="A76" s="363" t="s">
        <v>311</v>
      </c>
      <c r="B76" s="373" t="s">
        <v>1290</v>
      </c>
      <c r="C76" s="365">
        <f>C77</f>
        <v>0</v>
      </c>
      <c r="D76" s="366"/>
      <c r="E76" s="366"/>
      <c r="F76" s="419">
        <f t="shared" ref="F76:V76" si="31">SUM(F77:F78)</f>
        <v>600</v>
      </c>
      <c r="G76" s="419">
        <f t="shared" si="31"/>
        <v>0</v>
      </c>
      <c r="H76" s="419">
        <f t="shared" si="31"/>
        <v>0</v>
      </c>
      <c r="I76" s="419">
        <f t="shared" si="31"/>
        <v>600</v>
      </c>
      <c r="J76" s="419">
        <f t="shared" si="31"/>
        <v>0</v>
      </c>
      <c r="K76" s="419">
        <f t="shared" si="31"/>
        <v>0</v>
      </c>
      <c r="L76" s="419">
        <f t="shared" si="31"/>
        <v>600</v>
      </c>
      <c r="M76" s="419">
        <f t="shared" si="31"/>
        <v>0</v>
      </c>
      <c r="N76" s="419">
        <f t="shared" si="31"/>
        <v>0</v>
      </c>
      <c r="O76" s="419">
        <f t="shared" si="31"/>
        <v>0</v>
      </c>
      <c r="P76" s="419">
        <f t="shared" si="31"/>
        <v>0</v>
      </c>
      <c r="Q76" s="419">
        <f t="shared" si="31"/>
        <v>0</v>
      </c>
      <c r="R76" s="419">
        <f t="shared" si="31"/>
        <v>0</v>
      </c>
      <c r="S76" s="419">
        <f t="shared" si="31"/>
        <v>600</v>
      </c>
      <c r="T76" s="419">
        <f t="shared" si="31"/>
        <v>600</v>
      </c>
      <c r="U76" s="419">
        <f t="shared" ref="U76" si="32">SUM(U77:U78)</f>
        <v>600</v>
      </c>
      <c r="V76" s="419">
        <f t="shared" si="31"/>
        <v>0</v>
      </c>
    </row>
    <row r="77" spans="1:22" x14ac:dyDescent="0.25">
      <c r="A77" s="367"/>
      <c r="B77" s="351" t="s">
        <v>292</v>
      </c>
      <c r="C77" s="368"/>
      <c r="D77" s="369"/>
      <c r="E77" s="369"/>
      <c r="F77" s="421">
        <v>0</v>
      </c>
      <c r="G77" s="422"/>
      <c r="H77" s="422"/>
      <c r="I77" s="421">
        <v>0</v>
      </c>
      <c r="J77" s="422"/>
      <c r="K77" s="422"/>
      <c r="L77" s="421"/>
      <c r="M77" s="422"/>
      <c r="N77" s="422"/>
      <c r="O77" s="463"/>
      <c r="P77" s="422"/>
      <c r="Q77" s="422"/>
      <c r="R77" s="421">
        <v>0</v>
      </c>
      <c r="S77" s="368">
        <v>0</v>
      </c>
      <c r="T77" s="368">
        <v>0</v>
      </c>
      <c r="U77" s="368">
        <v>0</v>
      </c>
      <c r="V77" s="368">
        <v>0</v>
      </c>
    </row>
    <row r="78" spans="1:22" x14ac:dyDescent="0.25">
      <c r="A78" s="367"/>
      <c r="B78" s="351" t="s">
        <v>343</v>
      </c>
      <c r="C78" s="368"/>
      <c r="D78" s="369"/>
      <c r="E78" s="369"/>
      <c r="F78" s="421">
        <v>600</v>
      </c>
      <c r="G78" s="422"/>
      <c r="H78" s="422"/>
      <c r="I78" s="421">
        <v>600</v>
      </c>
      <c r="J78" s="422"/>
      <c r="K78" s="422"/>
      <c r="L78" s="421">
        <v>600</v>
      </c>
      <c r="M78" s="422"/>
      <c r="N78" s="422"/>
      <c r="O78" s="421"/>
      <c r="P78" s="422"/>
      <c r="Q78" s="422"/>
      <c r="R78" s="421">
        <v>0</v>
      </c>
      <c r="S78" s="368">
        <v>600</v>
      </c>
      <c r="T78" s="368">
        <v>600</v>
      </c>
      <c r="U78" s="368">
        <v>600</v>
      </c>
      <c r="V78" s="368">
        <v>0</v>
      </c>
    </row>
    <row r="79" spans="1:22" s="373" customFormat="1" ht="15" hidden="1" customHeight="1" x14ac:dyDescent="0.25">
      <c r="A79" s="363" t="s">
        <v>322</v>
      </c>
      <c r="B79" s="373" t="s">
        <v>1312</v>
      </c>
      <c r="C79" s="365">
        <f>SUM(C80:C81)</f>
        <v>0</v>
      </c>
      <c r="D79" s="366"/>
      <c r="E79" s="366"/>
      <c r="F79" s="419">
        <f>SUM(F80:F81)</f>
        <v>5000</v>
      </c>
      <c r="G79" s="420"/>
      <c r="H79" s="420"/>
      <c r="I79" s="419">
        <f>SUM(I80:I81)</f>
        <v>5000</v>
      </c>
      <c r="J79" s="420"/>
      <c r="K79" s="420"/>
      <c r="L79" s="419">
        <f>SUM(L80:L81)</f>
        <v>5000</v>
      </c>
      <c r="M79" s="419">
        <f t="shared" ref="M79:S79" si="33">SUM(M80:M81)</f>
        <v>0</v>
      </c>
      <c r="N79" s="419">
        <f t="shared" si="33"/>
        <v>0</v>
      </c>
      <c r="O79" s="419">
        <f t="shared" si="33"/>
        <v>0</v>
      </c>
      <c r="P79" s="419">
        <f t="shared" si="33"/>
        <v>0</v>
      </c>
      <c r="Q79" s="419">
        <f t="shared" si="33"/>
        <v>0</v>
      </c>
      <c r="R79" s="419">
        <f t="shared" si="33"/>
        <v>0</v>
      </c>
      <c r="S79" s="419">
        <f t="shared" si="33"/>
        <v>0</v>
      </c>
      <c r="T79" s="419">
        <v>0</v>
      </c>
      <c r="U79" s="419">
        <v>0</v>
      </c>
      <c r="V79" s="419">
        <v>0</v>
      </c>
    </row>
    <row r="80" spans="1:22" ht="15" hidden="1" customHeight="1" x14ac:dyDescent="0.25">
      <c r="A80" s="367"/>
      <c r="B80" s="351" t="s">
        <v>1321</v>
      </c>
      <c r="C80" s="368"/>
      <c r="D80" s="369"/>
      <c r="E80" s="369"/>
      <c r="F80" s="421">
        <v>5000</v>
      </c>
      <c r="G80" s="422"/>
      <c r="H80" s="422"/>
      <c r="I80" s="421">
        <v>5000</v>
      </c>
      <c r="J80" s="422"/>
      <c r="K80" s="422"/>
      <c r="L80" s="421">
        <v>5000</v>
      </c>
      <c r="M80" s="422"/>
      <c r="N80" s="422"/>
      <c r="O80" s="463"/>
      <c r="P80" s="422"/>
      <c r="Q80" s="422"/>
      <c r="R80" s="421">
        <v>0</v>
      </c>
      <c r="S80" s="368">
        <v>0</v>
      </c>
      <c r="T80" s="368">
        <v>0</v>
      </c>
      <c r="U80" s="368">
        <v>0</v>
      </c>
      <c r="V80" s="368">
        <v>0</v>
      </c>
    </row>
    <row r="81" spans="1:22" ht="15" hidden="1" customHeight="1" x14ac:dyDescent="0.25">
      <c r="A81" s="367"/>
      <c r="B81" s="351" t="s">
        <v>351</v>
      </c>
      <c r="C81" s="368"/>
      <c r="D81" s="369"/>
      <c r="E81" s="369"/>
      <c r="F81" s="421">
        <v>0</v>
      </c>
      <c r="G81" s="422"/>
      <c r="H81" s="422"/>
      <c r="I81" s="421">
        <v>0</v>
      </c>
      <c r="J81" s="422"/>
      <c r="K81" s="422"/>
      <c r="L81" s="421"/>
      <c r="M81" s="422"/>
      <c r="N81" s="422"/>
      <c r="O81" s="421"/>
      <c r="P81" s="422"/>
      <c r="Q81" s="422"/>
      <c r="R81" s="421">
        <v>0</v>
      </c>
      <c r="S81" s="368"/>
      <c r="T81" s="368"/>
      <c r="U81" s="368"/>
      <c r="V81" s="368"/>
    </row>
    <row r="82" spans="1:22" s="373" customFormat="1" x14ac:dyDescent="0.25">
      <c r="A82" s="363" t="s">
        <v>322</v>
      </c>
      <c r="B82" s="373" t="s">
        <v>1313</v>
      </c>
      <c r="C82" s="371">
        <f>SUM(C83:C85)</f>
        <v>0</v>
      </c>
      <c r="D82" s="372"/>
      <c r="E82" s="372"/>
      <c r="F82" s="425">
        <f>SUM(F83:F85)</f>
        <v>15000</v>
      </c>
      <c r="G82" s="426"/>
      <c r="H82" s="426"/>
      <c r="I82" s="425">
        <f>SUM(I83:I85)</f>
        <v>15000</v>
      </c>
      <c r="J82" s="426"/>
      <c r="K82" s="426"/>
      <c r="L82" s="425">
        <f>+L85+L86</f>
        <v>15000</v>
      </c>
      <c r="M82" s="425">
        <f t="shared" ref="M82:R82" si="34">+M85+M86</f>
        <v>0</v>
      </c>
      <c r="N82" s="425">
        <f t="shared" si="34"/>
        <v>0</v>
      </c>
      <c r="O82" s="425">
        <f t="shared" si="34"/>
        <v>0</v>
      </c>
      <c r="P82" s="425">
        <f t="shared" si="34"/>
        <v>0</v>
      </c>
      <c r="Q82" s="425">
        <f t="shared" si="34"/>
        <v>0</v>
      </c>
      <c r="R82" s="425">
        <f t="shared" si="34"/>
        <v>5000</v>
      </c>
      <c r="S82" s="425">
        <f>+S85+S86</f>
        <v>30000</v>
      </c>
      <c r="T82" s="425">
        <f t="shared" ref="T82:V82" si="35">+T85+T86</f>
        <v>30000</v>
      </c>
      <c r="U82" s="425">
        <f t="shared" si="35"/>
        <v>30000</v>
      </c>
      <c r="V82" s="425">
        <f t="shared" si="35"/>
        <v>15000</v>
      </c>
    </row>
    <row r="83" spans="1:22" ht="15" hidden="1" customHeight="1" x14ac:dyDescent="0.25">
      <c r="A83" s="367"/>
      <c r="B83" s="370" t="s">
        <v>286</v>
      </c>
      <c r="C83" s="287"/>
      <c r="D83" s="346"/>
      <c r="E83" s="346"/>
      <c r="F83" s="423"/>
      <c r="G83" s="424"/>
      <c r="H83" s="424"/>
      <c r="I83" s="423"/>
      <c r="J83" s="424"/>
      <c r="K83" s="424"/>
      <c r="L83" s="423"/>
      <c r="M83" s="424"/>
      <c r="N83" s="424"/>
      <c r="O83" s="423"/>
      <c r="P83" s="424"/>
      <c r="Q83" s="424"/>
      <c r="R83" s="423">
        <v>0</v>
      </c>
      <c r="S83" s="368"/>
      <c r="T83" s="368"/>
      <c r="U83" s="368"/>
      <c r="V83" s="368"/>
    </row>
    <row r="84" spans="1:22" ht="15" hidden="1" customHeight="1" x14ac:dyDescent="0.25">
      <c r="A84" s="367"/>
      <c r="B84" s="370" t="s">
        <v>287</v>
      </c>
      <c r="C84" s="287"/>
      <c r="D84" s="346"/>
      <c r="E84" s="346"/>
      <c r="F84" s="423"/>
      <c r="G84" s="424"/>
      <c r="H84" s="424"/>
      <c r="I84" s="423"/>
      <c r="J84" s="424"/>
      <c r="K84" s="424"/>
      <c r="L84" s="423"/>
      <c r="M84" s="424"/>
      <c r="N84" s="424"/>
      <c r="O84" s="423"/>
      <c r="P84" s="424"/>
      <c r="Q84" s="424"/>
      <c r="R84" s="423">
        <v>0</v>
      </c>
      <c r="S84" s="368"/>
      <c r="T84" s="368"/>
      <c r="U84" s="368"/>
      <c r="V84" s="368"/>
    </row>
    <row r="85" spans="1:22" x14ac:dyDescent="0.25">
      <c r="A85" s="367"/>
      <c r="B85" s="370" t="s">
        <v>292</v>
      </c>
      <c r="C85" s="287"/>
      <c r="D85" s="346"/>
      <c r="E85" s="346"/>
      <c r="F85" s="423">
        <v>15000</v>
      </c>
      <c r="G85" s="424"/>
      <c r="H85" s="424"/>
      <c r="I85" s="423">
        <v>15000</v>
      </c>
      <c r="J85" s="424"/>
      <c r="K85" s="424"/>
      <c r="L85" s="423">
        <v>2500</v>
      </c>
      <c r="M85" s="424"/>
      <c r="N85" s="424"/>
      <c r="O85" s="517"/>
      <c r="P85" s="424"/>
      <c r="Q85" s="424"/>
      <c r="R85" s="423">
        <v>5000</v>
      </c>
      <c r="S85" s="368">
        <v>30000</v>
      </c>
      <c r="T85" s="368">
        <v>30000</v>
      </c>
      <c r="U85" s="368">
        <v>30000</v>
      </c>
      <c r="V85" s="368">
        <v>15000</v>
      </c>
    </row>
    <row r="86" spans="1:22" x14ac:dyDescent="0.25">
      <c r="A86" s="367"/>
      <c r="B86" s="370" t="s">
        <v>1321</v>
      </c>
      <c r="C86" s="287"/>
      <c r="D86" s="346"/>
      <c r="E86" s="346"/>
      <c r="F86" s="423">
        <v>0</v>
      </c>
      <c r="G86" s="424"/>
      <c r="H86" s="424"/>
      <c r="I86" s="423"/>
      <c r="J86" s="424"/>
      <c r="K86" s="424"/>
      <c r="L86" s="423">
        <v>12500</v>
      </c>
      <c r="M86" s="424"/>
      <c r="N86" s="424"/>
      <c r="O86" s="517"/>
      <c r="P86" s="424"/>
      <c r="Q86" s="424"/>
      <c r="R86" s="423"/>
      <c r="S86" s="368">
        <v>0</v>
      </c>
      <c r="T86" s="368">
        <v>0</v>
      </c>
      <c r="U86" s="368">
        <v>0</v>
      </c>
      <c r="V86" s="368">
        <v>0</v>
      </c>
    </row>
    <row r="87" spans="1:22" s="373" customFormat="1" x14ac:dyDescent="0.25">
      <c r="A87" s="363" t="s">
        <v>315</v>
      </c>
      <c r="B87" s="790" t="s">
        <v>1314</v>
      </c>
      <c r="C87" s="365">
        <f>SUM(C88:C90)</f>
        <v>0</v>
      </c>
      <c r="D87" s="366"/>
      <c r="E87" s="366"/>
      <c r="F87" s="419">
        <f>SUM(F88:F90)</f>
        <v>3500</v>
      </c>
      <c r="G87" s="420"/>
      <c r="H87" s="420"/>
      <c r="I87" s="419">
        <f>SUM(I88:I90)</f>
        <v>3500</v>
      </c>
      <c r="J87" s="420"/>
      <c r="K87" s="420"/>
      <c r="L87" s="419">
        <f>SUM(L88:L90)</f>
        <v>3500</v>
      </c>
      <c r="M87" s="419">
        <f t="shared" ref="M87:V87" si="36">SUM(M88:M90)</f>
        <v>0</v>
      </c>
      <c r="N87" s="419">
        <f t="shared" si="36"/>
        <v>0</v>
      </c>
      <c r="O87" s="419">
        <f t="shared" si="36"/>
        <v>0</v>
      </c>
      <c r="P87" s="419">
        <f t="shared" si="36"/>
        <v>0</v>
      </c>
      <c r="Q87" s="419">
        <f t="shared" si="36"/>
        <v>0</v>
      </c>
      <c r="R87" s="419">
        <f t="shared" si="36"/>
        <v>1162</v>
      </c>
      <c r="S87" s="419">
        <f t="shared" si="36"/>
        <v>4000</v>
      </c>
      <c r="T87" s="419">
        <f t="shared" si="36"/>
        <v>4000</v>
      </c>
      <c r="U87" s="419">
        <f t="shared" ref="U87" si="37">SUM(U88:U90)</f>
        <v>4000</v>
      </c>
      <c r="V87" s="419">
        <f t="shared" si="36"/>
        <v>1453</v>
      </c>
    </row>
    <row r="88" spans="1:22" ht="15" hidden="1" customHeight="1" x14ac:dyDescent="0.25">
      <c r="A88" s="367"/>
      <c r="B88" s="351" t="s">
        <v>286</v>
      </c>
      <c r="C88" s="368"/>
      <c r="D88" s="369"/>
      <c r="E88" s="369"/>
      <c r="F88" s="421"/>
      <c r="G88" s="422"/>
      <c r="H88" s="422"/>
      <c r="I88" s="421"/>
      <c r="J88" s="422"/>
      <c r="K88" s="422"/>
      <c r="L88" s="421"/>
      <c r="M88" s="422"/>
      <c r="N88" s="422"/>
      <c r="O88" s="421"/>
      <c r="P88" s="422"/>
      <c r="Q88" s="422"/>
      <c r="R88" s="421">
        <v>0</v>
      </c>
      <c r="S88" s="368"/>
      <c r="T88" s="368"/>
      <c r="U88" s="368"/>
      <c r="V88" s="368"/>
    </row>
    <row r="89" spans="1:22" ht="15" hidden="1" customHeight="1" x14ac:dyDescent="0.25">
      <c r="A89" s="367"/>
      <c r="B89" s="351" t="s">
        <v>287</v>
      </c>
      <c r="C89" s="368"/>
      <c r="D89" s="369"/>
      <c r="E89" s="369"/>
      <c r="F89" s="421"/>
      <c r="G89" s="422"/>
      <c r="H89" s="422"/>
      <c r="I89" s="421"/>
      <c r="J89" s="422"/>
      <c r="K89" s="422"/>
      <c r="L89" s="421"/>
      <c r="M89" s="422"/>
      <c r="N89" s="422"/>
      <c r="O89" s="421"/>
      <c r="P89" s="422"/>
      <c r="Q89" s="422"/>
      <c r="R89" s="421">
        <v>0</v>
      </c>
      <c r="S89" s="368"/>
      <c r="T89" s="368"/>
      <c r="U89" s="368"/>
      <c r="V89" s="368"/>
    </row>
    <row r="90" spans="1:22" x14ac:dyDescent="0.25">
      <c r="A90" s="367"/>
      <c r="B90" s="791" t="s">
        <v>292</v>
      </c>
      <c r="C90" s="368"/>
      <c r="D90" s="369"/>
      <c r="E90" s="369"/>
      <c r="F90" s="421">
        <v>3500</v>
      </c>
      <c r="G90" s="422"/>
      <c r="H90" s="422"/>
      <c r="I90" s="421">
        <v>3500</v>
      </c>
      <c r="J90" s="422"/>
      <c r="K90" s="422"/>
      <c r="L90" s="421">
        <v>3500</v>
      </c>
      <c r="M90" s="422"/>
      <c r="N90" s="422"/>
      <c r="O90" s="463"/>
      <c r="P90" s="422"/>
      <c r="Q90" s="422"/>
      <c r="R90" s="421">
        <v>1162</v>
      </c>
      <c r="S90" s="368">
        <v>4000</v>
      </c>
      <c r="T90" s="368">
        <v>4000</v>
      </c>
      <c r="U90" s="368">
        <v>4000</v>
      </c>
      <c r="V90" s="368">
        <v>1453</v>
      </c>
    </row>
    <row r="91" spans="1:22" s="373" customFormat="1" ht="15" hidden="1" customHeight="1" x14ac:dyDescent="0.25">
      <c r="A91" s="363" t="s">
        <v>338</v>
      </c>
      <c r="B91" s="790" t="s">
        <v>1043</v>
      </c>
      <c r="C91" s="365">
        <f>C92</f>
        <v>0</v>
      </c>
      <c r="D91" s="366"/>
      <c r="E91" s="366"/>
      <c r="F91" s="419">
        <f>F92</f>
        <v>700</v>
      </c>
      <c r="G91" s="420"/>
      <c r="H91" s="420"/>
      <c r="I91" s="419">
        <f>I92</f>
        <v>700</v>
      </c>
      <c r="J91" s="420"/>
      <c r="K91" s="420"/>
      <c r="L91" s="419">
        <f>L92</f>
        <v>700</v>
      </c>
      <c r="M91" s="419">
        <f t="shared" ref="M91:S91" si="38">M92</f>
        <v>0</v>
      </c>
      <c r="N91" s="419">
        <f t="shared" si="38"/>
        <v>0</v>
      </c>
      <c r="O91" s="419">
        <f t="shared" si="38"/>
        <v>0</v>
      </c>
      <c r="P91" s="419">
        <f t="shared" si="38"/>
        <v>0</v>
      </c>
      <c r="Q91" s="419">
        <f t="shared" si="38"/>
        <v>0</v>
      </c>
      <c r="R91" s="419">
        <f t="shared" si="38"/>
        <v>0</v>
      </c>
      <c r="S91" s="419">
        <f t="shared" si="38"/>
        <v>0</v>
      </c>
      <c r="T91" s="419">
        <v>0</v>
      </c>
      <c r="U91" s="419">
        <v>0</v>
      </c>
      <c r="V91" s="419">
        <v>0</v>
      </c>
    </row>
    <row r="92" spans="1:22" ht="15" hidden="1" customHeight="1" x14ac:dyDescent="0.25">
      <c r="A92" s="367"/>
      <c r="B92" s="351" t="s">
        <v>1321</v>
      </c>
      <c r="C92" s="368"/>
      <c r="D92" s="369"/>
      <c r="E92" s="369"/>
      <c r="F92" s="421">
        <v>700</v>
      </c>
      <c r="G92" s="422"/>
      <c r="H92" s="422"/>
      <c r="I92" s="421">
        <v>700</v>
      </c>
      <c r="J92" s="422"/>
      <c r="K92" s="422"/>
      <c r="L92" s="421">
        <v>700</v>
      </c>
      <c r="M92" s="422"/>
      <c r="N92" s="422"/>
      <c r="O92" s="463"/>
      <c r="P92" s="422"/>
      <c r="Q92" s="422"/>
      <c r="R92" s="421">
        <v>0</v>
      </c>
      <c r="S92" s="368">
        <v>0</v>
      </c>
      <c r="T92" s="368">
        <v>0</v>
      </c>
      <c r="U92" s="368">
        <v>0</v>
      </c>
      <c r="V92" s="368">
        <v>0</v>
      </c>
    </row>
    <row r="93" spans="1:22" s="373" customFormat="1" x14ac:dyDescent="0.25">
      <c r="A93" s="363" t="s">
        <v>336</v>
      </c>
      <c r="B93" s="373" t="s">
        <v>1315</v>
      </c>
      <c r="C93" s="365">
        <f>C94</f>
        <v>0</v>
      </c>
      <c r="D93" s="366"/>
      <c r="E93" s="366"/>
      <c r="F93" s="419">
        <f>F94</f>
        <v>3000</v>
      </c>
      <c r="G93" s="420"/>
      <c r="H93" s="420"/>
      <c r="I93" s="419">
        <f>I94</f>
        <v>3000</v>
      </c>
      <c r="J93" s="420"/>
      <c r="K93" s="420"/>
      <c r="L93" s="419">
        <f>L94</f>
        <v>3000</v>
      </c>
      <c r="M93" s="419">
        <f t="shared" ref="M93:V93" si="39">M94</f>
        <v>0</v>
      </c>
      <c r="N93" s="419">
        <f t="shared" si="39"/>
        <v>0</v>
      </c>
      <c r="O93" s="419">
        <f t="shared" si="39"/>
        <v>0</v>
      </c>
      <c r="P93" s="419">
        <f t="shared" si="39"/>
        <v>0</v>
      </c>
      <c r="Q93" s="419">
        <f t="shared" si="39"/>
        <v>0</v>
      </c>
      <c r="R93" s="419">
        <f t="shared" si="39"/>
        <v>0</v>
      </c>
      <c r="S93" s="419">
        <f t="shared" si="39"/>
        <v>3000</v>
      </c>
      <c r="T93" s="419">
        <f t="shared" si="39"/>
        <v>3000</v>
      </c>
      <c r="U93" s="419">
        <f t="shared" si="39"/>
        <v>3000</v>
      </c>
      <c r="V93" s="419">
        <f t="shared" si="39"/>
        <v>600</v>
      </c>
    </row>
    <row r="94" spans="1:22" x14ac:dyDescent="0.25">
      <c r="A94" s="367"/>
      <c r="B94" s="351" t="s">
        <v>343</v>
      </c>
      <c r="C94" s="368"/>
      <c r="D94" s="369"/>
      <c r="E94" s="369"/>
      <c r="F94" s="421">
        <v>3000</v>
      </c>
      <c r="G94" s="422"/>
      <c r="H94" s="422"/>
      <c r="I94" s="421">
        <v>3000</v>
      </c>
      <c r="J94" s="422"/>
      <c r="K94" s="422"/>
      <c r="L94" s="421">
        <v>3000</v>
      </c>
      <c r="M94" s="422"/>
      <c r="N94" s="422"/>
      <c r="O94" s="463"/>
      <c r="P94" s="422"/>
      <c r="Q94" s="422"/>
      <c r="R94" s="421">
        <v>0</v>
      </c>
      <c r="S94" s="368">
        <v>3000</v>
      </c>
      <c r="T94" s="368">
        <v>3000</v>
      </c>
      <c r="U94" s="368">
        <v>3000</v>
      </c>
      <c r="V94" s="368">
        <v>600</v>
      </c>
    </row>
    <row r="95" spans="1:22" s="511" customFormat="1" x14ac:dyDescent="0.25">
      <c r="A95" s="363" t="s">
        <v>338</v>
      </c>
      <c r="B95" s="373" t="s">
        <v>1309</v>
      </c>
      <c r="C95" s="365">
        <f>C96</f>
        <v>0</v>
      </c>
      <c r="D95" s="366"/>
      <c r="E95" s="366"/>
      <c r="F95" s="419">
        <f>F96</f>
        <v>500</v>
      </c>
      <c r="G95" s="420"/>
      <c r="H95" s="420"/>
      <c r="I95" s="419">
        <f>I96</f>
        <v>500</v>
      </c>
      <c r="J95" s="420"/>
      <c r="K95" s="420"/>
      <c r="L95" s="419">
        <f>L96</f>
        <v>500</v>
      </c>
      <c r="M95" s="419">
        <f t="shared" ref="M95:V95" si="40">M96</f>
        <v>0</v>
      </c>
      <c r="N95" s="419">
        <f t="shared" si="40"/>
        <v>0</v>
      </c>
      <c r="O95" s="419">
        <f t="shared" si="40"/>
        <v>0</v>
      </c>
      <c r="P95" s="419">
        <f t="shared" si="40"/>
        <v>0</v>
      </c>
      <c r="Q95" s="419">
        <f t="shared" si="40"/>
        <v>0</v>
      </c>
      <c r="R95" s="419">
        <f t="shared" si="40"/>
        <v>0</v>
      </c>
      <c r="S95" s="419">
        <f t="shared" si="40"/>
        <v>500</v>
      </c>
      <c r="T95" s="419">
        <f t="shared" si="40"/>
        <v>500</v>
      </c>
      <c r="U95" s="419">
        <f t="shared" si="40"/>
        <v>500</v>
      </c>
      <c r="V95" s="419">
        <f t="shared" si="40"/>
        <v>0</v>
      </c>
    </row>
    <row r="96" spans="1:22" x14ac:dyDescent="0.25">
      <c r="A96" s="367"/>
      <c r="B96" s="351" t="s">
        <v>292</v>
      </c>
      <c r="C96" s="368"/>
      <c r="D96" s="369"/>
      <c r="E96" s="369"/>
      <c r="F96" s="421">
        <v>500</v>
      </c>
      <c r="G96" s="422"/>
      <c r="H96" s="422"/>
      <c r="I96" s="421">
        <v>500</v>
      </c>
      <c r="J96" s="422"/>
      <c r="K96" s="422"/>
      <c r="L96" s="421">
        <v>500</v>
      </c>
      <c r="M96" s="422"/>
      <c r="N96" s="422"/>
      <c r="O96" s="463"/>
      <c r="P96" s="422"/>
      <c r="Q96" s="422"/>
      <c r="R96" s="421">
        <v>0</v>
      </c>
      <c r="S96" s="368">
        <v>500</v>
      </c>
      <c r="T96" s="368">
        <v>500</v>
      </c>
      <c r="U96" s="368">
        <v>500</v>
      </c>
      <c r="V96" s="368">
        <v>0</v>
      </c>
    </row>
    <row r="97" spans="1:22" s="374" customFormat="1" ht="15" hidden="1" customHeight="1" x14ac:dyDescent="0.25">
      <c r="A97" s="363" t="s">
        <v>552</v>
      </c>
      <c r="B97" s="790" t="s">
        <v>1416</v>
      </c>
      <c r="C97" s="371">
        <f>C99</f>
        <v>0</v>
      </c>
      <c r="D97" s="372"/>
      <c r="E97" s="372"/>
      <c r="F97" s="425">
        <f>F99</f>
        <v>3600</v>
      </c>
      <c r="G97" s="426"/>
      <c r="H97" s="426"/>
      <c r="I97" s="425">
        <f>I99</f>
        <v>3600</v>
      </c>
      <c r="J97" s="426"/>
      <c r="K97" s="426"/>
      <c r="L97" s="425">
        <f>L99</f>
        <v>3600</v>
      </c>
      <c r="M97" s="425">
        <f t="shared" ref="M97:R97" si="41">M99</f>
        <v>0</v>
      </c>
      <c r="N97" s="425">
        <f t="shared" si="41"/>
        <v>0</v>
      </c>
      <c r="O97" s="425">
        <f t="shared" si="41"/>
        <v>0</v>
      </c>
      <c r="P97" s="425">
        <f t="shared" si="41"/>
        <v>0</v>
      </c>
      <c r="Q97" s="425">
        <f t="shared" si="41"/>
        <v>0</v>
      </c>
      <c r="R97" s="425">
        <f t="shared" si="41"/>
        <v>0</v>
      </c>
      <c r="S97" s="425">
        <f>S99+S98</f>
        <v>0</v>
      </c>
      <c r="T97" s="425">
        <v>0</v>
      </c>
      <c r="U97" s="425">
        <v>0</v>
      </c>
      <c r="V97" s="425">
        <v>0</v>
      </c>
    </row>
    <row r="98" spans="1:22" s="374" customFormat="1" ht="15" hidden="1" customHeight="1" x14ac:dyDescent="0.25">
      <c r="A98" s="363"/>
      <c r="B98" s="791" t="s">
        <v>292</v>
      </c>
      <c r="C98" s="371"/>
      <c r="D98" s="372"/>
      <c r="E98" s="372"/>
      <c r="F98" s="425">
        <v>0</v>
      </c>
      <c r="G98" s="426"/>
      <c r="H98" s="426"/>
      <c r="I98" s="425"/>
      <c r="J98" s="426"/>
      <c r="K98" s="426"/>
      <c r="L98" s="425"/>
      <c r="M98" s="425"/>
      <c r="N98" s="425"/>
      <c r="O98" s="425"/>
      <c r="P98" s="425"/>
      <c r="Q98" s="425"/>
      <c r="R98" s="425"/>
      <c r="S98" s="423">
        <v>0</v>
      </c>
      <c r="T98" s="423">
        <v>0</v>
      </c>
      <c r="U98" s="423">
        <v>0</v>
      </c>
      <c r="V98" s="423">
        <v>0</v>
      </c>
    </row>
    <row r="99" spans="1:22" s="375" customFormat="1" ht="15" hidden="1" customHeight="1" x14ac:dyDescent="0.25">
      <c r="A99" s="367"/>
      <c r="B99" s="370" t="s">
        <v>1321</v>
      </c>
      <c r="C99" s="287"/>
      <c r="D99" s="346"/>
      <c r="E99" s="346"/>
      <c r="F99" s="423">
        <v>3600</v>
      </c>
      <c r="G99" s="424"/>
      <c r="H99" s="424"/>
      <c r="I99" s="423">
        <v>3600</v>
      </c>
      <c r="J99" s="424"/>
      <c r="K99" s="424"/>
      <c r="L99" s="423">
        <v>3600</v>
      </c>
      <c r="M99" s="424"/>
      <c r="N99" s="424"/>
      <c r="O99" s="517"/>
      <c r="P99" s="424"/>
      <c r="Q99" s="424"/>
      <c r="R99" s="423">
        <v>0</v>
      </c>
      <c r="S99" s="287">
        <v>0</v>
      </c>
      <c r="T99" s="287">
        <v>0</v>
      </c>
      <c r="U99" s="287">
        <v>0</v>
      </c>
      <c r="V99" s="287">
        <v>0</v>
      </c>
    </row>
    <row r="100" spans="1:22" s="373" customFormat="1" x14ac:dyDescent="0.25">
      <c r="A100" s="363" t="s">
        <v>552</v>
      </c>
      <c r="B100" s="790" t="s">
        <v>1316</v>
      </c>
      <c r="C100" s="365">
        <f>C103</f>
        <v>0</v>
      </c>
      <c r="D100" s="366"/>
      <c r="E100" s="366"/>
      <c r="F100" s="419">
        <f>F103</f>
        <v>500</v>
      </c>
      <c r="G100" s="420"/>
      <c r="H100" s="420"/>
      <c r="I100" s="419">
        <f>I103</f>
        <v>500</v>
      </c>
      <c r="J100" s="420"/>
      <c r="K100" s="420"/>
      <c r="L100" s="419">
        <f>+L101+L102+L103</f>
        <v>500</v>
      </c>
      <c r="M100" s="419">
        <f t="shared" ref="M100:V100" si="42">+M101+M102+M103</f>
        <v>0</v>
      </c>
      <c r="N100" s="419">
        <f t="shared" si="42"/>
        <v>0</v>
      </c>
      <c r="O100" s="419">
        <f t="shared" si="42"/>
        <v>0</v>
      </c>
      <c r="P100" s="419">
        <f t="shared" si="42"/>
        <v>0</v>
      </c>
      <c r="Q100" s="419">
        <f t="shared" si="42"/>
        <v>0</v>
      </c>
      <c r="R100" s="419">
        <f t="shared" si="42"/>
        <v>306</v>
      </c>
      <c r="S100" s="419">
        <f t="shared" si="42"/>
        <v>500</v>
      </c>
      <c r="T100" s="419">
        <f t="shared" si="42"/>
        <v>500</v>
      </c>
      <c r="U100" s="419">
        <f t="shared" si="42"/>
        <v>500</v>
      </c>
      <c r="V100" s="419">
        <f t="shared" si="42"/>
        <v>0</v>
      </c>
    </row>
    <row r="101" spans="1:22" x14ac:dyDescent="0.25">
      <c r="A101" s="367"/>
      <c r="B101" s="791" t="s">
        <v>286</v>
      </c>
      <c r="C101" s="368"/>
      <c r="D101" s="369"/>
      <c r="E101" s="369"/>
      <c r="F101" s="421"/>
      <c r="G101" s="422"/>
      <c r="H101" s="422"/>
      <c r="I101" s="421"/>
      <c r="J101" s="422"/>
      <c r="K101" s="422"/>
      <c r="L101" s="421">
        <v>251</v>
      </c>
      <c r="M101" s="422"/>
      <c r="N101" s="422"/>
      <c r="O101" s="421"/>
      <c r="P101" s="422"/>
      <c r="Q101" s="422"/>
      <c r="R101" s="421"/>
      <c r="S101" s="368">
        <v>0</v>
      </c>
      <c r="T101" s="368">
        <v>0</v>
      </c>
      <c r="U101" s="368">
        <v>0</v>
      </c>
      <c r="V101" s="368">
        <v>0</v>
      </c>
    </row>
    <row r="102" spans="1:22" x14ac:dyDescent="0.25">
      <c r="A102" s="367"/>
      <c r="B102" s="791" t="s">
        <v>287</v>
      </c>
      <c r="C102" s="368"/>
      <c r="D102" s="369"/>
      <c r="E102" s="369"/>
      <c r="F102" s="421"/>
      <c r="G102" s="422"/>
      <c r="H102" s="422"/>
      <c r="I102" s="421"/>
      <c r="J102" s="422"/>
      <c r="K102" s="422"/>
      <c r="L102" s="421">
        <v>55</v>
      </c>
      <c r="M102" s="422"/>
      <c r="N102" s="422"/>
      <c r="O102" s="421"/>
      <c r="P102" s="422"/>
      <c r="Q102" s="422"/>
      <c r="R102" s="421"/>
      <c r="S102" s="368">
        <v>0</v>
      </c>
      <c r="T102" s="368">
        <v>0</v>
      </c>
      <c r="U102" s="368">
        <v>0</v>
      </c>
      <c r="V102" s="368">
        <v>0</v>
      </c>
    </row>
    <row r="103" spans="1:22" x14ac:dyDescent="0.25">
      <c r="A103" s="367"/>
      <c r="B103" s="370" t="s">
        <v>1321</v>
      </c>
      <c r="C103" s="368"/>
      <c r="D103" s="369"/>
      <c r="E103" s="369"/>
      <c r="F103" s="421">
        <v>500</v>
      </c>
      <c r="G103" s="422"/>
      <c r="H103" s="422"/>
      <c r="I103" s="421">
        <v>500</v>
      </c>
      <c r="J103" s="422"/>
      <c r="K103" s="422"/>
      <c r="L103" s="421">
        <v>194</v>
      </c>
      <c r="M103" s="422"/>
      <c r="N103" s="422"/>
      <c r="O103" s="463"/>
      <c r="P103" s="422"/>
      <c r="Q103" s="422"/>
      <c r="R103" s="421">
        <v>306</v>
      </c>
      <c r="S103" s="368">
        <v>500</v>
      </c>
      <c r="T103" s="368">
        <v>500</v>
      </c>
      <c r="U103" s="368">
        <v>500</v>
      </c>
      <c r="V103" s="368">
        <v>0</v>
      </c>
    </row>
    <row r="104" spans="1:22" s="373" customFormat="1" x14ac:dyDescent="0.25">
      <c r="A104" s="363" t="s">
        <v>554</v>
      </c>
      <c r="B104" s="373" t="s">
        <v>1317</v>
      </c>
      <c r="C104" s="365">
        <f>C105</f>
        <v>0</v>
      </c>
      <c r="D104" s="366"/>
      <c r="E104" s="366"/>
      <c r="F104" s="419">
        <f>F105</f>
        <v>9500</v>
      </c>
      <c r="G104" s="420"/>
      <c r="H104" s="420"/>
      <c r="I104" s="419">
        <f>I105</f>
        <v>9500</v>
      </c>
      <c r="J104" s="420"/>
      <c r="K104" s="420"/>
      <c r="L104" s="419">
        <f>L105</f>
        <v>9500</v>
      </c>
      <c r="M104" s="419">
        <f t="shared" ref="M104:V104" si="43">M105</f>
        <v>0</v>
      </c>
      <c r="N104" s="419">
        <f t="shared" si="43"/>
        <v>0</v>
      </c>
      <c r="O104" s="419">
        <f t="shared" si="43"/>
        <v>0</v>
      </c>
      <c r="P104" s="419">
        <f t="shared" si="43"/>
        <v>0</v>
      </c>
      <c r="Q104" s="419">
        <f t="shared" si="43"/>
        <v>0</v>
      </c>
      <c r="R104" s="419">
        <f t="shared" si="43"/>
        <v>0</v>
      </c>
      <c r="S104" s="419">
        <f t="shared" si="43"/>
        <v>18500</v>
      </c>
      <c r="T104" s="419">
        <f t="shared" si="43"/>
        <v>18500</v>
      </c>
      <c r="U104" s="419">
        <f t="shared" si="43"/>
        <v>49751</v>
      </c>
      <c r="V104" s="419">
        <f t="shared" si="43"/>
        <v>0</v>
      </c>
    </row>
    <row r="105" spans="1:22" x14ac:dyDescent="0.25">
      <c r="A105" s="367"/>
      <c r="B105" s="370" t="s">
        <v>1321</v>
      </c>
      <c r="C105" s="368"/>
      <c r="D105" s="369"/>
      <c r="E105" s="369"/>
      <c r="F105" s="421">
        <v>9500</v>
      </c>
      <c r="G105" s="422"/>
      <c r="H105" s="422"/>
      <c r="I105" s="421">
        <v>9500</v>
      </c>
      <c r="J105" s="422"/>
      <c r="K105" s="422"/>
      <c r="L105" s="421">
        <v>9500</v>
      </c>
      <c r="M105" s="422"/>
      <c r="N105" s="422"/>
      <c r="O105" s="463"/>
      <c r="P105" s="422"/>
      <c r="Q105" s="422"/>
      <c r="R105" s="421">
        <v>0</v>
      </c>
      <c r="S105" s="526">
        <v>18500</v>
      </c>
      <c r="T105" s="526">
        <v>18500</v>
      </c>
      <c r="U105" s="526">
        <v>49751</v>
      </c>
      <c r="V105" s="526">
        <v>0</v>
      </c>
    </row>
    <row r="106" spans="1:22" s="373" customFormat="1" x14ac:dyDescent="0.25">
      <c r="A106" s="363" t="s">
        <v>556</v>
      </c>
      <c r="B106" s="373" t="s">
        <v>1318</v>
      </c>
      <c r="C106" s="365">
        <f>C107</f>
        <v>0</v>
      </c>
      <c r="D106" s="366"/>
      <c r="E106" s="366"/>
      <c r="F106" s="419">
        <f>F107</f>
        <v>1500</v>
      </c>
      <c r="G106" s="420"/>
      <c r="H106" s="420"/>
      <c r="I106" s="419">
        <f>I107</f>
        <v>1500</v>
      </c>
      <c r="J106" s="420"/>
      <c r="K106" s="420"/>
      <c r="L106" s="419">
        <f>L107</f>
        <v>1500</v>
      </c>
      <c r="M106" s="419">
        <f t="shared" ref="M106:V106" si="44">M107</f>
        <v>0</v>
      </c>
      <c r="N106" s="419">
        <f t="shared" si="44"/>
        <v>0</v>
      </c>
      <c r="O106" s="419">
        <f t="shared" si="44"/>
        <v>0</v>
      </c>
      <c r="P106" s="419">
        <f t="shared" si="44"/>
        <v>0</v>
      </c>
      <c r="Q106" s="419">
        <f t="shared" si="44"/>
        <v>0</v>
      </c>
      <c r="R106" s="419">
        <f t="shared" si="44"/>
        <v>350</v>
      </c>
      <c r="S106" s="419">
        <f t="shared" si="44"/>
        <v>1500</v>
      </c>
      <c r="T106" s="419">
        <f t="shared" si="44"/>
        <v>1500</v>
      </c>
      <c r="U106" s="419">
        <f t="shared" si="44"/>
        <v>1500</v>
      </c>
      <c r="V106" s="419">
        <f t="shared" si="44"/>
        <v>615</v>
      </c>
    </row>
    <row r="107" spans="1:22" x14ac:dyDescent="0.25">
      <c r="A107" s="367"/>
      <c r="B107" s="370" t="s">
        <v>1321</v>
      </c>
      <c r="C107" s="368"/>
      <c r="D107" s="369"/>
      <c r="E107" s="369"/>
      <c r="F107" s="421">
        <v>1500</v>
      </c>
      <c r="G107" s="422"/>
      <c r="H107" s="422"/>
      <c r="I107" s="421">
        <v>1500</v>
      </c>
      <c r="J107" s="422"/>
      <c r="K107" s="422"/>
      <c r="L107" s="421">
        <v>1500</v>
      </c>
      <c r="M107" s="422"/>
      <c r="N107" s="422"/>
      <c r="O107" s="463"/>
      <c r="P107" s="422"/>
      <c r="Q107" s="422"/>
      <c r="R107" s="421">
        <v>350</v>
      </c>
      <c r="S107" s="368">
        <v>1500</v>
      </c>
      <c r="T107" s="368">
        <v>1500</v>
      </c>
      <c r="U107" s="368">
        <v>1500</v>
      </c>
      <c r="V107" s="368">
        <v>615</v>
      </c>
    </row>
    <row r="108" spans="1:22" s="373" customFormat="1" x14ac:dyDescent="0.25">
      <c r="A108" s="363" t="s">
        <v>558</v>
      </c>
      <c r="B108" s="373" t="s">
        <v>1053</v>
      </c>
      <c r="C108" s="365">
        <f>C109</f>
        <v>0</v>
      </c>
      <c r="D108" s="366"/>
      <c r="E108" s="366"/>
      <c r="F108" s="419">
        <f>F109</f>
        <v>1500</v>
      </c>
      <c r="G108" s="420"/>
      <c r="H108" s="420"/>
      <c r="I108" s="419">
        <f>I109</f>
        <v>1500</v>
      </c>
      <c r="J108" s="420"/>
      <c r="K108" s="420"/>
      <c r="L108" s="419">
        <f>+L109+L110</f>
        <v>1500</v>
      </c>
      <c r="M108" s="419">
        <f t="shared" ref="M108:V108" si="45">+M109+M110</f>
        <v>0</v>
      </c>
      <c r="N108" s="419">
        <f t="shared" si="45"/>
        <v>0</v>
      </c>
      <c r="O108" s="419">
        <f t="shared" si="45"/>
        <v>0</v>
      </c>
      <c r="P108" s="419">
        <f t="shared" si="45"/>
        <v>0</v>
      </c>
      <c r="Q108" s="419">
        <f t="shared" si="45"/>
        <v>0</v>
      </c>
      <c r="R108" s="419">
        <f t="shared" si="45"/>
        <v>500</v>
      </c>
      <c r="S108" s="419">
        <f t="shared" si="45"/>
        <v>1500</v>
      </c>
      <c r="T108" s="419">
        <f t="shared" si="45"/>
        <v>1500</v>
      </c>
      <c r="U108" s="419">
        <f t="shared" si="45"/>
        <v>1500</v>
      </c>
      <c r="V108" s="419">
        <f t="shared" si="45"/>
        <v>0</v>
      </c>
    </row>
    <row r="109" spans="1:22" x14ac:dyDescent="0.25">
      <c r="A109" s="367"/>
      <c r="B109" s="370" t="s">
        <v>1321</v>
      </c>
      <c r="C109" s="368">
        <v>0</v>
      </c>
      <c r="D109" s="369"/>
      <c r="E109" s="369"/>
      <c r="F109" s="421">
        <v>1500</v>
      </c>
      <c r="G109" s="422"/>
      <c r="H109" s="422"/>
      <c r="I109" s="421">
        <v>1500</v>
      </c>
      <c r="J109" s="422"/>
      <c r="K109" s="422"/>
      <c r="L109" s="421">
        <v>1000</v>
      </c>
      <c r="M109" s="422"/>
      <c r="N109" s="422"/>
      <c r="O109" s="463">
        <v>0</v>
      </c>
      <c r="P109" s="422"/>
      <c r="Q109" s="422"/>
      <c r="R109" s="421">
        <v>500</v>
      </c>
      <c r="S109" s="368">
        <v>1500</v>
      </c>
      <c r="T109" s="368">
        <v>1500</v>
      </c>
      <c r="U109" s="368">
        <v>1500</v>
      </c>
      <c r="V109" s="368">
        <v>0</v>
      </c>
    </row>
    <row r="110" spans="1:22" x14ac:dyDescent="0.25">
      <c r="A110" s="367"/>
      <c r="B110" s="370" t="s">
        <v>343</v>
      </c>
      <c r="C110" s="368"/>
      <c r="D110" s="369"/>
      <c r="E110" s="369"/>
      <c r="F110" s="421"/>
      <c r="G110" s="422"/>
      <c r="H110" s="422"/>
      <c r="I110" s="421"/>
      <c r="J110" s="422"/>
      <c r="K110" s="422"/>
      <c r="L110" s="421">
        <v>500</v>
      </c>
      <c r="M110" s="422"/>
      <c r="N110" s="422"/>
      <c r="O110" s="463"/>
      <c r="P110" s="422"/>
      <c r="Q110" s="422"/>
      <c r="R110" s="421"/>
      <c r="S110" s="368"/>
      <c r="T110" s="368"/>
      <c r="U110" s="368"/>
      <c r="V110" s="368"/>
    </row>
    <row r="111" spans="1:22" s="511" customFormat="1" x14ac:dyDescent="0.25">
      <c r="A111" s="363" t="s">
        <v>559</v>
      </c>
      <c r="B111" s="790" t="s">
        <v>728</v>
      </c>
      <c r="C111" s="520">
        <f>C115</f>
        <v>0</v>
      </c>
      <c r="D111" s="521"/>
      <c r="E111" s="521"/>
      <c r="F111" s="516">
        <f>F115</f>
        <v>10000</v>
      </c>
      <c r="G111" s="522"/>
      <c r="H111" s="522"/>
      <c r="I111" s="516">
        <f>I115</f>
        <v>12080</v>
      </c>
      <c r="J111" s="522"/>
      <c r="K111" s="522"/>
      <c r="L111" s="516">
        <f>+L112+L113+L114+L115</f>
        <v>14068</v>
      </c>
      <c r="M111" s="516">
        <f t="shared" ref="M111:V111" si="46">+M112+M113+M114+M115</f>
        <v>0</v>
      </c>
      <c r="N111" s="516">
        <f t="shared" si="46"/>
        <v>0</v>
      </c>
      <c r="O111" s="516">
        <f t="shared" si="46"/>
        <v>0</v>
      </c>
      <c r="P111" s="516">
        <f t="shared" si="46"/>
        <v>0</v>
      </c>
      <c r="Q111" s="516">
        <f t="shared" si="46"/>
        <v>0</v>
      </c>
      <c r="R111" s="516">
        <f t="shared" si="46"/>
        <v>12080</v>
      </c>
      <c r="S111" s="516">
        <f t="shared" si="46"/>
        <v>8500</v>
      </c>
      <c r="T111" s="516">
        <f t="shared" si="46"/>
        <v>8500</v>
      </c>
      <c r="U111" s="516">
        <f t="shared" si="46"/>
        <v>10000</v>
      </c>
      <c r="V111" s="516">
        <f t="shared" si="46"/>
        <v>9846</v>
      </c>
    </row>
    <row r="112" spans="1:22" s="511" customFormat="1" x14ac:dyDescent="0.25">
      <c r="A112" s="363"/>
      <c r="B112" s="791" t="s">
        <v>286</v>
      </c>
      <c r="C112" s="520"/>
      <c r="D112" s="521"/>
      <c r="E112" s="521"/>
      <c r="F112" s="516"/>
      <c r="G112" s="522"/>
      <c r="H112" s="522"/>
      <c r="I112" s="516"/>
      <c r="J112" s="522"/>
      <c r="K112" s="522"/>
      <c r="L112" s="463">
        <v>96</v>
      </c>
      <c r="M112" s="522"/>
      <c r="N112" s="522"/>
      <c r="O112" s="516"/>
      <c r="P112" s="522"/>
      <c r="Q112" s="522"/>
      <c r="R112" s="516"/>
      <c r="S112" s="368"/>
      <c r="T112" s="368"/>
      <c r="U112" s="368"/>
      <c r="V112" s="368"/>
    </row>
    <row r="113" spans="1:22" s="511" customFormat="1" x14ac:dyDescent="0.25">
      <c r="A113" s="363"/>
      <c r="B113" s="791" t="s">
        <v>287</v>
      </c>
      <c r="C113" s="520"/>
      <c r="D113" s="521"/>
      <c r="E113" s="521"/>
      <c r="F113" s="516"/>
      <c r="G113" s="522"/>
      <c r="H113" s="522"/>
      <c r="I113" s="516"/>
      <c r="J113" s="522"/>
      <c r="K113" s="522"/>
      <c r="L113" s="463">
        <v>13</v>
      </c>
      <c r="M113" s="522"/>
      <c r="N113" s="522"/>
      <c r="O113" s="516"/>
      <c r="P113" s="522"/>
      <c r="Q113" s="522"/>
      <c r="R113" s="516"/>
      <c r="S113" s="368"/>
      <c r="T113" s="368"/>
      <c r="U113" s="368"/>
      <c r="V113" s="368"/>
    </row>
    <row r="114" spans="1:22" s="511" customFormat="1" x14ac:dyDescent="0.25">
      <c r="A114" s="363"/>
      <c r="B114" s="791" t="s">
        <v>292</v>
      </c>
      <c r="C114" s="520"/>
      <c r="D114" s="521"/>
      <c r="E114" s="521"/>
      <c r="F114" s="516"/>
      <c r="G114" s="522"/>
      <c r="H114" s="522"/>
      <c r="I114" s="516"/>
      <c r="J114" s="522"/>
      <c r="K114" s="522"/>
      <c r="L114" s="463">
        <v>471</v>
      </c>
      <c r="M114" s="522"/>
      <c r="N114" s="522"/>
      <c r="O114" s="516"/>
      <c r="P114" s="522"/>
      <c r="Q114" s="522"/>
      <c r="R114" s="516"/>
      <c r="S114" s="368"/>
      <c r="T114" s="368"/>
      <c r="U114" s="368"/>
      <c r="V114" s="368"/>
    </row>
    <row r="115" spans="1:22" s="512" customFormat="1" x14ac:dyDescent="0.25">
      <c r="A115" s="513"/>
      <c r="B115" s="791" t="s">
        <v>1321</v>
      </c>
      <c r="C115" s="526"/>
      <c r="D115" s="527"/>
      <c r="E115" s="527"/>
      <c r="F115" s="463">
        <v>10000</v>
      </c>
      <c r="G115" s="464"/>
      <c r="H115" s="464"/>
      <c r="I115" s="463">
        <v>12080</v>
      </c>
      <c r="J115" s="464"/>
      <c r="K115" s="464"/>
      <c r="L115" s="463">
        <v>13488</v>
      </c>
      <c r="M115" s="464"/>
      <c r="N115" s="464"/>
      <c r="O115" s="463"/>
      <c r="P115" s="464"/>
      <c r="Q115" s="464"/>
      <c r="R115" s="463">
        <v>12080</v>
      </c>
      <c r="S115" s="368">
        <v>8500</v>
      </c>
      <c r="T115" s="368">
        <v>8500</v>
      </c>
      <c r="U115" s="368">
        <v>10000</v>
      </c>
      <c r="V115" s="368">
        <v>9846</v>
      </c>
    </row>
    <row r="116" spans="1:22" s="373" customFormat="1" x14ac:dyDescent="0.25">
      <c r="A116" s="363" t="s">
        <v>561</v>
      </c>
      <c r="B116" s="793" t="s">
        <v>1310</v>
      </c>
      <c r="C116" s="520">
        <f>C119</f>
        <v>0</v>
      </c>
      <c r="D116" s="521"/>
      <c r="E116" s="521"/>
      <c r="F116" s="516">
        <f>F119</f>
        <v>450</v>
      </c>
      <c r="G116" s="522"/>
      <c r="H116" s="522"/>
      <c r="I116" s="516">
        <f>I119</f>
        <v>450</v>
      </c>
      <c r="J116" s="522"/>
      <c r="K116" s="522"/>
      <c r="L116" s="516">
        <f>+L117+L118+L119</f>
        <v>450</v>
      </c>
      <c r="M116" s="516">
        <f t="shared" ref="M116:V116" si="47">+M117+M118+M119</f>
        <v>0</v>
      </c>
      <c r="N116" s="516">
        <f t="shared" si="47"/>
        <v>0</v>
      </c>
      <c r="O116" s="516">
        <f t="shared" si="47"/>
        <v>0</v>
      </c>
      <c r="P116" s="516">
        <f t="shared" si="47"/>
        <v>0</v>
      </c>
      <c r="Q116" s="516">
        <f t="shared" si="47"/>
        <v>0</v>
      </c>
      <c r="R116" s="516">
        <f t="shared" si="47"/>
        <v>70</v>
      </c>
      <c r="S116" s="516">
        <f t="shared" si="47"/>
        <v>450</v>
      </c>
      <c r="T116" s="516">
        <f t="shared" si="47"/>
        <v>450</v>
      </c>
      <c r="U116" s="516">
        <f t="shared" si="47"/>
        <v>450</v>
      </c>
      <c r="V116" s="516">
        <f t="shared" si="47"/>
        <v>0</v>
      </c>
    </row>
    <row r="117" spans="1:22" s="373" customFormat="1" x14ac:dyDescent="0.25">
      <c r="A117" s="363"/>
      <c r="B117" s="791" t="s">
        <v>286</v>
      </c>
      <c r="C117" s="520"/>
      <c r="D117" s="521"/>
      <c r="E117" s="521"/>
      <c r="F117" s="516"/>
      <c r="G117" s="522"/>
      <c r="H117" s="522"/>
      <c r="I117" s="516"/>
      <c r="J117" s="522"/>
      <c r="K117" s="522"/>
      <c r="L117" s="463">
        <v>59</v>
      </c>
      <c r="M117" s="522"/>
      <c r="N117" s="522"/>
      <c r="O117" s="516"/>
      <c r="P117" s="522"/>
      <c r="Q117" s="522"/>
      <c r="R117" s="516"/>
      <c r="S117" s="368"/>
      <c r="T117" s="368"/>
      <c r="U117" s="368"/>
      <c r="V117" s="368"/>
    </row>
    <row r="118" spans="1:22" s="373" customFormat="1" x14ac:dyDescent="0.25">
      <c r="A118" s="363"/>
      <c r="B118" s="791" t="s">
        <v>287</v>
      </c>
      <c r="C118" s="520"/>
      <c r="D118" s="521"/>
      <c r="E118" s="521"/>
      <c r="F118" s="516"/>
      <c r="G118" s="522"/>
      <c r="H118" s="522"/>
      <c r="I118" s="516"/>
      <c r="J118" s="522"/>
      <c r="K118" s="522"/>
      <c r="L118" s="463">
        <v>11</v>
      </c>
      <c r="M118" s="522"/>
      <c r="N118" s="522"/>
      <c r="O118" s="516"/>
      <c r="P118" s="522"/>
      <c r="Q118" s="522"/>
      <c r="R118" s="516"/>
      <c r="S118" s="368"/>
      <c r="T118" s="368"/>
      <c r="U118" s="368"/>
      <c r="V118" s="368"/>
    </row>
    <row r="119" spans="1:22" x14ac:dyDescent="0.25">
      <c r="A119" s="367"/>
      <c r="B119" s="370" t="s">
        <v>1321</v>
      </c>
      <c r="C119" s="526"/>
      <c r="D119" s="527"/>
      <c r="E119" s="527"/>
      <c r="F119" s="463">
        <v>450</v>
      </c>
      <c r="G119" s="464"/>
      <c r="H119" s="464"/>
      <c r="I119" s="463">
        <v>450</v>
      </c>
      <c r="J119" s="464"/>
      <c r="K119" s="464"/>
      <c r="L119" s="463">
        <v>380</v>
      </c>
      <c r="M119" s="464"/>
      <c r="N119" s="464"/>
      <c r="O119" s="463"/>
      <c r="P119" s="464"/>
      <c r="Q119" s="464"/>
      <c r="R119" s="463">
        <v>70</v>
      </c>
      <c r="S119" s="368">
        <v>450</v>
      </c>
      <c r="T119" s="368">
        <v>450</v>
      </c>
      <c r="U119" s="368">
        <v>450</v>
      </c>
      <c r="V119" s="368">
        <v>0</v>
      </c>
    </row>
    <row r="120" spans="1:22" s="511" customFormat="1" x14ac:dyDescent="0.25">
      <c r="A120" s="363" t="s">
        <v>562</v>
      </c>
      <c r="B120" s="792" t="s">
        <v>1311</v>
      </c>
      <c r="C120" s="520">
        <f>C123+C121+C122+C124</f>
        <v>0</v>
      </c>
      <c r="D120" s="521"/>
      <c r="E120" s="521"/>
      <c r="F120" s="516">
        <f>F123+F121+F122+F124</f>
        <v>1500</v>
      </c>
      <c r="G120" s="522"/>
      <c r="H120" s="522"/>
      <c r="I120" s="516">
        <f>I123+I121+I122+I124</f>
        <v>1500</v>
      </c>
      <c r="J120" s="522"/>
      <c r="K120" s="522"/>
      <c r="L120" s="516">
        <f>L123+L121+L122+L124</f>
        <v>1500</v>
      </c>
      <c r="M120" s="516">
        <f t="shared" ref="M120:V120" si="48">M123+M121+M122+M124</f>
        <v>0</v>
      </c>
      <c r="N120" s="516">
        <f t="shared" si="48"/>
        <v>0</v>
      </c>
      <c r="O120" s="516">
        <f t="shared" si="48"/>
        <v>0</v>
      </c>
      <c r="P120" s="516">
        <f t="shared" si="48"/>
        <v>0</v>
      </c>
      <c r="Q120" s="516">
        <f t="shared" si="48"/>
        <v>0</v>
      </c>
      <c r="R120" s="516">
        <f t="shared" si="48"/>
        <v>0</v>
      </c>
      <c r="S120" s="516">
        <f t="shared" si="48"/>
        <v>1500</v>
      </c>
      <c r="T120" s="516">
        <f t="shared" si="48"/>
        <v>1500</v>
      </c>
      <c r="U120" s="516">
        <f t="shared" si="48"/>
        <v>1500</v>
      </c>
      <c r="V120" s="516">
        <f t="shared" si="48"/>
        <v>925</v>
      </c>
    </row>
    <row r="121" spans="1:22" s="512" customFormat="1" ht="15" hidden="1" customHeight="1" x14ac:dyDescent="0.25">
      <c r="A121" s="513"/>
      <c r="B121" s="525" t="s">
        <v>286</v>
      </c>
      <c r="C121" s="526"/>
      <c r="D121" s="527"/>
      <c r="E121" s="527"/>
      <c r="F121" s="463"/>
      <c r="G121" s="464"/>
      <c r="H121" s="464"/>
      <c r="I121" s="463"/>
      <c r="J121" s="464"/>
      <c r="K121" s="464"/>
      <c r="L121" s="463"/>
      <c r="M121" s="464"/>
      <c r="N121" s="464"/>
      <c r="O121" s="463"/>
      <c r="P121" s="464"/>
      <c r="Q121" s="464"/>
      <c r="R121" s="463">
        <f>5953-5953</f>
        <v>0</v>
      </c>
      <c r="S121" s="819"/>
      <c r="T121" s="819"/>
      <c r="U121" s="819"/>
      <c r="V121" s="819"/>
    </row>
    <row r="122" spans="1:22" s="512" customFormat="1" ht="15" hidden="1" customHeight="1" x14ac:dyDescent="0.25">
      <c r="A122" s="513"/>
      <c r="B122" s="525" t="s">
        <v>287</v>
      </c>
      <c r="C122" s="526"/>
      <c r="D122" s="527"/>
      <c r="E122" s="527"/>
      <c r="F122" s="463"/>
      <c r="G122" s="464"/>
      <c r="H122" s="464"/>
      <c r="I122" s="463"/>
      <c r="J122" s="464"/>
      <c r="K122" s="464"/>
      <c r="L122" s="463"/>
      <c r="M122" s="464"/>
      <c r="N122" s="464"/>
      <c r="O122" s="463"/>
      <c r="P122" s="464"/>
      <c r="Q122" s="464"/>
      <c r="R122" s="463">
        <f>1161-1161</f>
        <v>0</v>
      </c>
      <c r="S122" s="819"/>
      <c r="T122" s="819"/>
      <c r="U122" s="819"/>
      <c r="V122" s="819"/>
    </row>
    <row r="123" spans="1:22" s="512" customFormat="1" ht="15" hidden="1" customHeight="1" x14ac:dyDescent="0.25">
      <c r="A123" s="513"/>
      <c r="B123" s="525" t="s">
        <v>292</v>
      </c>
      <c r="C123" s="526"/>
      <c r="D123" s="527"/>
      <c r="E123" s="527"/>
      <c r="F123" s="463"/>
      <c r="G123" s="464"/>
      <c r="H123" s="464"/>
      <c r="I123" s="463"/>
      <c r="J123" s="464"/>
      <c r="K123" s="464"/>
      <c r="L123" s="463"/>
      <c r="M123" s="464"/>
      <c r="N123" s="464"/>
      <c r="O123" s="463"/>
      <c r="P123" s="464"/>
      <c r="Q123" s="464"/>
      <c r="R123" s="463">
        <v>0</v>
      </c>
      <c r="S123" s="819"/>
      <c r="T123" s="819"/>
      <c r="U123" s="819"/>
      <c r="V123" s="819"/>
    </row>
    <row r="124" spans="1:22" s="512" customFormat="1" x14ac:dyDescent="0.25">
      <c r="A124" s="513"/>
      <c r="B124" s="370" t="s">
        <v>1321</v>
      </c>
      <c r="C124" s="526"/>
      <c r="D124" s="527"/>
      <c r="E124" s="527"/>
      <c r="F124" s="463">
        <v>1500</v>
      </c>
      <c r="G124" s="464"/>
      <c r="H124" s="464"/>
      <c r="I124" s="463">
        <v>1500</v>
      </c>
      <c r="J124" s="464"/>
      <c r="K124" s="464"/>
      <c r="L124" s="463">
        <v>1500</v>
      </c>
      <c r="M124" s="464"/>
      <c r="N124" s="464"/>
      <c r="O124" s="463"/>
      <c r="P124" s="464"/>
      <c r="Q124" s="464"/>
      <c r="R124" s="463">
        <v>0</v>
      </c>
      <c r="S124" s="368">
        <v>1500</v>
      </c>
      <c r="T124" s="368">
        <v>1500</v>
      </c>
      <c r="U124" s="368">
        <v>1500</v>
      </c>
      <c r="V124" s="368">
        <v>925</v>
      </c>
    </row>
    <row r="125" spans="1:22" s="374" customFormat="1" x14ac:dyDescent="0.25">
      <c r="A125" s="363" t="s">
        <v>1114</v>
      </c>
      <c r="B125" s="374" t="s">
        <v>1364</v>
      </c>
      <c r="C125" s="532">
        <f>C126</f>
        <v>0</v>
      </c>
      <c r="D125" s="533"/>
      <c r="E125" s="533"/>
      <c r="F125" s="534">
        <f>F126</f>
        <v>600</v>
      </c>
      <c r="G125" s="535"/>
      <c r="H125" s="535"/>
      <c r="I125" s="534">
        <f>I126</f>
        <v>600</v>
      </c>
      <c r="J125" s="535"/>
      <c r="K125" s="535"/>
      <c r="L125" s="534">
        <f>SUM(L126)</f>
        <v>600</v>
      </c>
      <c r="M125" s="534">
        <f t="shared" ref="M125:V125" si="49">SUM(M126)</f>
        <v>0</v>
      </c>
      <c r="N125" s="534">
        <f t="shared" si="49"/>
        <v>0</v>
      </c>
      <c r="O125" s="534">
        <f t="shared" si="49"/>
        <v>0</v>
      </c>
      <c r="P125" s="534">
        <f t="shared" si="49"/>
        <v>0</v>
      </c>
      <c r="Q125" s="534">
        <f t="shared" si="49"/>
        <v>0</v>
      </c>
      <c r="R125" s="534">
        <f t="shared" si="49"/>
        <v>0</v>
      </c>
      <c r="S125" s="534">
        <f t="shared" si="49"/>
        <v>750</v>
      </c>
      <c r="T125" s="534">
        <f t="shared" si="49"/>
        <v>750</v>
      </c>
      <c r="U125" s="534">
        <f t="shared" si="49"/>
        <v>750</v>
      </c>
      <c r="V125" s="534">
        <f t="shared" si="49"/>
        <v>0</v>
      </c>
    </row>
    <row r="126" spans="1:22" x14ac:dyDescent="0.25">
      <c r="A126" s="367"/>
      <c r="B126" s="370" t="s">
        <v>1321</v>
      </c>
      <c r="C126" s="368"/>
      <c r="D126" s="369"/>
      <c r="E126" s="369"/>
      <c r="F126" s="421">
        <v>600</v>
      </c>
      <c r="G126" s="422"/>
      <c r="H126" s="422"/>
      <c r="I126" s="421">
        <v>600</v>
      </c>
      <c r="J126" s="422"/>
      <c r="K126" s="422"/>
      <c r="L126" s="421">
        <v>600</v>
      </c>
      <c r="M126" s="422"/>
      <c r="N126" s="422"/>
      <c r="O126" s="463"/>
      <c r="P126" s="422"/>
      <c r="Q126" s="422"/>
      <c r="R126" s="421">
        <v>0</v>
      </c>
      <c r="S126" s="368">
        <v>750</v>
      </c>
      <c r="T126" s="368">
        <v>750</v>
      </c>
      <c r="U126" s="368">
        <v>750</v>
      </c>
      <c r="V126" s="368">
        <v>0</v>
      </c>
    </row>
    <row r="127" spans="1:22" s="373" customFormat="1" ht="15" hidden="1" customHeight="1" x14ac:dyDescent="0.25">
      <c r="A127" s="363" t="s">
        <v>700</v>
      </c>
      <c r="B127" s="364" t="s">
        <v>702</v>
      </c>
      <c r="C127" s="365">
        <f>C128</f>
        <v>0</v>
      </c>
      <c r="D127" s="366"/>
      <c r="E127" s="366"/>
      <c r="F127" s="419">
        <f>F128</f>
        <v>0</v>
      </c>
      <c r="G127" s="420"/>
      <c r="H127" s="420"/>
      <c r="I127" s="419">
        <f>I128</f>
        <v>0</v>
      </c>
      <c r="J127" s="420"/>
      <c r="K127" s="420"/>
      <c r="L127" s="419">
        <f>L128</f>
        <v>0</v>
      </c>
      <c r="M127" s="420"/>
      <c r="N127" s="420"/>
      <c r="O127" s="419">
        <f>O128</f>
        <v>0</v>
      </c>
      <c r="P127" s="420"/>
      <c r="Q127" s="420"/>
      <c r="R127" s="419">
        <f>R128</f>
        <v>0</v>
      </c>
      <c r="S127" s="365"/>
      <c r="T127" s="365"/>
      <c r="U127" s="365"/>
      <c r="V127" s="365"/>
    </row>
    <row r="128" spans="1:22" ht="15" hidden="1" customHeight="1" x14ac:dyDescent="0.25">
      <c r="A128" s="367"/>
      <c r="B128" s="351" t="s">
        <v>1185</v>
      </c>
      <c r="C128" s="368"/>
      <c r="D128" s="369"/>
      <c r="E128" s="369"/>
      <c r="F128" s="421"/>
      <c r="G128" s="422"/>
      <c r="H128" s="422"/>
      <c r="I128" s="421"/>
      <c r="J128" s="422"/>
      <c r="K128" s="422"/>
      <c r="L128" s="421"/>
      <c r="M128" s="422"/>
      <c r="N128" s="422"/>
      <c r="O128" s="463"/>
      <c r="P128" s="422"/>
      <c r="Q128" s="422"/>
      <c r="R128" s="421">
        <v>0</v>
      </c>
      <c r="S128" s="368"/>
      <c r="T128" s="368"/>
      <c r="U128" s="368"/>
      <c r="V128" s="368"/>
    </row>
    <row r="129" spans="1:22" s="373" customFormat="1" ht="15" hidden="1" customHeight="1" x14ac:dyDescent="0.25">
      <c r="A129" s="363" t="s">
        <v>703</v>
      </c>
      <c r="B129" s="364" t="s">
        <v>704</v>
      </c>
      <c r="C129" s="365">
        <f>C130</f>
        <v>0</v>
      </c>
      <c r="D129" s="366"/>
      <c r="E129" s="366"/>
      <c r="F129" s="419">
        <f>F130</f>
        <v>0</v>
      </c>
      <c r="G129" s="420"/>
      <c r="H129" s="420"/>
      <c r="I129" s="419">
        <f>I130</f>
        <v>0</v>
      </c>
      <c r="J129" s="420"/>
      <c r="K129" s="420"/>
      <c r="L129" s="419">
        <f>L130</f>
        <v>0</v>
      </c>
      <c r="M129" s="420"/>
      <c r="N129" s="420"/>
      <c r="O129" s="419">
        <f>O130</f>
        <v>0</v>
      </c>
      <c r="P129" s="420"/>
      <c r="Q129" s="420"/>
      <c r="R129" s="419">
        <f>R130</f>
        <v>0</v>
      </c>
      <c r="S129" s="365"/>
      <c r="T129" s="365"/>
      <c r="U129" s="365"/>
      <c r="V129" s="365"/>
    </row>
    <row r="130" spans="1:22" ht="15" hidden="1" customHeight="1" x14ac:dyDescent="0.25">
      <c r="A130" s="367"/>
      <c r="B130" s="351" t="s">
        <v>292</v>
      </c>
      <c r="C130" s="368">
        <v>0</v>
      </c>
      <c r="D130" s="369"/>
      <c r="E130" s="369"/>
      <c r="F130" s="421">
        <v>0</v>
      </c>
      <c r="G130" s="422"/>
      <c r="H130" s="422"/>
      <c r="I130" s="421">
        <v>0</v>
      </c>
      <c r="J130" s="422"/>
      <c r="K130" s="422"/>
      <c r="L130" s="421">
        <v>0</v>
      </c>
      <c r="M130" s="422"/>
      <c r="N130" s="422"/>
      <c r="O130" s="463">
        <v>0</v>
      </c>
      <c r="P130" s="422"/>
      <c r="Q130" s="422"/>
      <c r="R130" s="421">
        <v>0</v>
      </c>
      <c r="S130" s="368"/>
      <c r="T130" s="368"/>
      <c r="U130" s="368"/>
      <c r="V130" s="368"/>
    </row>
    <row r="131" spans="1:22" s="373" customFormat="1" ht="15" hidden="1" customHeight="1" x14ac:dyDescent="0.25">
      <c r="A131" s="363" t="s">
        <v>701</v>
      </c>
      <c r="B131" s="376" t="s">
        <v>1226</v>
      </c>
      <c r="C131" s="365">
        <f>C132</f>
        <v>0</v>
      </c>
      <c r="D131" s="366"/>
      <c r="E131" s="366"/>
      <c r="F131" s="419">
        <f>F132</f>
        <v>0</v>
      </c>
      <c r="G131" s="420"/>
      <c r="H131" s="420"/>
      <c r="I131" s="419">
        <f>I132</f>
        <v>0</v>
      </c>
      <c r="J131" s="420"/>
      <c r="K131" s="420"/>
      <c r="L131" s="419">
        <f>L132</f>
        <v>0</v>
      </c>
      <c r="M131" s="420"/>
      <c r="N131" s="420"/>
      <c r="O131" s="419">
        <f>O132</f>
        <v>0</v>
      </c>
      <c r="P131" s="420"/>
      <c r="Q131" s="420"/>
      <c r="R131" s="419">
        <f>R132</f>
        <v>0</v>
      </c>
      <c r="S131" s="365"/>
      <c r="T131" s="365"/>
      <c r="U131" s="365"/>
      <c r="V131" s="365"/>
    </row>
    <row r="132" spans="1:22" ht="15" hidden="1" customHeight="1" x14ac:dyDescent="0.25">
      <c r="A132" s="367"/>
      <c r="B132" s="351" t="s">
        <v>1185</v>
      </c>
      <c r="C132" s="368"/>
      <c r="D132" s="369"/>
      <c r="E132" s="369"/>
      <c r="F132" s="421"/>
      <c r="G132" s="422"/>
      <c r="H132" s="422"/>
      <c r="I132" s="421"/>
      <c r="J132" s="422"/>
      <c r="K132" s="422"/>
      <c r="L132" s="421"/>
      <c r="M132" s="422"/>
      <c r="N132" s="422"/>
      <c r="O132" s="463"/>
      <c r="P132" s="422"/>
      <c r="Q132" s="422"/>
      <c r="R132" s="421">
        <v>0</v>
      </c>
      <c r="S132" s="368"/>
      <c r="T132" s="368"/>
      <c r="U132" s="368"/>
      <c r="V132" s="368"/>
    </row>
    <row r="133" spans="1:22" ht="15" hidden="1" customHeight="1" x14ac:dyDescent="0.25">
      <c r="A133" s="367"/>
      <c r="B133" s="351" t="s">
        <v>1221</v>
      </c>
      <c r="C133" s="368"/>
      <c r="D133" s="369"/>
      <c r="E133" s="369"/>
      <c r="F133" s="421"/>
      <c r="G133" s="422"/>
      <c r="H133" s="422"/>
      <c r="I133" s="421"/>
      <c r="J133" s="422"/>
      <c r="K133" s="422"/>
      <c r="L133" s="421"/>
      <c r="M133" s="422"/>
      <c r="N133" s="422"/>
      <c r="O133" s="421"/>
      <c r="P133" s="422"/>
      <c r="Q133" s="422"/>
      <c r="R133" s="421">
        <v>0</v>
      </c>
      <c r="S133" s="368"/>
      <c r="T133" s="368"/>
      <c r="U133" s="368"/>
      <c r="V133" s="368"/>
    </row>
    <row r="134" spans="1:22" ht="15" hidden="1" customHeight="1" x14ac:dyDescent="0.25">
      <c r="A134" s="367"/>
      <c r="B134" s="351" t="s">
        <v>1222</v>
      </c>
      <c r="C134" s="368"/>
      <c r="D134" s="369"/>
      <c r="E134" s="369"/>
      <c r="F134" s="421"/>
      <c r="G134" s="422"/>
      <c r="H134" s="422"/>
      <c r="I134" s="421"/>
      <c r="J134" s="422"/>
      <c r="K134" s="422"/>
      <c r="L134" s="421"/>
      <c r="M134" s="422"/>
      <c r="N134" s="422"/>
      <c r="O134" s="421"/>
      <c r="P134" s="422"/>
      <c r="Q134" s="422"/>
      <c r="R134" s="421">
        <v>0</v>
      </c>
      <c r="S134" s="368"/>
      <c r="T134" s="368"/>
      <c r="U134" s="368"/>
      <c r="V134" s="368"/>
    </row>
    <row r="135" spans="1:22" s="373" customFormat="1" ht="15" hidden="1" customHeight="1" x14ac:dyDescent="0.25">
      <c r="A135" s="363" t="s">
        <v>703</v>
      </c>
      <c r="B135" s="364" t="s">
        <v>707</v>
      </c>
      <c r="C135" s="365">
        <f>C136</f>
        <v>0</v>
      </c>
      <c r="D135" s="366"/>
      <c r="E135" s="366"/>
      <c r="F135" s="419">
        <f>F136</f>
        <v>0</v>
      </c>
      <c r="G135" s="420"/>
      <c r="H135" s="420"/>
      <c r="I135" s="419">
        <f>I136</f>
        <v>0</v>
      </c>
      <c r="J135" s="420"/>
      <c r="K135" s="420"/>
      <c r="L135" s="419">
        <f>L136</f>
        <v>0</v>
      </c>
      <c r="M135" s="420"/>
      <c r="N135" s="420"/>
      <c r="O135" s="419">
        <f>O136</f>
        <v>0</v>
      </c>
      <c r="P135" s="420"/>
      <c r="Q135" s="420"/>
      <c r="R135" s="419">
        <f>R136</f>
        <v>0</v>
      </c>
      <c r="S135" s="365"/>
      <c r="T135" s="365"/>
      <c r="U135" s="365"/>
      <c r="V135" s="365"/>
    </row>
    <row r="136" spans="1:22" ht="15" hidden="1" customHeight="1" x14ac:dyDescent="0.25">
      <c r="A136" s="367"/>
      <c r="B136" s="351" t="s">
        <v>1185</v>
      </c>
      <c r="C136" s="368"/>
      <c r="D136" s="369"/>
      <c r="E136" s="369"/>
      <c r="F136" s="421"/>
      <c r="G136" s="422"/>
      <c r="H136" s="422"/>
      <c r="I136" s="421"/>
      <c r="J136" s="422"/>
      <c r="K136" s="422"/>
      <c r="L136" s="421"/>
      <c r="M136" s="422"/>
      <c r="N136" s="422"/>
      <c r="O136" s="463"/>
      <c r="P136" s="422"/>
      <c r="Q136" s="422"/>
      <c r="R136" s="421">
        <v>0</v>
      </c>
      <c r="S136" s="368"/>
      <c r="T136" s="368"/>
      <c r="U136" s="368"/>
      <c r="V136" s="368"/>
    </row>
    <row r="137" spans="1:22" s="373" customFormat="1" ht="15" hidden="1" customHeight="1" x14ac:dyDescent="0.25">
      <c r="A137" s="363" t="s">
        <v>705</v>
      </c>
      <c r="B137" s="364" t="s">
        <v>709</v>
      </c>
      <c r="C137" s="365">
        <f>C138</f>
        <v>0</v>
      </c>
      <c r="D137" s="366"/>
      <c r="E137" s="366"/>
      <c r="F137" s="419">
        <f>F138</f>
        <v>0</v>
      </c>
      <c r="G137" s="420"/>
      <c r="H137" s="420"/>
      <c r="I137" s="419">
        <f>I138</f>
        <v>0</v>
      </c>
      <c r="J137" s="420"/>
      <c r="K137" s="420"/>
      <c r="L137" s="419">
        <f>L138</f>
        <v>0</v>
      </c>
      <c r="M137" s="420"/>
      <c r="N137" s="420"/>
      <c r="O137" s="419">
        <f>O138</f>
        <v>0</v>
      </c>
      <c r="P137" s="420"/>
      <c r="Q137" s="420"/>
      <c r="R137" s="419">
        <f>R138</f>
        <v>0</v>
      </c>
      <c r="S137" s="365"/>
      <c r="T137" s="365"/>
      <c r="U137" s="365"/>
      <c r="V137" s="365"/>
    </row>
    <row r="138" spans="1:22" ht="15" hidden="1" customHeight="1" x14ac:dyDescent="0.25">
      <c r="A138" s="367"/>
      <c r="B138" s="351" t="s">
        <v>1185</v>
      </c>
      <c r="C138" s="368"/>
      <c r="D138" s="369"/>
      <c r="E138" s="369"/>
      <c r="F138" s="421"/>
      <c r="G138" s="422"/>
      <c r="H138" s="422"/>
      <c r="I138" s="421"/>
      <c r="J138" s="422"/>
      <c r="K138" s="422"/>
      <c r="L138" s="421"/>
      <c r="M138" s="422"/>
      <c r="N138" s="422"/>
      <c r="O138" s="463"/>
      <c r="P138" s="422"/>
      <c r="Q138" s="422"/>
      <c r="R138" s="421">
        <v>0</v>
      </c>
      <c r="S138" s="368"/>
      <c r="T138" s="368"/>
      <c r="U138" s="368"/>
      <c r="V138" s="368"/>
    </row>
    <row r="139" spans="1:22" s="373" customFormat="1" ht="15" hidden="1" customHeight="1" x14ac:dyDescent="0.25">
      <c r="A139" s="363" t="s">
        <v>710</v>
      </c>
      <c r="B139" s="364" t="s">
        <v>711</v>
      </c>
      <c r="C139" s="365">
        <f>C140</f>
        <v>0</v>
      </c>
      <c r="D139" s="366"/>
      <c r="E139" s="366"/>
      <c r="F139" s="419">
        <f>F140</f>
        <v>0</v>
      </c>
      <c r="G139" s="420"/>
      <c r="H139" s="420"/>
      <c r="I139" s="419">
        <f>I140</f>
        <v>0</v>
      </c>
      <c r="J139" s="420"/>
      <c r="K139" s="420"/>
      <c r="L139" s="419">
        <f>L140</f>
        <v>0</v>
      </c>
      <c r="M139" s="420"/>
      <c r="N139" s="420"/>
      <c r="O139" s="516">
        <f>O140</f>
        <v>0</v>
      </c>
      <c r="P139" s="420"/>
      <c r="Q139" s="420"/>
      <c r="R139" s="419">
        <v>0</v>
      </c>
      <c r="S139" s="365"/>
      <c r="T139" s="365"/>
      <c r="U139" s="365"/>
      <c r="V139" s="365"/>
    </row>
    <row r="140" spans="1:22" ht="15" hidden="1" customHeight="1" x14ac:dyDescent="0.25">
      <c r="A140" s="367"/>
      <c r="B140" s="351" t="s">
        <v>1185</v>
      </c>
      <c r="C140" s="368">
        <v>0</v>
      </c>
      <c r="D140" s="369"/>
      <c r="E140" s="369"/>
      <c r="F140" s="421">
        <v>0</v>
      </c>
      <c r="G140" s="422"/>
      <c r="H140" s="422"/>
      <c r="I140" s="421">
        <v>0</v>
      </c>
      <c r="J140" s="422"/>
      <c r="K140" s="422"/>
      <c r="L140" s="421">
        <v>0</v>
      </c>
      <c r="M140" s="422"/>
      <c r="N140" s="422"/>
      <c r="O140" s="463">
        <v>0</v>
      </c>
      <c r="P140" s="422"/>
      <c r="Q140" s="422"/>
      <c r="R140" s="421">
        <v>0</v>
      </c>
      <c r="S140" s="368"/>
      <c r="T140" s="368"/>
      <c r="U140" s="368"/>
      <c r="V140" s="368"/>
    </row>
    <row r="141" spans="1:22" s="373" customFormat="1" ht="15" hidden="1" customHeight="1" x14ac:dyDescent="0.25">
      <c r="A141" s="363" t="s">
        <v>706</v>
      </c>
      <c r="B141" s="364" t="s">
        <v>713</v>
      </c>
      <c r="C141" s="365">
        <f>C142</f>
        <v>0</v>
      </c>
      <c r="D141" s="366"/>
      <c r="E141" s="366"/>
      <c r="F141" s="419">
        <f>F142</f>
        <v>0</v>
      </c>
      <c r="G141" s="420"/>
      <c r="H141" s="420"/>
      <c r="I141" s="419">
        <f>I142</f>
        <v>0</v>
      </c>
      <c r="J141" s="420"/>
      <c r="K141" s="420"/>
      <c r="L141" s="419">
        <f>L142</f>
        <v>0</v>
      </c>
      <c r="M141" s="420"/>
      <c r="N141" s="420"/>
      <c r="O141" s="419">
        <f>O142</f>
        <v>0</v>
      </c>
      <c r="P141" s="420"/>
      <c r="Q141" s="420"/>
      <c r="R141" s="419">
        <f>R142</f>
        <v>0</v>
      </c>
      <c r="S141" s="365"/>
      <c r="T141" s="365"/>
      <c r="U141" s="365"/>
      <c r="V141" s="365"/>
    </row>
    <row r="142" spans="1:22" ht="15" hidden="1" customHeight="1" x14ac:dyDescent="0.25">
      <c r="A142" s="367"/>
      <c r="B142" s="351" t="s">
        <v>1186</v>
      </c>
      <c r="C142" s="368"/>
      <c r="D142" s="369"/>
      <c r="E142" s="369"/>
      <c r="F142" s="421"/>
      <c r="G142" s="422"/>
      <c r="H142" s="422"/>
      <c r="I142" s="421"/>
      <c r="J142" s="422"/>
      <c r="K142" s="422"/>
      <c r="L142" s="421"/>
      <c r="M142" s="422"/>
      <c r="N142" s="422"/>
      <c r="O142" s="463"/>
      <c r="P142" s="422"/>
      <c r="Q142" s="422"/>
      <c r="R142" s="421">
        <v>0</v>
      </c>
      <c r="S142" s="368"/>
      <c r="T142" s="368"/>
      <c r="U142" s="368"/>
      <c r="V142" s="368"/>
    </row>
    <row r="143" spans="1:22" s="373" customFormat="1" ht="15" hidden="1" customHeight="1" x14ac:dyDescent="0.25">
      <c r="A143" s="363" t="s">
        <v>708</v>
      </c>
      <c r="B143" s="364" t="s">
        <v>715</v>
      </c>
      <c r="C143" s="365">
        <f>C144</f>
        <v>0</v>
      </c>
      <c r="D143" s="366"/>
      <c r="E143" s="366"/>
      <c r="F143" s="419">
        <f>F144</f>
        <v>0</v>
      </c>
      <c r="G143" s="420"/>
      <c r="H143" s="420"/>
      <c r="I143" s="419">
        <f>I144</f>
        <v>0</v>
      </c>
      <c r="J143" s="420"/>
      <c r="K143" s="420"/>
      <c r="L143" s="419">
        <f>L144</f>
        <v>0</v>
      </c>
      <c r="M143" s="420"/>
      <c r="N143" s="420"/>
      <c r="O143" s="419">
        <f>O144</f>
        <v>0</v>
      </c>
      <c r="P143" s="420"/>
      <c r="Q143" s="420"/>
      <c r="R143" s="419">
        <f>R144</f>
        <v>0</v>
      </c>
      <c r="S143" s="365"/>
      <c r="T143" s="365"/>
      <c r="U143" s="365"/>
      <c r="V143" s="365"/>
    </row>
    <row r="144" spans="1:22" ht="15" hidden="1" customHeight="1" x14ac:dyDescent="0.25">
      <c r="A144" s="367"/>
      <c r="B144" s="351" t="s">
        <v>1186</v>
      </c>
      <c r="C144" s="368"/>
      <c r="D144" s="369"/>
      <c r="E144" s="369"/>
      <c r="F144" s="421"/>
      <c r="G144" s="422"/>
      <c r="H144" s="422"/>
      <c r="I144" s="421"/>
      <c r="J144" s="422"/>
      <c r="K144" s="422"/>
      <c r="L144" s="421"/>
      <c r="M144" s="422"/>
      <c r="N144" s="422"/>
      <c r="O144" s="463"/>
      <c r="P144" s="422"/>
      <c r="Q144" s="422"/>
      <c r="R144" s="421">
        <v>0</v>
      </c>
      <c r="S144" s="368"/>
      <c r="T144" s="368"/>
      <c r="U144" s="368"/>
      <c r="V144" s="368"/>
    </row>
    <row r="145" spans="1:22" s="373" customFormat="1" ht="15" hidden="1" customHeight="1" x14ac:dyDescent="0.25">
      <c r="A145" s="363" t="s">
        <v>710</v>
      </c>
      <c r="B145" s="364" t="s">
        <v>717</v>
      </c>
      <c r="C145" s="365">
        <f>C146</f>
        <v>0</v>
      </c>
      <c r="D145" s="366"/>
      <c r="E145" s="366"/>
      <c r="F145" s="419">
        <f>F146</f>
        <v>0</v>
      </c>
      <c r="G145" s="420"/>
      <c r="H145" s="420"/>
      <c r="I145" s="419">
        <f>I146</f>
        <v>0</v>
      </c>
      <c r="J145" s="420"/>
      <c r="K145" s="420"/>
      <c r="L145" s="419">
        <f>L146</f>
        <v>0</v>
      </c>
      <c r="M145" s="420"/>
      <c r="N145" s="420"/>
      <c r="O145" s="419">
        <f>O146</f>
        <v>0</v>
      </c>
      <c r="P145" s="420"/>
      <c r="Q145" s="420"/>
      <c r="R145" s="419">
        <f>R146</f>
        <v>0</v>
      </c>
      <c r="S145" s="365"/>
      <c r="T145" s="365"/>
      <c r="U145" s="365"/>
      <c r="V145" s="365"/>
    </row>
    <row r="146" spans="1:22" ht="15" hidden="1" customHeight="1" x14ac:dyDescent="0.25">
      <c r="A146" s="367"/>
      <c r="B146" s="351" t="s">
        <v>1186</v>
      </c>
      <c r="C146" s="368"/>
      <c r="D146" s="369"/>
      <c r="E146" s="369"/>
      <c r="F146" s="421"/>
      <c r="G146" s="422"/>
      <c r="H146" s="422"/>
      <c r="I146" s="421"/>
      <c r="J146" s="422"/>
      <c r="K146" s="422"/>
      <c r="L146" s="421"/>
      <c r="M146" s="422"/>
      <c r="N146" s="422"/>
      <c r="O146" s="463"/>
      <c r="P146" s="422"/>
      <c r="Q146" s="422"/>
      <c r="R146" s="421">
        <v>0</v>
      </c>
      <c r="S146" s="368"/>
      <c r="T146" s="368"/>
      <c r="U146" s="368"/>
      <c r="V146" s="368"/>
    </row>
    <row r="147" spans="1:22" s="373" customFormat="1" ht="15" hidden="1" customHeight="1" x14ac:dyDescent="0.25">
      <c r="A147" s="363" t="s">
        <v>712</v>
      </c>
      <c r="B147" s="364" t="s">
        <v>1249</v>
      </c>
      <c r="C147" s="365">
        <f>C148+C149</f>
        <v>0</v>
      </c>
      <c r="D147" s="366"/>
      <c r="E147" s="366"/>
      <c r="F147" s="419">
        <f>F148+F149</f>
        <v>0</v>
      </c>
      <c r="G147" s="420"/>
      <c r="H147" s="420"/>
      <c r="I147" s="419">
        <f>I148+I149</f>
        <v>0</v>
      </c>
      <c r="J147" s="420"/>
      <c r="K147" s="420"/>
      <c r="L147" s="419">
        <f>L148+L149</f>
        <v>0</v>
      </c>
      <c r="M147" s="420"/>
      <c r="N147" s="420"/>
      <c r="O147" s="419">
        <f>O148+O149</f>
        <v>0</v>
      </c>
      <c r="P147" s="420"/>
      <c r="Q147" s="420"/>
      <c r="R147" s="419">
        <f>R148+R149</f>
        <v>0</v>
      </c>
      <c r="S147" s="365"/>
      <c r="T147" s="365"/>
      <c r="U147" s="365"/>
      <c r="V147" s="365"/>
    </row>
    <row r="148" spans="1:22" ht="15" hidden="1" customHeight="1" x14ac:dyDescent="0.25">
      <c r="A148" s="367"/>
      <c r="B148" s="351" t="s">
        <v>292</v>
      </c>
      <c r="C148" s="368"/>
      <c r="D148" s="369"/>
      <c r="E148" s="369"/>
      <c r="F148" s="421"/>
      <c r="G148" s="422"/>
      <c r="H148" s="422"/>
      <c r="I148" s="421"/>
      <c r="J148" s="422"/>
      <c r="K148" s="422"/>
      <c r="L148" s="421"/>
      <c r="M148" s="422"/>
      <c r="N148" s="422"/>
      <c r="O148" s="463"/>
      <c r="P148" s="422"/>
      <c r="Q148" s="422"/>
      <c r="R148" s="421">
        <v>0</v>
      </c>
      <c r="S148" s="368"/>
      <c r="T148" s="368"/>
      <c r="U148" s="368"/>
      <c r="V148" s="368"/>
    </row>
    <row r="149" spans="1:22" ht="15" hidden="1" customHeight="1" x14ac:dyDescent="0.25">
      <c r="A149" s="367"/>
      <c r="B149" s="351" t="s">
        <v>1186</v>
      </c>
      <c r="C149" s="368"/>
      <c r="D149" s="369"/>
      <c r="E149" s="369"/>
      <c r="F149" s="421"/>
      <c r="G149" s="422"/>
      <c r="H149" s="422"/>
      <c r="I149" s="421"/>
      <c r="J149" s="422"/>
      <c r="K149" s="422"/>
      <c r="L149" s="421"/>
      <c r="M149" s="422"/>
      <c r="N149" s="422"/>
      <c r="O149" s="463"/>
      <c r="P149" s="422"/>
      <c r="Q149" s="422"/>
      <c r="R149" s="421">
        <v>0</v>
      </c>
      <c r="S149" s="368"/>
      <c r="T149" s="368"/>
      <c r="U149" s="368"/>
      <c r="V149" s="368"/>
    </row>
    <row r="150" spans="1:22" s="514" customFormat="1" ht="15" hidden="1" customHeight="1" x14ac:dyDescent="0.25">
      <c r="A150" s="363" t="s">
        <v>714</v>
      </c>
      <c r="B150" s="364" t="s">
        <v>720</v>
      </c>
      <c r="C150" s="365">
        <f>C151+C152</f>
        <v>0</v>
      </c>
      <c r="D150" s="366"/>
      <c r="E150" s="366"/>
      <c r="F150" s="419">
        <f>F151+F152</f>
        <v>0</v>
      </c>
      <c r="G150" s="420"/>
      <c r="H150" s="420"/>
      <c r="I150" s="419">
        <f>I151+I152</f>
        <v>0</v>
      </c>
      <c r="J150" s="420"/>
      <c r="K150" s="420"/>
      <c r="L150" s="419">
        <f>L151+L152</f>
        <v>0</v>
      </c>
      <c r="M150" s="420"/>
      <c r="N150" s="420"/>
      <c r="O150" s="419">
        <f>O151+O152</f>
        <v>0</v>
      </c>
      <c r="P150" s="420"/>
      <c r="Q150" s="420"/>
      <c r="R150" s="419">
        <f>R151+R152</f>
        <v>0</v>
      </c>
      <c r="S150" s="820"/>
      <c r="T150" s="820"/>
      <c r="U150" s="820"/>
      <c r="V150" s="820"/>
    </row>
    <row r="151" spans="1:22" s="515" customFormat="1" ht="15" hidden="1" customHeight="1" x14ac:dyDescent="0.25">
      <c r="A151" s="367"/>
      <c r="B151" s="351" t="s">
        <v>1186</v>
      </c>
      <c r="C151" s="368"/>
      <c r="D151" s="369"/>
      <c r="E151" s="369"/>
      <c r="F151" s="421"/>
      <c r="G151" s="422"/>
      <c r="H151" s="422"/>
      <c r="I151" s="421"/>
      <c r="J151" s="422"/>
      <c r="K151" s="422"/>
      <c r="L151" s="421"/>
      <c r="M151" s="422"/>
      <c r="N151" s="422"/>
      <c r="O151" s="463"/>
      <c r="P151" s="422"/>
      <c r="Q151" s="422"/>
      <c r="R151" s="421">
        <v>0</v>
      </c>
      <c r="S151" s="821"/>
      <c r="T151" s="821"/>
      <c r="U151" s="821"/>
      <c r="V151" s="821"/>
    </row>
    <row r="152" spans="1:22" s="515" customFormat="1" ht="15" hidden="1" customHeight="1" x14ac:dyDescent="0.25">
      <c r="A152" s="367"/>
      <c r="B152" s="351" t="s">
        <v>292</v>
      </c>
      <c r="C152" s="368">
        <v>0</v>
      </c>
      <c r="D152" s="369"/>
      <c r="E152" s="369"/>
      <c r="F152" s="421">
        <v>0</v>
      </c>
      <c r="G152" s="422"/>
      <c r="H152" s="422"/>
      <c r="I152" s="421">
        <v>0</v>
      </c>
      <c r="J152" s="422"/>
      <c r="K152" s="422"/>
      <c r="L152" s="421">
        <v>0</v>
      </c>
      <c r="M152" s="422"/>
      <c r="N152" s="422"/>
      <c r="O152" s="463">
        <v>0</v>
      </c>
      <c r="P152" s="422"/>
      <c r="Q152" s="422"/>
      <c r="R152" s="421">
        <v>0</v>
      </c>
      <c r="S152" s="821"/>
      <c r="T152" s="821"/>
      <c r="U152" s="821"/>
      <c r="V152" s="821"/>
    </row>
    <row r="153" spans="1:22" s="373" customFormat="1" ht="15" hidden="1" customHeight="1" x14ac:dyDescent="0.25">
      <c r="A153" s="363"/>
      <c r="B153" s="364" t="s">
        <v>722</v>
      </c>
      <c r="C153" s="365">
        <f>C154</f>
        <v>0</v>
      </c>
      <c r="D153" s="366"/>
      <c r="E153" s="366"/>
      <c r="F153" s="419">
        <f>F154</f>
        <v>0</v>
      </c>
      <c r="G153" s="420"/>
      <c r="H153" s="420"/>
      <c r="I153" s="419">
        <f>I154</f>
        <v>0</v>
      </c>
      <c r="J153" s="420"/>
      <c r="K153" s="420"/>
      <c r="L153" s="419">
        <f>L154</f>
        <v>0</v>
      </c>
      <c r="M153" s="420"/>
      <c r="N153" s="420"/>
      <c r="O153" s="419">
        <f>O154</f>
        <v>0</v>
      </c>
      <c r="P153" s="420"/>
      <c r="Q153" s="420"/>
      <c r="R153" s="419">
        <f>R154</f>
        <v>0</v>
      </c>
      <c r="S153" s="365"/>
      <c r="T153" s="365"/>
      <c r="U153" s="365"/>
      <c r="V153" s="365"/>
    </row>
    <row r="154" spans="1:22" ht="15" hidden="1" customHeight="1" x14ac:dyDescent="0.25">
      <c r="A154" s="367"/>
      <c r="B154" s="351" t="s">
        <v>1186</v>
      </c>
      <c r="C154" s="368">
        <v>0</v>
      </c>
      <c r="D154" s="369"/>
      <c r="E154" s="369"/>
      <c r="F154" s="421">
        <v>0</v>
      </c>
      <c r="G154" s="422"/>
      <c r="H154" s="422"/>
      <c r="I154" s="421">
        <v>0</v>
      </c>
      <c r="J154" s="422"/>
      <c r="K154" s="422"/>
      <c r="L154" s="421">
        <v>0</v>
      </c>
      <c r="M154" s="422"/>
      <c r="N154" s="422"/>
      <c r="O154" s="463">
        <v>0</v>
      </c>
      <c r="P154" s="422"/>
      <c r="Q154" s="422"/>
      <c r="R154" s="421">
        <v>0</v>
      </c>
      <c r="S154" s="368"/>
      <c r="T154" s="368"/>
      <c r="U154" s="368"/>
      <c r="V154" s="368"/>
    </row>
    <row r="155" spans="1:22" s="373" customFormat="1" ht="15" hidden="1" customHeight="1" x14ac:dyDescent="0.25">
      <c r="A155" s="363" t="s">
        <v>716</v>
      </c>
      <c r="B155" s="364" t="s">
        <v>724</v>
      </c>
      <c r="C155" s="365">
        <f>C156</f>
        <v>0</v>
      </c>
      <c r="D155" s="366"/>
      <c r="E155" s="366"/>
      <c r="F155" s="419">
        <f>F156</f>
        <v>0</v>
      </c>
      <c r="G155" s="420"/>
      <c r="H155" s="420"/>
      <c r="I155" s="419">
        <f>I156</f>
        <v>0</v>
      </c>
      <c r="J155" s="420"/>
      <c r="K155" s="420"/>
      <c r="L155" s="419">
        <f>L156</f>
        <v>0</v>
      </c>
      <c r="M155" s="420"/>
      <c r="N155" s="420"/>
      <c r="O155" s="419">
        <f>O156</f>
        <v>0</v>
      </c>
      <c r="P155" s="420"/>
      <c r="Q155" s="420"/>
      <c r="R155" s="419">
        <f>R156</f>
        <v>0</v>
      </c>
      <c r="S155" s="365"/>
      <c r="T155" s="365"/>
      <c r="U155" s="365"/>
      <c r="V155" s="365"/>
    </row>
    <row r="156" spans="1:22" ht="15" hidden="1" customHeight="1" x14ac:dyDescent="0.25">
      <c r="A156" s="367"/>
      <c r="B156" s="351" t="s">
        <v>1186</v>
      </c>
      <c r="C156" s="368"/>
      <c r="D156" s="369"/>
      <c r="E156" s="369"/>
      <c r="F156" s="421"/>
      <c r="G156" s="422"/>
      <c r="H156" s="422"/>
      <c r="I156" s="421"/>
      <c r="J156" s="422"/>
      <c r="K156" s="422"/>
      <c r="L156" s="421"/>
      <c r="M156" s="422"/>
      <c r="N156" s="422"/>
      <c r="O156" s="463"/>
      <c r="P156" s="422"/>
      <c r="Q156" s="422"/>
      <c r="R156" s="421">
        <v>0</v>
      </c>
      <c r="S156" s="368"/>
      <c r="T156" s="368"/>
      <c r="U156" s="368"/>
      <c r="V156" s="368"/>
    </row>
    <row r="157" spans="1:22" s="373" customFormat="1" ht="15" hidden="1" customHeight="1" x14ac:dyDescent="0.25">
      <c r="A157" s="363" t="s">
        <v>718</v>
      </c>
      <c r="B157" s="364" t="s">
        <v>726</v>
      </c>
      <c r="C157" s="365">
        <f>C158</f>
        <v>0</v>
      </c>
      <c r="D157" s="366"/>
      <c r="E157" s="366"/>
      <c r="F157" s="419">
        <f>F158</f>
        <v>0</v>
      </c>
      <c r="G157" s="420"/>
      <c r="H157" s="420"/>
      <c r="I157" s="419">
        <f>I158</f>
        <v>0</v>
      </c>
      <c r="J157" s="420"/>
      <c r="K157" s="420"/>
      <c r="L157" s="419">
        <f>L158</f>
        <v>0</v>
      </c>
      <c r="M157" s="420"/>
      <c r="N157" s="420"/>
      <c r="O157" s="419">
        <f>O158</f>
        <v>0</v>
      </c>
      <c r="P157" s="420"/>
      <c r="Q157" s="420"/>
      <c r="R157" s="419">
        <f>R158</f>
        <v>0</v>
      </c>
      <c r="S157" s="365"/>
      <c r="T157" s="365"/>
      <c r="U157" s="365"/>
      <c r="V157" s="365"/>
    </row>
    <row r="158" spans="1:22" ht="15" hidden="1" customHeight="1" x14ac:dyDescent="0.25">
      <c r="A158" s="367"/>
      <c r="B158" s="351" t="s">
        <v>1186</v>
      </c>
      <c r="C158" s="368"/>
      <c r="D158" s="369"/>
      <c r="E158" s="369"/>
      <c r="F158" s="421"/>
      <c r="G158" s="422"/>
      <c r="H158" s="422"/>
      <c r="I158" s="421"/>
      <c r="J158" s="422"/>
      <c r="K158" s="422"/>
      <c r="L158" s="421"/>
      <c r="M158" s="422"/>
      <c r="N158" s="422"/>
      <c r="O158" s="463"/>
      <c r="P158" s="422"/>
      <c r="Q158" s="422"/>
      <c r="R158" s="421">
        <v>0</v>
      </c>
      <c r="S158" s="368"/>
      <c r="T158" s="368"/>
      <c r="U158" s="368"/>
      <c r="V158" s="368"/>
    </row>
    <row r="159" spans="1:22" s="511" customFormat="1" ht="15" hidden="1" customHeight="1" x14ac:dyDescent="0.25">
      <c r="A159" s="363" t="s">
        <v>719</v>
      </c>
      <c r="B159" s="364" t="s">
        <v>728</v>
      </c>
      <c r="C159" s="365">
        <f>C160</f>
        <v>0</v>
      </c>
      <c r="D159" s="366"/>
      <c r="E159" s="366"/>
      <c r="F159" s="419">
        <f>F160</f>
        <v>0</v>
      </c>
      <c r="G159" s="420"/>
      <c r="H159" s="420"/>
      <c r="I159" s="419">
        <f>I160</f>
        <v>0</v>
      </c>
      <c r="J159" s="420"/>
      <c r="K159" s="420"/>
      <c r="L159" s="419">
        <f>L160</f>
        <v>0</v>
      </c>
      <c r="M159" s="420"/>
      <c r="N159" s="420"/>
      <c r="O159" s="419">
        <f>O160</f>
        <v>0</v>
      </c>
      <c r="P159" s="420"/>
      <c r="Q159" s="420"/>
      <c r="R159" s="419">
        <f>R160</f>
        <v>0</v>
      </c>
      <c r="S159" s="822"/>
      <c r="T159" s="822"/>
      <c r="U159" s="822"/>
      <c r="V159" s="822"/>
    </row>
    <row r="160" spans="1:22" ht="15" hidden="1" customHeight="1" x14ac:dyDescent="0.25">
      <c r="A160" s="367"/>
      <c r="B160" s="351" t="s">
        <v>1186</v>
      </c>
      <c r="C160" s="368"/>
      <c r="D160" s="369"/>
      <c r="E160" s="369"/>
      <c r="F160" s="421"/>
      <c r="G160" s="422"/>
      <c r="H160" s="422"/>
      <c r="I160" s="421"/>
      <c r="J160" s="422"/>
      <c r="K160" s="422"/>
      <c r="L160" s="421"/>
      <c r="M160" s="422"/>
      <c r="N160" s="422"/>
      <c r="O160" s="463"/>
      <c r="P160" s="422"/>
      <c r="Q160" s="422"/>
      <c r="R160" s="421">
        <v>0</v>
      </c>
      <c r="S160" s="368"/>
      <c r="T160" s="368"/>
      <c r="U160" s="368"/>
      <c r="V160" s="368"/>
    </row>
    <row r="161" spans="1:22" s="373" customFormat="1" ht="15" hidden="1" customHeight="1" x14ac:dyDescent="0.25">
      <c r="A161" s="363" t="s">
        <v>721</v>
      </c>
      <c r="B161" s="364" t="s">
        <v>730</v>
      </c>
      <c r="C161" s="365">
        <f>C162</f>
        <v>0</v>
      </c>
      <c r="D161" s="366"/>
      <c r="E161" s="366"/>
      <c r="F161" s="419">
        <f>F162</f>
        <v>0</v>
      </c>
      <c r="G161" s="420"/>
      <c r="H161" s="420"/>
      <c r="I161" s="419">
        <f>I162</f>
        <v>0</v>
      </c>
      <c r="J161" s="420"/>
      <c r="K161" s="420"/>
      <c r="L161" s="419">
        <f>L162</f>
        <v>0</v>
      </c>
      <c r="M161" s="420"/>
      <c r="N161" s="420"/>
      <c r="O161" s="419">
        <f>O162</f>
        <v>0</v>
      </c>
      <c r="P161" s="420"/>
      <c r="Q161" s="420"/>
      <c r="R161" s="419">
        <f>R162</f>
        <v>0</v>
      </c>
      <c r="S161" s="365"/>
      <c r="T161" s="365"/>
      <c r="U161" s="365"/>
      <c r="V161" s="365"/>
    </row>
    <row r="162" spans="1:22" ht="15" hidden="1" customHeight="1" x14ac:dyDescent="0.25">
      <c r="A162" s="367"/>
      <c r="B162" s="351" t="s">
        <v>1186</v>
      </c>
      <c r="C162" s="368"/>
      <c r="D162" s="369"/>
      <c r="E162" s="369"/>
      <c r="F162" s="421"/>
      <c r="G162" s="422"/>
      <c r="H162" s="422"/>
      <c r="I162" s="421"/>
      <c r="J162" s="422"/>
      <c r="K162" s="422"/>
      <c r="L162" s="421"/>
      <c r="M162" s="422"/>
      <c r="N162" s="422"/>
      <c r="O162" s="463"/>
      <c r="P162" s="422"/>
      <c r="Q162" s="422"/>
      <c r="R162" s="421">
        <v>0</v>
      </c>
      <c r="S162" s="368"/>
      <c r="T162" s="368"/>
      <c r="U162" s="368"/>
      <c r="V162" s="368"/>
    </row>
    <row r="163" spans="1:22" s="373" customFormat="1" ht="15" hidden="1" customHeight="1" x14ac:dyDescent="0.25">
      <c r="A163" s="363" t="s">
        <v>723</v>
      </c>
      <c r="B163" s="364" t="s">
        <v>731</v>
      </c>
      <c r="C163" s="365">
        <f>C164</f>
        <v>0</v>
      </c>
      <c r="D163" s="366"/>
      <c r="E163" s="366"/>
      <c r="F163" s="419">
        <f>F164</f>
        <v>0</v>
      </c>
      <c r="G163" s="420"/>
      <c r="H163" s="420"/>
      <c r="I163" s="419">
        <f>I164</f>
        <v>0</v>
      </c>
      <c r="J163" s="420"/>
      <c r="K163" s="420"/>
      <c r="L163" s="419">
        <f>L164</f>
        <v>0</v>
      </c>
      <c r="M163" s="420"/>
      <c r="N163" s="420"/>
      <c r="O163" s="419">
        <f>O164</f>
        <v>0</v>
      </c>
      <c r="P163" s="420"/>
      <c r="Q163" s="420"/>
      <c r="R163" s="419">
        <f>R164</f>
        <v>0</v>
      </c>
      <c r="S163" s="365"/>
      <c r="T163" s="365"/>
      <c r="U163" s="365"/>
      <c r="V163" s="365"/>
    </row>
    <row r="164" spans="1:22" ht="15" hidden="1" customHeight="1" x14ac:dyDescent="0.25">
      <c r="A164" s="367"/>
      <c r="B164" s="351" t="s">
        <v>292</v>
      </c>
      <c r="C164" s="368"/>
      <c r="D164" s="369"/>
      <c r="E164" s="369"/>
      <c r="F164" s="421"/>
      <c r="G164" s="422"/>
      <c r="H164" s="422"/>
      <c r="I164" s="421"/>
      <c r="J164" s="422"/>
      <c r="K164" s="422"/>
      <c r="L164" s="421"/>
      <c r="M164" s="422"/>
      <c r="N164" s="422"/>
      <c r="O164" s="463"/>
      <c r="P164" s="422"/>
      <c r="Q164" s="422"/>
      <c r="R164" s="421">
        <v>0</v>
      </c>
      <c r="S164" s="368"/>
      <c r="T164" s="368"/>
      <c r="U164" s="368"/>
      <c r="V164" s="368"/>
    </row>
    <row r="165" spans="1:22" s="373" customFormat="1" ht="15" hidden="1" customHeight="1" x14ac:dyDescent="0.25">
      <c r="A165" s="363" t="s">
        <v>725</v>
      </c>
      <c r="B165" s="364" t="s">
        <v>733</v>
      </c>
      <c r="C165" s="365">
        <f>C166</f>
        <v>0</v>
      </c>
      <c r="D165" s="366"/>
      <c r="E165" s="366"/>
      <c r="F165" s="419">
        <f>F166</f>
        <v>0</v>
      </c>
      <c r="G165" s="420"/>
      <c r="H165" s="420"/>
      <c r="I165" s="419">
        <f>I166</f>
        <v>0</v>
      </c>
      <c r="J165" s="420"/>
      <c r="K165" s="420"/>
      <c r="L165" s="419">
        <f>L166</f>
        <v>0</v>
      </c>
      <c r="M165" s="420"/>
      <c r="N165" s="420"/>
      <c r="O165" s="419">
        <f>O166</f>
        <v>0</v>
      </c>
      <c r="P165" s="420"/>
      <c r="Q165" s="420"/>
      <c r="R165" s="419">
        <f>R166</f>
        <v>0</v>
      </c>
      <c r="S165" s="365"/>
      <c r="T165" s="365"/>
      <c r="U165" s="365"/>
      <c r="V165" s="365"/>
    </row>
    <row r="166" spans="1:22" ht="15" hidden="1" customHeight="1" x14ac:dyDescent="0.25">
      <c r="A166" s="367"/>
      <c r="B166" s="351" t="s">
        <v>337</v>
      </c>
      <c r="C166" s="368"/>
      <c r="D166" s="369"/>
      <c r="E166" s="369"/>
      <c r="F166" s="421"/>
      <c r="G166" s="422"/>
      <c r="H166" s="422"/>
      <c r="I166" s="421"/>
      <c r="J166" s="422"/>
      <c r="K166" s="422"/>
      <c r="L166" s="421"/>
      <c r="M166" s="422"/>
      <c r="N166" s="422"/>
      <c r="O166" s="421"/>
      <c r="P166" s="422"/>
      <c r="Q166" s="422"/>
      <c r="R166" s="421">
        <v>0</v>
      </c>
      <c r="S166" s="368"/>
      <c r="T166" s="368"/>
      <c r="U166" s="368"/>
      <c r="V166" s="368"/>
    </row>
    <row r="167" spans="1:22" s="373" customFormat="1" ht="15" hidden="1" customHeight="1" x14ac:dyDescent="0.25">
      <c r="A167" s="363" t="s">
        <v>727</v>
      </c>
      <c r="B167" s="364" t="s">
        <v>735</v>
      </c>
      <c r="C167" s="365">
        <f>SUM(C168:C171)</f>
        <v>0</v>
      </c>
      <c r="D167" s="366"/>
      <c r="E167" s="366"/>
      <c r="F167" s="419">
        <f>SUM(F168:F171)</f>
        <v>0</v>
      </c>
      <c r="G167" s="420"/>
      <c r="H167" s="420"/>
      <c r="I167" s="419">
        <f>SUM(I168:I171)</f>
        <v>0</v>
      </c>
      <c r="J167" s="420"/>
      <c r="K167" s="420"/>
      <c r="L167" s="419">
        <f>SUM(L168:L171)</f>
        <v>0</v>
      </c>
      <c r="M167" s="420"/>
      <c r="N167" s="420"/>
      <c r="O167" s="419">
        <f>SUM(O168:O172)</f>
        <v>0</v>
      </c>
      <c r="P167" s="420"/>
      <c r="Q167" s="420"/>
      <c r="R167" s="419">
        <f>SUM(R168:R171)</f>
        <v>0</v>
      </c>
      <c r="S167" s="365"/>
      <c r="T167" s="365"/>
      <c r="U167" s="365"/>
      <c r="V167" s="365"/>
    </row>
    <row r="168" spans="1:22" ht="15" hidden="1" customHeight="1" x14ac:dyDescent="0.25">
      <c r="A168" s="367"/>
      <c r="B168" s="351" t="s">
        <v>286</v>
      </c>
      <c r="C168" s="368"/>
      <c r="D168" s="369"/>
      <c r="E168" s="369"/>
      <c r="F168" s="421"/>
      <c r="G168" s="422"/>
      <c r="H168" s="422"/>
      <c r="I168" s="421"/>
      <c r="J168" s="422"/>
      <c r="K168" s="422"/>
      <c r="L168" s="421"/>
      <c r="M168" s="422"/>
      <c r="N168" s="422"/>
      <c r="O168" s="421"/>
      <c r="P168" s="422"/>
      <c r="Q168" s="422"/>
      <c r="R168" s="421">
        <v>0</v>
      </c>
      <c r="S168" s="368"/>
      <c r="T168" s="368"/>
      <c r="U168" s="368"/>
      <c r="V168" s="368"/>
    </row>
    <row r="169" spans="1:22" ht="15" hidden="1" customHeight="1" x14ac:dyDescent="0.25">
      <c r="A169" s="367"/>
      <c r="B169" s="351" t="s">
        <v>287</v>
      </c>
      <c r="C169" s="368"/>
      <c r="D169" s="369"/>
      <c r="E169" s="369"/>
      <c r="F169" s="421"/>
      <c r="G169" s="422"/>
      <c r="H169" s="422"/>
      <c r="I169" s="421"/>
      <c r="J169" s="422"/>
      <c r="K169" s="422"/>
      <c r="L169" s="421"/>
      <c r="M169" s="422"/>
      <c r="N169" s="422"/>
      <c r="O169" s="421"/>
      <c r="P169" s="422"/>
      <c r="Q169" s="422"/>
      <c r="R169" s="421">
        <v>0</v>
      </c>
      <c r="S169" s="368"/>
      <c r="T169" s="368"/>
      <c r="U169" s="368"/>
      <c r="V169" s="368"/>
    </row>
    <row r="170" spans="1:22" ht="15" hidden="1" customHeight="1" x14ac:dyDescent="0.25">
      <c r="A170" s="367"/>
      <c r="B170" s="351" t="s">
        <v>292</v>
      </c>
      <c r="C170" s="368"/>
      <c r="D170" s="369"/>
      <c r="E170" s="369"/>
      <c r="F170" s="421"/>
      <c r="G170" s="422"/>
      <c r="H170" s="422"/>
      <c r="I170" s="421"/>
      <c r="J170" s="422"/>
      <c r="K170" s="422"/>
      <c r="L170" s="421"/>
      <c r="M170" s="422"/>
      <c r="N170" s="422"/>
      <c r="O170" s="463"/>
      <c r="P170" s="422"/>
      <c r="Q170" s="422"/>
      <c r="R170" s="421">
        <v>0</v>
      </c>
      <c r="S170" s="368"/>
      <c r="T170" s="368"/>
      <c r="U170" s="368"/>
      <c r="V170" s="368"/>
    </row>
    <row r="171" spans="1:22" ht="15" hidden="1" customHeight="1" x14ac:dyDescent="0.25">
      <c r="A171" s="367"/>
      <c r="B171" s="351" t="s">
        <v>339</v>
      </c>
      <c r="C171" s="368"/>
      <c r="D171" s="369"/>
      <c r="E171" s="369"/>
      <c r="F171" s="421"/>
      <c r="G171" s="422"/>
      <c r="H171" s="422"/>
      <c r="I171" s="421"/>
      <c r="J171" s="422"/>
      <c r="K171" s="422"/>
      <c r="L171" s="421"/>
      <c r="M171" s="422"/>
      <c r="N171" s="422"/>
      <c r="O171" s="463"/>
      <c r="P171" s="422"/>
      <c r="Q171" s="422"/>
      <c r="R171" s="421">
        <v>0</v>
      </c>
      <c r="S171" s="368"/>
      <c r="T171" s="368"/>
      <c r="U171" s="368"/>
      <c r="V171" s="368"/>
    </row>
    <row r="172" spans="1:22" ht="15" hidden="1" customHeight="1" x14ac:dyDescent="0.25">
      <c r="A172" s="367"/>
      <c r="B172" s="351" t="s">
        <v>351</v>
      </c>
      <c r="C172" s="368"/>
      <c r="D172" s="369"/>
      <c r="E172" s="369"/>
      <c r="F172" s="421"/>
      <c r="G172" s="422"/>
      <c r="H172" s="422"/>
      <c r="I172" s="421"/>
      <c r="J172" s="422"/>
      <c r="K172" s="422"/>
      <c r="L172" s="421"/>
      <c r="M172" s="422"/>
      <c r="N172" s="422"/>
      <c r="O172" s="421"/>
      <c r="P172" s="422"/>
      <c r="Q172" s="422"/>
      <c r="R172" s="421">
        <v>0</v>
      </c>
      <c r="S172" s="368"/>
      <c r="T172" s="368"/>
      <c r="U172" s="368"/>
      <c r="V172" s="368"/>
    </row>
    <row r="173" spans="1:22" s="373" customFormat="1" ht="15" hidden="1" customHeight="1" x14ac:dyDescent="0.25">
      <c r="A173" s="363" t="s">
        <v>729</v>
      </c>
      <c r="B173" s="364" t="s">
        <v>737</v>
      </c>
      <c r="C173" s="365">
        <f>C174+C175</f>
        <v>0</v>
      </c>
      <c r="D173" s="366"/>
      <c r="E173" s="366"/>
      <c r="F173" s="419">
        <f>F174+F175</f>
        <v>0</v>
      </c>
      <c r="G173" s="420"/>
      <c r="H173" s="420"/>
      <c r="I173" s="419">
        <f>I174+I175</f>
        <v>0</v>
      </c>
      <c r="J173" s="420"/>
      <c r="K173" s="420"/>
      <c r="L173" s="419">
        <f>L174+L175</f>
        <v>0</v>
      </c>
      <c r="M173" s="420"/>
      <c r="N173" s="420"/>
      <c r="O173" s="419">
        <f>O174+O175</f>
        <v>0</v>
      </c>
      <c r="P173" s="420"/>
      <c r="Q173" s="420"/>
      <c r="R173" s="419"/>
      <c r="S173" s="365"/>
      <c r="T173" s="365"/>
      <c r="U173" s="365"/>
      <c r="V173" s="365"/>
    </row>
    <row r="174" spans="1:22" ht="15" hidden="1" customHeight="1" x14ac:dyDescent="0.25">
      <c r="A174" s="367"/>
      <c r="B174" s="351" t="s">
        <v>351</v>
      </c>
      <c r="C174" s="368"/>
      <c r="D174" s="369"/>
      <c r="E174" s="369"/>
      <c r="F174" s="421"/>
      <c r="G174" s="422"/>
      <c r="H174" s="422"/>
      <c r="I174" s="421"/>
      <c r="J174" s="422"/>
      <c r="K174" s="422"/>
      <c r="L174" s="421"/>
      <c r="M174" s="422"/>
      <c r="N174" s="422"/>
      <c r="O174" s="421"/>
      <c r="P174" s="422"/>
      <c r="Q174" s="422"/>
      <c r="R174" s="421"/>
      <c r="S174" s="368"/>
      <c r="T174" s="368"/>
      <c r="U174" s="368"/>
      <c r="V174" s="368"/>
    </row>
    <row r="175" spans="1:22" ht="15" hidden="1" customHeight="1" x14ac:dyDescent="0.25">
      <c r="A175" s="367"/>
      <c r="B175" s="351" t="s">
        <v>342</v>
      </c>
      <c r="C175" s="368"/>
      <c r="D175" s="369"/>
      <c r="E175" s="369"/>
      <c r="F175" s="421"/>
      <c r="G175" s="422"/>
      <c r="H175" s="422"/>
      <c r="I175" s="421"/>
      <c r="J175" s="422"/>
      <c r="K175" s="422"/>
      <c r="L175" s="421"/>
      <c r="M175" s="422"/>
      <c r="N175" s="422"/>
      <c r="O175" s="421"/>
      <c r="P175" s="422"/>
      <c r="Q175" s="422"/>
      <c r="R175" s="421"/>
      <c r="S175" s="368"/>
      <c r="T175" s="368"/>
      <c r="U175" s="368"/>
      <c r="V175" s="368"/>
    </row>
    <row r="176" spans="1:22" s="373" customFormat="1" ht="15" hidden="1" customHeight="1" x14ac:dyDescent="0.25">
      <c r="A176" s="363" t="s">
        <v>1225</v>
      </c>
      <c r="B176" s="364" t="s">
        <v>1219</v>
      </c>
      <c r="C176" s="365">
        <f>SUM(C177:C181)</f>
        <v>0</v>
      </c>
      <c r="D176" s="366"/>
      <c r="E176" s="366"/>
      <c r="F176" s="419">
        <f>SUM(F177:F181)</f>
        <v>0</v>
      </c>
      <c r="G176" s="420"/>
      <c r="H176" s="420"/>
      <c r="I176" s="419">
        <f>SUM(I177:I181)</f>
        <v>0</v>
      </c>
      <c r="J176" s="420"/>
      <c r="K176" s="420"/>
      <c r="L176" s="419">
        <f>L177+L178+L179+L180+L181</f>
        <v>0</v>
      </c>
      <c r="M176" s="420"/>
      <c r="N176" s="420"/>
      <c r="O176" s="419">
        <f>O177+O178+O179+O180+O181</f>
        <v>0</v>
      </c>
      <c r="P176" s="420"/>
      <c r="Q176" s="420"/>
      <c r="R176" s="419">
        <f>R177+R178+R179+R180+R181</f>
        <v>0</v>
      </c>
      <c r="S176" s="365"/>
      <c r="T176" s="365"/>
      <c r="U176" s="365"/>
      <c r="V176" s="365"/>
    </row>
    <row r="177" spans="1:22" ht="15" hidden="1" customHeight="1" x14ac:dyDescent="0.25">
      <c r="A177" s="367"/>
      <c r="B177" s="351" t="s">
        <v>286</v>
      </c>
      <c r="C177" s="368"/>
      <c r="D177" s="369"/>
      <c r="E177" s="369"/>
      <c r="F177" s="421"/>
      <c r="G177" s="422"/>
      <c r="H177" s="422"/>
      <c r="I177" s="421"/>
      <c r="J177" s="422"/>
      <c r="K177" s="422"/>
      <c r="L177" s="421"/>
      <c r="M177" s="422"/>
      <c r="N177" s="422"/>
      <c r="O177" s="421"/>
      <c r="P177" s="422"/>
      <c r="Q177" s="422"/>
      <c r="R177" s="421">
        <v>0</v>
      </c>
      <c r="S177" s="368"/>
      <c r="T177" s="368"/>
      <c r="U177" s="368"/>
      <c r="V177" s="368"/>
    </row>
    <row r="178" spans="1:22" ht="15" hidden="1" customHeight="1" x14ac:dyDescent="0.25">
      <c r="A178" s="367"/>
      <c r="B178" s="351" t="s">
        <v>287</v>
      </c>
      <c r="C178" s="368"/>
      <c r="D178" s="369"/>
      <c r="E178" s="369"/>
      <c r="F178" s="421"/>
      <c r="G178" s="422"/>
      <c r="H178" s="422"/>
      <c r="I178" s="421"/>
      <c r="J178" s="422"/>
      <c r="K178" s="422"/>
      <c r="L178" s="421"/>
      <c r="M178" s="422"/>
      <c r="N178" s="422"/>
      <c r="O178" s="421"/>
      <c r="P178" s="422"/>
      <c r="Q178" s="422"/>
      <c r="R178" s="421">
        <v>0</v>
      </c>
      <c r="S178" s="368"/>
      <c r="T178" s="368"/>
      <c r="U178" s="368"/>
      <c r="V178" s="368"/>
    </row>
    <row r="179" spans="1:22" ht="15" hidden="1" customHeight="1" x14ac:dyDescent="0.25">
      <c r="A179" s="367"/>
      <c r="B179" s="351" t="s">
        <v>1220</v>
      </c>
      <c r="C179" s="368"/>
      <c r="D179" s="369"/>
      <c r="E179" s="369"/>
      <c r="F179" s="421"/>
      <c r="G179" s="422"/>
      <c r="H179" s="422"/>
      <c r="I179" s="421"/>
      <c r="J179" s="422"/>
      <c r="K179" s="422"/>
      <c r="L179" s="421"/>
      <c r="M179" s="422"/>
      <c r="N179" s="422"/>
      <c r="O179" s="463"/>
      <c r="P179" s="422"/>
      <c r="Q179" s="422"/>
      <c r="R179" s="421">
        <v>0</v>
      </c>
      <c r="S179" s="368"/>
      <c r="T179" s="368"/>
      <c r="U179" s="368"/>
      <c r="V179" s="368"/>
    </row>
    <row r="180" spans="1:22" ht="15" hidden="1" customHeight="1" x14ac:dyDescent="0.25">
      <c r="A180" s="367"/>
      <c r="B180" s="351" t="s">
        <v>351</v>
      </c>
      <c r="C180" s="368"/>
      <c r="D180" s="369"/>
      <c r="E180" s="369"/>
      <c r="F180" s="421"/>
      <c r="G180" s="422"/>
      <c r="H180" s="422"/>
      <c r="I180" s="421"/>
      <c r="J180" s="422"/>
      <c r="K180" s="422"/>
      <c r="L180" s="421"/>
      <c r="M180" s="422"/>
      <c r="N180" s="422"/>
      <c r="O180" s="421"/>
      <c r="P180" s="422"/>
      <c r="Q180" s="422"/>
      <c r="R180" s="421">
        <v>0</v>
      </c>
      <c r="S180" s="368"/>
      <c r="T180" s="368"/>
      <c r="U180" s="368"/>
      <c r="V180" s="368"/>
    </row>
    <row r="181" spans="1:22" ht="15" hidden="1" customHeight="1" x14ac:dyDescent="0.25">
      <c r="A181" s="367"/>
      <c r="B181" s="351" t="s">
        <v>342</v>
      </c>
      <c r="C181" s="368"/>
      <c r="D181" s="369"/>
      <c r="E181" s="369"/>
      <c r="F181" s="421"/>
      <c r="G181" s="422"/>
      <c r="H181" s="422"/>
      <c r="I181" s="463"/>
      <c r="J181" s="464"/>
      <c r="K181" s="464"/>
      <c r="L181" s="463"/>
      <c r="M181" s="464"/>
      <c r="N181" s="464"/>
      <c r="O181" s="463"/>
      <c r="P181" s="464"/>
      <c r="Q181" s="464"/>
      <c r="R181" s="463">
        <v>0</v>
      </c>
      <c r="S181" s="368"/>
      <c r="T181" s="368"/>
      <c r="U181" s="368"/>
      <c r="V181" s="368"/>
    </row>
    <row r="182" spans="1:22" s="373" customFormat="1" ht="15" hidden="1" customHeight="1" x14ac:dyDescent="0.25">
      <c r="A182" s="363" t="s">
        <v>732</v>
      </c>
      <c r="B182" s="364" t="s">
        <v>739</v>
      </c>
      <c r="C182" s="365">
        <f>C183+C184</f>
        <v>0</v>
      </c>
      <c r="D182" s="366"/>
      <c r="E182" s="366"/>
      <c r="F182" s="419">
        <f>F183+F184</f>
        <v>0</v>
      </c>
      <c r="G182" s="420"/>
      <c r="H182" s="420"/>
      <c r="I182" s="419">
        <f>I183+I184</f>
        <v>0</v>
      </c>
      <c r="J182" s="420"/>
      <c r="K182" s="420"/>
      <c r="L182" s="419">
        <f>L183+L184</f>
        <v>0</v>
      </c>
      <c r="M182" s="420"/>
      <c r="N182" s="420"/>
      <c r="O182" s="419">
        <f>O183+O184+O185</f>
        <v>0</v>
      </c>
      <c r="P182" s="420"/>
      <c r="Q182" s="420"/>
      <c r="R182" s="419">
        <f>R183+R184</f>
        <v>0</v>
      </c>
      <c r="S182" s="365"/>
      <c r="T182" s="365"/>
      <c r="U182" s="365"/>
      <c r="V182" s="365"/>
    </row>
    <row r="183" spans="1:22" ht="15" hidden="1" customHeight="1" x14ac:dyDescent="0.25">
      <c r="A183" s="367"/>
      <c r="B183" s="351" t="s">
        <v>286</v>
      </c>
      <c r="C183" s="368"/>
      <c r="D183" s="369"/>
      <c r="E183" s="369"/>
      <c r="F183" s="421"/>
      <c r="G183" s="422"/>
      <c r="H183" s="422"/>
      <c r="I183" s="421"/>
      <c r="J183" s="422"/>
      <c r="K183" s="422"/>
      <c r="L183" s="421"/>
      <c r="M183" s="422"/>
      <c r="N183" s="422"/>
      <c r="O183" s="421"/>
      <c r="P183" s="422"/>
      <c r="Q183" s="422"/>
      <c r="R183" s="421">
        <v>0</v>
      </c>
      <c r="S183" s="368"/>
      <c r="T183" s="368"/>
      <c r="U183" s="368"/>
      <c r="V183" s="368"/>
    </row>
    <row r="184" spans="1:22" ht="15" hidden="1" customHeight="1" x14ac:dyDescent="0.25">
      <c r="A184" s="367"/>
      <c r="B184" s="351" t="s">
        <v>287</v>
      </c>
      <c r="C184" s="368"/>
      <c r="D184" s="369"/>
      <c r="E184" s="369"/>
      <c r="F184" s="421"/>
      <c r="G184" s="422"/>
      <c r="H184" s="422"/>
      <c r="I184" s="421"/>
      <c r="J184" s="422"/>
      <c r="K184" s="422"/>
      <c r="L184" s="421"/>
      <c r="M184" s="422"/>
      <c r="N184" s="422"/>
      <c r="O184" s="421"/>
      <c r="P184" s="422"/>
      <c r="Q184" s="422"/>
      <c r="R184" s="421">
        <v>0</v>
      </c>
      <c r="S184" s="368"/>
      <c r="T184" s="368"/>
      <c r="U184" s="368"/>
      <c r="V184" s="368"/>
    </row>
    <row r="185" spans="1:22" ht="15" hidden="1" customHeight="1" x14ac:dyDescent="0.25">
      <c r="A185" s="367"/>
      <c r="B185" s="351" t="s">
        <v>1250</v>
      </c>
      <c r="C185" s="368"/>
      <c r="D185" s="369"/>
      <c r="E185" s="369"/>
      <c r="F185" s="421"/>
      <c r="G185" s="422"/>
      <c r="H185" s="422"/>
      <c r="I185" s="421"/>
      <c r="J185" s="422"/>
      <c r="K185" s="422"/>
      <c r="L185" s="421"/>
      <c r="M185" s="422"/>
      <c r="N185" s="422"/>
      <c r="O185" s="463"/>
      <c r="P185" s="422"/>
      <c r="Q185" s="422"/>
      <c r="R185" s="421"/>
      <c r="S185" s="368"/>
      <c r="T185" s="368"/>
      <c r="U185" s="368"/>
      <c r="V185" s="368"/>
    </row>
    <row r="186" spans="1:22" s="373" customFormat="1" ht="15" hidden="1" customHeight="1" x14ac:dyDescent="0.25">
      <c r="A186" s="363" t="s">
        <v>734</v>
      </c>
      <c r="B186" s="364" t="s">
        <v>1068</v>
      </c>
      <c r="C186" s="365">
        <f>C187</f>
        <v>0</v>
      </c>
      <c r="D186" s="366"/>
      <c r="E186" s="366"/>
      <c r="F186" s="419">
        <f>F187</f>
        <v>0</v>
      </c>
      <c r="G186" s="420"/>
      <c r="H186" s="420"/>
      <c r="I186" s="419">
        <f>I187</f>
        <v>0</v>
      </c>
      <c r="J186" s="420"/>
      <c r="K186" s="420"/>
      <c r="L186" s="419">
        <f>L187</f>
        <v>0</v>
      </c>
      <c r="M186" s="420"/>
      <c r="N186" s="420"/>
      <c r="O186" s="419">
        <f>O187</f>
        <v>0</v>
      </c>
      <c r="P186" s="420"/>
      <c r="Q186" s="420"/>
      <c r="R186" s="419">
        <f>R187</f>
        <v>0</v>
      </c>
      <c r="S186" s="365"/>
      <c r="T186" s="365"/>
      <c r="U186" s="365"/>
      <c r="V186" s="365"/>
    </row>
    <row r="187" spans="1:22" ht="15" hidden="1" customHeight="1" x14ac:dyDescent="0.25">
      <c r="A187" s="367"/>
      <c r="B187" s="351" t="s">
        <v>292</v>
      </c>
      <c r="C187" s="368"/>
      <c r="D187" s="369"/>
      <c r="E187" s="369"/>
      <c r="F187" s="421"/>
      <c r="G187" s="422"/>
      <c r="H187" s="422"/>
      <c r="I187" s="421"/>
      <c r="J187" s="422"/>
      <c r="K187" s="422"/>
      <c r="L187" s="421"/>
      <c r="M187" s="422"/>
      <c r="N187" s="422"/>
      <c r="O187" s="463"/>
      <c r="P187" s="422"/>
      <c r="Q187" s="422"/>
      <c r="R187" s="421">
        <v>0</v>
      </c>
      <c r="S187" s="368"/>
      <c r="T187" s="368"/>
      <c r="U187" s="368"/>
      <c r="V187" s="368"/>
    </row>
    <row r="188" spans="1:22" s="512" customFormat="1" ht="15" hidden="1" customHeight="1" x14ac:dyDescent="0.25">
      <c r="A188" s="363" t="s">
        <v>736</v>
      </c>
      <c r="B188" s="364" t="s">
        <v>654</v>
      </c>
      <c r="C188" s="365">
        <f>SUM(C189:C191)</f>
        <v>0</v>
      </c>
      <c r="D188" s="366"/>
      <c r="E188" s="366"/>
      <c r="F188" s="419">
        <f>SUM(F189:F191)</f>
        <v>0</v>
      </c>
      <c r="G188" s="420"/>
      <c r="H188" s="420"/>
      <c r="I188" s="419">
        <f>SUM(I189:I191)</f>
        <v>0</v>
      </c>
      <c r="J188" s="420"/>
      <c r="K188" s="420"/>
      <c r="L188" s="419">
        <f>SUM(L189:L191)</f>
        <v>0</v>
      </c>
      <c r="M188" s="420"/>
      <c r="N188" s="420"/>
      <c r="O188" s="419">
        <f>SUM(O189:O191)</f>
        <v>0</v>
      </c>
      <c r="P188" s="420"/>
      <c r="Q188" s="420"/>
      <c r="R188" s="419">
        <f>SUM(R189:R191)</f>
        <v>0</v>
      </c>
      <c r="S188" s="819"/>
      <c r="T188" s="819"/>
      <c r="U188" s="819"/>
      <c r="V188" s="819"/>
    </row>
    <row r="189" spans="1:22" ht="15" hidden="1" customHeight="1" x14ac:dyDescent="0.25">
      <c r="A189" s="367"/>
      <c r="B189" s="351" t="s">
        <v>286</v>
      </c>
      <c r="C189" s="368"/>
      <c r="D189" s="369"/>
      <c r="E189" s="369"/>
      <c r="F189" s="421"/>
      <c r="G189" s="422"/>
      <c r="H189" s="422"/>
      <c r="I189" s="421"/>
      <c r="J189" s="422"/>
      <c r="K189" s="422"/>
      <c r="L189" s="421"/>
      <c r="M189" s="422"/>
      <c r="N189" s="422"/>
      <c r="O189" s="421"/>
      <c r="P189" s="422"/>
      <c r="Q189" s="422"/>
      <c r="R189" s="421">
        <v>0</v>
      </c>
      <c r="S189" s="368"/>
      <c r="T189" s="368"/>
      <c r="U189" s="368"/>
      <c r="V189" s="368"/>
    </row>
    <row r="190" spans="1:22" ht="15" hidden="1" customHeight="1" x14ac:dyDescent="0.25">
      <c r="A190" s="367"/>
      <c r="B190" s="351" t="s">
        <v>287</v>
      </c>
      <c r="C190" s="368"/>
      <c r="D190" s="369"/>
      <c r="E190" s="369"/>
      <c r="F190" s="421"/>
      <c r="G190" s="422"/>
      <c r="H190" s="422"/>
      <c r="I190" s="421"/>
      <c r="J190" s="422"/>
      <c r="K190" s="422"/>
      <c r="L190" s="421"/>
      <c r="M190" s="422"/>
      <c r="N190" s="422"/>
      <c r="O190" s="421"/>
      <c r="P190" s="422"/>
      <c r="Q190" s="422"/>
      <c r="R190" s="421">
        <v>0</v>
      </c>
      <c r="S190" s="368"/>
      <c r="T190" s="368"/>
      <c r="U190" s="368"/>
      <c r="V190" s="368"/>
    </row>
    <row r="191" spans="1:22" ht="15" hidden="1" customHeight="1" x14ac:dyDescent="0.25">
      <c r="A191" s="367"/>
      <c r="B191" s="351" t="s">
        <v>292</v>
      </c>
      <c r="C191" s="368"/>
      <c r="D191" s="369"/>
      <c r="E191" s="369"/>
      <c r="F191" s="421"/>
      <c r="G191" s="422"/>
      <c r="H191" s="422"/>
      <c r="I191" s="421"/>
      <c r="J191" s="422"/>
      <c r="K191" s="422"/>
      <c r="L191" s="421"/>
      <c r="M191" s="422"/>
      <c r="N191" s="422"/>
      <c r="O191" s="463"/>
      <c r="P191" s="422"/>
      <c r="Q191" s="422"/>
      <c r="R191" s="421">
        <v>0</v>
      </c>
      <c r="S191" s="368"/>
      <c r="T191" s="368"/>
      <c r="U191" s="368"/>
      <c r="V191" s="368"/>
    </row>
    <row r="192" spans="1:22" s="373" customFormat="1" ht="15" hidden="1" customHeight="1" x14ac:dyDescent="0.25">
      <c r="A192" s="363" t="s">
        <v>738</v>
      </c>
      <c r="B192" s="364" t="s">
        <v>1260</v>
      </c>
      <c r="C192" s="365">
        <f>C193+C194</f>
        <v>0</v>
      </c>
      <c r="D192" s="366"/>
      <c r="E192" s="366"/>
      <c r="F192" s="419">
        <f>F193+F194</f>
        <v>0</v>
      </c>
      <c r="G192" s="420"/>
      <c r="H192" s="420"/>
      <c r="I192" s="419">
        <f>I193+I194</f>
        <v>0</v>
      </c>
      <c r="J192" s="420"/>
      <c r="K192" s="420"/>
      <c r="L192" s="419">
        <f>L193+L194</f>
        <v>0</v>
      </c>
      <c r="M192" s="420"/>
      <c r="N192" s="420"/>
      <c r="O192" s="419">
        <f>O193+O194</f>
        <v>0</v>
      </c>
      <c r="P192" s="420"/>
      <c r="Q192" s="420"/>
      <c r="R192" s="419">
        <f>R193+R194</f>
        <v>0</v>
      </c>
      <c r="S192" s="365"/>
      <c r="T192" s="365"/>
      <c r="U192" s="365"/>
      <c r="V192" s="365"/>
    </row>
    <row r="193" spans="1:22" ht="15" hidden="1" customHeight="1" x14ac:dyDescent="0.25">
      <c r="A193" s="367"/>
      <c r="B193" s="351" t="s">
        <v>1186</v>
      </c>
      <c r="C193" s="368"/>
      <c r="D193" s="369"/>
      <c r="E193" s="369"/>
      <c r="F193" s="421"/>
      <c r="G193" s="422"/>
      <c r="H193" s="422"/>
      <c r="I193" s="421"/>
      <c r="J193" s="422"/>
      <c r="K193" s="422"/>
      <c r="L193" s="421"/>
      <c r="M193" s="422"/>
      <c r="N193" s="422"/>
      <c r="O193" s="463"/>
      <c r="P193" s="422"/>
      <c r="Q193" s="422"/>
      <c r="R193" s="421">
        <v>0</v>
      </c>
      <c r="S193" s="368"/>
      <c r="T193" s="368"/>
      <c r="U193" s="368"/>
      <c r="V193" s="368"/>
    </row>
    <row r="194" spans="1:22" ht="15" hidden="1" customHeight="1" x14ac:dyDescent="0.25">
      <c r="A194" s="367"/>
      <c r="B194" s="351" t="s">
        <v>351</v>
      </c>
      <c r="C194" s="368"/>
      <c r="D194" s="369"/>
      <c r="E194" s="369"/>
      <c r="F194" s="421"/>
      <c r="G194" s="422"/>
      <c r="H194" s="422"/>
      <c r="I194" s="421"/>
      <c r="J194" s="422"/>
      <c r="K194" s="422"/>
      <c r="L194" s="421"/>
      <c r="M194" s="422"/>
      <c r="N194" s="422"/>
      <c r="O194" s="421"/>
      <c r="P194" s="422"/>
      <c r="Q194" s="422"/>
      <c r="R194" s="421">
        <v>0</v>
      </c>
      <c r="S194" s="368"/>
      <c r="T194" s="368"/>
      <c r="U194" s="368"/>
      <c r="V194" s="368"/>
    </row>
    <row r="195" spans="1:22" ht="15" hidden="1" customHeight="1" x14ac:dyDescent="0.25">
      <c r="A195" s="363" t="s">
        <v>1230</v>
      </c>
      <c r="B195" s="364" t="s">
        <v>1231</v>
      </c>
      <c r="C195" s="365"/>
      <c r="D195" s="366"/>
      <c r="E195" s="366"/>
      <c r="F195" s="419">
        <f>+F196+F197</f>
        <v>0</v>
      </c>
      <c r="G195" s="420"/>
      <c r="H195" s="420"/>
      <c r="I195" s="419">
        <f>+I196+I197</f>
        <v>0</v>
      </c>
      <c r="J195" s="420"/>
      <c r="K195" s="420"/>
      <c r="L195" s="419">
        <f>+L196+L197</f>
        <v>0</v>
      </c>
      <c r="M195" s="420"/>
      <c r="N195" s="420"/>
      <c r="O195" s="419">
        <f>+O196+O197</f>
        <v>0</v>
      </c>
      <c r="P195" s="420"/>
      <c r="Q195" s="420"/>
      <c r="R195" s="419"/>
      <c r="S195" s="368"/>
      <c r="T195" s="368"/>
      <c r="U195" s="368"/>
      <c r="V195" s="368"/>
    </row>
    <row r="196" spans="1:22" ht="15" hidden="1" customHeight="1" x14ac:dyDescent="0.25">
      <c r="A196" s="367"/>
      <c r="B196" s="351" t="s">
        <v>292</v>
      </c>
      <c r="C196" s="368"/>
      <c r="D196" s="369"/>
      <c r="E196" s="369"/>
      <c r="F196" s="421"/>
      <c r="G196" s="422"/>
      <c r="H196" s="422"/>
      <c r="I196" s="421"/>
      <c r="J196" s="422"/>
      <c r="K196" s="422"/>
      <c r="L196" s="421"/>
      <c r="M196" s="422"/>
      <c r="N196" s="422"/>
      <c r="O196" s="463"/>
      <c r="P196" s="422"/>
      <c r="Q196" s="422"/>
      <c r="R196" s="421"/>
      <c r="S196" s="368"/>
      <c r="T196" s="368"/>
      <c r="U196" s="368"/>
      <c r="V196" s="368"/>
    </row>
    <row r="197" spans="1:22" ht="15" hidden="1" customHeight="1" x14ac:dyDescent="0.25">
      <c r="A197" s="367"/>
      <c r="B197" s="351" t="s">
        <v>342</v>
      </c>
      <c r="C197" s="368"/>
      <c r="D197" s="369"/>
      <c r="E197" s="369"/>
      <c r="F197" s="421"/>
      <c r="G197" s="422"/>
      <c r="H197" s="422"/>
      <c r="I197" s="421"/>
      <c r="J197" s="422"/>
      <c r="K197" s="422"/>
      <c r="L197" s="421"/>
      <c r="M197" s="422"/>
      <c r="N197" s="422"/>
      <c r="O197" s="421"/>
      <c r="P197" s="422"/>
      <c r="Q197" s="422"/>
      <c r="R197" s="421"/>
      <c r="S197" s="368"/>
      <c r="T197" s="368"/>
      <c r="U197" s="368"/>
      <c r="V197" s="368"/>
    </row>
    <row r="198" spans="1:22" ht="15" hidden="1" customHeight="1" x14ac:dyDescent="0.25">
      <c r="A198" s="367" t="s">
        <v>1257</v>
      </c>
      <c r="B198" s="364" t="s">
        <v>1258</v>
      </c>
      <c r="C198" s="368"/>
      <c r="D198" s="369"/>
      <c r="E198" s="369"/>
      <c r="F198" s="421"/>
      <c r="G198" s="422"/>
      <c r="H198" s="422"/>
      <c r="I198" s="421"/>
      <c r="J198" s="422"/>
      <c r="K198" s="422"/>
      <c r="L198" s="421"/>
      <c r="M198" s="422"/>
      <c r="N198" s="422"/>
      <c r="O198" s="419"/>
      <c r="P198" s="422"/>
      <c r="Q198" s="422"/>
      <c r="R198" s="421">
        <f>+R199+R200</f>
        <v>0</v>
      </c>
      <c r="S198" s="368"/>
      <c r="T198" s="368"/>
      <c r="U198" s="368"/>
      <c r="V198" s="368"/>
    </row>
    <row r="199" spans="1:22" ht="15" hidden="1" customHeight="1" x14ac:dyDescent="0.25">
      <c r="A199" s="367"/>
      <c r="B199" s="351" t="s">
        <v>292</v>
      </c>
      <c r="C199" s="368"/>
      <c r="D199" s="369"/>
      <c r="E199" s="369"/>
      <c r="F199" s="421"/>
      <c r="G199" s="422"/>
      <c r="H199" s="422"/>
      <c r="I199" s="421"/>
      <c r="J199" s="422"/>
      <c r="K199" s="422"/>
      <c r="L199" s="421"/>
      <c r="M199" s="422"/>
      <c r="N199" s="422"/>
      <c r="O199" s="421"/>
      <c r="P199" s="422"/>
      <c r="Q199" s="422"/>
      <c r="R199" s="421"/>
      <c r="S199" s="368"/>
      <c r="T199" s="368"/>
      <c r="U199" s="368"/>
      <c r="V199" s="368"/>
    </row>
    <row r="200" spans="1:22" ht="15" hidden="1" customHeight="1" x14ac:dyDescent="0.25">
      <c r="A200" s="367"/>
      <c r="B200" s="351" t="s">
        <v>342</v>
      </c>
      <c r="C200" s="368"/>
      <c r="D200" s="369"/>
      <c r="E200" s="369"/>
      <c r="F200" s="421"/>
      <c r="G200" s="422"/>
      <c r="H200" s="422"/>
      <c r="I200" s="421"/>
      <c r="J200" s="422"/>
      <c r="K200" s="422"/>
      <c r="L200" s="421"/>
      <c r="M200" s="422"/>
      <c r="N200" s="422"/>
      <c r="O200" s="421"/>
      <c r="P200" s="422"/>
      <c r="Q200" s="422"/>
      <c r="R200" s="421"/>
      <c r="S200" s="368"/>
      <c r="T200" s="368"/>
      <c r="U200" s="368"/>
      <c r="V200" s="368"/>
    </row>
    <row r="201" spans="1:22" s="373" customFormat="1" x14ac:dyDescent="0.25">
      <c r="A201" s="307" t="s">
        <v>328</v>
      </c>
      <c r="B201" s="360" t="s">
        <v>591</v>
      </c>
      <c r="C201" s="361">
        <f t="shared" ref="C201" si="50">C202+C204+C205+C203</f>
        <v>0</v>
      </c>
      <c r="D201" s="362"/>
      <c r="E201" s="362"/>
      <c r="F201" s="417">
        <f t="shared" ref="F201" si="51">F202+F204+F205+F203</f>
        <v>1405150</v>
      </c>
      <c r="G201" s="418"/>
      <c r="H201" s="418"/>
      <c r="I201" s="417">
        <f t="shared" ref="I201" si="52">I202+I204+I205+I203</f>
        <v>134433</v>
      </c>
      <c r="J201" s="418"/>
      <c r="K201" s="418"/>
      <c r="L201" s="417">
        <f t="shared" ref="L201" si="53">L202+L204+L205+L203</f>
        <v>80782</v>
      </c>
      <c r="M201" s="418"/>
      <c r="N201" s="418"/>
      <c r="O201" s="417">
        <f t="shared" ref="O201" si="54">O202+O204+O205+O203</f>
        <v>1477264</v>
      </c>
      <c r="P201" s="418"/>
      <c r="Q201" s="418"/>
      <c r="R201" s="417">
        <f t="shared" ref="R201" si="55">R202+R204+R205+R203</f>
        <v>1904735</v>
      </c>
      <c r="S201" s="725">
        <f>+S202+S203+S204+S205</f>
        <v>1551544</v>
      </c>
      <c r="T201" s="725">
        <f>+T202+T203+T204+T205</f>
        <v>1647281</v>
      </c>
      <c r="U201" s="725">
        <f>+U202+U203+U204+U205</f>
        <v>1620779</v>
      </c>
      <c r="V201" s="725">
        <f>+V202+V203+V204+V205</f>
        <v>834220</v>
      </c>
    </row>
    <row r="202" spans="1:22" x14ac:dyDescent="0.25">
      <c r="A202" s="367"/>
      <c r="B202" s="351" t="s">
        <v>740</v>
      </c>
      <c r="C202" s="368"/>
      <c r="D202" s="369"/>
      <c r="E202" s="369"/>
      <c r="F202" s="421">
        <f>'3.1. PH'!G37+'4.1. Vesz'!G34+'5. Eszi'!G34+'6.1. Óvoda'!G34+'6.2. Kalandpark'!G34+'6.3. KLMK'!G34+'6.4. Könyvtár'!G34</f>
        <v>1369910</v>
      </c>
      <c r="G202" s="421">
        <f>'3.1. PH'!H37+'4.1. Vesz'!H34+'5. Eszi'!H34+'6.1. Óvoda'!H34+'6.2. Kalandpark'!H34+'6.3. KLMK'!H34+'6.4. Könyvtár'!H34</f>
        <v>1266982</v>
      </c>
      <c r="H202" s="421">
        <f>'3.1. PH'!I37+'4.1. Vesz'!I34+'5. Eszi'!I34+'6.1. Óvoda'!I34+'6.2. Kalandpark'!I34+'6.3. KLMK'!I34+'6.4. Könyvtár'!I34</f>
        <v>17774</v>
      </c>
      <c r="I202" s="421">
        <f>'3.1. PH'!J37+'4.1. Vesz'!J34+'5. Eszi'!J34+'6.1. Óvoda'!J34+'6.2. Kalandpark'!J34+'6.3. KLMK'!J34+'6.4. Könyvtár'!J34</f>
        <v>99193</v>
      </c>
      <c r="J202" s="421">
        <f>'3.1. PH'!K37+'4.1. Vesz'!K34+'5. Eszi'!K34+'6.1. Óvoda'!K34+'6.2. Kalandpark'!K34+'6.3. KLMK'!K34+'6.4. Könyvtár'!K34</f>
        <v>1383949</v>
      </c>
      <c r="K202" s="421">
        <f>'3.1. PH'!L37+'4.1. Vesz'!L34+'5. Eszi'!L34+'6.1. Óvoda'!L34+'6.2. Kalandpark'!L34+'6.3. KLMK'!L34+'6.4. Könyvtár'!L34</f>
        <v>1269543</v>
      </c>
      <c r="L202" s="421">
        <f>'3.1. PH'!M37+'4.1. Vesz'!M34+'5. Eszi'!M34+'6.1. Óvoda'!M34+'6.2. Kalandpark'!M34+'6.3. KLMK'!M34+'6.4. Könyvtár'!M34</f>
        <v>17987</v>
      </c>
      <c r="M202" s="421">
        <f>'3.1. PH'!N37+'4.1. Vesz'!N34+'5. Eszi'!N34+'6.1. Óvoda'!N34+'6.2. Kalandpark'!N34+'6.3. KLMK'!N34+'6.4. Könyvtár'!N34</f>
        <v>103243</v>
      </c>
      <c r="N202" s="421">
        <f>'3.1. PH'!O37+'4.1. Vesz'!O34+'5. Eszi'!O34+'6.1. Óvoda'!O34+'6.2. Kalandpark'!O34+'6.3. KLMK'!O34+'6.4. Könyvtár'!O34</f>
        <v>1390773</v>
      </c>
      <c r="O202" s="421">
        <f>'3.1. PH'!P37+'4.1. Vesz'!P34+'5. Eszi'!P34+'6.1. Óvoda'!P34+'6.2. Kalandpark'!P34+'6.3. KLMK'!P34+'6.4. Könyvtár'!P34</f>
        <v>1477264</v>
      </c>
      <c r="P202" s="421">
        <f>'3.1. PH'!Q37+'4.1. Vesz'!Q34+'5. Eszi'!Q34+'6.1. Óvoda'!Q34+'6.2. Kalandpark'!Q34+'6.3. KLMK'!Q34+'6.4. Könyvtár'!Q34</f>
        <v>244221</v>
      </c>
      <c r="Q202" s="421">
        <f>'3.1. PH'!R37+'4.1. Vesz'!R34+'5. Eszi'!R34+'6.1. Óvoda'!R34+'6.2. Kalandpark'!R34+'6.3. KLMK'!R34+'6.4. Könyvtár'!R34</f>
        <v>174440</v>
      </c>
      <c r="R202" s="421">
        <f>'3.1. PH'!S37+'4.1. Vesz'!S34+'5. Eszi'!S34+'6.1. Óvoda'!S34+'6.2. Kalandpark'!S34+'6.3. KLMK'!S34+'6.4. Könyvtár'!S34</f>
        <v>1895925</v>
      </c>
      <c r="S202" s="421">
        <f>'3.1. PH'!AB37+'4.1. Vesz'!AA34+'5. Eszi'!AA34+'6.1. Óvoda'!AA34+'6.2. Kalandpark'!AA34+'6.3. KLMK'!AB34+'6.4. Könyvtár'!AA34</f>
        <v>1491546</v>
      </c>
      <c r="T202" s="421">
        <v>1550656</v>
      </c>
      <c r="U202" s="421">
        <v>1524154</v>
      </c>
      <c r="V202" s="421">
        <v>778984</v>
      </c>
    </row>
    <row r="203" spans="1:22" x14ac:dyDescent="0.25">
      <c r="A203" s="367"/>
      <c r="B203" s="351" t="s">
        <v>741</v>
      </c>
      <c r="C203" s="368"/>
      <c r="D203" s="369"/>
      <c r="E203" s="369"/>
      <c r="F203" s="421"/>
      <c r="G203" s="422"/>
      <c r="H203" s="422"/>
      <c r="I203" s="421"/>
      <c r="J203" s="422"/>
      <c r="K203" s="422"/>
      <c r="L203" s="421">
        <v>27555</v>
      </c>
      <c r="M203" s="422"/>
      <c r="N203" s="422"/>
      <c r="O203" s="421"/>
      <c r="P203" s="422"/>
      <c r="Q203" s="422"/>
      <c r="R203" s="421">
        <v>0</v>
      </c>
      <c r="S203" s="368"/>
      <c r="T203" s="368">
        <v>28857</v>
      </c>
      <c r="U203" s="368">
        <v>28857</v>
      </c>
      <c r="V203" s="368">
        <v>28857</v>
      </c>
    </row>
    <row r="204" spans="1:22" x14ac:dyDescent="0.25">
      <c r="A204" s="367"/>
      <c r="B204" s="351" t="s">
        <v>742</v>
      </c>
      <c r="C204" s="368"/>
      <c r="D204" s="369"/>
      <c r="E204" s="369"/>
      <c r="F204" s="421">
        <v>35240</v>
      </c>
      <c r="G204" s="422"/>
      <c r="H204" s="422"/>
      <c r="I204" s="421">
        <v>35240</v>
      </c>
      <c r="J204" s="422"/>
      <c r="K204" s="422"/>
      <c r="L204" s="421">
        <v>35240</v>
      </c>
      <c r="M204" s="422"/>
      <c r="N204" s="422"/>
      <c r="O204" s="421"/>
      <c r="P204" s="422"/>
      <c r="Q204" s="422"/>
      <c r="R204" s="421">
        <v>8810</v>
      </c>
      <c r="S204" s="368">
        <v>57860</v>
      </c>
      <c r="T204" s="368">
        <v>65630</v>
      </c>
      <c r="U204" s="368">
        <v>65630</v>
      </c>
      <c r="V204" s="368">
        <v>25390</v>
      </c>
    </row>
    <row r="205" spans="1:22" x14ac:dyDescent="0.25">
      <c r="A205" s="367"/>
      <c r="B205" s="351" t="s">
        <v>1119</v>
      </c>
      <c r="C205" s="368"/>
      <c r="D205" s="369"/>
      <c r="E205" s="369"/>
      <c r="F205" s="421"/>
      <c r="G205" s="422"/>
      <c r="H205" s="422"/>
      <c r="I205" s="421"/>
      <c r="J205" s="422"/>
      <c r="K205" s="422"/>
      <c r="L205" s="421"/>
      <c r="M205" s="422"/>
      <c r="N205" s="422"/>
      <c r="O205" s="421"/>
      <c r="P205" s="422"/>
      <c r="Q205" s="422"/>
      <c r="R205" s="421"/>
      <c r="S205" s="368">
        <v>2138</v>
      </c>
      <c r="T205" s="368">
        <v>2138</v>
      </c>
      <c r="U205" s="368">
        <v>2138</v>
      </c>
      <c r="V205" s="368">
        <v>989</v>
      </c>
    </row>
    <row r="207" spans="1:22" hidden="1" x14ac:dyDescent="0.25">
      <c r="C207" s="356" t="e">
        <f>C24+#REF!+C59+C70+C83+C88+C168+C183+C189+C121+C177</f>
        <v>#REF!</v>
      </c>
      <c r="I207" s="428">
        <f>+I5-F5</f>
        <v>-404990</v>
      </c>
      <c r="O207" s="356" t="e">
        <f>O24+#REF!+O59+O70+O83+O88+O168+O183+O189+O121+O177</f>
        <v>#REF!</v>
      </c>
      <c r="R207" s="356">
        <f>SUM(R8+R24+R32)</f>
        <v>70757</v>
      </c>
    </row>
    <row r="208" spans="1:22" hidden="1" x14ac:dyDescent="0.25">
      <c r="B208" s="355" t="s">
        <v>1467</v>
      </c>
      <c r="C208" s="356" t="e">
        <f>C25+#REF!+C60+C71+C84+C89+C169+C184+C190+C122+C178</f>
        <v>#REF!</v>
      </c>
      <c r="O208" s="356" t="e">
        <f>O25+#REF!+O60+O71+O84+O89+O169+O184+O190+O122+O178</f>
        <v>#REF!</v>
      </c>
      <c r="R208" s="356">
        <f>R9+R25+R33</f>
        <v>12450</v>
      </c>
      <c r="U208" s="356">
        <f>SUM(U8+U24+U32+U51)</f>
        <v>269167</v>
      </c>
    </row>
    <row r="209" spans="1:21" hidden="1" x14ac:dyDescent="0.25">
      <c r="B209" s="355" t="s">
        <v>1468</v>
      </c>
      <c r="C209" s="356">
        <f>C8+C22+C26+C28+C30+C46+C48+C53+C56+C61+C66+C77+C80+C85+C92+C94+C96+C99+C103+C105+C107+C109+C115+C119+C123+C130+C148+C152+C164+C170+C181+C187+C191+C34+C179</f>
        <v>0</v>
      </c>
      <c r="O209" s="356">
        <f>O8+O22+O26+O28+O30+O46+O48+O53+O56+O61+O66+O77+O80+O85+O92+O94+O96+O99+O103+O105+O107+O109+O115+O119+O123+O130+O148+O152+O164+O170+O185+O187+O191+O34+O179+O74+O196</f>
        <v>0</v>
      </c>
      <c r="R209" s="356">
        <f>R10+R22+R26+R28+R30+R34+R48</f>
        <v>78638</v>
      </c>
      <c r="U209" s="356">
        <f>SUM(U9+U25+U33+U52)</f>
        <v>50831</v>
      </c>
    </row>
    <row r="210" spans="1:21" hidden="1" x14ac:dyDescent="0.25">
      <c r="B210" s="355" t="s">
        <v>1469</v>
      </c>
      <c r="C210" s="356">
        <f>C68+C166</f>
        <v>0</v>
      </c>
      <c r="O210" s="356">
        <f>O68+O166</f>
        <v>0</v>
      </c>
      <c r="R210" s="356">
        <f>R56</f>
        <v>5804</v>
      </c>
      <c r="U210" s="356">
        <f>SUM(U10+U22+U26+U28+U30+U34+U48+U53+U85)</f>
        <v>610645</v>
      </c>
    </row>
    <row r="211" spans="1:21" hidden="1" x14ac:dyDescent="0.25">
      <c r="B211" s="355" t="s">
        <v>1470</v>
      </c>
      <c r="C211" s="356">
        <f>C62+C90+C126+C128+C132+C136+C138+C140+C142+C144+C146+C149+C151+C154+C156+C158+C160+C162+C171+C193</f>
        <v>0</v>
      </c>
      <c r="O211" s="356">
        <f>O62+O72+O90+O126+O128+O132+O136+O138+O140+O142+O144+O146+O149+O151+O154+O156+O158+O160+O162+O171+O193</f>
        <v>0</v>
      </c>
      <c r="R211" s="356">
        <f>R11+R35</f>
        <v>3157</v>
      </c>
      <c r="U211" s="356">
        <f>SUM(U103+U105+U107+U109+U115+U119+U124+U126)</f>
        <v>65951</v>
      </c>
    </row>
    <row r="212" spans="1:21" hidden="1" x14ac:dyDescent="0.25">
      <c r="C212" s="356" t="e">
        <f>C9+#REF!+#REF!+C54+#REF!+C63+C81+C174+C124+C194+C180</f>
        <v>#REF!</v>
      </c>
      <c r="O212" s="356" t="e">
        <f>O9+#REF!+#REF!+#REF!+O54+#REF!+O63+O78+O81+O124+O172+O174+O194+O180</f>
        <v>#REF!</v>
      </c>
      <c r="R212" s="356">
        <f>R36</f>
        <v>141237</v>
      </c>
    </row>
    <row r="213" spans="1:21" hidden="1" x14ac:dyDescent="0.25">
      <c r="C213" s="356">
        <f>C175+C64+C181</f>
        <v>0</v>
      </c>
      <c r="O213" s="356">
        <f>O175+O64+O181+O197</f>
        <v>0</v>
      </c>
      <c r="R213" s="356">
        <f>R37</f>
        <v>195222</v>
      </c>
    </row>
    <row r="214" spans="1:21" x14ac:dyDescent="0.25">
      <c r="C214" s="356">
        <f>C11</f>
        <v>0</v>
      </c>
      <c r="O214" s="356">
        <f>O11</f>
        <v>0</v>
      </c>
      <c r="R214" s="356">
        <f>R11</f>
        <v>3157</v>
      </c>
    </row>
    <row r="215" spans="1:21" x14ac:dyDescent="0.25">
      <c r="C215" s="356">
        <f>C201</f>
        <v>0</v>
      </c>
      <c r="O215" s="356">
        <f>O201</f>
        <v>1477264</v>
      </c>
      <c r="R215" s="356">
        <f>R201</f>
        <v>1904735</v>
      </c>
    </row>
    <row r="216" spans="1:21" x14ac:dyDescent="0.25">
      <c r="C216" s="356" t="e">
        <f>SUM(C207:C215)</f>
        <v>#REF!</v>
      </c>
      <c r="O216" s="356" t="e">
        <f>SUM(O207:O215)</f>
        <v>#REF!</v>
      </c>
      <c r="R216" s="356">
        <f>SUM(R207:R215)</f>
        <v>2415157</v>
      </c>
    </row>
    <row r="219" spans="1:21" x14ac:dyDescent="0.25">
      <c r="O219" s="356"/>
    </row>
    <row r="220" spans="1:21" x14ac:dyDescent="0.25">
      <c r="O220" s="356"/>
    </row>
    <row r="222" spans="1:21" x14ac:dyDescent="0.25">
      <c r="A222" s="359"/>
      <c r="B222" s="359"/>
      <c r="C222" s="359"/>
      <c r="D222" s="359"/>
      <c r="E222" s="359"/>
      <c r="F222" s="359"/>
      <c r="G222" s="359"/>
      <c r="H222" s="359"/>
      <c r="I222" s="359"/>
      <c r="O222" s="356"/>
    </row>
    <row r="223" spans="1:21" x14ac:dyDescent="0.25">
      <c r="A223" s="359"/>
      <c r="B223" s="359"/>
      <c r="C223" s="359"/>
      <c r="D223" s="359"/>
      <c r="E223" s="359"/>
      <c r="F223" s="359"/>
      <c r="G223" s="359"/>
      <c r="H223" s="359"/>
      <c r="I223" s="359"/>
      <c r="O223" s="356"/>
    </row>
    <row r="226" spans="1:15" x14ac:dyDescent="0.25">
      <c r="A226" s="359"/>
      <c r="B226" s="359"/>
      <c r="C226" s="359"/>
      <c r="D226" s="359"/>
      <c r="E226" s="359"/>
      <c r="F226" s="359"/>
      <c r="G226" s="359"/>
      <c r="H226" s="359"/>
      <c r="I226" s="359"/>
      <c r="O226" s="356"/>
    </row>
  </sheetData>
  <customSheetViews>
    <customSheetView guid="{7F1DC213-A29D-4C8C-BAC3-F1BD898020FD}" hiddenRows="1" hiddenColumns="1">
      <pane xSplit="4" ySplit="4" topLeftCell="F5" activePane="bottomRight" state="frozen"/>
      <selection pane="bottomRight" activeCell="T14" sqref="T14"/>
      <pageMargins left="0.23622047244094491" right="0.23622047244094491" top="1.1417322834645669" bottom="0.39370078740157483" header="0.31496062992125984" footer="0.19685039370078741"/>
      <printOptions horizontalCentered="1"/>
      <pageSetup paperSize="9" scale="70" fitToWidth="2" fitToHeight="6" pageOrder="overThenDown" orientation="portrait" copies="4" r:id="rId1"/>
      <headerFooter>
        <oddHeader>&amp;L2.3. melléklet a ...../2019. (.....) önkormányzati rendelethez&amp;C&amp;"-,Félkövér"&amp;16Az Önkormányzat 2019. évi kiadásai feladatonként részletes bontásban&amp;RAdatok ezer forintban</oddHeader>
      </headerFooter>
    </customSheetView>
    <customSheetView guid="{4DCB1349-1166-4B69-AE14-D6B08F9FCE74}" hiddenRows="1" hiddenColumns="1">
      <pane xSplit="4" ySplit="4" topLeftCell="F5" activePane="bottomRight" state="frozen"/>
      <selection pane="bottomRight" activeCell="T14" sqref="T14"/>
      <pageMargins left="0.23622047244094491" right="0.23622047244094491" top="1.1417322834645669" bottom="0.39370078740157483" header="0.31496062992125984" footer="0.19685039370078741"/>
      <printOptions horizontalCentered="1"/>
      <pageSetup paperSize="9" scale="70" fitToWidth="2" fitToHeight="6" pageOrder="overThenDown" orientation="portrait" copies="4" r:id="rId2"/>
      <headerFooter>
        <oddHeader>&amp;L2.3. melléklet a ...../2019. (.....) önkormányzati rendelethez&amp;C&amp;"-,Félkövér"&amp;16Az Önkormányzat 2019. évi kiadásai feladatonként részletes bontásban&amp;RAdatok ezer forintban</oddHeader>
      </headerFooter>
    </customSheetView>
  </customSheetViews>
  <mergeCells count="11">
    <mergeCell ref="S2:V3"/>
    <mergeCell ref="J4:L4"/>
    <mergeCell ref="G4:I4"/>
    <mergeCell ref="D4:F4"/>
    <mergeCell ref="A2:A4"/>
    <mergeCell ref="B2:B4"/>
    <mergeCell ref="C2:C3"/>
    <mergeCell ref="D2:D3"/>
    <mergeCell ref="E2:E3"/>
    <mergeCell ref="P4:R4"/>
    <mergeCell ref="M4:O4"/>
  </mergeCells>
  <printOptions horizontalCentered="1"/>
  <pageMargins left="0.23622047244094491" right="0.23622047244094491" top="1.1417322834645669" bottom="0.39370078740157483" header="0.31496062992125984" footer="0.19685039370078741"/>
  <pageSetup paperSize="9" scale="70" fitToWidth="2" fitToHeight="6" pageOrder="overThenDown" orientation="portrait" copies="4" r:id="rId3"/>
  <headerFooter>
    <oddHeader>&amp;L2.3. melléklet a 3/2019. (II.20.) önkormányzati rendelethez&amp;C&amp;"-,Félkövér"&amp;16
Az Önkormányzat 2019. évi kiadásai feladatonként részletes bontásban&amp;RAdatok ezer forintban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M170"/>
  <sheetViews>
    <sheetView showZeros="0" view="pageBreakPreview" zoomScale="75" zoomScaleSheetLayoutView="75" workbookViewId="0">
      <selection activeCell="B1" sqref="B1:E1048576"/>
    </sheetView>
  </sheetViews>
  <sheetFormatPr defaultColWidth="11.85546875" defaultRowHeight="15" x14ac:dyDescent="0.25"/>
  <cols>
    <col min="1" max="1" width="73.140625" style="177" customWidth="1"/>
    <col min="2" max="5" width="13.140625" style="177" hidden="1" customWidth="1"/>
    <col min="6" max="6" width="13.140625" style="177" customWidth="1"/>
    <col min="7" max="16384" width="11.85546875" style="177"/>
  </cols>
  <sheetData>
    <row r="1" spans="1:247" x14ac:dyDescent="0.25">
      <c r="B1" s="178"/>
      <c r="D1" s="178"/>
      <c r="E1" s="178"/>
      <c r="F1" s="178" t="s">
        <v>302</v>
      </c>
    </row>
    <row r="2" spans="1:247" s="180" customFormat="1" ht="43.5" customHeight="1" x14ac:dyDescent="0.25">
      <c r="A2" s="43" t="s">
        <v>306</v>
      </c>
      <c r="B2" s="179" t="s">
        <v>1196</v>
      </c>
      <c r="C2" s="179" t="s">
        <v>1232</v>
      </c>
      <c r="D2" s="179" t="s">
        <v>1233</v>
      </c>
      <c r="E2" s="179" t="s">
        <v>1246</v>
      </c>
      <c r="F2" s="179" t="s">
        <v>1247</v>
      </c>
      <c r="HV2" s="181"/>
      <c r="HW2" s="181"/>
      <c r="HX2" s="181"/>
      <c r="HY2" s="181"/>
      <c r="HZ2" s="181"/>
      <c r="IA2" s="181"/>
      <c r="IB2" s="181"/>
      <c r="IC2" s="177"/>
      <c r="ID2" s="177"/>
      <c r="IE2" s="177"/>
      <c r="IF2" s="177"/>
      <c r="IG2" s="177"/>
      <c r="IH2" s="177"/>
      <c r="II2" s="177"/>
      <c r="IJ2" s="177"/>
      <c r="IK2" s="177"/>
      <c r="IL2" s="177"/>
      <c r="IM2" s="177"/>
    </row>
    <row r="3" spans="1:247" s="180" customFormat="1" ht="27.75" customHeight="1" x14ac:dyDescent="0.25">
      <c r="A3" s="182" t="s">
        <v>970</v>
      </c>
      <c r="B3" s="183"/>
      <c r="C3" s="183"/>
      <c r="D3" s="183"/>
      <c r="E3" s="183">
        <v>0</v>
      </c>
      <c r="F3" s="183">
        <v>0</v>
      </c>
      <c r="HV3" s="181"/>
      <c r="HW3" s="181"/>
      <c r="HX3" s="181"/>
      <c r="HY3" s="181"/>
      <c r="HZ3" s="181"/>
      <c r="IA3" s="181"/>
      <c r="IB3" s="181"/>
      <c r="IC3" s="177"/>
      <c r="ID3" s="177"/>
      <c r="IE3" s="177"/>
      <c r="IF3" s="177"/>
      <c r="IG3" s="177"/>
      <c r="IH3" s="177"/>
      <c r="II3" s="177"/>
      <c r="IJ3" s="177"/>
      <c r="IK3" s="177"/>
      <c r="IL3" s="177"/>
      <c r="IM3" s="177"/>
    </row>
    <row r="4" spans="1:247" s="184" customFormat="1" ht="24" customHeight="1" x14ac:dyDescent="0.25">
      <c r="A4" s="182" t="s">
        <v>971</v>
      </c>
      <c r="B4" s="183">
        <f>SUM(B5:B23)</f>
        <v>0</v>
      </c>
      <c r="C4" s="183">
        <f>SUM(C5:C23)</f>
        <v>0</v>
      </c>
      <c r="D4" s="183">
        <f>SUM(D5:D25)</f>
        <v>0</v>
      </c>
      <c r="E4" s="183">
        <f>SUM(E5:E24)</f>
        <v>0</v>
      </c>
      <c r="F4" s="183">
        <f>SUM(F5:F25)</f>
        <v>0</v>
      </c>
      <c r="HV4" s="185"/>
      <c r="HW4" s="185"/>
      <c r="HX4" s="185"/>
      <c r="HY4" s="185"/>
      <c r="HZ4" s="185"/>
      <c r="IA4" s="185"/>
      <c r="IB4" s="185"/>
      <c r="IC4" s="186"/>
      <c r="ID4" s="186"/>
      <c r="IE4" s="186"/>
      <c r="IF4" s="186"/>
      <c r="IG4" s="186"/>
      <c r="IH4" s="186"/>
      <c r="II4" s="186"/>
      <c r="IJ4" s="186"/>
      <c r="IK4" s="186"/>
      <c r="IL4" s="186"/>
      <c r="IM4" s="177"/>
    </row>
    <row r="5" spans="1:247" s="190" customFormat="1" ht="33" hidden="1" customHeight="1" x14ac:dyDescent="0.25">
      <c r="A5" s="187" t="s">
        <v>972</v>
      </c>
      <c r="B5" s="188"/>
      <c r="C5" s="188"/>
      <c r="D5" s="188"/>
      <c r="E5" s="188"/>
      <c r="F5" s="188"/>
      <c r="HR5" s="191"/>
      <c r="HS5" s="191"/>
      <c r="HT5" s="191"/>
      <c r="HU5" s="191"/>
      <c r="HV5" s="177"/>
      <c r="HW5" s="177"/>
      <c r="HX5" s="177"/>
      <c r="HY5" s="177"/>
      <c r="HZ5" s="177"/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</row>
    <row r="6" spans="1:247" s="190" customFormat="1" ht="24" customHeight="1" x14ac:dyDescent="0.25">
      <c r="A6" s="187" t="s">
        <v>973</v>
      </c>
      <c r="B6" s="188"/>
      <c r="C6" s="188"/>
      <c r="D6" s="188"/>
      <c r="E6" s="188"/>
      <c r="F6" s="188">
        <v>0</v>
      </c>
      <c r="HR6" s="191"/>
      <c r="HS6" s="191"/>
      <c r="HT6" s="191"/>
      <c r="HU6" s="191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</row>
    <row r="7" spans="1:247" s="190" customFormat="1" ht="24" customHeight="1" x14ac:dyDescent="0.25">
      <c r="A7" s="187" t="s">
        <v>974</v>
      </c>
      <c r="B7" s="188"/>
      <c r="C7" s="188"/>
      <c r="D7" s="188"/>
      <c r="E7" s="188"/>
      <c r="F7" s="188">
        <v>0</v>
      </c>
      <c r="HR7" s="191"/>
      <c r="HS7" s="191"/>
      <c r="HT7" s="191"/>
      <c r="HU7" s="191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</row>
    <row r="8" spans="1:247" s="190" customFormat="1" ht="24" customHeight="1" x14ac:dyDescent="0.25">
      <c r="A8" s="187" t="s">
        <v>975</v>
      </c>
      <c r="B8" s="188"/>
      <c r="C8" s="188"/>
      <c r="D8" s="188"/>
      <c r="E8" s="188"/>
      <c r="F8" s="188">
        <v>0</v>
      </c>
      <c r="HR8" s="191"/>
      <c r="HS8" s="191"/>
      <c r="HT8" s="191"/>
      <c r="HU8" s="191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</row>
    <row r="9" spans="1:247" s="190" customFormat="1" ht="24" hidden="1" customHeight="1" x14ac:dyDescent="0.25">
      <c r="A9" s="187" t="s">
        <v>976</v>
      </c>
      <c r="B9" s="188"/>
      <c r="C9" s="188"/>
      <c r="D9" s="188"/>
      <c r="E9" s="188"/>
      <c r="F9" s="188"/>
      <c r="HR9" s="191"/>
      <c r="HS9" s="191"/>
      <c r="HT9" s="191"/>
      <c r="HU9" s="191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</row>
    <row r="10" spans="1:247" s="190" customFormat="1" ht="24" customHeight="1" x14ac:dyDescent="0.25">
      <c r="A10" s="187" t="s">
        <v>1149</v>
      </c>
      <c r="B10" s="188"/>
      <c r="C10" s="188"/>
      <c r="D10" s="188"/>
      <c r="E10" s="188"/>
      <c r="F10" s="188">
        <v>0</v>
      </c>
      <c r="HR10" s="191"/>
      <c r="HS10" s="191"/>
      <c r="HT10" s="191"/>
      <c r="HU10" s="191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</row>
    <row r="11" spans="1:247" s="190" customFormat="1" ht="24" customHeight="1" x14ac:dyDescent="0.25">
      <c r="A11" s="187" t="s">
        <v>1150</v>
      </c>
      <c r="B11" s="188"/>
      <c r="C11" s="188"/>
      <c r="D11" s="188"/>
      <c r="E11" s="188"/>
      <c r="F11" s="188">
        <v>0</v>
      </c>
      <c r="HR11" s="191"/>
      <c r="HS11" s="191"/>
      <c r="HT11" s="191"/>
      <c r="HU11" s="191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</row>
    <row r="12" spans="1:247" s="190" customFormat="1" ht="24" customHeight="1" x14ac:dyDescent="0.25">
      <c r="A12" s="187" t="s">
        <v>1151</v>
      </c>
      <c r="B12" s="188"/>
      <c r="C12" s="188"/>
      <c r="D12" s="188"/>
      <c r="E12" s="188"/>
      <c r="F12" s="188">
        <v>0</v>
      </c>
      <c r="HR12" s="191"/>
      <c r="HS12" s="191"/>
      <c r="HT12" s="191"/>
      <c r="HU12" s="191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</row>
    <row r="13" spans="1:247" s="190" customFormat="1" ht="24" customHeight="1" x14ac:dyDescent="0.25">
      <c r="A13" s="192" t="s">
        <v>1152</v>
      </c>
      <c r="B13" s="188"/>
      <c r="C13" s="188"/>
      <c r="D13" s="188"/>
      <c r="E13" s="188"/>
      <c r="F13" s="188">
        <v>0</v>
      </c>
      <c r="HR13" s="191"/>
      <c r="HS13" s="191"/>
      <c r="HT13" s="191"/>
      <c r="HU13" s="191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</row>
    <row r="14" spans="1:247" s="190" customFormat="1" ht="24" hidden="1" customHeight="1" x14ac:dyDescent="0.25">
      <c r="A14" s="192" t="s">
        <v>977</v>
      </c>
      <c r="B14" s="188"/>
      <c r="C14" s="188"/>
      <c r="D14" s="188"/>
      <c r="E14" s="188"/>
      <c r="F14" s="188"/>
      <c r="HR14" s="191"/>
      <c r="HS14" s="191"/>
      <c r="HT14" s="191"/>
      <c r="HU14" s="191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</row>
    <row r="15" spans="1:247" s="190" customFormat="1" ht="24" hidden="1" customHeight="1" x14ac:dyDescent="0.25">
      <c r="A15" s="192" t="s">
        <v>978</v>
      </c>
      <c r="B15" s="188"/>
      <c r="C15" s="188"/>
      <c r="D15" s="188"/>
      <c r="E15" s="188"/>
      <c r="F15" s="188"/>
      <c r="HR15" s="191"/>
      <c r="HS15" s="191"/>
      <c r="HT15" s="191"/>
      <c r="HU15" s="191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</row>
    <row r="16" spans="1:247" s="190" customFormat="1" ht="24" customHeight="1" x14ac:dyDescent="0.25">
      <c r="A16" s="192" t="s">
        <v>1153</v>
      </c>
      <c r="B16" s="188"/>
      <c r="C16" s="188"/>
      <c r="D16" s="188"/>
      <c r="E16" s="188"/>
      <c r="F16" s="188">
        <v>0</v>
      </c>
      <c r="HR16" s="191"/>
      <c r="HS16" s="191"/>
      <c r="HT16" s="191"/>
      <c r="HU16" s="191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</row>
    <row r="17" spans="1:247" s="190" customFormat="1" ht="24" customHeight="1" x14ac:dyDescent="0.25">
      <c r="A17" s="192" t="s">
        <v>1154</v>
      </c>
      <c r="B17" s="188"/>
      <c r="C17" s="188"/>
      <c r="D17" s="188"/>
      <c r="E17" s="188"/>
      <c r="F17" s="188">
        <v>0</v>
      </c>
      <c r="HR17" s="191"/>
      <c r="HS17" s="191"/>
      <c r="HT17" s="191"/>
      <c r="HU17" s="191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</row>
    <row r="18" spans="1:247" s="190" customFormat="1" ht="24" customHeight="1" x14ac:dyDescent="0.25">
      <c r="A18" s="192" t="s">
        <v>1155</v>
      </c>
      <c r="B18" s="188"/>
      <c r="C18" s="188"/>
      <c r="D18" s="188"/>
      <c r="E18" s="188"/>
      <c r="F18" s="188">
        <v>0</v>
      </c>
      <c r="HR18" s="191"/>
      <c r="HS18" s="191"/>
      <c r="HT18" s="191"/>
      <c r="HU18" s="191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</row>
    <row r="19" spans="1:247" s="190" customFormat="1" ht="24" customHeight="1" x14ac:dyDescent="0.25">
      <c r="A19" s="193" t="s">
        <v>1259</v>
      </c>
      <c r="B19" s="188"/>
      <c r="C19" s="188"/>
      <c r="D19" s="188"/>
      <c r="E19" s="188"/>
      <c r="F19" s="188">
        <v>0</v>
      </c>
      <c r="HR19" s="191"/>
      <c r="HS19" s="191"/>
      <c r="HT19" s="191"/>
      <c r="HU19" s="191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</row>
    <row r="20" spans="1:247" s="190" customFormat="1" ht="24" customHeight="1" x14ac:dyDescent="0.25">
      <c r="A20" s="193" t="s">
        <v>1203</v>
      </c>
      <c r="B20" s="188"/>
      <c r="C20" s="188"/>
      <c r="D20" s="188"/>
      <c r="E20" s="188"/>
      <c r="F20" s="188">
        <f>2000-2000</f>
        <v>0</v>
      </c>
      <c r="HR20" s="191"/>
      <c r="HS20" s="191"/>
      <c r="HT20" s="191"/>
      <c r="HU20" s="191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</row>
    <row r="21" spans="1:247" s="190" customFormat="1" ht="24" customHeight="1" x14ac:dyDescent="0.25">
      <c r="A21" s="193" t="s">
        <v>1204</v>
      </c>
      <c r="B21" s="188"/>
      <c r="C21" s="188"/>
      <c r="D21" s="188"/>
      <c r="E21" s="188"/>
      <c r="F21" s="188">
        <v>0</v>
      </c>
      <c r="HR21" s="191"/>
      <c r="HS21" s="191"/>
      <c r="HT21" s="191"/>
      <c r="HU21" s="191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</row>
    <row r="22" spans="1:247" s="190" customFormat="1" ht="24" customHeight="1" x14ac:dyDescent="0.25">
      <c r="A22" s="193" t="s">
        <v>1206</v>
      </c>
      <c r="B22" s="188"/>
      <c r="C22" s="188"/>
      <c r="D22" s="188"/>
      <c r="E22" s="188"/>
      <c r="F22" s="188">
        <f>52490-1294-51196</f>
        <v>0</v>
      </c>
      <c r="HR22" s="191"/>
      <c r="HS22" s="191"/>
      <c r="HT22" s="191"/>
      <c r="HU22" s="191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</row>
    <row r="23" spans="1:247" s="190" customFormat="1" ht="24" customHeight="1" x14ac:dyDescent="0.25">
      <c r="A23" s="193" t="s">
        <v>1207</v>
      </c>
      <c r="B23" s="188"/>
      <c r="C23" s="188"/>
      <c r="D23" s="188"/>
      <c r="E23" s="188"/>
      <c r="F23" s="188">
        <v>0</v>
      </c>
      <c r="HR23" s="191"/>
      <c r="HS23" s="191"/>
      <c r="HT23" s="191"/>
      <c r="HU23" s="191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</row>
    <row r="24" spans="1:247" s="190" customFormat="1" ht="24" customHeight="1" x14ac:dyDescent="0.25">
      <c r="A24" s="193" t="s">
        <v>1255</v>
      </c>
      <c r="B24" s="188"/>
      <c r="C24" s="188"/>
      <c r="D24" s="188"/>
      <c r="E24" s="188"/>
      <c r="F24" s="188">
        <v>0</v>
      </c>
      <c r="HR24" s="191"/>
      <c r="HS24" s="191"/>
      <c r="HT24" s="191"/>
      <c r="HU24" s="191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</row>
    <row r="25" spans="1:247" s="190" customFormat="1" ht="24" customHeight="1" x14ac:dyDescent="0.25">
      <c r="A25" s="193" t="s">
        <v>1256</v>
      </c>
      <c r="B25" s="188"/>
      <c r="C25" s="188"/>
      <c r="D25" s="188"/>
      <c r="E25" s="188"/>
      <c r="F25" s="188">
        <v>0</v>
      </c>
      <c r="HR25" s="191"/>
      <c r="HS25" s="191"/>
      <c r="HT25" s="191"/>
      <c r="HU25" s="191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</row>
    <row r="26" spans="1:247" s="194" customFormat="1" ht="24" customHeight="1" x14ac:dyDescent="0.25">
      <c r="A26" s="182" t="s">
        <v>979</v>
      </c>
      <c r="B26" s="183">
        <f>SUM(B27:B33)</f>
        <v>0</v>
      </c>
      <c r="C26" s="183">
        <f>SUM(C27:C33)</f>
        <v>0</v>
      </c>
      <c r="D26" s="183">
        <f>SUM(D27:D33)</f>
        <v>0</v>
      </c>
      <c r="E26" s="183">
        <f>SUM(E27:E33)</f>
        <v>0</v>
      </c>
      <c r="F26" s="183">
        <f>SUM(F27:F33)</f>
        <v>0</v>
      </c>
      <c r="HR26" s="195"/>
      <c r="HS26" s="195"/>
      <c r="HT26" s="195"/>
      <c r="HU26" s="195"/>
      <c r="HV26" s="186"/>
      <c r="HW26" s="186"/>
      <c r="HX26" s="186"/>
      <c r="HY26" s="186"/>
      <c r="HZ26" s="186"/>
      <c r="IA26" s="186"/>
      <c r="IB26" s="186"/>
      <c r="IC26" s="186"/>
      <c r="ID26" s="186"/>
      <c r="IE26" s="186"/>
      <c r="IF26" s="186"/>
      <c r="IG26" s="186"/>
      <c r="IH26" s="186"/>
      <c r="II26" s="186"/>
      <c r="IJ26" s="186"/>
      <c r="IK26" s="186"/>
      <c r="IL26" s="186"/>
      <c r="IM26" s="177"/>
    </row>
    <row r="27" spans="1:247" s="190" customFormat="1" ht="24" hidden="1" customHeight="1" x14ac:dyDescent="0.25">
      <c r="A27" s="187" t="s">
        <v>980</v>
      </c>
      <c r="B27" s="188"/>
      <c r="C27" s="188"/>
      <c r="D27" s="188"/>
      <c r="E27" s="188"/>
      <c r="F27" s="188"/>
      <c r="HR27" s="191"/>
      <c r="HS27" s="191"/>
      <c r="HT27" s="191"/>
      <c r="HU27" s="191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</row>
    <row r="28" spans="1:247" s="190" customFormat="1" ht="24" hidden="1" customHeight="1" x14ac:dyDescent="0.25">
      <c r="A28" s="192" t="s">
        <v>981</v>
      </c>
      <c r="B28" s="188"/>
      <c r="C28" s="188"/>
      <c r="D28" s="188"/>
      <c r="E28" s="188"/>
      <c r="F28" s="188"/>
      <c r="HR28" s="191"/>
      <c r="HS28" s="191"/>
      <c r="HT28" s="191"/>
      <c r="HU28" s="191"/>
      <c r="HV28" s="177"/>
      <c r="HW28" s="177"/>
      <c r="HX28" s="177"/>
      <c r="HY28" s="177"/>
      <c r="HZ28" s="177"/>
      <c r="IA28" s="177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7"/>
      <c r="IM28" s="177"/>
    </row>
    <row r="29" spans="1:247" s="190" customFormat="1" ht="24" hidden="1" customHeight="1" x14ac:dyDescent="0.25">
      <c r="A29" s="192" t="s">
        <v>982</v>
      </c>
      <c r="B29" s="188"/>
      <c r="C29" s="188"/>
      <c r="D29" s="188"/>
      <c r="E29" s="188"/>
      <c r="F29" s="188"/>
      <c r="HR29" s="191"/>
      <c r="HS29" s="191"/>
      <c r="HT29" s="191"/>
      <c r="HU29" s="191"/>
      <c r="HV29" s="177"/>
      <c r="HW29" s="177"/>
      <c r="HX29" s="177"/>
      <c r="HY29" s="177"/>
      <c r="HZ29" s="177"/>
      <c r="IA29" s="177"/>
      <c r="IB29" s="177"/>
      <c r="IC29" s="177"/>
      <c r="ID29" s="177"/>
      <c r="IE29" s="177"/>
      <c r="IF29" s="177"/>
      <c r="IG29" s="177"/>
      <c r="IH29" s="177"/>
      <c r="II29" s="177"/>
      <c r="IJ29" s="177"/>
      <c r="IK29" s="177"/>
      <c r="IL29" s="177"/>
      <c r="IM29" s="177"/>
    </row>
    <row r="30" spans="1:247" s="190" customFormat="1" ht="24" hidden="1" customHeight="1" x14ac:dyDescent="0.25">
      <c r="A30" s="192" t="s">
        <v>983</v>
      </c>
      <c r="B30" s="188"/>
      <c r="C30" s="188"/>
      <c r="D30" s="188"/>
      <c r="E30" s="188"/>
      <c r="F30" s="188"/>
      <c r="HR30" s="191"/>
      <c r="HS30" s="191"/>
      <c r="HT30" s="191"/>
      <c r="HU30" s="191"/>
      <c r="HV30" s="177"/>
      <c r="HW30" s="177"/>
      <c r="HX30" s="177"/>
      <c r="HY30" s="177"/>
      <c r="HZ30" s="177"/>
      <c r="IA30" s="177"/>
      <c r="IB30" s="177"/>
      <c r="IC30" s="177"/>
      <c r="ID30" s="177"/>
      <c r="IE30" s="177"/>
      <c r="IF30" s="177"/>
      <c r="IG30" s="177"/>
      <c r="IH30" s="177"/>
      <c r="II30" s="177"/>
      <c r="IJ30" s="177"/>
      <c r="IK30" s="177"/>
      <c r="IL30" s="177"/>
      <c r="IM30" s="177"/>
    </row>
    <row r="31" spans="1:247" s="190" customFormat="1" ht="24" hidden="1" customHeight="1" x14ac:dyDescent="0.25">
      <c r="A31" s="192" t="s">
        <v>984</v>
      </c>
      <c r="B31" s="188"/>
      <c r="C31" s="188"/>
      <c r="D31" s="188"/>
      <c r="E31" s="188"/>
      <c r="F31" s="188"/>
      <c r="HR31" s="191"/>
      <c r="HS31" s="191"/>
      <c r="HT31" s="191"/>
      <c r="HU31" s="191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</row>
    <row r="32" spans="1:247" s="190" customFormat="1" ht="24" hidden="1" customHeight="1" x14ac:dyDescent="0.25">
      <c r="A32" s="192" t="s">
        <v>985</v>
      </c>
      <c r="B32" s="188"/>
      <c r="C32" s="188"/>
      <c r="D32" s="188"/>
      <c r="E32" s="188"/>
      <c r="F32" s="188"/>
      <c r="HR32" s="191"/>
      <c r="HS32" s="191"/>
      <c r="HT32" s="191"/>
      <c r="HU32" s="191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</row>
    <row r="33" spans="1:247" s="190" customFormat="1" ht="24" customHeight="1" x14ac:dyDescent="0.25">
      <c r="A33" s="192" t="s">
        <v>1184</v>
      </c>
      <c r="B33" s="188"/>
      <c r="C33" s="188"/>
      <c r="D33" s="188"/>
      <c r="E33" s="188"/>
      <c r="F33" s="188">
        <v>0</v>
      </c>
      <c r="HR33" s="191"/>
      <c r="HS33" s="191"/>
      <c r="HT33" s="191"/>
      <c r="HU33" s="191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</row>
    <row r="34" spans="1:247" s="198" customFormat="1" ht="24" customHeight="1" x14ac:dyDescent="0.25">
      <c r="A34" s="196" t="s">
        <v>986</v>
      </c>
      <c r="B34" s="197">
        <f>B4+B26+B3</f>
        <v>0</v>
      </c>
      <c r="C34" s="197">
        <f>C4+C26+C3</f>
        <v>0</v>
      </c>
      <c r="D34" s="197">
        <f>D4+D26+D3</f>
        <v>0</v>
      </c>
      <c r="E34" s="197">
        <f>E4+E26+E3</f>
        <v>0</v>
      </c>
      <c r="F34" s="197">
        <f>F4+F26+F3</f>
        <v>0</v>
      </c>
      <c r="HR34" s="199"/>
      <c r="HS34" s="199"/>
      <c r="HT34" s="199"/>
      <c r="HU34" s="199"/>
      <c r="HV34" s="200"/>
      <c r="HW34" s="200"/>
      <c r="HX34" s="200"/>
      <c r="HY34" s="200"/>
      <c r="HZ34" s="200"/>
      <c r="IA34" s="200"/>
      <c r="IB34" s="200"/>
      <c r="IC34" s="200"/>
      <c r="ID34" s="200"/>
      <c r="IE34" s="200"/>
      <c r="IF34" s="200"/>
      <c r="IG34" s="200"/>
      <c r="IH34" s="201"/>
      <c r="II34" s="177"/>
      <c r="IJ34" s="177"/>
      <c r="IK34" s="177"/>
      <c r="IL34" s="177"/>
      <c r="IM34" s="177"/>
    </row>
    <row r="35" spans="1:247" s="190" customFormat="1" x14ac:dyDescent="0.25">
      <c r="A35" s="202"/>
      <c r="C35" s="189"/>
      <c r="HR35" s="191"/>
      <c r="HS35" s="191"/>
      <c r="HT35" s="191"/>
      <c r="HU35" s="191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</row>
    <row r="36" spans="1:247" s="190" customFormat="1" x14ac:dyDescent="0.25">
      <c r="A36" s="202"/>
      <c r="E36" s="189"/>
      <c r="HR36" s="191"/>
      <c r="HS36" s="191"/>
      <c r="HT36" s="191"/>
      <c r="HU36" s="191"/>
      <c r="HV36" s="177"/>
      <c r="HW36" s="177"/>
      <c r="HX36" s="177"/>
      <c r="HY36" s="177"/>
      <c r="HZ36" s="177"/>
      <c r="IA36" s="177"/>
      <c r="IB36" s="177"/>
      <c r="IC36" s="177"/>
      <c r="ID36" s="177"/>
      <c r="IE36" s="177"/>
      <c r="IF36" s="177"/>
      <c r="IG36" s="177"/>
      <c r="IH36" s="177"/>
      <c r="II36" s="177"/>
      <c r="IJ36" s="177"/>
      <c r="IK36" s="177"/>
      <c r="IL36" s="177"/>
      <c r="IM36" s="177"/>
    </row>
    <row r="37" spans="1:247" s="190" customFormat="1" x14ac:dyDescent="0.25">
      <c r="A37" s="202"/>
      <c r="HR37" s="191"/>
      <c r="HS37" s="191"/>
      <c r="HT37" s="191"/>
      <c r="HU37" s="191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77"/>
      <c r="II37" s="177"/>
      <c r="IJ37" s="177"/>
      <c r="IK37" s="177"/>
      <c r="IL37" s="177"/>
      <c r="IM37" s="177"/>
    </row>
    <row r="38" spans="1:247" s="190" customFormat="1" x14ac:dyDescent="0.25">
      <c r="A38" s="202"/>
      <c r="HR38" s="191"/>
      <c r="HS38" s="191"/>
      <c r="HT38" s="191"/>
      <c r="HU38" s="191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</row>
    <row r="39" spans="1:247" s="190" customFormat="1" x14ac:dyDescent="0.25">
      <c r="A39" s="202"/>
      <c r="HR39" s="191"/>
      <c r="HS39" s="191"/>
      <c r="HT39" s="191"/>
      <c r="HU39" s="191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</row>
    <row r="40" spans="1:247" s="190" customFormat="1" x14ac:dyDescent="0.25">
      <c r="A40" s="202"/>
      <c r="AB40" s="203"/>
      <c r="HR40" s="191"/>
      <c r="HS40" s="191"/>
      <c r="HT40" s="191"/>
      <c r="HU40" s="191"/>
      <c r="HV40" s="177"/>
      <c r="HW40" s="177"/>
      <c r="HX40" s="177"/>
      <c r="HY40" s="177"/>
      <c r="HZ40" s="177"/>
      <c r="IA40" s="177"/>
      <c r="IB40" s="177"/>
      <c r="IC40" s="177"/>
      <c r="ID40" s="177"/>
      <c r="IE40" s="177"/>
      <c r="IF40" s="177"/>
      <c r="IG40" s="177"/>
      <c r="IH40" s="177"/>
      <c r="II40" s="177"/>
      <c r="IJ40" s="177"/>
      <c r="IK40" s="177"/>
      <c r="IL40" s="177"/>
      <c r="IM40" s="177"/>
    </row>
    <row r="41" spans="1:247" s="190" customFormat="1" x14ac:dyDescent="0.25">
      <c r="A41" s="202"/>
      <c r="AB41" s="204"/>
      <c r="HR41" s="191"/>
      <c r="HS41" s="191"/>
      <c r="HT41" s="191"/>
      <c r="HU41" s="191"/>
      <c r="HV41" s="177"/>
      <c r="HW41" s="177"/>
      <c r="HX41" s="177"/>
      <c r="HY41" s="177"/>
      <c r="HZ41" s="177"/>
      <c r="IA41" s="177"/>
      <c r="IB41" s="177"/>
      <c r="IC41" s="177"/>
      <c r="ID41" s="177"/>
      <c r="IE41" s="177"/>
      <c r="IF41" s="177"/>
      <c r="IG41" s="177"/>
      <c r="IH41" s="177"/>
      <c r="II41" s="177"/>
      <c r="IJ41" s="177"/>
      <c r="IK41" s="177"/>
      <c r="IL41" s="177"/>
      <c r="IM41" s="177"/>
    </row>
    <row r="42" spans="1:247" s="190" customFormat="1" x14ac:dyDescent="0.25">
      <c r="A42" s="202"/>
      <c r="AB42" s="204"/>
      <c r="HR42" s="191"/>
      <c r="HS42" s="191"/>
      <c r="HT42" s="191"/>
      <c r="HU42" s="191"/>
      <c r="HV42" s="177"/>
      <c r="HW42" s="177"/>
      <c r="HX42" s="177"/>
      <c r="HY42" s="177"/>
      <c r="HZ42" s="177"/>
      <c r="IA42" s="177"/>
      <c r="IB42" s="177"/>
      <c r="IC42" s="177"/>
      <c r="ID42" s="177"/>
      <c r="IE42" s="177"/>
      <c r="IF42" s="177"/>
      <c r="IG42" s="177"/>
      <c r="IH42" s="177"/>
      <c r="II42" s="177"/>
      <c r="IJ42" s="177"/>
      <c r="IK42" s="177"/>
      <c r="IL42" s="177"/>
      <c r="IM42" s="177"/>
    </row>
    <row r="43" spans="1:247" s="190" customFormat="1" x14ac:dyDescent="0.25">
      <c r="A43" s="202"/>
      <c r="HR43" s="191"/>
      <c r="HS43" s="191"/>
      <c r="HT43" s="191"/>
      <c r="HU43" s="191"/>
      <c r="HV43" s="177"/>
      <c r="HW43" s="177"/>
      <c r="HX43" s="177"/>
      <c r="HY43" s="177"/>
      <c r="HZ43" s="177"/>
      <c r="IA43" s="177"/>
      <c r="IB43" s="177"/>
      <c r="IC43" s="177"/>
      <c r="ID43" s="177"/>
      <c r="IE43" s="177"/>
      <c r="IF43" s="177"/>
      <c r="IG43" s="177"/>
      <c r="IH43" s="177"/>
      <c r="II43" s="177"/>
      <c r="IJ43" s="177"/>
      <c r="IK43" s="177"/>
      <c r="IL43" s="177"/>
      <c r="IM43" s="177"/>
    </row>
    <row r="44" spans="1:247" s="190" customFormat="1" x14ac:dyDescent="0.25">
      <c r="A44" s="202"/>
      <c r="HR44" s="191"/>
      <c r="HS44" s="191"/>
      <c r="HT44" s="191"/>
      <c r="HU44" s="191"/>
      <c r="HV44" s="177"/>
      <c r="HW44" s="177"/>
      <c r="HX44" s="177"/>
      <c r="HY44" s="177"/>
      <c r="HZ44" s="177"/>
      <c r="IA44" s="177"/>
      <c r="IB44" s="177"/>
      <c r="IC44" s="177"/>
      <c r="ID44" s="177"/>
      <c r="IE44" s="177"/>
      <c r="IF44" s="177"/>
      <c r="IG44" s="177"/>
      <c r="IH44" s="177"/>
      <c r="II44" s="177"/>
      <c r="IJ44" s="177"/>
      <c r="IK44" s="177"/>
      <c r="IL44" s="177"/>
      <c r="IM44" s="177"/>
    </row>
    <row r="45" spans="1:247" s="190" customFormat="1" x14ac:dyDescent="0.25">
      <c r="A45" s="202"/>
      <c r="HR45" s="191"/>
      <c r="HS45" s="191"/>
      <c r="HT45" s="191"/>
      <c r="HU45" s="191"/>
      <c r="HV45" s="177"/>
      <c r="HW45" s="177"/>
      <c r="HX45" s="177"/>
      <c r="HY45" s="177"/>
      <c r="HZ45" s="177"/>
      <c r="IA45" s="177"/>
      <c r="IB45" s="177"/>
      <c r="IC45" s="177"/>
      <c r="ID45" s="177"/>
      <c r="IE45" s="177"/>
      <c r="IF45" s="177"/>
      <c r="IG45" s="177"/>
      <c r="IH45" s="177"/>
      <c r="II45" s="177"/>
      <c r="IJ45" s="177"/>
      <c r="IK45" s="177"/>
      <c r="IL45" s="177"/>
      <c r="IM45" s="177"/>
    </row>
    <row r="46" spans="1:247" s="190" customFormat="1" x14ac:dyDescent="0.25">
      <c r="A46" s="202"/>
      <c r="HR46" s="191"/>
      <c r="HS46" s="191"/>
      <c r="HT46" s="191"/>
      <c r="HU46" s="191"/>
      <c r="HV46" s="177"/>
      <c r="HW46" s="177"/>
      <c r="HX46" s="177"/>
      <c r="HY46" s="177"/>
      <c r="HZ46" s="177"/>
      <c r="IA46" s="177"/>
      <c r="IB46" s="177"/>
      <c r="IC46" s="177"/>
      <c r="ID46" s="177"/>
      <c r="IE46" s="177"/>
      <c r="IF46" s="177"/>
      <c r="IG46" s="177"/>
      <c r="IH46" s="177"/>
      <c r="II46" s="177"/>
      <c r="IJ46" s="177"/>
      <c r="IK46" s="177"/>
      <c r="IL46" s="177"/>
      <c r="IM46" s="177"/>
    </row>
    <row r="47" spans="1:247" s="190" customFormat="1" x14ac:dyDescent="0.25">
      <c r="A47" s="202"/>
      <c r="HR47" s="191"/>
      <c r="HS47" s="191"/>
      <c r="HT47" s="191"/>
      <c r="HU47" s="191"/>
      <c r="HV47" s="177"/>
      <c r="HW47" s="177"/>
      <c r="HX47" s="177"/>
      <c r="HY47" s="177"/>
      <c r="HZ47" s="177"/>
      <c r="IA47" s="177"/>
      <c r="IB47" s="177"/>
      <c r="IC47" s="177"/>
      <c r="ID47" s="177"/>
      <c r="IE47" s="177"/>
      <c r="IF47" s="177"/>
      <c r="IG47" s="177"/>
      <c r="IH47" s="177"/>
      <c r="II47" s="177"/>
      <c r="IJ47" s="177"/>
      <c r="IK47" s="177"/>
      <c r="IL47" s="177"/>
      <c r="IM47" s="177"/>
    </row>
    <row r="48" spans="1:247" s="190" customFormat="1" x14ac:dyDescent="0.25">
      <c r="A48" s="202"/>
      <c r="HR48" s="191"/>
      <c r="HS48" s="191"/>
      <c r="HT48" s="191"/>
      <c r="HU48" s="191"/>
      <c r="HV48" s="177"/>
      <c r="HW48" s="177"/>
      <c r="HX48" s="177"/>
      <c r="HY48" s="177"/>
      <c r="HZ48" s="177"/>
      <c r="IA48" s="177"/>
      <c r="IB48" s="177"/>
      <c r="IC48" s="177"/>
      <c r="ID48" s="177"/>
      <c r="IE48" s="177"/>
      <c r="IF48" s="177"/>
      <c r="IG48" s="177"/>
      <c r="IH48" s="177"/>
      <c r="II48" s="177"/>
      <c r="IJ48" s="177"/>
      <c r="IK48" s="177"/>
      <c r="IL48" s="177"/>
      <c r="IM48" s="177"/>
    </row>
    <row r="49" spans="1:247" s="190" customFormat="1" x14ac:dyDescent="0.25">
      <c r="A49" s="202"/>
      <c r="HR49" s="191"/>
      <c r="HS49" s="191"/>
      <c r="HT49" s="191"/>
      <c r="HU49" s="191"/>
      <c r="HV49" s="177"/>
      <c r="HW49" s="177"/>
      <c r="HX49" s="177"/>
      <c r="HY49" s="177"/>
      <c r="HZ49" s="177"/>
      <c r="IA49" s="177"/>
      <c r="IB49" s="177"/>
      <c r="IC49" s="177"/>
      <c r="ID49" s="177"/>
      <c r="IE49" s="177"/>
      <c r="IF49" s="177"/>
      <c r="IG49" s="177"/>
      <c r="IH49" s="177"/>
      <c r="II49" s="177"/>
      <c r="IJ49" s="177"/>
      <c r="IK49" s="177"/>
      <c r="IL49" s="177"/>
      <c r="IM49" s="177"/>
    </row>
    <row r="50" spans="1:247" s="190" customFormat="1" x14ac:dyDescent="0.25">
      <c r="A50" s="202"/>
      <c r="HR50" s="191"/>
      <c r="HS50" s="191"/>
      <c r="HT50" s="191"/>
      <c r="HU50" s="191"/>
      <c r="HV50" s="177"/>
      <c r="HW50" s="177"/>
      <c r="HX50" s="177"/>
      <c r="HY50" s="177"/>
      <c r="HZ50" s="177"/>
      <c r="IA50" s="177"/>
      <c r="IB50" s="177"/>
      <c r="IC50" s="177"/>
      <c r="ID50" s="177"/>
      <c r="IE50" s="177"/>
      <c r="IF50" s="177"/>
      <c r="IG50" s="177"/>
      <c r="IH50" s="177"/>
      <c r="II50" s="177"/>
      <c r="IJ50" s="177"/>
      <c r="IK50" s="177"/>
      <c r="IL50" s="177"/>
      <c r="IM50" s="177"/>
    </row>
    <row r="51" spans="1:247" s="190" customFormat="1" x14ac:dyDescent="0.25">
      <c r="A51" s="202"/>
      <c r="HR51" s="191"/>
      <c r="HS51" s="191"/>
      <c r="HT51" s="191"/>
      <c r="HU51" s="191"/>
      <c r="HV51" s="177"/>
      <c r="HW51" s="177"/>
      <c r="HX51" s="177"/>
      <c r="HY51" s="177"/>
      <c r="HZ51" s="177"/>
      <c r="IA51" s="177"/>
      <c r="IB51" s="177"/>
      <c r="IC51" s="177"/>
      <c r="ID51" s="177"/>
      <c r="IE51" s="177"/>
      <c r="IF51" s="177"/>
      <c r="IG51" s="177"/>
      <c r="IH51" s="177"/>
      <c r="II51" s="177"/>
      <c r="IJ51" s="177"/>
      <c r="IK51" s="177"/>
      <c r="IL51" s="177"/>
      <c r="IM51" s="177"/>
    </row>
    <row r="52" spans="1:247" s="190" customFormat="1" x14ac:dyDescent="0.25">
      <c r="A52" s="202"/>
      <c r="HR52" s="191"/>
      <c r="HS52" s="191"/>
      <c r="HT52" s="191"/>
      <c r="HU52" s="191"/>
      <c r="HV52" s="177"/>
      <c r="HW52" s="177"/>
      <c r="HX52" s="177"/>
      <c r="HY52" s="177"/>
      <c r="HZ52" s="177"/>
      <c r="IA52" s="177"/>
      <c r="IB52" s="177"/>
      <c r="IC52" s="177"/>
      <c r="ID52" s="177"/>
      <c r="IE52" s="177"/>
      <c r="IF52" s="177"/>
      <c r="IG52" s="177"/>
      <c r="IH52" s="177"/>
      <c r="II52" s="177"/>
      <c r="IJ52" s="177"/>
      <c r="IK52" s="177"/>
      <c r="IL52" s="177"/>
      <c r="IM52" s="177"/>
    </row>
    <row r="53" spans="1:247" s="190" customFormat="1" x14ac:dyDescent="0.25">
      <c r="A53" s="202"/>
      <c r="HR53" s="191"/>
      <c r="HS53" s="191"/>
      <c r="HT53" s="191"/>
      <c r="HU53" s="191"/>
      <c r="HV53" s="177"/>
      <c r="HW53" s="177"/>
      <c r="HX53" s="177"/>
      <c r="HY53" s="177"/>
      <c r="HZ53" s="177"/>
      <c r="IA53" s="177"/>
      <c r="IB53" s="177"/>
      <c r="IC53" s="177"/>
      <c r="ID53" s="177"/>
      <c r="IE53" s="177"/>
      <c r="IF53" s="177"/>
      <c r="IG53" s="177"/>
      <c r="IH53" s="177"/>
      <c r="II53" s="177"/>
      <c r="IJ53" s="177"/>
      <c r="IK53" s="177"/>
      <c r="IL53" s="177"/>
      <c r="IM53" s="177"/>
    </row>
    <row r="54" spans="1:247" s="190" customFormat="1" x14ac:dyDescent="0.25">
      <c r="A54" s="202"/>
      <c r="HR54" s="191"/>
      <c r="HS54" s="191"/>
      <c r="HT54" s="191"/>
      <c r="HU54" s="191"/>
      <c r="HV54" s="177"/>
      <c r="HW54" s="177"/>
      <c r="HX54" s="177"/>
      <c r="HY54" s="177"/>
      <c r="HZ54" s="177"/>
      <c r="IA54" s="177"/>
      <c r="IB54" s="177"/>
      <c r="IC54" s="177"/>
      <c r="ID54" s="177"/>
      <c r="IE54" s="177"/>
      <c r="IF54" s="177"/>
      <c r="IG54" s="177"/>
      <c r="IH54" s="177"/>
      <c r="II54" s="177"/>
      <c r="IJ54" s="177"/>
      <c r="IK54" s="177"/>
      <c r="IL54" s="177"/>
      <c r="IM54" s="177"/>
    </row>
    <row r="55" spans="1:247" s="190" customFormat="1" x14ac:dyDescent="0.25">
      <c r="A55" s="202"/>
      <c r="HR55" s="191"/>
      <c r="HS55" s="191"/>
      <c r="HT55" s="191"/>
      <c r="HU55" s="191"/>
      <c r="HV55" s="177"/>
      <c r="HW55" s="177"/>
      <c r="HX55" s="177"/>
      <c r="HY55" s="177"/>
      <c r="HZ55" s="177"/>
      <c r="IA55" s="177"/>
      <c r="IB55" s="177"/>
      <c r="IC55" s="177"/>
      <c r="ID55" s="177"/>
      <c r="IE55" s="177"/>
      <c r="IF55" s="177"/>
      <c r="IG55" s="177"/>
      <c r="IH55" s="177"/>
      <c r="II55" s="177"/>
      <c r="IJ55" s="177"/>
      <c r="IK55" s="177"/>
      <c r="IL55" s="177"/>
      <c r="IM55" s="177"/>
    </row>
    <row r="56" spans="1:247" s="190" customFormat="1" x14ac:dyDescent="0.25">
      <c r="A56" s="202"/>
      <c r="HR56" s="191"/>
      <c r="HS56" s="191"/>
      <c r="HT56" s="191"/>
      <c r="HU56" s="191"/>
      <c r="HV56" s="177"/>
      <c r="HW56" s="177"/>
      <c r="HX56" s="177"/>
      <c r="HY56" s="177"/>
      <c r="HZ56" s="177"/>
      <c r="IA56" s="177"/>
      <c r="IB56" s="177"/>
      <c r="IC56" s="177"/>
      <c r="ID56" s="177"/>
      <c r="IE56" s="177"/>
      <c r="IF56" s="177"/>
      <c r="IG56" s="177"/>
      <c r="IH56" s="177"/>
      <c r="II56" s="177"/>
      <c r="IJ56" s="177"/>
      <c r="IK56" s="177"/>
      <c r="IL56" s="177"/>
      <c r="IM56" s="177"/>
    </row>
    <row r="57" spans="1:247" s="190" customFormat="1" x14ac:dyDescent="0.25">
      <c r="A57" s="202"/>
      <c r="HR57" s="191"/>
      <c r="HS57" s="191"/>
      <c r="HT57" s="191"/>
      <c r="HU57" s="191"/>
      <c r="HV57" s="177"/>
      <c r="HW57" s="177"/>
      <c r="HX57" s="177"/>
      <c r="HY57" s="177"/>
      <c r="HZ57" s="177"/>
      <c r="IA57" s="177"/>
      <c r="IB57" s="177"/>
      <c r="IC57" s="177"/>
      <c r="ID57" s="177"/>
      <c r="IE57" s="177"/>
      <c r="IF57" s="177"/>
      <c r="IG57" s="177"/>
      <c r="IH57" s="177"/>
      <c r="II57" s="177"/>
      <c r="IJ57" s="177"/>
      <c r="IK57" s="177"/>
      <c r="IL57" s="177"/>
      <c r="IM57" s="177"/>
    </row>
    <row r="58" spans="1:247" s="190" customFormat="1" x14ac:dyDescent="0.25">
      <c r="A58" s="202"/>
      <c r="HR58" s="191"/>
      <c r="HS58" s="191"/>
      <c r="HT58" s="191"/>
      <c r="HU58" s="191"/>
      <c r="HV58" s="177"/>
      <c r="HW58" s="177"/>
      <c r="HX58" s="177"/>
      <c r="HY58" s="177"/>
      <c r="HZ58" s="177"/>
      <c r="IA58" s="177"/>
      <c r="IB58" s="177"/>
      <c r="IC58" s="177"/>
      <c r="ID58" s="177"/>
      <c r="IE58" s="177"/>
      <c r="IF58" s="177"/>
      <c r="IG58" s="177"/>
      <c r="IH58" s="177"/>
      <c r="II58" s="177"/>
      <c r="IJ58" s="177"/>
      <c r="IK58" s="177"/>
      <c r="IL58" s="177"/>
      <c r="IM58" s="177"/>
    </row>
    <row r="59" spans="1:247" s="190" customFormat="1" x14ac:dyDescent="0.25">
      <c r="A59" s="202"/>
      <c r="HR59" s="191"/>
      <c r="HS59" s="191"/>
      <c r="HT59" s="191"/>
      <c r="HU59" s="191"/>
      <c r="HV59" s="177"/>
      <c r="HW59" s="177"/>
      <c r="HX59" s="177"/>
      <c r="HY59" s="177"/>
      <c r="HZ59" s="177"/>
      <c r="IA59" s="177"/>
      <c r="IB59" s="177"/>
      <c r="IC59" s="177"/>
      <c r="ID59" s="177"/>
      <c r="IE59" s="177"/>
      <c r="IF59" s="177"/>
      <c r="IG59" s="177"/>
      <c r="IH59" s="177"/>
      <c r="II59" s="177"/>
      <c r="IJ59" s="177"/>
      <c r="IK59" s="177"/>
      <c r="IL59" s="177"/>
      <c r="IM59" s="177"/>
    </row>
    <row r="60" spans="1:247" s="190" customFormat="1" x14ac:dyDescent="0.25">
      <c r="A60" s="202"/>
      <c r="HR60" s="191"/>
      <c r="HS60" s="191"/>
      <c r="HT60" s="191"/>
      <c r="HU60" s="191"/>
      <c r="HV60" s="177"/>
      <c r="HW60" s="177"/>
      <c r="HX60" s="177"/>
      <c r="HY60" s="177"/>
      <c r="HZ60" s="177"/>
      <c r="IA60" s="177"/>
      <c r="IB60" s="177"/>
      <c r="IC60" s="177"/>
      <c r="ID60" s="177"/>
      <c r="IE60" s="177"/>
      <c r="IF60" s="177"/>
      <c r="IG60" s="177"/>
      <c r="IH60" s="177"/>
      <c r="II60" s="177"/>
      <c r="IJ60" s="177"/>
      <c r="IK60" s="177"/>
      <c r="IL60" s="177"/>
      <c r="IM60" s="177"/>
    </row>
    <row r="61" spans="1:247" s="190" customFormat="1" x14ac:dyDescent="0.25">
      <c r="A61" s="202"/>
      <c r="HR61" s="191"/>
      <c r="HS61" s="191"/>
      <c r="HT61" s="191"/>
      <c r="HU61" s="191"/>
      <c r="HV61" s="177"/>
      <c r="HW61" s="177"/>
      <c r="HX61" s="177"/>
      <c r="HY61" s="177"/>
      <c r="HZ61" s="177"/>
      <c r="IA61" s="177"/>
      <c r="IB61" s="177"/>
      <c r="IC61" s="177"/>
      <c r="ID61" s="177"/>
      <c r="IE61" s="177"/>
      <c r="IF61" s="177"/>
      <c r="IG61" s="177"/>
      <c r="IH61" s="177"/>
      <c r="II61" s="177"/>
      <c r="IJ61" s="177"/>
      <c r="IK61" s="177"/>
      <c r="IL61" s="177"/>
      <c r="IM61" s="177"/>
    </row>
    <row r="62" spans="1:247" s="190" customFormat="1" x14ac:dyDescent="0.25">
      <c r="A62" s="202"/>
      <c r="HR62" s="191"/>
      <c r="HS62" s="191"/>
      <c r="HT62" s="191"/>
      <c r="HU62" s="191"/>
      <c r="HV62" s="177"/>
      <c r="HW62" s="177"/>
      <c r="HX62" s="177"/>
      <c r="HY62" s="177"/>
      <c r="HZ62" s="177"/>
      <c r="IA62" s="177"/>
      <c r="IB62" s="177"/>
      <c r="IC62" s="177"/>
      <c r="ID62" s="177"/>
      <c r="IE62" s="177"/>
      <c r="IF62" s="177"/>
      <c r="IG62" s="177"/>
      <c r="IH62" s="177"/>
      <c r="II62" s="177"/>
      <c r="IJ62" s="177"/>
      <c r="IK62" s="177"/>
      <c r="IL62" s="177"/>
      <c r="IM62" s="177"/>
    </row>
    <row r="63" spans="1:247" s="190" customFormat="1" x14ac:dyDescent="0.25">
      <c r="A63" s="202"/>
      <c r="HR63" s="191"/>
      <c r="HS63" s="191"/>
      <c r="HT63" s="191"/>
      <c r="HU63" s="191"/>
      <c r="HV63" s="177"/>
      <c r="HW63" s="177"/>
      <c r="HX63" s="177"/>
      <c r="HY63" s="177"/>
      <c r="HZ63" s="177"/>
      <c r="IA63" s="177"/>
      <c r="IB63" s="177"/>
      <c r="IC63" s="177"/>
      <c r="ID63" s="177"/>
      <c r="IE63" s="177"/>
      <c r="IF63" s="177"/>
      <c r="IG63" s="177"/>
      <c r="IH63" s="177"/>
      <c r="II63" s="177"/>
      <c r="IJ63" s="177"/>
      <c r="IK63" s="177"/>
      <c r="IL63" s="177"/>
      <c r="IM63" s="177"/>
    </row>
    <row r="64" spans="1:247" s="190" customFormat="1" x14ac:dyDescent="0.25">
      <c r="A64" s="202"/>
      <c r="HR64" s="191"/>
      <c r="HS64" s="191"/>
      <c r="HT64" s="191"/>
      <c r="HU64" s="191"/>
      <c r="HV64" s="177"/>
      <c r="HW64" s="177"/>
      <c r="HX64" s="177"/>
      <c r="HY64" s="177"/>
      <c r="HZ64" s="177"/>
      <c r="IA64" s="177"/>
      <c r="IB64" s="177"/>
      <c r="IC64" s="177"/>
      <c r="ID64" s="177"/>
      <c r="IE64" s="177"/>
      <c r="IF64" s="177"/>
      <c r="IG64" s="177"/>
      <c r="IH64" s="177"/>
      <c r="II64" s="177"/>
      <c r="IJ64" s="177"/>
      <c r="IK64" s="177"/>
      <c r="IL64" s="177"/>
      <c r="IM64" s="177"/>
    </row>
    <row r="65" spans="1:247" s="190" customFormat="1" x14ac:dyDescent="0.25">
      <c r="A65" s="202"/>
      <c r="HR65" s="191"/>
      <c r="HS65" s="191"/>
      <c r="HT65" s="191"/>
      <c r="HU65" s="191"/>
      <c r="HV65" s="177"/>
      <c r="HW65" s="177"/>
      <c r="HX65" s="177"/>
      <c r="HY65" s="177"/>
      <c r="HZ65" s="177"/>
      <c r="IA65" s="177"/>
      <c r="IB65" s="177"/>
      <c r="IC65" s="177"/>
      <c r="ID65" s="177"/>
      <c r="IE65" s="177"/>
      <c r="IF65" s="177"/>
      <c r="IG65" s="177"/>
      <c r="IH65" s="177"/>
      <c r="II65" s="177"/>
      <c r="IJ65" s="177"/>
      <c r="IK65" s="177"/>
      <c r="IL65" s="177"/>
      <c r="IM65" s="177"/>
    </row>
    <row r="66" spans="1:247" s="190" customFormat="1" x14ac:dyDescent="0.25">
      <c r="A66" s="202"/>
      <c r="HR66" s="191"/>
      <c r="HS66" s="191"/>
      <c r="HT66" s="191"/>
      <c r="HU66" s="191"/>
      <c r="HV66" s="177"/>
      <c r="HW66" s="177"/>
      <c r="HX66" s="177"/>
      <c r="HY66" s="177"/>
      <c r="HZ66" s="177"/>
      <c r="IA66" s="177"/>
      <c r="IB66" s="177"/>
      <c r="IC66" s="177"/>
      <c r="ID66" s="177"/>
      <c r="IE66" s="177"/>
      <c r="IF66" s="177"/>
      <c r="IG66" s="177"/>
      <c r="IH66" s="177"/>
      <c r="II66" s="177"/>
      <c r="IJ66" s="177"/>
      <c r="IK66" s="177"/>
      <c r="IL66" s="177"/>
      <c r="IM66" s="177"/>
    </row>
    <row r="67" spans="1:247" s="190" customFormat="1" x14ac:dyDescent="0.25">
      <c r="A67" s="202"/>
      <c r="HR67" s="191"/>
      <c r="HS67" s="191"/>
      <c r="HT67" s="191"/>
      <c r="HU67" s="191"/>
      <c r="HV67" s="177"/>
      <c r="HW67" s="177"/>
      <c r="HX67" s="177"/>
      <c r="HY67" s="177"/>
      <c r="HZ67" s="177"/>
      <c r="IA67" s="177"/>
      <c r="IB67" s="177"/>
      <c r="IC67" s="177"/>
      <c r="ID67" s="177"/>
      <c r="IE67" s="177"/>
      <c r="IF67" s="177"/>
      <c r="IG67" s="177"/>
      <c r="IH67" s="177"/>
      <c r="II67" s="177"/>
      <c r="IJ67" s="177"/>
      <c r="IK67" s="177"/>
      <c r="IL67" s="177"/>
      <c r="IM67" s="177"/>
    </row>
    <row r="68" spans="1:247" s="190" customFormat="1" x14ac:dyDescent="0.25">
      <c r="A68" s="202"/>
      <c r="HR68" s="191"/>
      <c r="HS68" s="191"/>
      <c r="HT68" s="191"/>
      <c r="HU68" s="191"/>
      <c r="HV68" s="177"/>
      <c r="HW68" s="177"/>
      <c r="HX68" s="177"/>
      <c r="HY68" s="177"/>
      <c r="HZ68" s="177"/>
      <c r="IA68" s="177"/>
      <c r="IB68" s="177"/>
      <c r="IC68" s="177"/>
      <c r="ID68" s="177"/>
      <c r="IE68" s="177"/>
      <c r="IF68" s="177"/>
      <c r="IG68" s="177"/>
      <c r="IH68" s="177"/>
      <c r="II68" s="177"/>
      <c r="IJ68" s="177"/>
      <c r="IK68" s="177"/>
      <c r="IL68" s="177"/>
      <c r="IM68" s="177"/>
    </row>
    <row r="69" spans="1:247" s="190" customFormat="1" x14ac:dyDescent="0.25">
      <c r="A69" s="202"/>
      <c r="HR69" s="191"/>
      <c r="HS69" s="191"/>
      <c r="HT69" s="191"/>
      <c r="HU69" s="191"/>
      <c r="HV69" s="177"/>
      <c r="HW69" s="177"/>
      <c r="HX69" s="177"/>
      <c r="HY69" s="177"/>
      <c r="HZ69" s="177"/>
      <c r="IA69" s="177"/>
      <c r="IB69" s="177"/>
      <c r="IC69" s="177"/>
      <c r="ID69" s="177"/>
      <c r="IE69" s="177"/>
      <c r="IF69" s="177"/>
      <c r="IG69" s="177"/>
      <c r="IH69" s="177"/>
      <c r="II69" s="177"/>
      <c r="IJ69" s="177"/>
      <c r="IK69" s="177"/>
      <c r="IL69" s="177"/>
      <c r="IM69" s="177"/>
    </row>
    <row r="70" spans="1:247" s="190" customFormat="1" x14ac:dyDescent="0.25">
      <c r="A70" s="202"/>
      <c r="HR70" s="191"/>
      <c r="HS70" s="191"/>
      <c r="HT70" s="191"/>
      <c r="HU70" s="191"/>
      <c r="HV70" s="177"/>
      <c r="HW70" s="177"/>
      <c r="HX70" s="177"/>
      <c r="HY70" s="177"/>
      <c r="HZ70" s="177"/>
      <c r="IA70" s="177"/>
      <c r="IB70" s="177"/>
      <c r="IC70" s="177"/>
      <c r="ID70" s="177"/>
      <c r="IE70" s="177"/>
      <c r="IF70" s="177"/>
      <c r="IG70" s="177"/>
      <c r="IH70" s="177"/>
      <c r="II70" s="177"/>
      <c r="IJ70" s="177"/>
      <c r="IK70" s="177"/>
      <c r="IL70" s="177"/>
      <c r="IM70" s="177"/>
    </row>
    <row r="71" spans="1:247" s="190" customFormat="1" x14ac:dyDescent="0.25">
      <c r="A71" s="202"/>
      <c r="HR71" s="191"/>
      <c r="HS71" s="191"/>
      <c r="HT71" s="191"/>
      <c r="HU71" s="191"/>
      <c r="HV71" s="177"/>
      <c r="HW71" s="177"/>
      <c r="HX71" s="177"/>
      <c r="HY71" s="177"/>
      <c r="HZ71" s="177"/>
      <c r="IA71" s="177"/>
      <c r="IB71" s="177"/>
      <c r="IC71" s="177"/>
      <c r="ID71" s="177"/>
      <c r="IE71" s="177"/>
      <c r="IF71" s="177"/>
      <c r="IG71" s="177"/>
      <c r="IH71" s="177"/>
      <c r="II71" s="177"/>
      <c r="IJ71" s="177"/>
      <c r="IK71" s="177"/>
      <c r="IL71" s="177"/>
      <c r="IM71" s="177"/>
    </row>
    <row r="72" spans="1:247" s="190" customFormat="1" x14ac:dyDescent="0.25">
      <c r="A72" s="202"/>
      <c r="HR72" s="191"/>
      <c r="HS72" s="191"/>
      <c r="HT72" s="191"/>
      <c r="HU72" s="191"/>
      <c r="HV72" s="177"/>
      <c r="HW72" s="177"/>
      <c r="HX72" s="177"/>
      <c r="HY72" s="177"/>
      <c r="HZ72" s="177"/>
      <c r="IA72" s="177"/>
      <c r="IB72" s="177"/>
      <c r="IC72" s="177"/>
      <c r="ID72" s="177"/>
      <c r="IE72" s="177"/>
      <c r="IF72" s="177"/>
      <c r="IG72" s="177"/>
      <c r="IH72" s="177"/>
      <c r="II72" s="177"/>
      <c r="IJ72" s="177"/>
      <c r="IK72" s="177"/>
      <c r="IL72" s="177"/>
      <c r="IM72" s="177"/>
    </row>
    <row r="73" spans="1:247" s="190" customFormat="1" x14ac:dyDescent="0.25">
      <c r="A73" s="202"/>
      <c r="HR73" s="191"/>
      <c r="HS73" s="191"/>
      <c r="HT73" s="191"/>
      <c r="HU73" s="191"/>
      <c r="HV73" s="177"/>
      <c r="HW73" s="177"/>
      <c r="HX73" s="177"/>
      <c r="HY73" s="177"/>
      <c r="HZ73" s="177"/>
      <c r="IA73" s="177"/>
      <c r="IB73" s="177"/>
      <c r="IC73" s="177"/>
      <c r="ID73" s="177"/>
      <c r="IE73" s="177"/>
      <c r="IF73" s="177"/>
      <c r="IG73" s="177"/>
      <c r="IH73" s="177"/>
      <c r="II73" s="177"/>
      <c r="IJ73" s="177"/>
      <c r="IK73" s="177"/>
      <c r="IL73" s="177"/>
      <c r="IM73" s="177"/>
    </row>
    <row r="74" spans="1:247" s="190" customFormat="1" x14ac:dyDescent="0.25">
      <c r="A74" s="202"/>
      <c r="HR74" s="191"/>
      <c r="HS74" s="191"/>
      <c r="HT74" s="191"/>
      <c r="HU74" s="191"/>
      <c r="HV74" s="177"/>
      <c r="HW74" s="177"/>
      <c r="HX74" s="177"/>
      <c r="HY74" s="177"/>
      <c r="HZ74" s="177"/>
      <c r="IA74" s="177"/>
      <c r="IB74" s="177"/>
      <c r="IC74" s="177"/>
      <c r="ID74" s="177"/>
      <c r="IE74" s="177"/>
      <c r="IF74" s="177"/>
      <c r="IG74" s="177"/>
      <c r="IH74" s="177"/>
      <c r="II74" s="177"/>
      <c r="IJ74" s="177"/>
      <c r="IK74" s="177"/>
      <c r="IL74" s="177"/>
      <c r="IM74" s="177"/>
    </row>
    <row r="75" spans="1:247" s="190" customFormat="1" x14ac:dyDescent="0.25">
      <c r="A75" s="202"/>
      <c r="HR75" s="191"/>
      <c r="HS75" s="191"/>
      <c r="HT75" s="191"/>
      <c r="HU75" s="191"/>
      <c r="HV75" s="177"/>
      <c r="HW75" s="177"/>
      <c r="HX75" s="177"/>
      <c r="HY75" s="177"/>
      <c r="HZ75" s="177"/>
      <c r="IA75" s="177"/>
      <c r="IB75" s="177"/>
      <c r="IC75" s="177"/>
      <c r="ID75" s="177"/>
      <c r="IE75" s="177"/>
      <c r="IF75" s="177"/>
      <c r="IG75" s="177"/>
      <c r="IH75" s="177"/>
      <c r="II75" s="177"/>
      <c r="IJ75" s="177"/>
      <c r="IK75" s="177"/>
      <c r="IL75" s="177"/>
      <c r="IM75" s="177"/>
    </row>
    <row r="76" spans="1:247" s="190" customFormat="1" x14ac:dyDescent="0.25">
      <c r="A76" s="202"/>
      <c r="HR76" s="191"/>
      <c r="HS76" s="191"/>
      <c r="HT76" s="191"/>
      <c r="HU76" s="191"/>
      <c r="HV76" s="177"/>
      <c r="HW76" s="177"/>
      <c r="HX76" s="177"/>
      <c r="HY76" s="177"/>
      <c r="HZ76" s="177"/>
      <c r="IA76" s="177"/>
      <c r="IB76" s="177"/>
      <c r="IC76" s="177"/>
      <c r="ID76" s="177"/>
      <c r="IE76" s="177"/>
      <c r="IF76" s="177"/>
      <c r="IG76" s="177"/>
      <c r="IH76" s="177"/>
      <c r="II76" s="177"/>
      <c r="IJ76" s="177"/>
      <c r="IK76" s="177"/>
      <c r="IL76" s="177"/>
      <c r="IM76" s="177"/>
    </row>
    <row r="77" spans="1:247" s="190" customFormat="1" x14ac:dyDescent="0.25">
      <c r="A77" s="202"/>
      <c r="HR77" s="191"/>
      <c r="HS77" s="191"/>
      <c r="HT77" s="191"/>
      <c r="HU77" s="191"/>
      <c r="HV77" s="177"/>
      <c r="HW77" s="177"/>
      <c r="HX77" s="177"/>
      <c r="HY77" s="177"/>
      <c r="HZ77" s="177"/>
      <c r="IA77" s="177"/>
      <c r="IB77" s="177"/>
      <c r="IC77" s="177"/>
      <c r="ID77" s="177"/>
      <c r="IE77" s="177"/>
      <c r="IF77" s="177"/>
      <c r="IG77" s="177"/>
      <c r="IH77" s="177"/>
      <c r="II77" s="177"/>
      <c r="IJ77" s="177"/>
      <c r="IK77" s="177"/>
      <c r="IL77" s="177"/>
      <c r="IM77" s="177"/>
    </row>
    <row r="78" spans="1:247" s="190" customFormat="1" x14ac:dyDescent="0.25">
      <c r="A78" s="202"/>
      <c r="HR78" s="191"/>
      <c r="HS78" s="191"/>
      <c r="HT78" s="191"/>
      <c r="HU78" s="191"/>
      <c r="HV78" s="177"/>
      <c r="HW78" s="177"/>
      <c r="HX78" s="177"/>
      <c r="HY78" s="177"/>
      <c r="HZ78" s="177"/>
      <c r="IA78" s="177"/>
      <c r="IB78" s="177"/>
      <c r="IC78" s="177"/>
      <c r="ID78" s="177"/>
      <c r="IE78" s="177"/>
      <c r="IF78" s="177"/>
      <c r="IG78" s="177"/>
      <c r="IH78" s="177"/>
      <c r="II78" s="177"/>
      <c r="IJ78" s="177"/>
      <c r="IK78" s="177"/>
      <c r="IL78" s="177"/>
      <c r="IM78" s="177"/>
    </row>
    <row r="79" spans="1:247" s="190" customFormat="1" x14ac:dyDescent="0.25">
      <c r="A79" s="202"/>
      <c r="HR79" s="191"/>
      <c r="HS79" s="191"/>
      <c r="HT79" s="191"/>
      <c r="HU79" s="191"/>
      <c r="HV79" s="177"/>
      <c r="HW79" s="177"/>
      <c r="HX79" s="177"/>
      <c r="HY79" s="177"/>
      <c r="HZ79" s="177"/>
      <c r="IA79" s="177"/>
      <c r="IB79" s="177"/>
      <c r="IC79" s="177"/>
      <c r="ID79" s="177"/>
      <c r="IE79" s="177"/>
      <c r="IF79" s="177"/>
      <c r="IG79" s="177"/>
      <c r="IH79" s="177"/>
      <c r="II79" s="177"/>
      <c r="IJ79" s="177"/>
      <c r="IK79" s="177"/>
      <c r="IL79" s="177"/>
      <c r="IM79" s="177"/>
    </row>
    <row r="80" spans="1:247" s="190" customFormat="1" x14ac:dyDescent="0.25">
      <c r="A80" s="202"/>
      <c r="HR80" s="191"/>
      <c r="HS80" s="191"/>
      <c r="HT80" s="191"/>
      <c r="HU80" s="191"/>
      <c r="HV80" s="177"/>
      <c r="HW80" s="177"/>
      <c r="HX80" s="177"/>
      <c r="HY80" s="177"/>
      <c r="HZ80" s="177"/>
      <c r="IA80" s="177"/>
      <c r="IB80" s="177"/>
      <c r="IC80" s="177"/>
      <c r="ID80" s="177"/>
      <c r="IE80" s="177"/>
      <c r="IF80" s="177"/>
      <c r="IG80" s="177"/>
      <c r="IH80" s="177"/>
      <c r="II80" s="177"/>
      <c r="IJ80" s="177"/>
      <c r="IK80" s="177"/>
      <c r="IL80" s="177"/>
      <c r="IM80" s="177"/>
    </row>
    <row r="81" spans="1:247" s="190" customFormat="1" x14ac:dyDescent="0.25">
      <c r="A81" s="202"/>
      <c r="HR81" s="191"/>
      <c r="HS81" s="191"/>
      <c r="HT81" s="191"/>
      <c r="HU81" s="191"/>
      <c r="HV81" s="177"/>
      <c r="HW81" s="177"/>
      <c r="HX81" s="177"/>
      <c r="HY81" s="177"/>
      <c r="HZ81" s="177"/>
      <c r="IA81" s="177"/>
      <c r="IB81" s="177"/>
      <c r="IC81" s="177"/>
      <c r="ID81" s="177"/>
      <c r="IE81" s="177"/>
      <c r="IF81" s="177"/>
      <c r="IG81" s="177"/>
      <c r="IH81" s="177"/>
      <c r="II81" s="177"/>
      <c r="IJ81" s="177"/>
      <c r="IK81" s="177"/>
      <c r="IL81" s="177"/>
      <c r="IM81" s="177"/>
    </row>
    <row r="82" spans="1:247" s="190" customFormat="1" x14ac:dyDescent="0.25">
      <c r="A82" s="202"/>
      <c r="HR82" s="191"/>
      <c r="HS82" s="191"/>
      <c r="HT82" s="191"/>
      <c r="HU82" s="191"/>
      <c r="HV82" s="177"/>
      <c r="HW82" s="177"/>
      <c r="HX82" s="177"/>
      <c r="HY82" s="177"/>
      <c r="HZ82" s="177"/>
      <c r="IA82" s="177"/>
      <c r="IB82" s="177"/>
      <c r="IC82" s="177"/>
      <c r="ID82" s="177"/>
      <c r="IE82" s="177"/>
      <c r="IF82" s="177"/>
      <c r="IG82" s="177"/>
      <c r="IH82" s="177"/>
      <c r="II82" s="177"/>
      <c r="IJ82" s="177"/>
      <c r="IK82" s="177"/>
      <c r="IL82" s="177"/>
      <c r="IM82" s="177"/>
    </row>
    <row r="83" spans="1:247" s="190" customFormat="1" x14ac:dyDescent="0.25">
      <c r="A83" s="202"/>
      <c r="HR83" s="191"/>
      <c r="HS83" s="191"/>
      <c r="HT83" s="191"/>
      <c r="HU83" s="191"/>
      <c r="HV83" s="177"/>
      <c r="HW83" s="177"/>
      <c r="HX83" s="177"/>
      <c r="HY83" s="177"/>
      <c r="HZ83" s="177"/>
      <c r="IA83" s="177"/>
      <c r="IB83" s="177"/>
      <c r="IC83" s="177"/>
      <c r="ID83" s="177"/>
      <c r="IE83" s="177"/>
      <c r="IF83" s="177"/>
      <c r="IG83" s="177"/>
      <c r="IH83" s="177"/>
      <c r="II83" s="177"/>
      <c r="IJ83" s="177"/>
      <c r="IK83" s="177"/>
      <c r="IL83" s="177"/>
      <c r="IM83" s="177"/>
    </row>
    <row r="84" spans="1:247" s="190" customFormat="1" x14ac:dyDescent="0.25">
      <c r="A84" s="202"/>
      <c r="HR84" s="191"/>
      <c r="HS84" s="191"/>
      <c r="HT84" s="191"/>
      <c r="HU84" s="191"/>
      <c r="HV84" s="177"/>
      <c r="HW84" s="177"/>
      <c r="HX84" s="177"/>
      <c r="HY84" s="177"/>
      <c r="HZ84" s="177"/>
      <c r="IA84" s="177"/>
      <c r="IB84" s="177"/>
      <c r="IC84" s="177"/>
      <c r="ID84" s="177"/>
      <c r="IE84" s="177"/>
      <c r="IF84" s="177"/>
      <c r="IG84" s="177"/>
      <c r="IH84" s="177"/>
      <c r="II84" s="177"/>
      <c r="IJ84" s="177"/>
      <c r="IK84" s="177"/>
      <c r="IL84" s="177"/>
      <c r="IM84" s="177"/>
    </row>
    <row r="85" spans="1:247" s="190" customFormat="1" x14ac:dyDescent="0.25">
      <c r="A85" s="202"/>
      <c r="HR85" s="191"/>
      <c r="HS85" s="191"/>
      <c r="HT85" s="191"/>
      <c r="HU85" s="191"/>
      <c r="HV85" s="177"/>
      <c r="HW85" s="177"/>
      <c r="HX85" s="177"/>
      <c r="HY85" s="177"/>
      <c r="HZ85" s="177"/>
      <c r="IA85" s="177"/>
      <c r="IB85" s="177"/>
      <c r="IC85" s="177"/>
      <c r="ID85" s="177"/>
      <c r="IE85" s="177"/>
      <c r="IF85" s="177"/>
      <c r="IG85" s="177"/>
      <c r="IH85" s="177"/>
      <c r="II85" s="177"/>
      <c r="IJ85" s="177"/>
      <c r="IK85" s="177"/>
      <c r="IL85" s="177"/>
      <c r="IM85" s="177"/>
    </row>
    <row r="86" spans="1:247" s="190" customFormat="1" x14ac:dyDescent="0.25">
      <c r="A86" s="202"/>
      <c r="HR86" s="191"/>
      <c r="HS86" s="191"/>
      <c r="HT86" s="191"/>
      <c r="HU86" s="191"/>
      <c r="HV86" s="177"/>
      <c r="HW86" s="177"/>
      <c r="HX86" s="177"/>
      <c r="HY86" s="177"/>
      <c r="HZ86" s="177"/>
      <c r="IA86" s="177"/>
      <c r="IB86" s="177"/>
      <c r="IC86" s="177"/>
      <c r="ID86" s="177"/>
      <c r="IE86" s="177"/>
      <c r="IF86" s="177"/>
      <c r="IG86" s="177"/>
      <c r="IH86" s="177"/>
      <c r="II86" s="177"/>
      <c r="IJ86" s="177"/>
      <c r="IK86" s="177"/>
      <c r="IL86" s="177"/>
      <c r="IM86" s="177"/>
    </row>
    <row r="87" spans="1:247" s="190" customFormat="1" x14ac:dyDescent="0.25">
      <c r="A87" s="202"/>
      <c r="HR87" s="191"/>
      <c r="HS87" s="191"/>
      <c r="HT87" s="191"/>
      <c r="HU87" s="191"/>
      <c r="HV87" s="177"/>
      <c r="HW87" s="177"/>
      <c r="HX87" s="177"/>
      <c r="HY87" s="177"/>
      <c r="HZ87" s="177"/>
      <c r="IA87" s="177"/>
      <c r="IB87" s="177"/>
      <c r="IC87" s="177"/>
      <c r="ID87" s="177"/>
      <c r="IE87" s="177"/>
      <c r="IF87" s="177"/>
      <c r="IG87" s="177"/>
      <c r="IH87" s="177"/>
      <c r="II87" s="177"/>
      <c r="IJ87" s="177"/>
      <c r="IK87" s="177"/>
      <c r="IL87" s="177"/>
      <c r="IM87" s="177"/>
    </row>
    <row r="88" spans="1:247" s="190" customFormat="1" x14ac:dyDescent="0.25">
      <c r="A88" s="202"/>
      <c r="HR88" s="191"/>
      <c r="HS88" s="191"/>
      <c r="HT88" s="191"/>
      <c r="HU88" s="191"/>
      <c r="HV88" s="177"/>
      <c r="HW88" s="177"/>
      <c r="HX88" s="177"/>
      <c r="HY88" s="177"/>
      <c r="HZ88" s="177"/>
      <c r="IA88" s="177"/>
      <c r="IB88" s="177"/>
      <c r="IC88" s="177"/>
      <c r="ID88" s="177"/>
      <c r="IE88" s="177"/>
      <c r="IF88" s="177"/>
      <c r="IG88" s="177"/>
      <c r="IH88" s="177"/>
      <c r="II88" s="177"/>
      <c r="IJ88" s="177"/>
      <c r="IK88" s="177"/>
      <c r="IL88" s="177"/>
      <c r="IM88" s="177"/>
    </row>
    <row r="89" spans="1:247" s="190" customFormat="1" x14ac:dyDescent="0.25">
      <c r="A89" s="202"/>
      <c r="HR89" s="191"/>
      <c r="HS89" s="191"/>
      <c r="HT89" s="191"/>
      <c r="HU89" s="191"/>
      <c r="HV89" s="177"/>
      <c r="HW89" s="177"/>
      <c r="HX89" s="177"/>
      <c r="HY89" s="177"/>
      <c r="HZ89" s="177"/>
      <c r="IA89" s="177"/>
      <c r="IB89" s="177"/>
      <c r="IC89" s="177"/>
      <c r="ID89" s="177"/>
      <c r="IE89" s="177"/>
      <c r="IF89" s="177"/>
      <c r="IG89" s="177"/>
      <c r="IH89" s="177"/>
      <c r="II89" s="177"/>
      <c r="IJ89" s="177"/>
      <c r="IK89" s="177"/>
      <c r="IL89" s="177"/>
      <c r="IM89" s="177"/>
    </row>
    <row r="90" spans="1:247" s="190" customFormat="1" x14ac:dyDescent="0.25">
      <c r="A90" s="202"/>
      <c r="HR90" s="191"/>
      <c r="HS90" s="191"/>
      <c r="HT90" s="191"/>
      <c r="HU90" s="191"/>
      <c r="HV90" s="177"/>
      <c r="HW90" s="177"/>
      <c r="HX90" s="177"/>
      <c r="HY90" s="177"/>
      <c r="HZ90" s="177"/>
      <c r="IA90" s="177"/>
      <c r="IB90" s="177"/>
      <c r="IC90" s="177"/>
      <c r="ID90" s="177"/>
      <c r="IE90" s="177"/>
      <c r="IF90" s="177"/>
      <c r="IG90" s="177"/>
      <c r="IH90" s="177"/>
      <c r="II90" s="177"/>
      <c r="IJ90" s="177"/>
      <c r="IK90" s="177"/>
      <c r="IL90" s="177"/>
      <c r="IM90" s="177"/>
    </row>
    <row r="91" spans="1:247" s="190" customFormat="1" x14ac:dyDescent="0.25">
      <c r="A91" s="202"/>
      <c r="HR91" s="191"/>
      <c r="HS91" s="191"/>
      <c r="HT91" s="191"/>
      <c r="HU91" s="191"/>
      <c r="HV91" s="177"/>
      <c r="HW91" s="177"/>
      <c r="HX91" s="177"/>
      <c r="HY91" s="177"/>
      <c r="HZ91" s="177"/>
      <c r="IA91" s="177"/>
      <c r="IB91" s="177"/>
      <c r="IC91" s="177"/>
      <c r="ID91" s="177"/>
      <c r="IE91" s="177"/>
      <c r="IF91" s="177"/>
      <c r="IG91" s="177"/>
      <c r="IH91" s="177"/>
      <c r="II91" s="177"/>
      <c r="IJ91" s="177"/>
      <c r="IK91" s="177"/>
      <c r="IL91" s="177"/>
      <c r="IM91" s="177"/>
    </row>
    <row r="92" spans="1:247" s="190" customFormat="1" x14ac:dyDescent="0.25">
      <c r="A92" s="202"/>
      <c r="HR92" s="191"/>
      <c r="HS92" s="191"/>
      <c r="HT92" s="191"/>
      <c r="HU92" s="191"/>
      <c r="HV92" s="177"/>
      <c r="HW92" s="177"/>
      <c r="HX92" s="177"/>
      <c r="HY92" s="177"/>
      <c r="HZ92" s="177"/>
      <c r="IA92" s="177"/>
      <c r="IB92" s="177"/>
      <c r="IC92" s="177"/>
      <c r="ID92" s="177"/>
      <c r="IE92" s="177"/>
      <c r="IF92" s="177"/>
      <c r="IG92" s="177"/>
      <c r="IH92" s="177"/>
      <c r="II92" s="177"/>
      <c r="IJ92" s="177"/>
      <c r="IK92" s="177"/>
      <c r="IL92" s="177"/>
      <c r="IM92" s="177"/>
    </row>
    <row r="93" spans="1:247" s="190" customFormat="1" x14ac:dyDescent="0.25">
      <c r="A93" s="202"/>
      <c r="HR93" s="191"/>
      <c r="HS93" s="191"/>
      <c r="HT93" s="191"/>
      <c r="HU93" s="191"/>
      <c r="HV93" s="177"/>
      <c r="HW93" s="177"/>
      <c r="HX93" s="177"/>
      <c r="HY93" s="177"/>
      <c r="HZ93" s="177"/>
      <c r="IA93" s="177"/>
      <c r="IB93" s="177"/>
      <c r="IC93" s="177"/>
      <c r="ID93" s="177"/>
      <c r="IE93" s="177"/>
      <c r="IF93" s="177"/>
      <c r="IG93" s="177"/>
      <c r="IH93" s="177"/>
      <c r="II93" s="177"/>
      <c r="IJ93" s="177"/>
      <c r="IK93" s="177"/>
      <c r="IL93" s="177"/>
      <c r="IM93" s="177"/>
    </row>
    <row r="94" spans="1:247" s="190" customFormat="1" x14ac:dyDescent="0.25">
      <c r="A94" s="202"/>
      <c r="HR94" s="191"/>
      <c r="HS94" s="191"/>
      <c r="HT94" s="191"/>
      <c r="HU94" s="191"/>
      <c r="HV94" s="177"/>
      <c r="HW94" s="177"/>
      <c r="HX94" s="177"/>
      <c r="HY94" s="177"/>
      <c r="HZ94" s="177"/>
      <c r="IA94" s="177"/>
      <c r="IB94" s="177"/>
      <c r="IC94" s="177"/>
      <c r="ID94" s="177"/>
      <c r="IE94" s="177"/>
      <c r="IF94" s="177"/>
      <c r="IG94" s="177"/>
      <c r="IH94" s="177"/>
      <c r="II94" s="177"/>
      <c r="IJ94" s="177"/>
      <c r="IK94" s="177"/>
      <c r="IL94" s="177"/>
      <c r="IM94" s="177"/>
    </row>
    <row r="95" spans="1:247" s="190" customFormat="1" x14ac:dyDescent="0.25">
      <c r="A95" s="202"/>
      <c r="HR95" s="191"/>
      <c r="HS95" s="191"/>
      <c r="HT95" s="191"/>
      <c r="HU95" s="191"/>
      <c r="HV95" s="177"/>
      <c r="HW95" s="177"/>
      <c r="HX95" s="177"/>
      <c r="HY95" s="177"/>
      <c r="HZ95" s="177"/>
      <c r="IA95" s="177"/>
      <c r="IB95" s="177"/>
      <c r="IC95" s="177"/>
      <c r="ID95" s="177"/>
      <c r="IE95" s="177"/>
      <c r="IF95" s="177"/>
      <c r="IG95" s="177"/>
      <c r="IH95" s="177"/>
      <c r="II95" s="177"/>
      <c r="IJ95" s="177"/>
      <c r="IK95" s="177"/>
      <c r="IL95" s="177"/>
      <c r="IM95" s="177"/>
    </row>
    <row r="96" spans="1:247" s="190" customFormat="1" x14ac:dyDescent="0.25">
      <c r="A96" s="202"/>
      <c r="HR96" s="191"/>
      <c r="HS96" s="191"/>
      <c r="HT96" s="191"/>
      <c r="HU96" s="191"/>
      <c r="HV96" s="177"/>
      <c r="HW96" s="177"/>
      <c r="HX96" s="177"/>
      <c r="HY96" s="177"/>
      <c r="HZ96" s="177"/>
      <c r="IA96" s="177"/>
      <c r="IB96" s="177"/>
      <c r="IC96" s="177"/>
      <c r="ID96" s="177"/>
      <c r="IE96" s="177"/>
      <c r="IF96" s="177"/>
      <c r="IG96" s="177"/>
      <c r="IH96" s="177"/>
      <c r="II96" s="177"/>
      <c r="IJ96" s="177"/>
      <c r="IK96" s="177"/>
      <c r="IL96" s="177"/>
      <c r="IM96" s="177"/>
    </row>
    <row r="97" spans="1:247" s="190" customFormat="1" x14ac:dyDescent="0.25">
      <c r="A97" s="202"/>
      <c r="HR97" s="191"/>
      <c r="HS97" s="191"/>
      <c r="HT97" s="191"/>
      <c r="HU97" s="191"/>
      <c r="HV97" s="177"/>
      <c r="HW97" s="177"/>
      <c r="HX97" s="177"/>
      <c r="HY97" s="177"/>
      <c r="HZ97" s="177"/>
      <c r="IA97" s="177"/>
      <c r="IB97" s="177"/>
      <c r="IC97" s="177"/>
      <c r="ID97" s="177"/>
      <c r="IE97" s="177"/>
      <c r="IF97" s="177"/>
      <c r="IG97" s="177"/>
      <c r="IH97" s="177"/>
      <c r="II97" s="177"/>
      <c r="IJ97" s="177"/>
      <c r="IK97" s="177"/>
      <c r="IL97" s="177"/>
      <c r="IM97" s="177"/>
    </row>
    <row r="98" spans="1:247" s="190" customFormat="1" x14ac:dyDescent="0.25">
      <c r="A98" s="202"/>
      <c r="HR98" s="191"/>
      <c r="HS98" s="191"/>
      <c r="HT98" s="191"/>
      <c r="HU98" s="191"/>
      <c r="HV98" s="177"/>
      <c r="HW98" s="177"/>
      <c r="HX98" s="177"/>
      <c r="HY98" s="177"/>
      <c r="HZ98" s="177"/>
      <c r="IA98" s="177"/>
      <c r="IB98" s="177"/>
      <c r="IC98" s="177"/>
      <c r="ID98" s="177"/>
      <c r="IE98" s="177"/>
      <c r="IF98" s="177"/>
      <c r="IG98" s="177"/>
      <c r="IH98" s="177"/>
      <c r="II98" s="177"/>
      <c r="IJ98" s="177"/>
      <c r="IK98" s="177"/>
      <c r="IL98" s="177"/>
      <c r="IM98" s="177"/>
    </row>
    <row r="99" spans="1:247" s="190" customFormat="1" x14ac:dyDescent="0.25">
      <c r="A99" s="202"/>
      <c r="HR99" s="191"/>
      <c r="HS99" s="191"/>
      <c r="HT99" s="191"/>
      <c r="HU99" s="191"/>
      <c r="HV99" s="177"/>
      <c r="HW99" s="177"/>
      <c r="HX99" s="177"/>
      <c r="HY99" s="177"/>
      <c r="HZ99" s="177"/>
      <c r="IA99" s="177"/>
      <c r="IB99" s="177"/>
      <c r="IC99" s="177"/>
      <c r="ID99" s="177"/>
      <c r="IE99" s="177"/>
      <c r="IF99" s="177"/>
      <c r="IG99" s="177"/>
      <c r="IH99" s="177"/>
      <c r="II99" s="177"/>
      <c r="IJ99" s="177"/>
      <c r="IK99" s="177"/>
      <c r="IL99" s="177"/>
      <c r="IM99" s="177"/>
    </row>
    <row r="100" spans="1:247" s="190" customFormat="1" x14ac:dyDescent="0.25">
      <c r="A100" s="202"/>
      <c r="HR100" s="191"/>
      <c r="HS100" s="191"/>
      <c r="HT100" s="191"/>
      <c r="HU100" s="191"/>
      <c r="HV100" s="177"/>
      <c r="HW100" s="177"/>
      <c r="HX100" s="177"/>
      <c r="HY100" s="177"/>
      <c r="HZ100" s="177"/>
      <c r="IA100" s="177"/>
      <c r="IB100" s="177"/>
      <c r="IC100" s="177"/>
      <c r="ID100" s="177"/>
      <c r="IE100" s="177"/>
      <c r="IF100" s="177"/>
      <c r="IG100" s="177"/>
      <c r="IH100" s="177"/>
      <c r="II100" s="177"/>
      <c r="IJ100" s="177"/>
      <c r="IK100" s="177"/>
      <c r="IL100" s="177"/>
      <c r="IM100" s="177"/>
    </row>
    <row r="101" spans="1:247" s="190" customFormat="1" x14ac:dyDescent="0.25">
      <c r="A101" s="202"/>
      <c r="HR101" s="191"/>
      <c r="HS101" s="191"/>
      <c r="HT101" s="191"/>
      <c r="HU101" s="191"/>
      <c r="HV101" s="177"/>
      <c r="HW101" s="177"/>
      <c r="HX101" s="177"/>
      <c r="HY101" s="177"/>
      <c r="HZ101" s="177"/>
      <c r="IA101" s="177"/>
      <c r="IB101" s="177"/>
      <c r="IC101" s="177"/>
      <c r="ID101" s="177"/>
      <c r="IE101" s="177"/>
      <c r="IF101" s="177"/>
      <c r="IG101" s="177"/>
      <c r="IH101" s="177"/>
      <c r="II101" s="177"/>
      <c r="IJ101" s="177"/>
      <c r="IK101" s="177"/>
      <c r="IL101" s="177"/>
      <c r="IM101" s="177"/>
    </row>
    <row r="102" spans="1:247" s="190" customFormat="1" x14ac:dyDescent="0.25">
      <c r="A102" s="202"/>
      <c r="HR102" s="191"/>
      <c r="HS102" s="191"/>
      <c r="HT102" s="191"/>
      <c r="HU102" s="191"/>
      <c r="HV102" s="177"/>
      <c r="HW102" s="177"/>
      <c r="HX102" s="177"/>
      <c r="HY102" s="177"/>
      <c r="HZ102" s="177"/>
      <c r="IA102" s="177"/>
      <c r="IB102" s="177"/>
      <c r="IC102" s="177"/>
      <c r="ID102" s="177"/>
      <c r="IE102" s="177"/>
      <c r="IF102" s="177"/>
      <c r="IG102" s="177"/>
      <c r="IH102" s="177"/>
      <c r="II102" s="177"/>
      <c r="IJ102" s="177"/>
      <c r="IK102" s="177"/>
      <c r="IL102" s="177"/>
      <c r="IM102" s="177"/>
    </row>
    <row r="103" spans="1:247" s="190" customFormat="1" x14ac:dyDescent="0.25">
      <c r="A103" s="202"/>
      <c r="HR103" s="191"/>
      <c r="HS103" s="191"/>
      <c r="HT103" s="191"/>
      <c r="HU103" s="191"/>
      <c r="HV103" s="177"/>
      <c r="HW103" s="177"/>
      <c r="HX103" s="177"/>
      <c r="HY103" s="177"/>
      <c r="HZ103" s="177"/>
      <c r="IA103" s="177"/>
      <c r="IB103" s="177"/>
      <c r="IC103" s="177"/>
      <c r="ID103" s="177"/>
      <c r="IE103" s="177"/>
      <c r="IF103" s="177"/>
      <c r="IG103" s="177"/>
      <c r="IH103" s="177"/>
      <c r="II103" s="177"/>
      <c r="IJ103" s="177"/>
      <c r="IK103" s="177"/>
      <c r="IL103" s="177"/>
      <c r="IM103" s="177"/>
    </row>
    <row r="104" spans="1:247" s="190" customFormat="1" x14ac:dyDescent="0.25">
      <c r="A104" s="202"/>
      <c r="HR104" s="191"/>
      <c r="HS104" s="191"/>
      <c r="HT104" s="191"/>
      <c r="HU104" s="191"/>
      <c r="HV104" s="177"/>
      <c r="HW104" s="177"/>
      <c r="HX104" s="177"/>
      <c r="HY104" s="177"/>
      <c r="HZ104" s="177"/>
      <c r="IA104" s="177"/>
      <c r="IB104" s="177"/>
      <c r="IC104" s="177"/>
      <c r="ID104" s="177"/>
      <c r="IE104" s="177"/>
      <c r="IF104" s="177"/>
      <c r="IG104" s="177"/>
      <c r="IH104" s="177"/>
      <c r="II104" s="177"/>
      <c r="IJ104" s="177"/>
      <c r="IK104" s="177"/>
      <c r="IL104" s="177"/>
      <c r="IM104" s="177"/>
    </row>
    <row r="105" spans="1:247" s="190" customFormat="1" x14ac:dyDescent="0.25">
      <c r="A105" s="202"/>
      <c r="HR105" s="191"/>
      <c r="HS105" s="191"/>
      <c r="HT105" s="191"/>
      <c r="HU105" s="191"/>
      <c r="HV105" s="177"/>
      <c r="HW105" s="177"/>
      <c r="HX105" s="177"/>
      <c r="HY105" s="177"/>
      <c r="HZ105" s="177"/>
      <c r="IA105" s="177"/>
      <c r="IB105" s="177"/>
      <c r="IC105" s="177"/>
      <c r="ID105" s="177"/>
      <c r="IE105" s="177"/>
      <c r="IF105" s="177"/>
      <c r="IG105" s="177"/>
      <c r="IH105" s="177"/>
      <c r="II105" s="177"/>
      <c r="IJ105" s="177"/>
      <c r="IK105" s="177"/>
      <c r="IL105" s="177"/>
      <c r="IM105" s="177"/>
    </row>
    <row r="106" spans="1:247" s="190" customFormat="1" x14ac:dyDescent="0.25">
      <c r="A106" s="202"/>
      <c r="HR106" s="191"/>
      <c r="HS106" s="191"/>
      <c r="HT106" s="191"/>
      <c r="HU106" s="191"/>
      <c r="HV106" s="177"/>
      <c r="HW106" s="177"/>
      <c r="HX106" s="177"/>
      <c r="HY106" s="177"/>
      <c r="HZ106" s="177"/>
      <c r="IA106" s="177"/>
      <c r="IB106" s="177"/>
      <c r="IC106" s="177"/>
      <c r="ID106" s="177"/>
      <c r="IE106" s="177"/>
      <c r="IF106" s="177"/>
      <c r="IG106" s="177"/>
      <c r="IH106" s="177"/>
      <c r="II106" s="177"/>
      <c r="IJ106" s="177"/>
      <c r="IK106" s="177"/>
      <c r="IL106" s="177"/>
      <c r="IM106" s="177"/>
    </row>
    <row r="107" spans="1:247" s="190" customFormat="1" x14ac:dyDescent="0.25">
      <c r="A107" s="202"/>
      <c r="HR107" s="191"/>
      <c r="HS107" s="191"/>
      <c r="HT107" s="191"/>
      <c r="HU107" s="191"/>
      <c r="HV107" s="177"/>
      <c r="HW107" s="177"/>
      <c r="HX107" s="177"/>
      <c r="HY107" s="177"/>
      <c r="HZ107" s="177"/>
      <c r="IA107" s="177"/>
      <c r="IB107" s="177"/>
      <c r="IC107" s="177"/>
      <c r="ID107" s="177"/>
      <c r="IE107" s="177"/>
      <c r="IF107" s="177"/>
      <c r="IG107" s="177"/>
      <c r="IH107" s="177"/>
      <c r="II107" s="177"/>
      <c r="IJ107" s="177"/>
      <c r="IK107" s="177"/>
      <c r="IL107" s="177"/>
      <c r="IM107" s="177"/>
    </row>
    <row r="108" spans="1:247" s="190" customFormat="1" x14ac:dyDescent="0.25">
      <c r="A108" s="202"/>
      <c r="HR108" s="191"/>
      <c r="HS108" s="191"/>
      <c r="HT108" s="191"/>
      <c r="HU108" s="191"/>
      <c r="HV108" s="177"/>
      <c r="HW108" s="177"/>
      <c r="HX108" s="177"/>
      <c r="HY108" s="177"/>
      <c r="HZ108" s="177"/>
      <c r="IA108" s="177"/>
      <c r="IB108" s="177"/>
      <c r="IC108" s="177"/>
      <c r="ID108" s="177"/>
      <c r="IE108" s="177"/>
      <c r="IF108" s="177"/>
      <c r="IG108" s="177"/>
      <c r="IH108" s="177"/>
      <c r="II108" s="177"/>
      <c r="IJ108" s="177"/>
      <c r="IK108" s="177"/>
      <c r="IL108" s="177"/>
      <c r="IM108" s="177"/>
    </row>
    <row r="109" spans="1:247" s="190" customFormat="1" x14ac:dyDescent="0.25">
      <c r="A109" s="202"/>
      <c r="HR109" s="191"/>
      <c r="HS109" s="191"/>
      <c r="HT109" s="191"/>
      <c r="HU109" s="191"/>
      <c r="HV109" s="177"/>
      <c r="HW109" s="177"/>
      <c r="HX109" s="177"/>
      <c r="HY109" s="177"/>
      <c r="HZ109" s="177"/>
      <c r="IA109" s="177"/>
      <c r="IB109" s="177"/>
      <c r="IC109" s="177"/>
      <c r="ID109" s="177"/>
      <c r="IE109" s="177"/>
      <c r="IF109" s="177"/>
      <c r="IG109" s="177"/>
      <c r="IH109" s="177"/>
      <c r="II109" s="177"/>
      <c r="IJ109" s="177"/>
      <c r="IK109" s="177"/>
      <c r="IL109" s="177"/>
      <c r="IM109" s="177"/>
    </row>
    <row r="110" spans="1:247" s="190" customFormat="1" x14ac:dyDescent="0.25">
      <c r="A110" s="202"/>
      <c r="HR110" s="191"/>
      <c r="HS110" s="191"/>
      <c r="HT110" s="191"/>
      <c r="HU110" s="191"/>
      <c r="HV110" s="177"/>
      <c r="HW110" s="177"/>
      <c r="HX110" s="177"/>
      <c r="HY110" s="177"/>
      <c r="HZ110" s="177"/>
      <c r="IA110" s="177"/>
      <c r="IB110" s="177"/>
      <c r="IC110" s="177"/>
      <c r="ID110" s="177"/>
      <c r="IE110" s="177"/>
      <c r="IF110" s="177"/>
      <c r="IG110" s="177"/>
      <c r="IH110" s="177"/>
      <c r="II110" s="177"/>
      <c r="IJ110" s="177"/>
      <c r="IK110" s="177"/>
      <c r="IL110" s="177"/>
      <c r="IM110" s="177"/>
    </row>
    <row r="111" spans="1:247" s="190" customFormat="1" x14ac:dyDescent="0.25">
      <c r="A111" s="202"/>
      <c r="HR111" s="191"/>
      <c r="HS111" s="191"/>
      <c r="HT111" s="191"/>
      <c r="HU111" s="191"/>
      <c r="HV111" s="177"/>
      <c r="HW111" s="177"/>
      <c r="HX111" s="177"/>
      <c r="HY111" s="177"/>
      <c r="HZ111" s="177"/>
      <c r="IA111" s="177"/>
      <c r="IB111" s="177"/>
      <c r="IC111" s="177"/>
      <c r="ID111" s="177"/>
      <c r="IE111" s="177"/>
      <c r="IF111" s="177"/>
      <c r="IG111" s="177"/>
      <c r="IH111" s="177"/>
      <c r="II111" s="177"/>
      <c r="IJ111" s="177"/>
      <c r="IK111" s="177"/>
      <c r="IL111" s="177"/>
      <c r="IM111" s="177"/>
    </row>
    <row r="112" spans="1:247" s="190" customFormat="1" x14ac:dyDescent="0.25">
      <c r="A112" s="202"/>
      <c r="HR112" s="191"/>
      <c r="HS112" s="191"/>
      <c r="HT112" s="191"/>
      <c r="HU112" s="191"/>
      <c r="HV112" s="177"/>
      <c r="HW112" s="177"/>
      <c r="HX112" s="177"/>
      <c r="HY112" s="177"/>
      <c r="HZ112" s="177"/>
      <c r="IA112" s="177"/>
      <c r="IB112" s="177"/>
      <c r="IC112" s="177"/>
      <c r="ID112" s="177"/>
      <c r="IE112" s="177"/>
      <c r="IF112" s="177"/>
      <c r="IG112" s="177"/>
      <c r="IH112" s="177"/>
      <c r="II112" s="177"/>
      <c r="IJ112" s="177"/>
      <c r="IK112" s="177"/>
      <c r="IL112" s="177"/>
      <c r="IM112" s="177"/>
    </row>
    <row r="113" spans="1:247" s="190" customFormat="1" x14ac:dyDescent="0.25">
      <c r="A113" s="202"/>
      <c r="HR113" s="191"/>
      <c r="HS113" s="191"/>
      <c r="HT113" s="191"/>
      <c r="HU113" s="191"/>
      <c r="HV113" s="177"/>
      <c r="HW113" s="177"/>
      <c r="HX113" s="177"/>
      <c r="HY113" s="177"/>
      <c r="HZ113" s="177"/>
      <c r="IA113" s="177"/>
      <c r="IB113" s="177"/>
      <c r="IC113" s="177"/>
      <c r="ID113" s="177"/>
      <c r="IE113" s="177"/>
      <c r="IF113" s="177"/>
      <c r="IG113" s="177"/>
      <c r="IH113" s="177"/>
      <c r="II113" s="177"/>
      <c r="IJ113" s="177"/>
      <c r="IK113" s="177"/>
      <c r="IL113" s="177"/>
      <c r="IM113" s="177"/>
    </row>
    <row r="114" spans="1:247" s="190" customFormat="1" x14ac:dyDescent="0.25">
      <c r="A114" s="202"/>
      <c r="HR114" s="191"/>
      <c r="HS114" s="191"/>
      <c r="HT114" s="191"/>
      <c r="HU114" s="191"/>
      <c r="HV114" s="177"/>
      <c r="HW114" s="177"/>
      <c r="HX114" s="177"/>
      <c r="HY114" s="177"/>
      <c r="HZ114" s="177"/>
      <c r="IA114" s="177"/>
      <c r="IB114" s="177"/>
      <c r="IC114" s="177"/>
      <c r="ID114" s="177"/>
      <c r="IE114" s="177"/>
      <c r="IF114" s="177"/>
      <c r="IG114" s="177"/>
      <c r="IH114" s="177"/>
      <c r="II114" s="177"/>
      <c r="IJ114" s="177"/>
      <c r="IK114" s="177"/>
      <c r="IL114" s="177"/>
      <c r="IM114" s="177"/>
    </row>
    <row r="115" spans="1:247" s="190" customFormat="1" x14ac:dyDescent="0.25">
      <c r="A115" s="202"/>
      <c r="HR115" s="191"/>
      <c r="HS115" s="191"/>
      <c r="HT115" s="191"/>
      <c r="HU115" s="191"/>
      <c r="HV115" s="177"/>
      <c r="HW115" s="177"/>
      <c r="HX115" s="177"/>
      <c r="HY115" s="177"/>
      <c r="HZ115" s="177"/>
      <c r="IA115" s="177"/>
      <c r="IB115" s="177"/>
      <c r="IC115" s="177"/>
      <c r="ID115" s="177"/>
      <c r="IE115" s="177"/>
      <c r="IF115" s="177"/>
      <c r="IG115" s="177"/>
      <c r="IH115" s="177"/>
      <c r="II115" s="177"/>
      <c r="IJ115" s="177"/>
      <c r="IK115" s="177"/>
      <c r="IL115" s="177"/>
      <c r="IM115" s="177"/>
    </row>
    <row r="116" spans="1:247" s="190" customFormat="1" x14ac:dyDescent="0.25">
      <c r="A116" s="202"/>
      <c r="HR116" s="191"/>
      <c r="HS116" s="191"/>
      <c r="HT116" s="191"/>
      <c r="HU116" s="191"/>
      <c r="HV116" s="177"/>
      <c r="HW116" s="177"/>
      <c r="HX116" s="177"/>
      <c r="HY116" s="177"/>
      <c r="HZ116" s="177"/>
      <c r="IA116" s="177"/>
      <c r="IB116" s="177"/>
      <c r="IC116" s="177"/>
      <c r="ID116" s="177"/>
      <c r="IE116" s="177"/>
      <c r="IF116" s="177"/>
      <c r="IG116" s="177"/>
      <c r="IH116" s="177"/>
      <c r="II116" s="177"/>
      <c r="IJ116" s="177"/>
      <c r="IK116" s="177"/>
      <c r="IL116" s="177"/>
      <c r="IM116" s="177"/>
    </row>
    <row r="117" spans="1:247" s="190" customFormat="1" x14ac:dyDescent="0.25">
      <c r="A117" s="202"/>
      <c r="HR117" s="191"/>
      <c r="HS117" s="191"/>
      <c r="HT117" s="191"/>
      <c r="HU117" s="191"/>
      <c r="HV117" s="177"/>
      <c r="HW117" s="177"/>
      <c r="HX117" s="177"/>
      <c r="HY117" s="177"/>
      <c r="HZ117" s="177"/>
      <c r="IA117" s="177"/>
      <c r="IB117" s="177"/>
      <c r="IC117" s="177"/>
      <c r="ID117" s="177"/>
      <c r="IE117" s="177"/>
      <c r="IF117" s="177"/>
      <c r="IG117" s="177"/>
      <c r="IH117" s="177"/>
      <c r="II117" s="177"/>
      <c r="IJ117" s="177"/>
      <c r="IK117" s="177"/>
      <c r="IL117" s="177"/>
      <c r="IM117" s="177"/>
    </row>
    <row r="118" spans="1:247" s="190" customFormat="1" x14ac:dyDescent="0.25">
      <c r="A118" s="202"/>
      <c r="HR118" s="191"/>
      <c r="HS118" s="191"/>
      <c r="HT118" s="191"/>
      <c r="HU118" s="191"/>
      <c r="HV118" s="177"/>
      <c r="HW118" s="177"/>
      <c r="HX118" s="177"/>
      <c r="HY118" s="177"/>
      <c r="HZ118" s="177"/>
      <c r="IA118" s="177"/>
      <c r="IB118" s="177"/>
      <c r="IC118" s="177"/>
      <c r="ID118" s="177"/>
      <c r="IE118" s="177"/>
      <c r="IF118" s="177"/>
      <c r="IG118" s="177"/>
      <c r="IH118" s="177"/>
      <c r="II118" s="177"/>
      <c r="IJ118" s="177"/>
      <c r="IK118" s="177"/>
      <c r="IL118" s="177"/>
      <c r="IM118" s="177"/>
    </row>
    <row r="119" spans="1:247" s="190" customFormat="1" x14ac:dyDescent="0.25">
      <c r="A119" s="202"/>
      <c r="HR119" s="191"/>
      <c r="HS119" s="191"/>
      <c r="HT119" s="191"/>
      <c r="HU119" s="191"/>
      <c r="HV119" s="177"/>
      <c r="HW119" s="177"/>
      <c r="HX119" s="177"/>
      <c r="HY119" s="177"/>
      <c r="HZ119" s="177"/>
      <c r="IA119" s="177"/>
      <c r="IB119" s="177"/>
      <c r="IC119" s="177"/>
      <c r="ID119" s="177"/>
      <c r="IE119" s="177"/>
      <c r="IF119" s="177"/>
      <c r="IG119" s="177"/>
      <c r="IH119" s="177"/>
      <c r="II119" s="177"/>
      <c r="IJ119" s="177"/>
      <c r="IK119" s="177"/>
      <c r="IL119" s="177"/>
      <c r="IM119" s="177"/>
    </row>
    <row r="120" spans="1:247" s="190" customFormat="1" x14ac:dyDescent="0.25">
      <c r="A120" s="202"/>
      <c r="HR120" s="191"/>
      <c r="HS120" s="191"/>
      <c r="HT120" s="191"/>
      <c r="HU120" s="191"/>
      <c r="HV120" s="177"/>
      <c r="HW120" s="177"/>
      <c r="HX120" s="177"/>
      <c r="HY120" s="177"/>
      <c r="HZ120" s="177"/>
      <c r="IA120" s="177"/>
      <c r="IB120" s="177"/>
      <c r="IC120" s="177"/>
      <c r="ID120" s="177"/>
      <c r="IE120" s="177"/>
      <c r="IF120" s="177"/>
      <c r="IG120" s="177"/>
      <c r="IH120" s="177"/>
      <c r="II120" s="177"/>
      <c r="IJ120" s="177"/>
      <c r="IK120" s="177"/>
      <c r="IL120" s="177"/>
      <c r="IM120" s="177"/>
    </row>
    <row r="121" spans="1:247" s="190" customFormat="1" x14ac:dyDescent="0.25">
      <c r="A121" s="202"/>
      <c r="HR121" s="191"/>
      <c r="HS121" s="191"/>
      <c r="HT121" s="191"/>
      <c r="HU121" s="191"/>
      <c r="HV121" s="177"/>
      <c r="HW121" s="177"/>
      <c r="HX121" s="177"/>
      <c r="HY121" s="177"/>
      <c r="HZ121" s="177"/>
      <c r="IA121" s="177"/>
      <c r="IB121" s="177"/>
      <c r="IC121" s="177"/>
      <c r="ID121" s="177"/>
      <c r="IE121" s="177"/>
      <c r="IF121" s="177"/>
      <c r="IG121" s="177"/>
      <c r="IH121" s="177"/>
      <c r="II121" s="177"/>
      <c r="IJ121" s="177"/>
      <c r="IK121" s="177"/>
      <c r="IL121" s="177"/>
      <c r="IM121" s="177"/>
    </row>
    <row r="122" spans="1:247" s="190" customFormat="1" x14ac:dyDescent="0.25">
      <c r="A122" s="202"/>
      <c r="HR122" s="191"/>
      <c r="HS122" s="191"/>
      <c r="HT122" s="191"/>
      <c r="HU122" s="191"/>
      <c r="HV122" s="177"/>
      <c r="HW122" s="177"/>
      <c r="HX122" s="177"/>
      <c r="HY122" s="177"/>
      <c r="HZ122" s="177"/>
      <c r="IA122" s="177"/>
      <c r="IB122" s="177"/>
      <c r="IC122" s="177"/>
      <c r="ID122" s="177"/>
      <c r="IE122" s="177"/>
      <c r="IF122" s="177"/>
      <c r="IG122" s="177"/>
      <c r="IH122" s="177"/>
      <c r="II122" s="177"/>
      <c r="IJ122" s="177"/>
      <c r="IK122" s="177"/>
      <c r="IL122" s="177"/>
      <c r="IM122" s="177"/>
    </row>
    <row r="123" spans="1:247" s="190" customFormat="1" x14ac:dyDescent="0.25">
      <c r="A123" s="202"/>
      <c r="HR123" s="191"/>
      <c r="HS123" s="191"/>
      <c r="HT123" s="191"/>
      <c r="HU123" s="191"/>
      <c r="HV123" s="177"/>
      <c r="HW123" s="177"/>
      <c r="HX123" s="177"/>
      <c r="HY123" s="177"/>
      <c r="HZ123" s="177"/>
      <c r="IA123" s="177"/>
      <c r="IB123" s="177"/>
      <c r="IC123" s="177"/>
      <c r="ID123" s="177"/>
      <c r="IE123" s="177"/>
      <c r="IF123" s="177"/>
      <c r="IG123" s="177"/>
      <c r="IH123" s="177"/>
      <c r="II123" s="177"/>
      <c r="IJ123" s="177"/>
      <c r="IK123" s="177"/>
      <c r="IL123" s="177"/>
      <c r="IM123" s="177"/>
    </row>
    <row r="124" spans="1:247" s="190" customFormat="1" x14ac:dyDescent="0.25">
      <c r="A124" s="202"/>
      <c r="HR124" s="191"/>
      <c r="HS124" s="191"/>
      <c r="HT124" s="191"/>
      <c r="HU124" s="191"/>
      <c r="HV124" s="177"/>
      <c r="HW124" s="177"/>
      <c r="HX124" s="177"/>
      <c r="HY124" s="177"/>
      <c r="HZ124" s="177"/>
      <c r="IA124" s="177"/>
      <c r="IB124" s="177"/>
      <c r="IC124" s="177"/>
      <c r="ID124" s="177"/>
      <c r="IE124" s="177"/>
      <c r="IF124" s="177"/>
      <c r="IG124" s="177"/>
      <c r="IH124" s="177"/>
      <c r="II124" s="177"/>
      <c r="IJ124" s="177"/>
      <c r="IK124" s="177"/>
      <c r="IL124" s="177"/>
      <c r="IM124" s="177"/>
    </row>
    <row r="125" spans="1:247" s="190" customFormat="1" x14ac:dyDescent="0.25">
      <c r="A125" s="202"/>
      <c r="HR125" s="191"/>
      <c r="HS125" s="191"/>
      <c r="HT125" s="191"/>
      <c r="HU125" s="191"/>
      <c r="HV125" s="177"/>
      <c r="HW125" s="177"/>
      <c r="HX125" s="177"/>
      <c r="HY125" s="177"/>
      <c r="HZ125" s="177"/>
      <c r="IA125" s="177"/>
      <c r="IB125" s="177"/>
      <c r="IC125" s="177"/>
      <c r="ID125" s="177"/>
      <c r="IE125" s="177"/>
      <c r="IF125" s="177"/>
      <c r="IG125" s="177"/>
      <c r="IH125" s="177"/>
      <c r="II125" s="177"/>
      <c r="IJ125" s="177"/>
      <c r="IK125" s="177"/>
      <c r="IL125" s="177"/>
      <c r="IM125" s="177"/>
    </row>
    <row r="126" spans="1:247" s="190" customFormat="1" x14ac:dyDescent="0.25">
      <c r="A126" s="202"/>
      <c r="HR126" s="191"/>
      <c r="HS126" s="191"/>
      <c r="HT126" s="191"/>
      <c r="HU126" s="191"/>
      <c r="HV126" s="177"/>
      <c r="HW126" s="177"/>
      <c r="HX126" s="177"/>
      <c r="HY126" s="177"/>
      <c r="HZ126" s="177"/>
      <c r="IA126" s="177"/>
      <c r="IB126" s="177"/>
      <c r="IC126" s="177"/>
      <c r="ID126" s="177"/>
      <c r="IE126" s="177"/>
      <c r="IF126" s="177"/>
      <c r="IG126" s="177"/>
      <c r="IH126" s="177"/>
      <c r="II126" s="177"/>
      <c r="IJ126" s="177"/>
      <c r="IK126" s="177"/>
      <c r="IL126" s="177"/>
      <c r="IM126" s="177"/>
    </row>
    <row r="127" spans="1:247" s="190" customFormat="1" x14ac:dyDescent="0.25">
      <c r="A127" s="202"/>
      <c r="HR127" s="191"/>
      <c r="HS127" s="191"/>
      <c r="HT127" s="191"/>
      <c r="HU127" s="191"/>
      <c r="HV127" s="177"/>
      <c r="HW127" s="177"/>
      <c r="HX127" s="177"/>
      <c r="HY127" s="177"/>
      <c r="HZ127" s="177"/>
      <c r="IA127" s="177"/>
      <c r="IB127" s="177"/>
      <c r="IC127" s="177"/>
      <c r="ID127" s="177"/>
      <c r="IE127" s="177"/>
      <c r="IF127" s="177"/>
      <c r="IG127" s="177"/>
      <c r="IH127" s="177"/>
      <c r="II127" s="177"/>
      <c r="IJ127" s="177"/>
      <c r="IK127" s="177"/>
      <c r="IL127" s="177"/>
      <c r="IM127" s="177"/>
    </row>
    <row r="128" spans="1:247" s="190" customFormat="1" x14ac:dyDescent="0.25">
      <c r="A128" s="202"/>
      <c r="HR128" s="191"/>
      <c r="HS128" s="191"/>
      <c r="HT128" s="191"/>
      <c r="HU128" s="191"/>
      <c r="HV128" s="177"/>
      <c r="HW128" s="177"/>
      <c r="HX128" s="177"/>
      <c r="HY128" s="177"/>
      <c r="HZ128" s="177"/>
      <c r="IA128" s="177"/>
      <c r="IB128" s="177"/>
      <c r="IC128" s="177"/>
      <c r="ID128" s="177"/>
      <c r="IE128" s="177"/>
      <c r="IF128" s="177"/>
      <c r="IG128" s="177"/>
      <c r="IH128" s="177"/>
      <c r="II128" s="177"/>
      <c r="IJ128" s="177"/>
      <c r="IK128" s="177"/>
      <c r="IL128" s="177"/>
      <c r="IM128" s="177"/>
    </row>
    <row r="129" spans="1:247" s="190" customFormat="1" x14ac:dyDescent="0.25">
      <c r="A129" s="202"/>
      <c r="HR129" s="191"/>
      <c r="HS129" s="191"/>
      <c r="HT129" s="191"/>
      <c r="HU129" s="191"/>
      <c r="HV129" s="177"/>
      <c r="HW129" s="177"/>
      <c r="HX129" s="177"/>
      <c r="HY129" s="177"/>
      <c r="HZ129" s="177"/>
      <c r="IA129" s="177"/>
      <c r="IB129" s="177"/>
      <c r="IC129" s="177"/>
      <c r="ID129" s="177"/>
      <c r="IE129" s="177"/>
      <c r="IF129" s="177"/>
      <c r="IG129" s="177"/>
      <c r="IH129" s="177"/>
      <c r="II129" s="177"/>
      <c r="IJ129" s="177"/>
      <c r="IK129" s="177"/>
      <c r="IL129" s="177"/>
      <c r="IM129" s="177"/>
    </row>
    <row r="130" spans="1:247" s="190" customFormat="1" x14ac:dyDescent="0.25">
      <c r="A130" s="202"/>
      <c r="HR130" s="191"/>
      <c r="HS130" s="191"/>
      <c r="HT130" s="191"/>
      <c r="HU130" s="191"/>
      <c r="HV130" s="177"/>
      <c r="HW130" s="177"/>
      <c r="HX130" s="177"/>
      <c r="HY130" s="177"/>
      <c r="HZ130" s="177"/>
      <c r="IA130" s="177"/>
      <c r="IB130" s="177"/>
      <c r="IC130" s="177"/>
      <c r="ID130" s="177"/>
      <c r="IE130" s="177"/>
      <c r="IF130" s="177"/>
      <c r="IG130" s="177"/>
      <c r="IH130" s="177"/>
      <c r="II130" s="177"/>
      <c r="IJ130" s="177"/>
      <c r="IK130" s="177"/>
      <c r="IL130" s="177"/>
      <c r="IM130" s="177"/>
    </row>
    <row r="131" spans="1:247" s="190" customFormat="1" x14ac:dyDescent="0.25">
      <c r="A131" s="202"/>
      <c r="HR131" s="191"/>
      <c r="HS131" s="191"/>
      <c r="HT131" s="191"/>
      <c r="HU131" s="191"/>
      <c r="HV131" s="177"/>
      <c r="HW131" s="177"/>
      <c r="HX131" s="177"/>
      <c r="HY131" s="177"/>
      <c r="HZ131" s="177"/>
      <c r="IA131" s="177"/>
      <c r="IB131" s="177"/>
      <c r="IC131" s="177"/>
      <c r="ID131" s="177"/>
      <c r="IE131" s="177"/>
      <c r="IF131" s="177"/>
      <c r="IG131" s="177"/>
      <c r="IH131" s="177"/>
      <c r="II131" s="177"/>
      <c r="IJ131" s="177"/>
      <c r="IK131" s="177"/>
      <c r="IL131" s="177"/>
      <c r="IM131" s="177"/>
    </row>
    <row r="132" spans="1:247" s="190" customFormat="1" x14ac:dyDescent="0.25">
      <c r="A132" s="202"/>
      <c r="HR132" s="191"/>
      <c r="HS132" s="191"/>
      <c r="HT132" s="191"/>
      <c r="HU132" s="191"/>
      <c r="HV132" s="177"/>
      <c r="HW132" s="177"/>
      <c r="HX132" s="177"/>
      <c r="HY132" s="177"/>
      <c r="HZ132" s="177"/>
      <c r="IA132" s="177"/>
      <c r="IB132" s="177"/>
      <c r="IC132" s="177"/>
      <c r="ID132" s="177"/>
      <c r="IE132" s="177"/>
      <c r="IF132" s="177"/>
      <c r="IG132" s="177"/>
      <c r="IH132" s="177"/>
      <c r="II132" s="177"/>
      <c r="IJ132" s="177"/>
      <c r="IK132" s="177"/>
      <c r="IL132" s="177"/>
      <c r="IM132" s="177"/>
    </row>
    <row r="133" spans="1:247" s="190" customFormat="1" x14ac:dyDescent="0.25">
      <c r="A133" s="202"/>
      <c r="HR133" s="191"/>
      <c r="HS133" s="191"/>
      <c r="HT133" s="191"/>
      <c r="HU133" s="191"/>
      <c r="HV133" s="177"/>
      <c r="HW133" s="177"/>
      <c r="HX133" s="177"/>
      <c r="HY133" s="177"/>
      <c r="HZ133" s="177"/>
      <c r="IA133" s="177"/>
      <c r="IB133" s="177"/>
      <c r="IC133" s="177"/>
      <c r="ID133" s="177"/>
      <c r="IE133" s="177"/>
      <c r="IF133" s="177"/>
      <c r="IG133" s="177"/>
      <c r="IH133" s="177"/>
      <c r="II133" s="177"/>
      <c r="IJ133" s="177"/>
      <c r="IK133" s="177"/>
      <c r="IL133" s="177"/>
      <c r="IM133" s="177"/>
    </row>
    <row r="134" spans="1:247" s="190" customFormat="1" x14ac:dyDescent="0.25">
      <c r="A134" s="202"/>
      <c r="HR134" s="191"/>
      <c r="HS134" s="191"/>
      <c r="HT134" s="191"/>
      <c r="HU134" s="191"/>
      <c r="HV134" s="177"/>
      <c r="HW134" s="177"/>
      <c r="HX134" s="177"/>
      <c r="HY134" s="177"/>
      <c r="HZ134" s="177"/>
      <c r="IA134" s="177"/>
      <c r="IB134" s="177"/>
      <c r="IC134" s="177"/>
      <c r="ID134" s="177"/>
      <c r="IE134" s="177"/>
      <c r="IF134" s="177"/>
      <c r="IG134" s="177"/>
      <c r="IH134" s="177"/>
      <c r="II134" s="177"/>
      <c r="IJ134" s="177"/>
      <c r="IK134" s="177"/>
      <c r="IL134" s="177"/>
      <c r="IM134" s="177"/>
    </row>
    <row r="135" spans="1:247" s="190" customFormat="1" x14ac:dyDescent="0.25">
      <c r="A135" s="202"/>
      <c r="HR135" s="191"/>
      <c r="HS135" s="191"/>
      <c r="HT135" s="191"/>
      <c r="HU135" s="191"/>
      <c r="HV135" s="177"/>
      <c r="HW135" s="177"/>
      <c r="HX135" s="177"/>
      <c r="HY135" s="177"/>
      <c r="HZ135" s="177"/>
      <c r="IA135" s="177"/>
      <c r="IB135" s="177"/>
      <c r="IC135" s="177"/>
      <c r="ID135" s="177"/>
      <c r="IE135" s="177"/>
      <c r="IF135" s="177"/>
      <c r="IG135" s="177"/>
      <c r="IH135" s="177"/>
      <c r="II135" s="177"/>
      <c r="IJ135" s="177"/>
      <c r="IK135" s="177"/>
      <c r="IL135" s="177"/>
      <c r="IM135" s="177"/>
    </row>
    <row r="136" spans="1:247" s="190" customFormat="1" x14ac:dyDescent="0.25">
      <c r="A136" s="202"/>
      <c r="HR136" s="191"/>
      <c r="HS136" s="191"/>
      <c r="HT136" s="191"/>
      <c r="HU136" s="191"/>
      <c r="HV136" s="177"/>
      <c r="HW136" s="177"/>
      <c r="HX136" s="177"/>
      <c r="HY136" s="177"/>
      <c r="HZ136" s="177"/>
      <c r="IA136" s="177"/>
      <c r="IB136" s="177"/>
      <c r="IC136" s="177"/>
      <c r="ID136" s="177"/>
      <c r="IE136" s="177"/>
      <c r="IF136" s="177"/>
      <c r="IG136" s="177"/>
      <c r="IH136" s="177"/>
      <c r="II136" s="177"/>
      <c r="IJ136" s="177"/>
      <c r="IK136" s="177"/>
      <c r="IL136" s="177"/>
      <c r="IM136" s="177"/>
    </row>
    <row r="137" spans="1:247" s="190" customFormat="1" x14ac:dyDescent="0.25">
      <c r="A137" s="202"/>
      <c r="HR137" s="191"/>
      <c r="HS137" s="191"/>
      <c r="HT137" s="191"/>
      <c r="HU137" s="191"/>
      <c r="HV137" s="177"/>
      <c r="HW137" s="177"/>
      <c r="HX137" s="177"/>
      <c r="HY137" s="177"/>
      <c r="HZ137" s="177"/>
      <c r="IA137" s="177"/>
      <c r="IB137" s="177"/>
      <c r="IC137" s="177"/>
      <c r="ID137" s="177"/>
      <c r="IE137" s="177"/>
      <c r="IF137" s="177"/>
      <c r="IG137" s="177"/>
      <c r="IH137" s="177"/>
      <c r="II137" s="177"/>
      <c r="IJ137" s="177"/>
      <c r="IK137" s="177"/>
      <c r="IL137" s="177"/>
      <c r="IM137" s="177"/>
    </row>
    <row r="138" spans="1:247" s="190" customFormat="1" x14ac:dyDescent="0.25">
      <c r="A138" s="202"/>
      <c r="HR138" s="191"/>
      <c r="HS138" s="191"/>
      <c r="HT138" s="191"/>
      <c r="HU138" s="191"/>
      <c r="HV138" s="177"/>
      <c r="HW138" s="177"/>
      <c r="HX138" s="177"/>
      <c r="HY138" s="177"/>
      <c r="HZ138" s="177"/>
      <c r="IA138" s="177"/>
      <c r="IB138" s="177"/>
      <c r="IC138" s="177"/>
      <c r="ID138" s="177"/>
      <c r="IE138" s="177"/>
      <c r="IF138" s="177"/>
      <c r="IG138" s="177"/>
      <c r="IH138" s="177"/>
      <c r="II138" s="177"/>
      <c r="IJ138" s="177"/>
      <c r="IK138" s="177"/>
      <c r="IL138" s="177"/>
      <c r="IM138" s="177"/>
    </row>
    <row r="139" spans="1:247" s="190" customFormat="1" x14ac:dyDescent="0.25">
      <c r="A139" s="202"/>
      <c r="HR139" s="191"/>
      <c r="HS139" s="191"/>
      <c r="HT139" s="191"/>
      <c r="HU139" s="191"/>
      <c r="HV139" s="177"/>
      <c r="HW139" s="177"/>
      <c r="HX139" s="177"/>
      <c r="HY139" s="177"/>
      <c r="HZ139" s="177"/>
      <c r="IA139" s="177"/>
      <c r="IB139" s="177"/>
      <c r="IC139" s="177"/>
      <c r="ID139" s="177"/>
      <c r="IE139" s="177"/>
      <c r="IF139" s="177"/>
      <c r="IG139" s="177"/>
      <c r="IH139" s="177"/>
      <c r="II139" s="177"/>
      <c r="IJ139" s="177"/>
      <c r="IK139" s="177"/>
      <c r="IL139" s="177"/>
      <c r="IM139" s="177"/>
    </row>
    <row r="140" spans="1:247" s="190" customFormat="1" x14ac:dyDescent="0.25">
      <c r="A140" s="202"/>
      <c r="HR140" s="191"/>
      <c r="HS140" s="191"/>
      <c r="HT140" s="191"/>
      <c r="HU140" s="191"/>
      <c r="HV140" s="177"/>
      <c r="HW140" s="177"/>
      <c r="HX140" s="177"/>
      <c r="HY140" s="177"/>
      <c r="HZ140" s="177"/>
      <c r="IA140" s="177"/>
      <c r="IB140" s="177"/>
      <c r="IC140" s="177"/>
      <c r="ID140" s="177"/>
      <c r="IE140" s="177"/>
      <c r="IF140" s="177"/>
      <c r="IG140" s="177"/>
      <c r="IH140" s="177"/>
      <c r="II140" s="177"/>
      <c r="IJ140" s="177"/>
      <c r="IK140" s="177"/>
      <c r="IL140" s="177"/>
      <c r="IM140" s="177"/>
    </row>
    <row r="141" spans="1:247" s="190" customFormat="1" x14ac:dyDescent="0.25">
      <c r="A141" s="202"/>
      <c r="HR141" s="191"/>
      <c r="HS141" s="191"/>
      <c r="HT141" s="191"/>
      <c r="HU141" s="191"/>
      <c r="HV141" s="177"/>
      <c r="HW141" s="177"/>
      <c r="HX141" s="177"/>
      <c r="HY141" s="177"/>
      <c r="HZ141" s="177"/>
      <c r="IA141" s="177"/>
      <c r="IB141" s="177"/>
      <c r="IC141" s="177"/>
      <c r="ID141" s="177"/>
      <c r="IE141" s="177"/>
      <c r="IF141" s="177"/>
      <c r="IG141" s="177"/>
      <c r="IH141" s="177"/>
      <c r="II141" s="177"/>
      <c r="IJ141" s="177"/>
      <c r="IK141" s="177"/>
      <c r="IL141" s="177"/>
      <c r="IM141" s="177"/>
    </row>
    <row r="142" spans="1:247" s="190" customFormat="1" x14ac:dyDescent="0.25">
      <c r="A142" s="202"/>
      <c r="HR142" s="191"/>
      <c r="HS142" s="191"/>
      <c r="HT142" s="191"/>
      <c r="HU142" s="191"/>
      <c r="HV142" s="177"/>
      <c r="HW142" s="177"/>
      <c r="HX142" s="177"/>
      <c r="HY142" s="177"/>
      <c r="HZ142" s="177"/>
      <c r="IA142" s="177"/>
      <c r="IB142" s="177"/>
      <c r="IC142" s="177"/>
      <c r="ID142" s="177"/>
      <c r="IE142" s="177"/>
      <c r="IF142" s="177"/>
      <c r="IG142" s="177"/>
      <c r="IH142" s="177"/>
      <c r="II142" s="177"/>
      <c r="IJ142" s="177"/>
      <c r="IK142" s="177"/>
      <c r="IL142" s="177"/>
      <c r="IM142" s="177"/>
    </row>
    <row r="143" spans="1:247" s="190" customFormat="1" x14ac:dyDescent="0.25">
      <c r="A143" s="202"/>
      <c r="HR143" s="191"/>
      <c r="HS143" s="191"/>
      <c r="HT143" s="191"/>
      <c r="HU143" s="191"/>
      <c r="HV143" s="177"/>
      <c r="HW143" s="177"/>
      <c r="HX143" s="177"/>
      <c r="HY143" s="177"/>
      <c r="HZ143" s="177"/>
      <c r="IA143" s="177"/>
      <c r="IB143" s="177"/>
      <c r="IC143" s="177"/>
      <c r="ID143" s="177"/>
      <c r="IE143" s="177"/>
      <c r="IF143" s="177"/>
      <c r="IG143" s="177"/>
      <c r="IH143" s="177"/>
      <c r="II143" s="177"/>
      <c r="IJ143" s="177"/>
      <c r="IK143" s="177"/>
      <c r="IL143" s="177"/>
      <c r="IM143" s="177"/>
    </row>
    <row r="144" spans="1:247" s="190" customFormat="1" x14ac:dyDescent="0.25">
      <c r="A144" s="202"/>
      <c r="HR144" s="191"/>
      <c r="HS144" s="191"/>
      <c r="HT144" s="191"/>
      <c r="HU144" s="191"/>
      <c r="HV144" s="177"/>
      <c r="HW144" s="177"/>
      <c r="HX144" s="177"/>
      <c r="HY144" s="177"/>
      <c r="HZ144" s="177"/>
      <c r="IA144" s="177"/>
      <c r="IB144" s="177"/>
      <c r="IC144" s="177"/>
      <c r="ID144" s="177"/>
      <c r="IE144" s="177"/>
      <c r="IF144" s="177"/>
      <c r="IG144" s="177"/>
      <c r="IH144" s="177"/>
      <c r="II144" s="177"/>
      <c r="IJ144" s="177"/>
      <c r="IK144" s="177"/>
      <c r="IL144" s="177"/>
      <c r="IM144" s="177"/>
    </row>
    <row r="145" spans="1:247" s="190" customFormat="1" x14ac:dyDescent="0.25">
      <c r="A145" s="202"/>
      <c r="HR145" s="191"/>
      <c r="HS145" s="191"/>
      <c r="HT145" s="191"/>
      <c r="HU145" s="191"/>
      <c r="HV145" s="177"/>
      <c r="HW145" s="177"/>
      <c r="HX145" s="177"/>
      <c r="HY145" s="177"/>
      <c r="HZ145" s="177"/>
      <c r="IA145" s="177"/>
      <c r="IB145" s="177"/>
      <c r="IC145" s="177"/>
      <c r="ID145" s="177"/>
      <c r="IE145" s="177"/>
      <c r="IF145" s="177"/>
      <c r="IG145" s="177"/>
      <c r="IH145" s="177"/>
      <c r="II145" s="177"/>
      <c r="IJ145" s="177"/>
      <c r="IK145" s="177"/>
      <c r="IL145" s="177"/>
      <c r="IM145" s="177"/>
    </row>
    <row r="146" spans="1:247" s="190" customFormat="1" x14ac:dyDescent="0.25">
      <c r="A146" s="202"/>
      <c r="HR146" s="191"/>
      <c r="HS146" s="191"/>
      <c r="HT146" s="191"/>
      <c r="HU146" s="191"/>
      <c r="HV146" s="177"/>
      <c r="HW146" s="177"/>
      <c r="HX146" s="177"/>
      <c r="HY146" s="177"/>
      <c r="HZ146" s="177"/>
      <c r="IA146" s="177"/>
      <c r="IB146" s="177"/>
      <c r="IC146" s="177"/>
      <c r="ID146" s="177"/>
      <c r="IE146" s="177"/>
      <c r="IF146" s="177"/>
      <c r="IG146" s="177"/>
      <c r="IH146" s="177"/>
      <c r="II146" s="177"/>
      <c r="IJ146" s="177"/>
      <c r="IK146" s="177"/>
      <c r="IL146" s="177"/>
      <c r="IM146" s="177"/>
    </row>
    <row r="147" spans="1:247" s="190" customFormat="1" x14ac:dyDescent="0.25">
      <c r="A147" s="202"/>
      <c r="HR147" s="191"/>
      <c r="HS147" s="191"/>
      <c r="HT147" s="191"/>
      <c r="HU147" s="191"/>
      <c r="HV147" s="177"/>
      <c r="HW147" s="177"/>
      <c r="HX147" s="177"/>
      <c r="HY147" s="177"/>
      <c r="HZ147" s="177"/>
      <c r="IA147" s="177"/>
      <c r="IB147" s="177"/>
      <c r="IC147" s="177"/>
      <c r="ID147" s="177"/>
      <c r="IE147" s="177"/>
      <c r="IF147" s="177"/>
      <c r="IG147" s="177"/>
      <c r="IH147" s="177"/>
      <c r="II147" s="177"/>
      <c r="IJ147" s="177"/>
      <c r="IK147" s="177"/>
      <c r="IL147" s="177"/>
      <c r="IM147" s="177"/>
    </row>
    <row r="148" spans="1:247" s="190" customFormat="1" x14ac:dyDescent="0.25">
      <c r="A148" s="202"/>
      <c r="HR148" s="191"/>
      <c r="HS148" s="191"/>
      <c r="HT148" s="191"/>
      <c r="HU148" s="191"/>
      <c r="HV148" s="177"/>
      <c r="HW148" s="177"/>
      <c r="HX148" s="177"/>
      <c r="HY148" s="177"/>
      <c r="HZ148" s="177"/>
      <c r="IA148" s="177"/>
      <c r="IB148" s="177"/>
      <c r="IC148" s="177"/>
      <c r="ID148" s="177"/>
      <c r="IE148" s="177"/>
      <c r="IF148" s="177"/>
      <c r="IG148" s="177"/>
      <c r="IH148" s="177"/>
      <c r="II148" s="177"/>
      <c r="IJ148" s="177"/>
      <c r="IK148" s="177"/>
      <c r="IL148" s="177"/>
      <c r="IM148" s="177"/>
    </row>
    <row r="149" spans="1:247" s="190" customFormat="1" x14ac:dyDescent="0.25">
      <c r="A149" s="202"/>
      <c r="HR149" s="191"/>
      <c r="HS149" s="191"/>
      <c r="HT149" s="191"/>
      <c r="HU149" s="191"/>
      <c r="HV149" s="177"/>
      <c r="HW149" s="177"/>
      <c r="HX149" s="177"/>
      <c r="HY149" s="177"/>
      <c r="HZ149" s="177"/>
      <c r="IA149" s="177"/>
      <c r="IB149" s="177"/>
      <c r="IC149" s="177"/>
      <c r="ID149" s="177"/>
      <c r="IE149" s="177"/>
      <c r="IF149" s="177"/>
      <c r="IG149" s="177"/>
      <c r="IH149" s="177"/>
      <c r="II149" s="177"/>
      <c r="IJ149" s="177"/>
      <c r="IK149" s="177"/>
      <c r="IL149" s="177"/>
      <c r="IM149" s="177"/>
    </row>
    <row r="150" spans="1:247" s="190" customFormat="1" x14ac:dyDescent="0.25">
      <c r="A150" s="202"/>
      <c r="HR150" s="191"/>
      <c r="HS150" s="191"/>
      <c r="HT150" s="191"/>
      <c r="HU150" s="191"/>
      <c r="HV150" s="177"/>
      <c r="HW150" s="177"/>
      <c r="HX150" s="177"/>
      <c r="HY150" s="177"/>
      <c r="HZ150" s="177"/>
      <c r="IA150" s="177"/>
      <c r="IB150" s="177"/>
      <c r="IC150" s="177"/>
      <c r="ID150" s="177"/>
      <c r="IE150" s="177"/>
      <c r="IF150" s="177"/>
      <c r="IG150" s="177"/>
      <c r="IH150" s="177"/>
      <c r="II150" s="177"/>
      <c r="IJ150" s="177"/>
      <c r="IK150" s="177"/>
      <c r="IL150" s="177"/>
      <c r="IM150" s="177"/>
    </row>
    <row r="151" spans="1:247" s="190" customFormat="1" x14ac:dyDescent="0.25">
      <c r="A151" s="202"/>
      <c r="HR151" s="191"/>
      <c r="HS151" s="191"/>
      <c r="HT151" s="191"/>
      <c r="HU151" s="191"/>
      <c r="HV151" s="177"/>
      <c r="HW151" s="177"/>
      <c r="HX151" s="177"/>
      <c r="HY151" s="177"/>
      <c r="HZ151" s="177"/>
      <c r="IA151" s="177"/>
      <c r="IB151" s="177"/>
      <c r="IC151" s="177"/>
      <c r="ID151" s="177"/>
      <c r="IE151" s="177"/>
      <c r="IF151" s="177"/>
      <c r="IG151" s="177"/>
      <c r="IH151" s="177"/>
      <c r="II151" s="177"/>
      <c r="IJ151" s="177"/>
      <c r="IK151" s="177"/>
      <c r="IL151" s="177"/>
      <c r="IM151" s="177"/>
    </row>
    <row r="152" spans="1:247" s="190" customFormat="1" x14ac:dyDescent="0.25">
      <c r="A152" s="202"/>
      <c r="HR152" s="191"/>
      <c r="HS152" s="191"/>
      <c r="HT152" s="191"/>
      <c r="HU152" s="191"/>
      <c r="HV152" s="177"/>
      <c r="HW152" s="177"/>
      <c r="HX152" s="177"/>
      <c r="HY152" s="177"/>
      <c r="HZ152" s="177"/>
      <c r="IA152" s="177"/>
      <c r="IB152" s="177"/>
      <c r="IC152" s="177"/>
      <c r="ID152" s="177"/>
      <c r="IE152" s="177"/>
      <c r="IF152" s="177"/>
      <c r="IG152" s="177"/>
      <c r="IH152" s="177"/>
      <c r="II152" s="177"/>
      <c r="IJ152" s="177"/>
      <c r="IK152" s="177"/>
      <c r="IL152" s="177"/>
      <c r="IM152" s="177"/>
    </row>
    <row r="153" spans="1:247" s="190" customFormat="1" x14ac:dyDescent="0.25">
      <c r="A153" s="202"/>
      <c r="HR153" s="191"/>
      <c r="HS153" s="191"/>
      <c r="HT153" s="191"/>
      <c r="HU153" s="191"/>
      <c r="HV153" s="177"/>
      <c r="HW153" s="177"/>
      <c r="HX153" s="177"/>
      <c r="HY153" s="177"/>
      <c r="HZ153" s="177"/>
      <c r="IA153" s="177"/>
      <c r="IB153" s="177"/>
      <c r="IC153" s="177"/>
      <c r="ID153" s="177"/>
      <c r="IE153" s="177"/>
      <c r="IF153" s="177"/>
      <c r="IG153" s="177"/>
      <c r="IH153" s="177"/>
      <c r="II153" s="177"/>
      <c r="IJ153" s="177"/>
      <c r="IK153" s="177"/>
      <c r="IL153" s="177"/>
      <c r="IM153" s="177"/>
    </row>
    <row r="154" spans="1:247" s="190" customFormat="1" x14ac:dyDescent="0.25">
      <c r="A154" s="202"/>
      <c r="HR154" s="191"/>
      <c r="HS154" s="191"/>
      <c r="HT154" s="191"/>
      <c r="HU154" s="191"/>
      <c r="HV154" s="177"/>
      <c r="HW154" s="177"/>
      <c r="HX154" s="177"/>
      <c r="HY154" s="177"/>
      <c r="HZ154" s="177"/>
      <c r="IA154" s="177"/>
      <c r="IB154" s="177"/>
      <c r="IC154" s="177"/>
      <c r="ID154" s="177"/>
      <c r="IE154" s="177"/>
      <c r="IF154" s="177"/>
      <c r="IG154" s="177"/>
      <c r="IH154" s="177"/>
      <c r="II154" s="177"/>
      <c r="IJ154" s="177"/>
      <c r="IK154" s="177"/>
      <c r="IL154" s="177"/>
      <c r="IM154" s="177"/>
    </row>
    <row r="155" spans="1:247" s="190" customFormat="1" x14ac:dyDescent="0.25">
      <c r="A155" s="202"/>
      <c r="HR155" s="191"/>
      <c r="HS155" s="191"/>
      <c r="HT155" s="191"/>
      <c r="HU155" s="191"/>
      <c r="HV155" s="177"/>
      <c r="HW155" s="177"/>
      <c r="HX155" s="177"/>
      <c r="HY155" s="177"/>
      <c r="HZ155" s="177"/>
      <c r="IA155" s="177"/>
      <c r="IB155" s="177"/>
      <c r="IC155" s="177"/>
      <c r="ID155" s="177"/>
      <c r="IE155" s="177"/>
      <c r="IF155" s="177"/>
      <c r="IG155" s="177"/>
      <c r="IH155" s="177"/>
      <c r="II155" s="177"/>
      <c r="IJ155" s="177"/>
      <c r="IK155" s="177"/>
      <c r="IL155" s="177"/>
      <c r="IM155" s="177"/>
    </row>
    <row r="156" spans="1:247" s="190" customFormat="1" x14ac:dyDescent="0.25">
      <c r="A156" s="202"/>
      <c r="HR156" s="191"/>
      <c r="HS156" s="191"/>
      <c r="HT156" s="191"/>
      <c r="HU156" s="191"/>
      <c r="HV156" s="177"/>
      <c r="HW156" s="177"/>
      <c r="HX156" s="177"/>
      <c r="HY156" s="177"/>
      <c r="HZ156" s="177"/>
      <c r="IA156" s="177"/>
      <c r="IB156" s="177"/>
      <c r="IC156" s="177"/>
      <c r="ID156" s="177"/>
      <c r="IE156" s="177"/>
      <c r="IF156" s="177"/>
      <c r="IG156" s="177"/>
      <c r="IH156" s="177"/>
      <c r="II156" s="177"/>
      <c r="IJ156" s="177"/>
      <c r="IK156" s="177"/>
      <c r="IL156" s="177"/>
      <c r="IM156" s="177"/>
    </row>
    <row r="157" spans="1:247" s="190" customFormat="1" x14ac:dyDescent="0.25">
      <c r="A157" s="202"/>
      <c r="HR157" s="191"/>
      <c r="HS157" s="191"/>
      <c r="HT157" s="191"/>
      <c r="HU157" s="191"/>
      <c r="HV157" s="177"/>
      <c r="HW157" s="177"/>
      <c r="HX157" s="177"/>
      <c r="HY157" s="177"/>
      <c r="HZ157" s="177"/>
      <c r="IA157" s="177"/>
      <c r="IB157" s="177"/>
      <c r="IC157" s="177"/>
      <c r="ID157" s="177"/>
      <c r="IE157" s="177"/>
      <c r="IF157" s="177"/>
      <c r="IG157" s="177"/>
      <c r="IH157" s="177"/>
      <c r="II157" s="177"/>
      <c r="IJ157" s="177"/>
      <c r="IK157" s="177"/>
      <c r="IL157" s="177"/>
      <c r="IM157" s="177"/>
    </row>
    <row r="158" spans="1:247" s="190" customFormat="1" x14ac:dyDescent="0.25">
      <c r="A158" s="202"/>
      <c r="HR158" s="191"/>
      <c r="HS158" s="191"/>
      <c r="HT158" s="191"/>
      <c r="HU158" s="191"/>
      <c r="HV158" s="177"/>
      <c r="HW158" s="177"/>
      <c r="HX158" s="177"/>
      <c r="HY158" s="177"/>
      <c r="HZ158" s="177"/>
      <c r="IA158" s="177"/>
      <c r="IB158" s="177"/>
      <c r="IC158" s="177"/>
      <c r="ID158" s="177"/>
      <c r="IE158" s="177"/>
      <c r="IF158" s="177"/>
      <c r="IG158" s="177"/>
      <c r="IH158" s="177"/>
      <c r="II158" s="177"/>
      <c r="IJ158" s="177"/>
      <c r="IK158" s="177"/>
      <c r="IL158" s="177"/>
      <c r="IM158" s="177"/>
    </row>
    <row r="159" spans="1:247" s="190" customFormat="1" x14ac:dyDescent="0.25">
      <c r="A159" s="202"/>
      <c r="HR159" s="191"/>
      <c r="HS159" s="191"/>
      <c r="HT159" s="191"/>
      <c r="HU159" s="191"/>
      <c r="HV159" s="177"/>
      <c r="HW159" s="177"/>
      <c r="HX159" s="177"/>
      <c r="HY159" s="177"/>
      <c r="HZ159" s="177"/>
      <c r="IA159" s="177"/>
      <c r="IB159" s="177"/>
      <c r="IC159" s="177"/>
      <c r="ID159" s="177"/>
      <c r="IE159" s="177"/>
      <c r="IF159" s="177"/>
      <c r="IG159" s="177"/>
      <c r="IH159" s="177"/>
      <c r="II159" s="177"/>
      <c r="IJ159" s="177"/>
      <c r="IK159" s="177"/>
      <c r="IL159" s="177"/>
      <c r="IM159" s="177"/>
    </row>
    <row r="160" spans="1:247" s="190" customFormat="1" x14ac:dyDescent="0.25">
      <c r="A160" s="202"/>
      <c r="HR160" s="191"/>
      <c r="HS160" s="191"/>
      <c r="HT160" s="191"/>
      <c r="HU160" s="191"/>
      <c r="HV160" s="177"/>
      <c r="HW160" s="177"/>
      <c r="HX160" s="177"/>
      <c r="HY160" s="177"/>
      <c r="HZ160" s="177"/>
      <c r="IA160" s="177"/>
      <c r="IB160" s="177"/>
      <c r="IC160" s="177"/>
      <c r="ID160" s="177"/>
      <c r="IE160" s="177"/>
      <c r="IF160" s="177"/>
      <c r="IG160" s="177"/>
      <c r="IH160" s="177"/>
      <c r="II160" s="177"/>
      <c r="IJ160" s="177"/>
      <c r="IK160" s="177"/>
      <c r="IL160" s="177"/>
      <c r="IM160" s="177"/>
    </row>
    <row r="161" spans="1:247" s="190" customFormat="1" x14ac:dyDescent="0.25">
      <c r="A161" s="202"/>
      <c r="HR161" s="191"/>
      <c r="HS161" s="191"/>
      <c r="HT161" s="191"/>
      <c r="HU161" s="191"/>
      <c r="HV161" s="177"/>
      <c r="HW161" s="177"/>
      <c r="HX161" s="177"/>
      <c r="HY161" s="177"/>
      <c r="HZ161" s="177"/>
      <c r="IA161" s="177"/>
      <c r="IB161" s="177"/>
      <c r="IC161" s="177"/>
      <c r="ID161" s="177"/>
      <c r="IE161" s="177"/>
      <c r="IF161" s="177"/>
      <c r="IG161" s="177"/>
      <c r="IH161" s="177"/>
      <c r="II161" s="177"/>
      <c r="IJ161" s="177"/>
      <c r="IK161" s="177"/>
      <c r="IL161" s="177"/>
      <c r="IM161" s="177"/>
    </row>
    <row r="162" spans="1:247" s="190" customFormat="1" x14ac:dyDescent="0.25">
      <c r="A162" s="202"/>
      <c r="HR162" s="191"/>
      <c r="HS162" s="191"/>
      <c r="HT162" s="191"/>
      <c r="HU162" s="191"/>
      <c r="HV162" s="177"/>
      <c r="HW162" s="177"/>
      <c r="HX162" s="177"/>
      <c r="HY162" s="177"/>
      <c r="HZ162" s="177"/>
      <c r="IA162" s="177"/>
      <c r="IB162" s="177"/>
      <c r="IC162" s="177"/>
      <c r="ID162" s="177"/>
      <c r="IE162" s="177"/>
      <c r="IF162" s="177"/>
      <c r="IG162" s="177"/>
      <c r="IH162" s="177"/>
      <c r="II162" s="177"/>
      <c r="IJ162" s="177"/>
      <c r="IK162" s="177"/>
      <c r="IL162" s="177"/>
      <c r="IM162" s="177"/>
    </row>
    <row r="163" spans="1:247" s="190" customFormat="1" x14ac:dyDescent="0.25">
      <c r="A163" s="202"/>
      <c r="HR163" s="191"/>
      <c r="HS163" s="191"/>
      <c r="HT163" s="191"/>
      <c r="HU163" s="191"/>
      <c r="HV163" s="177"/>
      <c r="HW163" s="177"/>
      <c r="HX163" s="177"/>
      <c r="HY163" s="177"/>
      <c r="HZ163" s="177"/>
      <c r="IA163" s="177"/>
      <c r="IB163" s="177"/>
      <c r="IC163" s="177"/>
      <c r="ID163" s="177"/>
      <c r="IE163" s="177"/>
      <c r="IF163" s="177"/>
      <c r="IG163" s="177"/>
      <c r="IH163" s="177"/>
      <c r="II163" s="177"/>
      <c r="IJ163" s="177"/>
      <c r="IK163" s="177"/>
      <c r="IL163" s="177"/>
      <c r="IM163" s="177"/>
    </row>
    <row r="164" spans="1:247" s="190" customFormat="1" x14ac:dyDescent="0.25">
      <c r="A164" s="202"/>
      <c r="HR164" s="191"/>
      <c r="HS164" s="191"/>
      <c r="HT164" s="191"/>
      <c r="HU164" s="191"/>
      <c r="HV164" s="177"/>
      <c r="HW164" s="177"/>
      <c r="HX164" s="177"/>
      <c r="HY164" s="177"/>
      <c r="HZ164" s="177"/>
      <c r="IA164" s="177"/>
      <c r="IB164" s="177"/>
      <c r="IC164" s="177"/>
      <c r="ID164" s="177"/>
      <c r="IE164" s="177"/>
      <c r="IF164" s="177"/>
      <c r="IG164" s="177"/>
      <c r="IH164" s="177"/>
      <c r="II164" s="177"/>
      <c r="IJ164" s="177"/>
      <c r="IK164" s="177"/>
      <c r="IL164" s="177"/>
      <c r="IM164" s="177"/>
    </row>
    <row r="165" spans="1:247" s="190" customFormat="1" x14ac:dyDescent="0.25">
      <c r="A165" s="202"/>
      <c r="HR165" s="191"/>
      <c r="HS165" s="191"/>
      <c r="HT165" s="191"/>
      <c r="HU165" s="191"/>
      <c r="HV165" s="177"/>
      <c r="HW165" s="177"/>
      <c r="HX165" s="177"/>
      <c r="HY165" s="177"/>
      <c r="HZ165" s="177"/>
      <c r="IA165" s="177"/>
      <c r="IB165" s="177"/>
      <c r="IC165" s="177"/>
      <c r="ID165" s="177"/>
      <c r="IE165" s="177"/>
      <c r="IF165" s="177"/>
      <c r="IG165" s="177"/>
      <c r="IH165" s="177"/>
      <c r="II165" s="177"/>
      <c r="IJ165" s="177"/>
      <c r="IK165" s="177"/>
      <c r="IL165" s="177"/>
      <c r="IM165" s="177"/>
    </row>
    <row r="166" spans="1:247" s="190" customFormat="1" x14ac:dyDescent="0.25">
      <c r="A166" s="202"/>
      <c r="HR166" s="191"/>
      <c r="HS166" s="191"/>
      <c r="HT166" s="191"/>
      <c r="HU166" s="191"/>
      <c r="HV166" s="177"/>
      <c r="HW166" s="177"/>
      <c r="HX166" s="177"/>
      <c r="HY166" s="177"/>
      <c r="HZ166" s="177"/>
      <c r="IA166" s="177"/>
      <c r="IB166" s="177"/>
      <c r="IC166" s="177"/>
      <c r="ID166" s="177"/>
      <c r="IE166" s="177"/>
      <c r="IF166" s="177"/>
      <c r="IG166" s="177"/>
      <c r="IH166" s="177"/>
      <c r="II166" s="177"/>
      <c r="IJ166" s="177"/>
      <c r="IK166" s="177"/>
      <c r="IL166" s="177"/>
      <c r="IM166" s="177"/>
    </row>
    <row r="167" spans="1:247" s="190" customFormat="1" x14ac:dyDescent="0.25">
      <c r="A167" s="202"/>
      <c r="HR167" s="191"/>
      <c r="HS167" s="191"/>
      <c r="HT167" s="191"/>
      <c r="HU167" s="191"/>
      <c r="HV167" s="177"/>
      <c r="HW167" s="177"/>
      <c r="HX167" s="177"/>
      <c r="HY167" s="177"/>
      <c r="HZ167" s="177"/>
      <c r="IA167" s="177"/>
      <c r="IB167" s="177"/>
      <c r="IC167" s="177"/>
      <c r="ID167" s="177"/>
      <c r="IE167" s="177"/>
      <c r="IF167" s="177"/>
      <c r="IG167" s="177"/>
      <c r="IH167" s="177"/>
      <c r="II167" s="177"/>
      <c r="IJ167" s="177"/>
      <c r="IK167" s="177"/>
      <c r="IL167" s="177"/>
      <c r="IM167" s="177"/>
    </row>
    <row r="168" spans="1:247" s="190" customFormat="1" x14ac:dyDescent="0.25">
      <c r="A168" s="202"/>
      <c r="HR168" s="191"/>
      <c r="HS168" s="191"/>
      <c r="HT168" s="191"/>
      <c r="HU168" s="191"/>
      <c r="HV168" s="177"/>
      <c r="HW168" s="177"/>
      <c r="HX168" s="177"/>
      <c r="HY168" s="177"/>
      <c r="HZ168" s="177"/>
      <c r="IA168" s="177"/>
      <c r="IB168" s="177"/>
      <c r="IC168" s="177"/>
      <c r="ID168" s="177"/>
      <c r="IE168" s="177"/>
      <c r="IF168" s="177"/>
      <c r="IG168" s="177"/>
      <c r="IH168" s="177"/>
      <c r="II168" s="177"/>
      <c r="IJ168" s="177"/>
      <c r="IK168" s="177"/>
      <c r="IL168" s="177"/>
      <c r="IM168" s="177"/>
    </row>
    <row r="169" spans="1:247" s="190" customFormat="1" x14ac:dyDescent="0.25">
      <c r="A169" s="202"/>
      <c r="HR169" s="191"/>
      <c r="HS169" s="191"/>
      <c r="HT169" s="191"/>
      <c r="HU169" s="191"/>
      <c r="HV169" s="177"/>
      <c r="HW169" s="177"/>
      <c r="HX169" s="177"/>
      <c r="HY169" s="177"/>
      <c r="HZ169" s="177"/>
      <c r="IA169" s="177"/>
      <c r="IB169" s="177"/>
      <c r="IC169" s="177"/>
      <c r="ID169" s="177"/>
      <c r="IE169" s="177"/>
      <c r="IF169" s="177"/>
      <c r="IG169" s="177"/>
      <c r="IH169" s="177"/>
      <c r="II169" s="177"/>
      <c r="IJ169" s="177"/>
      <c r="IK169" s="177"/>
      <c r="IL169" s="177"/>
      <c r="IM169" s="177"/>
    </row>
    <row r="170" spans="1:247" s="190" customFormat="1" x14ac:dyDescent="0.25">
      <c r="A170" s="202"/>
      <c r="HR170" s="191"/>
      <c r="HS170" s="191"/>
      <c r="HT170" s="191"/>
      <c r="HU170" s="191"/>
      <c r="HV170" s="177"/>
      <c r="HW170" s="177"/>
      <c r="HX170" s="177"/>
      <c r="HY170" s="177"/>
      <c r="HZ170" s="177"/>
      <c r="IA170" s="177"/>
      <c r="IB170" s="177"/>
      <c r="IC170" s="177"/>
      <c r="ID170" s="177"/>
      <c r="IE170" s="177"/>
      <c r="IF170" s="177"/>
      <c r="IG170" s="177"/>
      <c r="IH170" s="177"/>
      <c r="II170" s="177"/>
      <c r="IJ170" s="177"/>
      <c r="IK170" s="177"/>
      <c r="IL170" s="177"/>
      <c r="IM170" s="177"/>
    </row>
  </sheetData>
  <customSheetViews>
    <customSheetView guid="{7F1DC213-A29D-4C8C-BAC3-F1BD898020FD}" scale="75" showPageBreaks="1" zeroValues="0" fitToPage="1" printArea="1" hiddenRows="1" hiddenColumns="1" state="hidden" view="pageBreakPreview">
      <selection activeCell="B1" sqref="B1:E1048576"/>
      <pageMargins left="0.78740157480314965" right="0.78740157480314965" top="1.5748031496062993" bottom="1.4173228346456694" header="0.78740157480314965" footer="0.78740157480314965"/>
      <printOptions horizontalCentered="1"/>
      <pageSetup paperSize="9" scale="99" firstPageNumber="0" fitToHeight="0" orientation="portrait" horizontalDpi="300" verticalDpi="300" r:id="rId1"/>
      <headerFooter alignWithMargins="0">
        <oddHeader xml:space="preserve">&amp;L 2/D melléklet a ...../2018. (.......) önkormányzati rendelethez&amp;C&amp;"Arial,Félkövér"&amp;10&amp;"-,Félkövér"&amp;16Tartalékok működési és felhalmozási cél szerinti bontásban&amp;R&amp;10 </oddHeader>
        <oddFooter>&amp;C&amp;8&amp;D &amp;T&amp;R&amp;9&amp;P</oddFooter>
      </headerFooter>
    </customSheetView>
    <customSheetView guid="{4DCB1349-1166-4B69-AE14-D6B08F9FCE74}" scale="75" showPageBreaks="1" zeroValues="0" fitToPage="1" printArea="1" hiddenRows="1" hiddenColumns="1" state="hidden" view="pageBreakPreview">
      <selection activeCell="B1" sqref="B1:E1048576"/>
      <pageMargins left="0.78740157480314965" right="0.78740157480314965" top="1.5748031496062993" bottom="1.4173228346456694" header="0.78740157480314965" footer="0.78740157480314965"/>
      <printOptions horizontalCentered="1"/>
      <pageSetup paperSize="9" scale="99" firstPageNumber="0" fitToHeight="0" orientation="portrait" horizontalDpi="300" verticalDpi="300" r:id="rId2"/>
      <headerFooter alignWithMargins="0">
        <oddHeader xml:space="preserve">&amp;L 2/D melléklet a ...../2018. (.......) önkormányzati rendelethez&amp;C&amp;"Arial,Félkövér"&amp;10&amp;"-,Félkövér"&amp;16Tartalékok működési és felhalmozási cél szerinti bontásban&amp;R&amp;10 </oddHeader>
        <oddFooter>&amp;C&amp;8&amp;D &amp;T&amp;R&amp;9&amp;P</oddFooter>
      </headerFooter>
    </customSheetView>
  </customSheetViews>
  <printOptions horizontalCentered="1"/>
  <pageMargins left="0.78740157480314965" right="0.78740157480314965" top="1.5748031496062993" bottom="1.4173228346456694" header="0.78740157480314965" footer="0.78740157480314965"/>
  <pageSetup paperSize="9" scale="99" firstPageNumber="0" fitToHeight="0" orientation="portrait" horizontalDpi="300" verticalDpi="300" r:id="rId3"/>
  <headerFooter alignWithMargins="0">
    <oddHeader xml:space="preserve">&amp;L 2/D melléklet a ...../2018. (.......) önkormányzati rendelethez&amp;C&amp;"Arial,Félkövér"&amp;10&amp;"-,Félkövér"&amp;16Tartalékok működési és felhalmozási cél szerinti bontásban&amp;R&amp;10 </oddHeader>
    <oddFooter>&amp;C&amp;8&amp;D &amp;T&amp;R&amp;9&amp;P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Névvel ellátott tartományok</vt:lpstr>
      </vt:variant>
      <vt:variant>
        <vt:i4>51</vt:i4>
      </vt:variant>
    </vt:vector>
  </HeadingPairs>
  <TitlesOfParts>
    <vt:vector size="88" baseType="lpstr">
      <vt:lpstr>Egyenlegmutató</vt:lpstr>
      <vt:lpstr>0.Mérleg</vt:lpstr>
      <vt:lpstr>1.1. Fő bev</vt:lpstr>
      <vt:lpstr>1.2. Fő kiad</vt:lpstr>
      <vt:lpstr>1.3. Bev kiad fel</vt:lpstr>
      <vt:lpstr>2.1. Önk bev</vt:lpstr>
      <vt:lpstr>2.2. Önk kiad</vt:lpstr>
      <vt:lpstr>2.3.Önk kiad fel</vt:lpstr>
      <vt:lpstr>2D Céltartalék</vt:lpstr>
      <vt:lpstr>2E VÉA</vt:lpstr>
      <vt:lpstr>2F KVA</vt:lpstr>
      <vt:lpstr>3.1. PH</vt:lpstr>
      <vt:lpstr>3.2. PH fel</vt:lpstr>
      <vt:lpstr>4.1. Vesz</vt:lpstr>
      <vt:lpstr>4.2. Vesz fa.</vt:lpstr>
      <vt:lpstr>5. Eszi</vt:lpstr>
      <vt:lpstr>6.1. Óvoda</vt:lpstr>
      <vt:lpstr>6.2. Kalandpark</vt:lpstr>
      <vt:lpstr>6.3. KLMK</vt:lpstr>
      <vt:lpstr>6.4. Könyvtár</vt:lpstr>
      <vt:lpstr>5F Segítő Kéz</vt:lpstr>
      <vt:lpstr>5G Szérüskert</vt:lpstr>
      <vt:lpstr>Walla</vt:lpstr>
      <vt:lpstr>5H GSZNR fel</vt:lpstr>
      <vt:lpstr>Könyvtár</vt:lpstr>
      <vt:lpstr>7. létszámkeret</vt:lpstr>
      <vt:lpstr>8. beruházás</vt:lpstr>
      <vt:lpstr>9. felújítás</vt:lpstr>
      <vt:lpstr>10. stab tv</vt:lpstr>
      <vt:lpstr>11. Uniós tám</vt:lpstr>
      <vt:lpstr>12. címrend</vt:lpstr>
      <vt:lpstr>ÖK kiad</vt:lpstr>
      <vt:lpstr>MMMH</vt:lpstr>
      <vt:lpstr>Nyitnikék</vt:lpstr>
      <vt:lpstr>Bóbita</vt:lpstr>
      <vt:lpstr>SKSZ</vt:lpstr>
      <vt:lpstr>PH</vt:lpstr>
      <vt:lpstr>'1.1. Fő bev'!Nyomtatási_cím</vt:lpstr>
      <vt:lpstr>'1.2. Fő kiad'!Nyomtatási_cím</vt:lpstr>
      <vt:lpstr>'1.3. Bev kiad fel'!Nyomtatási_cím</vt:lpstr>
      <vt:lpstr>'2.1. Önk bev'!Nyomtatási_cím</vt:lpstr>
      <vt:lpstr>'2.2. Önk kiad'!Nyomtatási_cím</vt:lpstr>
      <vt:lpstr>'2.3.Önk kiad fel'!Nyomtatási_cím</vt:lpstr>
      <vt:lpstr>'3.1. PH'!Nyomtatási_cím</vt:lpstr>
      <vt:lpstr>'3.2. PH fel'!Nyomtatási_cím</vt:lpstr>
      <vt:lpstr>'4.1. Vesz'!Nyomtatási_cím</vt:lpstr>
      <vt:lpstr>'4.2. Vesz fa.'!Nyomtatási_cím</vt:lpstr>
      <vt:lpstr>'5. Eszi'!Nyomtatási_cím</vt:lpstr>
      <vt:lpstr>'5F Segítő Kéz'!Nyomtatási_cím</vt:lpstr>
      <vt:lpstr>'5G Szérüskert'!Nyomtatási_cím</vt:lpstr>
      <vt:lpstr>'5H GSZNR fel'!Nyomtatási_cím</vt:lpstr>
      <vt:lpstr>'6.1. Óvoda'!Nyomtatási_cím</vt:lpstr>
      <vt:lpstr>'6.2. Kalandpark'!Nyomtatási_cím</vt:lpstr>
      <vt:lpstr>'6.3. KLMK'!Nyomtatási_cím</vt:lpstr>
      <vt:lpstr>'6.4. Könyvtár'!Nyomtatási_cím</vt:lpstr>
      <vt:lpstr>Könyvtár!Nyomtatási_cím</vt:lpstr>
      <vt:lpstr>MMMH!Nyomtatási_cím</vt:lpstr>
      <vt:lpstr>'ÖK kiad'!Nyomtatási_cím</vt:lpstr>
      <vt:lpstr>PH!Nyomtatási_cím</vt:lpstr>
      <vt:lpstr>SKSZ!Nyomtatási_cím</vt:lpstr>
      <vt:lpstr>Walla!Nyomtatási_cím</vt:lpstr>
      <vt:lpstr>'0.Mérleg'!Nyomtatási_terület</vt:lpstr>
      <vt:lpstr>'1.1. Fő bev'!Nyomtatási_terület</vt:lpstr>
      <vt:lpstr>'1.2. Fő kiad'!Nyomtatási_terület</vt:lpstr>
      <vt:lpstr>'1.3. Bev kiad fel'!Nyomtatási_terület</vt:lpstr>
      <vt:lpstr>'10. stab tv'!Nyomtatási_terület</vt:lpstr>
      <vt:lpstr>'12. címrend'!Nyomtatási_terület</vt:lpstr>
      <vt:lpstr>'2.1. Önk bev'!Nyomtatási_terület</vt:lpstr>
      <vt:lpstr>'2.2. Önk kiad'!Nyomtatási_terület</vt:lpstr>
      <vt:lpstr>'2.3.Önk kiad fel'!Nyomtatási_terület</vt:lpstr>
      <vt:lpstr>'2D Céltartalék'!Nyomtatási_terület</vt:lpstr>
      <vt:lpstr>'2E VÉA'!Nyomtatási_terület</vt:lpstr>
      <vt:lpstr>'2F KVA'!Nyomtatási_terület</vt:lpstr>
      <vt:lpstr>'3.1. PH'!Nyomtatási_terület</vt:lpstr>
      <vt:lpstr>'3.2. PH fel'!Nyomtatási_terület</vt:lpstr>
      <vt:lpstr>'4.1. Vesz'!Nyomtatási_terület</vt:lpstr>
      <vt:lpstr>'4.2. Vesz fa.'!Nyomtatási_terület</vt:lpstr>
      <vt:lpstr>'5. Eszi'!Nyomtatási_terület</vt:lpstr>
      <vt:lpstr>'5F Segítő Kéz'!Nyomtatási_terület</vt:lpstr>
      <vt:lpstr>'5G Szérüskert'!Nyomtatási_terület</vt:lpstr>
      <vt:lpstr>'5H GSZNR fel'!Nyomtatási_terület</vt:lpstr>
      <vt:lpstr>'6.1. Óvoda'!Nyomtatási_terület</vt:lpstr>
      <vt:lpstr>'6.2. Kalandpark'!Nyomtatási_terület</vt:lpstr>
      <vt:lpstr>'6.3. KLMK'!Nyomtatási_terület</vt:lpstr>
      <vt:lpstr>'6.4. Könyvtár'!Nyomtatási_terület</vt:lpstr>
      <vt:lpstr>'7. létszámkeret'!Nyomtatási_terület</vt:lpstr>
      <vt:lpstr>'8. beruházás'!Nyomtatási_terület</vt:lpstr>
      <vt:lpstr>'9. felújítás'!Nyomtatási_terület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Tagainé Fabók Tímea</dc:creator>
  <cp:lastModifiedBy>User</cp:lastModifiedBy>
  <cp:lastPrinted>2020-01-13T08:38:22Z</cp:lastPrinted>
  <dcterms:created xsi:type="dcterms:W3CDTF">2015-10-26T12:21:43Z</dcterms:created>
  <dcterms:modified xsi:type="dcterms:W3CDTF">2020-01-13T09:50:30Z</dcterms:modified>
</cp:coreProperties>
</file>