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10" activeTab="14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-Beruh." sheetId="9" r:id="rId9"/>
    <sheet name="9.mell-Felújítás" sheetId="10" r:id="rId10"/>
    <sheet name="10.mell. - közgazd.mérleg" sheetId="11" r:id="rId11"/>
    <sheet name="11.mell. -ei.felh.ütemt." sheetId="12" r:id="rId12"/>
    <sheet name="12.mell. -részesedések" sheetId="13" r:id="rId13"/>
    <sheet name="13.mell.- közvetett" sheetId="14" r:id="rId14"/>
    <sheet name="14.mell.-középtávú" sheetId="15" r:id="rId15"/>
    <sheet name="Munka1" sheetId="16" r:id="rId16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<sst xmlns="http://schemas.openxmlformats.org/spreadsheetml/2006/main" count="906" uniqueCount="510">
  <si>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</si>
  <si>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</si>
  <si>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</si>
  <si>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</si>
  <si>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</si>
  <si>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</si>
  <si>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</si>
  <si>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</si>
  <si>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</si>
  <si>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</si>
  <si>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</si>
  <si>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</si>
  <si>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</si>
  <si>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</si>
  <si>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</si>
  <si>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</si>
  <si>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</si>
  <si>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</si>
  <si>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</si>
  <si>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</si>
  <si>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</si>
  <si>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</si>
  <si>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</si>
  <si>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</si>
  <si>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</si>
  <si>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</si>
  <si>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</si>
  <si>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</si>
  <si>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</si>
  <si>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</si>
  <si>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</si>
  <si>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</si>
  <si>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</si>
  <si>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</si>
  <si>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</si>
  <si>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</si>
  <si>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</si>
  <si>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</si>
  <si>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</si>
  <si>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</si>
  <si>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</si>
  <si>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</si>
  <si>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</si>
  <si>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</si>
  <si>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</si>
  <si>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</si>
  <si>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</si>
  <si>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</si>
  <si>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</si>
  <si>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</si>
  <si>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</si>
  <si>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</si>
  <si>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</si>
  <si>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</si>
  <si>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</si>
  <si>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</si>
  <si>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</si>
  <si>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</si>
  <si>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</si>
  <si>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</si>
  <si>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</si>
  <si>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</si>
  <si>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</si>
  <si>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</si>
  <si>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</si>
  <si>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</si>
  <si>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</si>
  <si>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</si>
  <si>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</si>
  <si>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</si>
  <si>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</si>
  <si>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</si>
  <si>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</si>
  <si>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</si>
  <si>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</si>
  <si>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</si>
  <si>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</si>
  <si>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</si>
  <si>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</si>
  <si>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</si>
  <si>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</si>
  <si>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</si>
  <si>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</si>
  <si>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</si>
  <si>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</si>
  <si>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</si>
  <si>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</si>
  <si>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</si>
  <si>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</si>
  <si>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</si>
  <si>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</si>
  <si>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</si>
  <si>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</si>
  <si>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</si>
  <si>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</si>
  <si>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</si>
  <si>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</si>
  <si>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</si>
  <si>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</si>
  <si>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</si>
  <si>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</si>
  <si>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</si>
  <si>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</si>
  <si>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</si>
  <si>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</si>
  <si>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</si>
  <si>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</si>
  <si>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</si>
  <si>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</si>
  <si>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</si>
  <si>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</si>
  <si>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</si>
  <si>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</si>
  <si>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</si>
  <si>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</si>
  <si>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</si>
  <si>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</si>
  <si>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</si>
  <si>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</si>
  <si>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</si>
  <si>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</si>
  <si>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</si>
  <si>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</si>
  <si>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</si>
  <si>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</si>
  <si>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</si>
  <si>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</si>
  <si>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</si>
  <si>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</si>
  <si>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</si>
  <si>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</si>
  <si>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</si>
  <si>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</si>
  <si>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</si>
  <si>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</si>
  <si>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</si>
  <si>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</si>
  <si>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</si>
  <si>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</si>
  <si>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</si>
  <si>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</si>
  <si>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</si>
  <si>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</si>
  <si>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</si>
  <si>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</si>
  <si>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</si>
  <si>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</si>
  <si>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</si>
  <si>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</si>
  <si>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</si>
  <si>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</si>
  <si>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</si>
  <si>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</si>
  <si>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</si>
  <si>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</si>
  <si>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</si>
  <si>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</si>
  <si>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</si>
  <si>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</si>
  <si>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</si>
  <si>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</si>
  <si>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</si>
  <si>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</si>
  <si>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</si>
  <si>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</si>
  <si>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</si>
  <si>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</si>
  <si>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</si>
  <si>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</si>
  <si>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</si>
  <si>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</si>
  <si>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</si>
  <si>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</si>
  <si>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</si>
  <si>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</si>
  <si>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</si>
  <si>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</si>
  <si>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</si>
  <si>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</si>
  <si>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</si>
  <si>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</si>
  <si>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</si>
  <si>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</si>
  <si>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</si>
  <si>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</si>
  <si>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</si>
  <si>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</si>
  <si>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</si>
  <si>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</si>
  <si>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</si>
  <si>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</si>
  <si>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</si>
  <si>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</si>
  <si>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</si>
  <si>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</si>
  <si>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</si>
  <si>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</si>
  <si>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</si>
  <si>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</si>
  <si>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</si>
  <si>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</si>
  <si>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</si>
  <si>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</si>
  <si>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</si>
  <si>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</si>
  <si>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</si>
  <si>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</si>
  <si>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</si>
  <si>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</si>
  <si>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</si>
  <si>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</si>
  <si>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</si>
  <si>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</si>
  <si>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</si>
  <si>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</si>
  <si>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</si>
  <si>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</si>
  <si>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</si>
  <si>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</si>
  <si>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</si>
  <si>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</si>
  <si>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</si>
  <si>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</si>
  <si>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</si>
  <si>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</si>
  <si>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</si>
  <si>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</si>
  <si>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</si>
  <si>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</si>
  <si>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</si>
  <si>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</si>
  <si>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</si>
  <si>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</si>
  <si>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</si>
  <si>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</si>
  <si>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</si>
  <si>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</si>
  <si>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</si>
  <si>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</si>
  <si>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</si>
  <si>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</si>
  <si>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</si>
  <si>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</si>
  <si>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</si>
  <si>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</si>
  <si>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</si>
  <si>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</si>
  <si>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</si>
  <si>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</si>
  <si>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</si>
  <si>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</si>
  <si>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</si>
  <si>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</si>
  <si>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</si>
  <si>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</si>
  <si>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</si>
  <si>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</si>
  <si>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</si>
  <si>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</si>
  <si>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2018.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</si>
  <si>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</si>
  <si>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</si>
  <si>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</si>
  <si>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</si>
  <si>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</si>
  <si>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</si>
  <si>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</si>
  <si>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</si>
  <si>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</si>
  <si>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</si>
  <si>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</si>
  <si>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</si>
  <si>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</si>
  <si>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</si>
  <si>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</si>
  <si>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</si>
  <si>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</si>
  <si>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</si>
  <si>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</si>
  <si>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</si>
  <si>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</si>
  <si>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</si>
  <si>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</si>
  <si>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</si>
  <si>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</si>
  <si>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</si>
  <si>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</si>
  <si>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</si>
  <si>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</si>
  <si>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</si>
  <si>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</si>
  <si>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</si>
  <si>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</si>
  <si>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</si>
  <si>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</si>
  <si>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</si>
  <si>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</si>
  <si>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</si>
  <si>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</si>
  <si>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</si>
  <si>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</si>
  <si>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</si>
  <si>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</si>
  <si>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</si>
  <si>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</si>
  <si>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</si>
  <si>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</si>
  <si>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</si>
  <si>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</si>
  <si>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</si>
  <si>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</si>
  <si>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</si>
  <si>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</si>
  <si>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</si>
  <si>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</si>
  <si>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</si>
  <si>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</si>
  <si>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</si>
  <si>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</si>
  <si>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</si>
  <si>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</si>
  <si>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</si>
  <si>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</si>
  <si>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</si>
  <si>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</si>
  <si>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</si>
  <si>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</si>
  <si>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</si>
  <si>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</si>
  <si>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</si>
  <si>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</si>
  <si>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</si>
  <si>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</si>
  <si>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Magyar Önkormányzatok Szövetsége tagdíj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</si>
  <si>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</si>
  <si>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</si>
  <si>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</si>
  <si>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</si>
  <si>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</si>
  <si>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</si>
  <si>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</si>
  <si>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</si>
  <si>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</si>
  <si>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</si>
  <si>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</si>
  <si>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</si>
  <si>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</si>
  <si>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</si>
  <si>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</si>
  <si>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</si>
  <si>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</si>
  <si>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</si>
  <si>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</si>
  <si>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</si>
  <si>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</si>
  <si>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</si>
  <si>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</si>
  <si>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</si>
  <si>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</si>
  <si>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</si>
  <si>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</si>
  <si>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</si>
  <si>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</si>
  <si>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</si>
  <si>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</si>
  <si>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</si>
  <si>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</si>
  <si>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</si>
  <si>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Gyermekek támogatása</t>
  </si>
  <si>
    <t>2019.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</si>
  <si>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</si>
  <si>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</si>
  <si>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</si>
  <si>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</si>
  <si>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</si>
  <si>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</si>
  <si>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</si>
  <si>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</si>
  <si>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</si>
  <si>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</si>
  <si>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</si>
  <si>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</si>
  <si>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</si>
  <si>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</si>
  <si>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</si>
  <si>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</si>
  <si>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</si>
  <si>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066020 Zöldterület kezelés</t>
  </si>
  <si>
    <t>FELÚJÍTÁSI KIADÁSOK</t>
  </si>
  <si>
    <t>FELÚJÍTÁSOK ÖSSZESEN:</t>
  </si>
  <si>
    <t>045160 Közutak, hidak, alagutak üzemeltetése fenntartása</t>
  </si>
  <si>
    <t xml:space="preserve">2017. évi </t>
  </si>
  <si>
    <t>2017. évre</t>
  </si>
  <si>
    <t>2017. év</t>
  </si>
  <si>
    <t>( Ft-ban)</t>
  </si>
  <si>
    <t>2016. évről áthúzódó bérkompenzáció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</si>
  <si>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</si>
  <si>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</si>
  <si>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</si>
  <si>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</si>
  <si>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</si>
  <si>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</si>
  <si>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>2017. ÉVI EGYÉB MŰKÖDÉSI CÉLÚ TÁMOGATÁSAI</t>
  </si>
  <si>
    <t>2017.év</t>
  </si>
  <si>
    <t xml:space="preserve"> Ft-ban</t>
  </si>
  <si>
    <t>Ft-ban</t>
  </si>
  <si>
    <t>(2016. december 31-i állapot szerint)</t>
  </si>
  <si>
    <t>(  Ft-ban)</t>
  </si>
  <si>
    <t>2018-2020. év</t>
  </si>
  <si>
    <t>Fűkasza beszerzése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</si>
  <si>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</si>
  <si>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</si>
  <si>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</si>
  <si>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</si>
  <si>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</si>
  <si>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</si>
  <si>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</si>
  <si>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</si>
  <si>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</si>
  <si>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</si>
  <si>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</si>
  <si>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</si>
  <si>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</si>
  <si>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</si>
  <si>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</si>
  <si>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Egyéb építméy felújítása</t>
  </si>
  <si>
    <t>2016.évi Adósságkonszolidációban nem részesült önkormányzatok fejlesztési támogatásából áthúzódó összeg</t>
  </si>
  <si>
    <t>Felújítási célú előzetesen felszámított le nem vonható általános forgalmi adó</t>
  </si>
  <si>
    <t>tervezett  előirányzat      ( Ft)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</si>
  <si>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</si>
  <si>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</si>
  <si>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</si>
  <si>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</si>
  <si>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</si>
  <si>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</si>
  <si>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</si>
  <si>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</si>
  <si>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</si>
  <si>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</si>
  <si>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</si>
  <si>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</si>
  <si>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</si>
  <si>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</si>
  <si>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</si>
  <si>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</si>
  <si>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</si>
  <si>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</si>
  <si>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</si>
  <si>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</si>
  <si>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</si>
  <si>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</si>
  <si>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</si>
  <si>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</si>
  <si>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</si>
  <si>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</si>
  <si>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</si>
  <si>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sorszám</t>
  </si>
  <si>
    <t>tervezett előírányzat</t>
  </si>
  <si>
    <t>1.1</t>
  </si>
  <si>
    <t>Rendkívüli települési támogatás</t>
  </si>
  <si>
    <t>2020.</t>
  </si>
  <si>
    <t>6. melléklet  a  2/2017. (II.13.) önkormányzati rendelethez</t>
  </si>
  <si>
    <t>7. melléklet  a  2/2017. (II.13.) önkormányzati rendelethez</t>
  </si>
  <si>
    <t>12. melléklet a 2/2017. (II.13.) önkormányzati rendelethez</t>
  </si>
  <si>
    <t>13. melléklet  a  2/2017. (II.13.) önkormányzati rendelethez</t>
  </si>
  <si>
    <t>14. melléklet  a 2/2017. (II.13.) önkormányzati rendelethez</t>
  </si>
  <si>
    <t>közfoglalkoztatás támogatása</t>
  </si>
  <si>
    <t>Szociális ágazati összevont pótlék</t>
  </si>
  <si>
    <t>Hosszabb időtartamú közfoglalkoztatás</t>
  </si>
  <si>
    <t>041233</t>
  </si>
  <si>
    <t xml:space="preserve"> Ft </t>
  </si>
  <si>
    <t xml:space="preserve">       Tartalékok</t>
  </si>
  <si>
    <t xml:space="preserve">1.1.6. </t>
  </si>
  <si>
    <t>nyári diákmunka támogatása</t>
  </si>
  <si>
    <t xml:space="preserve"> Elszámolásból származó bevételek összesen:</t>
  </si>
  <si>
    <t>2016.évi ébes beszámoló 11/C űrlap alapján</t>
  </si>
  <si>
    <t>6. Elszámolásból származó bevételek</t>
  </si>
  <si>
    <t>Működési célú költségvetési és kiegészítő támogatás összesen:</t>
  </si>
  <si>
    <t>Polgármesteri béremelés különbözetének támogatására</t>
  </si>
  <si>
    <t>2017.évi bérkompenzációs támogatás</t>
  </si>
  <si>
    <t>Működési célú költségvetési és kiegészítő támogatás</t>
  </si>
  <si>
    <t>f,</t>
  </si>
  <si>
    <t>Települési arculati kézikönyv elkészítésének támogatása</t>
  </si>
  <si>
    <t>(Ft-ban)</t>
  </si>
  <si>
    <t>4.1</t>
  </si>
  <si>
    <t>3.1</t>
  </si>
  <si>
    <t>2.1</t>
  </si>
  <si>
    <t>Módosította: 1/2018 (II.13.)</t>
  </si>
  <si>
    <t>1.8.</t>
  </si>
  <si>
    <t>Áht-én belüli megelőlegezések ( 2018.évi nettó előleg)</t>
  </si>
  <si>
    <t>A kistelepülési önkormányzatok alacsony összegű fejlesztéseinek támogatására</t>
  </si>
  <si>
    <t>18..</t>
  </si>
  <si>
    <t>Betlehemi műtárgyak beszerzése</t>
  </si>
  <si>
    <t xml:space="preserve"> 011130 Önkormányzatok jogalkotó és általános igazgatási tevékenysége</t>
  </si>
  <si>
    <t>tervezett  előirányzat    ( Ft)</t>
  </si>
  <si>
    <t>sor-szám</t>
  </si>
  <si>
    <t>Önkormányzati feladat ellátást szolgáló fejlesztések támogatása pályázat önrésze</t>
  </si>
  <si>
    <t>Kossuth, Petőfi és Vasút utcák kátyúzása</t>
  </si>
  <si>
    <t xml:space="preserve"> temetőben térburkolt gyalogút kivitelezése</t>
  </si>
  <si>
    <t>20.</t>
  </si>
  <si>
    <t>Áht-n belüli megelőlegezések</t>
  </si>
  <si>
    <t>11. melléklet az 2/2017. (II.13.) önkormányzati rendelethez</t>
  </si>
  <si>
    <t>10. melléklet az 2/2017. (II.13.) önkormányzati rendelethez</t>
  </si>
  <si>
    <t>9. melléklet az 2/2017. (II.13.) önkormányzati rendelethez</t>
  </si>
  <si>
    <t>8. melléklet az 2/2017. (II.13.) önkormányzati rendelethez</t>
  </si>
  <si>
    <t>5. melléklet az 2/2017. (II.13.) önkormányzati rendelethez</t>
  </si>
  <si>
    <t>4. melléklet az 2/2017. (II.13.) önkormányzati rendelethez</t>
  </si>
  <si>
    <t>3. melléklet az 2/2017. (II.13.) önkormányzati rendelethez</t>
  </si>
  <si>
    <t>2. melléklet az 2/2017. (II.13.) önkormányzati rendelethez</t>
  </si>
  <si>
    <t>1. melléklet az 2/2017. (II.13.)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</si>
</sst>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1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3" xfId="59" applyFont="1" applyBorder="1" applyAlignment="1">
      <alignment horizontal="left"/>
      <protection/>
    </xf>
    <xf numFmtId="0" fontId="10" fillId="0" borderId="13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6" fillId="0" borderId="14" xfId="59" applyFont="1" applyBorder="1" applyAlignment="1">
      <alignment/>
      <protection/>
    </xf>
    <xf numFmtId="0" fontId="6" fillId="0" borderId="16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21" xfId="59" applyFont="1" applyBorder="1" applyAlignment="1">
      <alignment horizontal="right"/>
      <protection/>
    </xf>
    <xf numFmtId="0" fontId="10" fillId="0" borderId="21" xfId="59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0" fontId="6" fillId="0" borderId="0" xfId="60" applyFont="1">
      <alignment/>
      <protection/>
    </xf>
    <xf numFmtId="0" fontId="6" fillId="0" borderId="22" xfId="60" applyFont="1" applyBorder="1" applyAlignment="1">
      <alignment horizontal="right"/>
      <protection/>
    </xf>
    <xf numFmtId="0" fontId="6" fillId="0" borderId="22" xfId="60" applyFont="1" applyBorder="1">
      <alignment/>
      <protection/>
    </xf>
    <xf numFmtId="168" fontId="6" fillId="0" borderId="22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21" fillId="0" borderId="22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23" xfId="61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20" fillId="0" borderId="0" xfId="0" applyFont="1" applyAlignment="1">
      <alignment/>
    </xf>
    <xf numFmtId="0" fontId="8" fillId="0" borderId="24" xfId="61" applyFont="1" applyBorder="1">
      <alignment/>
      <protection/>
    </xf>
    <xf numFmtId="0" fontId="8" fillId="0" borderId="22" xfId="61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4" xfId="58" applyFont="1" applyBorder="1" applyAlignment="1">
      <alignment horizontal="centerContinuous"/>
      <protection/>
    </xf>
    <xf numFmtId="0" fontId="6" fillId="0" borderId="15" xfId="58" applyFont="1" applyBorder="1" applyAlignment="1">
      <alignment horizontal="centerContinuous"/>
      <protection/>
    </xf>
    <xf numFmtId="0" fontId="6" fillId="0" borderId="22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29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29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0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10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168" fontId="10" fillId="0" borderId="0" xfId="0" applyNumberFormat="1" applyFont="1" applyAlignment="1">
      <alignment wrapText="1"/>
    </xf>
    <xf numFmtId="0" fontId="9" fillId="0" borderId="18" xfId="61" applyFont="1" applyBorder="1" applyAlignment="1">
      <alignment horizontal="left" vertical="center" wrapText="1"/>
      <protection/>
    </xf>
    <xf numFmtId="3" fontId="9" fillId="0" borderId="31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8" fillId="0" borderId="24" xfId="61" applyNumberFormat="1" applyFont="1" applyBorder="1" applyAlignment="1">
      <alignment horizontal="right"/>
      <protection/>
    </xf>
    <xf numFmtId="3" fontId="9" fillId="0" borderId="32" xfId="61" applyNumberFormat="1" applyFont="1" applyBorder="1">
      <alignment/>
      <protection/>
    </xf>
    <xf numFmtId="3" fontId="9" fillId="0" borderId="33" xfId="61" applyNumberFormat="1" applyFont="1" applyBorder="1">
      <alignment/>
      <protection/>
    </xf>
    <xf numFmtId="3" fontId="9" fillId="0" borderId="31" xfId="62" applyNumberFormat="1" applyFont="1" applyBorder="1">
      <alignment/>
      <protection/>
    </xf>
    <xf numFmtId="3" fontId="9" fillId="0" borderId="28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20" fillId="0" borderId="20" xfId="61" applyNumberFormat="1" applyFont="1" applyBorder="1" applyAlignment="1">
      <alignment horizontal="right"/>
      <protection/>
    </xf>
    <xf numFmtId="3" fontId="20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20" fillId="0" borderId="33" xfId="61" applyNumberFormat="1" applyFont="1" applyBorder="1">
      <alignment/>
      <protection/>
    </xf>
    <xf numFmtId="3" fontId="20" fillId="0" borderId="34" xfId="62" applyNumberFormat="1" applyFont="1" applyBorder="1">
      <alignment/>
      <protection/>
    </xf>
    <xf numFmtId="3" fontId="20" fillId="0" borderId="21" xfId="62" applyNumberFormat="1" applyFont="1" applyBorder="1">
      <alignment/>
      <protection/>
    </xf>
    <xf numFmtId="3" fontId="9" fillId="0" borderId="32" xfId="62" applyNumberFormat="1" applyFont="1" applyBorder="1">
      <alignment/>
      <protection/>
    </xf>
    <xf numFmtId="3" fontId="8" fillId="0" borderId="22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left" wrapText="1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49" fontId="9" fillId="0" borderId="0" xfId="61" applyNumberFormat="1" applyFont="1">
      <alignment/>
      <protection/>
    </xf>
    <xf numFmtId="49" fontId="15" fillId="0" borderId="0" xfId="61" applyNumberFormat="1" applyFont="1">
      <alignment/>
      <protection/>
    </xf>
    <xf numFmtId="0" fontId="9" fillId="0" borderId="0" xfId="61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49" fontId="10" fillId="0" borderId="0" xfId="58" applyNumberFormat="1" applyFont="1">
      <alignment/>
      <protection/>
    </xf>
    <xf numFmtId="0" fontId="6" fillId="0" borderId="0" xfId="58" applyFont="1" applyAlignment="1">
      <alignment horizontal="left" vertical="center"/>
      <protection/>
    </xf>
    <xf numFmtId="49" fontId="8" fillId="0" borderId="0" xfId="58" applyNumberFormat="1" applyFont="1" applyAlignment="1">
      <alignment horizontal="left" vertical="center"/>
      <protection/>
    </xf>
    <xf numFmtId="49" fontId="10" fillId="0" borderId="0" xfId="58" applyNumberFormat="1" applyFont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168" fontId="9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70" fontId="10" fillId="0" borderId="0" xfId="42" applyNumberFormat="1" applyFont="1" applyAlignment="1">
      <alignment horizontal="center"/>
    </xf>
    <xf numFmtId="170" fontId="10" fillId="0" borderId="0" xfId="42" applyNumberFormat="1" applyFont="1" applyBorder="1" applyAlignment="1">
      <alignment horizontal="center"/>
    </xf>
    <xf numFmtId="168" fontId="10" fillId="0" borderId="0" xfId="42" applyNumberFormat="1" applyFont="1" applyBorder="1" applyAlignment="1">
      <alignment horizontal="center"/>
    </xf>
    <xf numFmtId="168" fontId="10" fillId="0" borderId="0" xfId="42" applyNumberFormat="1" applyFont="1" applyAlignment="1">
      <alignment wrapText="1"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10" fillId="0" borderId="0" xfId="42" applyNumberFormat="1" applyFont="1" applyBorder="1" applyAlignment="1">
      <alignment horizontal="center"/>
    </xf>
    <xf numFmtId="168" fontId="19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19" fillId="0" borderId="0" xfId="42" applyNumberFormat="1" applyFont="1" applyAlignment="1">
      <alignment wrapText="1"/>
    </xf>
    <xf numFmtId="168" fontId="4" fillId="0" borderId="22" xfId="42" applyNumberFormat="1" applyFont="1" applyBorder="1" applyAlignment="1">
      <alignment/>
    </xf>
    <xf numFmtId="168" fontId="4" fillId="0" borderId="33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36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21" fillId="0" borderId="37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 wrapText="1"/>
    </xf>
    <xf numFmtId="168" fontId="21" fillId="0" borderId="14" xfId="42" applyNumberFormat="1" applyFont="1" applyBorder="1" applyAlignment="1">
      <alignment horizontal="center"/>
    </xf>
    <xf numFmtId="168" fontId="21" fillId="0" borderId="0" xfId="42" applyNumberFormat="1" applyFont="1" applyAlignment="1">
      <alignment horizontal="centerContinuous"/>
    </xf>
    <xf numFmtId="0" fontId="10" fillId="0" borderId="0" xfId="62" applyFont="1">
      <alignment/>
      <protection/>
    </xf>
    <xf numFmtId="0" fontId="4" fillId="0" borderId="0" xfId="0" applyFont="1" applyAlignment="1">
      <alignment vertical="center"/>
    </xf>
    <xf numFmtId="0" fontId="8" fillId="0" borderId="22" xfId="62" applyFont="1" applyBorder="1" applyAlignment="1">
      <alignment vertical="center"/>
      <protection/>
    </xf>
    <xf numFmtId="0" fontId="8" fillId="0" borderId="24" xfId="62" applyFont="1" applyBorder="1" applyAlignment="1">
      <alignment vertical="center"/>
      <protection/>
    </xf>
    <xf numFmtId="168" fontId="2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6" fillId="0" borderId="21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4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right"/>
    </xf>
    <xf numFmtId="168" fontId="16" fillId="0" borderId="0" xfId="42" applyNumberFormat="1" applyFont="1" applyAlignment="1">
      <alignment/>
    </xf>
    <xf numFmtId="49" fontId="10" fillId="0" borderId="0" xfId="0" applyNumberFormat="1" applyFont="1" applyAlignment="1">
      <alignment/>
    </xf>
    <xf numFmtId="169" fontId="10" fillId="0" borderId="0" xfId="42" applyNumberFormat="1" applyFont="1" applyAlignment="1">
      <alignment/>
    </xf>
    <xf numFmtId="168" fontId="10" fillId="0" borderId="38" xfId="42" applyNumberFormat="1" applyFont="1" applyBorder="1" applyAlignment="1">
      <alignment/>
    </xf>
    <xf numFmtId="168" fontId="10" fillId="0" borderId="39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6" fillId="0" borderId="40" xfId="42" applyNumberFormat="1" applyFont="1" applyBorder="1" applyAlignment="1">
      <alignment/>
    </xf>
    <xf numFmtId="168" fontId="10" fillId="0" borderId="33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41" xfId="42" applyNumberFormat="1" applyFont="1" applyBorder="1" applyAlignment="1">
      <alignment/>
    </xf>
    <xf numFmtId="168" fontId="10" fillId="0" borderId="21" xfId="42" applyNumberFormat="1" applyFont="1" applyFill="1" applyBorder="1" applyAlignment="1">
      <alignment/>
    </xf>
    <xf numFmtId="168" fontId="10" fillId="0" borderId="32" xfId="42" applyNumberFormat="1" applyFont="1" applyFill="1" applyBorder="1" applyAlignment="1">
      <alignment/>
    </xf>
    <xf numFmtId="168" fontId="27" fillId="0" borderId="32" xfId="42" applyNumberFormat="1" applyFont="1" applyFill="1" applyBorder="1" applyAlignment="1">
      <alignment/>
    </xf>
    <xf numFmtId="168" fontId="27" fillId="0" borderId="21" xfId="42" applyNumberFormat="1" applyFont="1" applyFill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16" xfId="42" applyNumberFormat="1" applyFont="1" applyBorder="1" applyAlignment="1">
      <alignment/>
    </xf>
    <xf numFmtId="168" fontId="10" fillId="0" borderId="42" xfId="42" applyNumberFormat="1" applyFont="1" applyBorder="1" applyAlignment="1">
      <alignment/>
    </xf>
    <xf numFmtId="168" fontId="10" fillId="0" borderId="43" xfId="42" applyNumberFormat="1" applyFont="1" applyBorder="1" applyAlignment="1">
      <alignment/>
    </xf>
    <xf numFmtId="168" fontId="10" fillId="0" borderId="44" xfId="42" applyNumberFormat="1" applyFont="1" applyBorder="1" applyAlignment="1">
      <alignment/>
    </xf>
    <xf numFmtId="168" fontId="10" fillId="0" borderId="45" xfId="42" applyNumberFormat="1" applyFont="1" applyBorder="1" applyAlignment="1">
      <alignment horizontal="center"/>
    </xf>
    <xf numFmtId="168" fontId="10" fillId="0" borderId="46" xfId="42" applyNumberFormat="1" applyFont="1" applyBorder="1" applyAlignment="1">
      <alignment horizontal="center"/>
    </xf>
    <xf numFmtId="168" fontId="10" fillId="0" borderId="47" xfId="42" applyNumberFormat="1" applyFont="1" applyBorder="1" applyAlignment="1">
      <alignment horizontal="center"/>
    </xf>
    <xf numFmtId="168" fontId="10" fillId="0" borderId="15" xfId="42" applyNumberFormat="1" applyFont="1" applyBorder="1" applyAlignment="1">
      <alignment horizontal="center"/>
    </xf>
    <xf numFmtId="168" fontId="10" fillId="0" borderId="14" xfId="42" applyNumberFormat="1" applyFont="1" applyBorder="1" applyAlignment="1">
      <alignment/>
    </xf>
    <xf numFmtId="168" fontId="10" fillId="0" borderId="48" xfId="42" applyNumberFormat="1" applyFont="1" applyBorder="1" applyAlignment="1">
      <alignment/>
    </xf>
    <xf numFmtId="168" fontId="10" fillId="0" borderId="49" xfId="42" applyNumberFormat="1" applyFont="1" applyBorder="1" applyAlignment="1">
      <alignment/>
    </xf>
    <xf numFmtId="168" fontId="6" fillId="0" borderId="49" xfId="42" applyNumberFormat="1" applyFont="1" applyBorder="1" applyAlignment="1">
      <alignment/>
    </xf>
    <xf numFmtId="168" fontId="6" fillId="0" borderId="48" xfId="42" applyNumberFormat="1" applyFont="1" applyBorder="1" applyAlignment="1">
      <alignment/>
    </xf>
    <xf numFmtId="168" fontId="6" fillId="0" borderId="50" xfId="42" applyNumberFormat="1" applyFont="1" applyBorder="1" applyAlignment="1">
      <alignment/>
    </xf>
    <xf numFmtId="168" fontId="6" fillId="0" borderId="14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78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49" fontId="1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9" fillId="0" borderId="51" xfId="61" applyFont="1" applyBorder="1" applyAlignment="1">
      <alignment horizontal="left" wrapText="1"/>
      <protection/>
    </xf>
    <xf numFmtId="168" fontId="24" fillId="0" borderId="0" xfId="42" applyNumberFormat="1" applyFont="1" applyAlignment="1">
      <alignment horizontal="right"/>
    </xf>
    <xf numFmtId="3" fontId="4" fillId="0" borderId="0" xfId="62" applyNumberFormat="1" applyFont="1">
      <alignment/>
      <protection/>
    </xf>
    <xf numFmtId="168" fontId="7" fillId="0" borderId="22" xfId="42" applyNumberFormat="1" applyFont="1" applyBorder="1" applyAlignment="1">
      <alignment vertical="center"/>
    </xf>
    <xf numFmtId="16" fontId="0" fillId="0" borderId="0" xfId="0" applyNumberFormat="1" applyAlignment="1" quotePrefix="1">
      <alignment/>
    </xf>
    <xf numFmtId="0" fontId="34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59" applyFont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52" xfId="59" applyFont="1" applyBorder="1" applyAlignment="1">
      <alignment horizontal="center" vertical="center"/>
      <protection/>
    </xf>
    <xf numFmtId="0" fontId="10" fillId="0" borderId="37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53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54" xfId="59" applyFont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8" fillId="0" borderId="0" xfId="59" applyFont="1" applyAlignment="1">
      <alignment horizontal="center"/>
      <protection/>
    </xf>
    <xf numFmtId="0" fontId="24" fillId="0" borderId="14" xfId="59" applyFont="1" applyBorder="1" applyAlignment="1">
      <alignment horizontal="center" textRotation="255"/>
      <protection/>
    </xf>
    <xf numFmtId="0" fontId="24" fillId="0" borderId="15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168" fontId="21" fillId="0" borderId="55" xfId="42" applyNumberFormat="1" applyFont="1" applyBorder="1" applyAlignment="1">
      <alignment horizontal="center"/>
    </xf>
    <xf numFmtId="168" fontId="21" fillId="0" borderId="56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52" xfId="42" applyNumberFormat="1" applyFont="1" applyBorder="1" applyAlignment="1">
      <alignment horizontal="center"/>
    </xf>
    <xf numFmtId="168" fontId="21" fillId="0" borderId="37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53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13" xfId="42" applyNumberFormat="1" applyFont="1" applyBorder="1" applyAlignment="1">
      <alignment horizontal="center"/>
    </xf>
    <xf numFmtId="168" fontId="21" fillId="0" borderId="54" xfId="42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5" fillId="0" borderId="0" xfId="62" applyFont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/>
      <protection/>
    </xf>
    <xf numFmtId="0" fontId="9" fillId="0" borderId="55" xfId="59" applyFont="1" applyBorder="1" applyAlignment="1">
      <alignment horizontal="center"/>
      <protection/>
    </xf>
    <xf numFmtId="0" fontId="9" fillId="0" borderId="56" xfId="59" applyFont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textRotation="255"/>
      <protection/>
    </xf>
    <xf numFmtId="0" fontId="9" fillId="0" borderId="15" xfId="59" applyFont="1" applyBorder="1" applyAlignment="1">
      <alignment horizontal="center" textRotation="255"/>
      <protection/>
    </xf>
    <xf numFmtId="0" fontId="9" fillId="0" borderId="16" xfId="59" applyFont="1" applyBorder="1" applyAlignment="1">
      <alignment horizontal="center" textRotation="255"/>
      <protection/>
    </xf>
    <xf numFmtId="0" fontId="9" fillId="0" borderId="14" xfId="59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5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24" xfId="59" applyFont="1" applyBorder="1" applyAlignment="1">
      <alignment horizontal="center" wrapText="1"/>
      <protection/>
    </xf>
    <xf numFmtId="0" fontId="9" fillId="0" borderId="55" xfId="59" applyFont="1" applyBorder="1" applyAlignment="1">
      <alignment horizontal="center" wrapText="1"/>
      <protection/>
    </xf>
    <xf numFmtId="0" fontId="9" fillId="0" borderId="56" xfId="59" applyFont="1" applyBorder="1" applyAlignment="1">
      <alignment horizontal="center" wrapText="1"/>
      <protection/>
    </xf>
    <xf numFmtId="0" fontId="9" fillId="0" borderId="0" xfId="0" applyFont="1" applyAlignment="1">
      <alignment horizontal="right"/>
    </xf>
    <xf numFmtId="0" fontId="9" fillId="0" borderId="13" xfId="62" applyFont="1" applyBorder="1" applyAlignment="1">
      <alignment horizontal="right"/>
      <protection/>
    </xf>
    <xf numFmtId="0" fontId="7" fillId="0" borderId="0" xfId="62" applyFont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54" xfId="59" applyFont="1" applyBorder="1" applyAlignment="1">
      <alignment horizontal="center"/>
      <protection/>
    </xf>
    <xf numFmtId="44" fontId="9" fillId="0" borderId="24" xfId="66" applyFont="1" applyBorder="1" applyAlignment="1">
      <alignment horizontal="center"/>
    </xf>
    <xf numFmtId="44" fontId="9" fillId="0" borderId="55" xfId="66" applyFont="1" applyBorder="1" applyAlignment="1">
      <alignment horizontal="center"/>
    </xf>
    <xf numFmtId="44" fontId="9" fillId="0" borderId="56" xfId="66" applyFont="1" applyBorder="1" applyAlignment="1">
      <alignment horizontal="center"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/>
      <protection/>
    </xf>
    <xf numFmtId="0" fontId="7" fillId="0" borderId="53" xfId="59" applyFont="1" applyBorder="1" applyAlignment="1">
      <alignment horizontal="center"/>
      <protection/>
    </xf>
    <xf numFmtId="0" fontId="24" fillId="0" borderId="16" xfId="59" applyFont="1" applyBorder="1" applyAlignment="1">
      <alignment horizontal="center" textRotation="255"/>
      <protection/>
    </xf>
    <xf numFmtId="0" fontId="6" fillId="0" borderId="0" xfId="59" applyFont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0" fillId="0" borderId="0" xfId="61" applyFont="1" applyBorder="1" applyAlignment="1">
      <alignment horizontal="left" wrapText="1"/>
      <protection/>
    </xf>
    <xf numFmtId="0" fontId="10" fillId="0" borderId="0" xfId="61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61" applyFont="1" applyBorder="1" applyAlignment="1">
      <alignment horizontal="left" wrapText="1"/>
      <protection/>
    </xf>
    <xf numFmtId="0" fontId="8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5" fillId="0" borderId="0" xfId="59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59" applyFont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52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8" fontId="10" fillId="0" borderId="26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wrapText="1"/>
    </xf>
    <xf numFmtId="0" fontId="28" fillId="0" borderId="46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168" fontId="10" fillId="0" borderId="26" xfId="40" applyNumberFormat="1" applyFont="1" applyBorder="1" applyAlignment="1">
      <alignment horizontal="center"/>
    </xf>
    <xf numFmtId="168" fontId="10" fillId="0" borderId="46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4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7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4" xfId="40" applyNumberFormat="1" applyFont="1" applyBorder="1" applyAlignment="1">
      <alignment horizontal="center"/>
    </xf>
    <xf numFmtId="168" fontId="10" fillId="0" borderId="61" xfId="40" applyNumberFormat="1" applyFont="1" applyBorder="1" applyAlignment="1">
      <alignment horizontal="center"/>
    </xf>
    <xf numFmtId="168" fontId="10" fillId="0" borderId="62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4" xfId="58" applyFont="1" applyBorder="1" applyAlignment="1">
      <alignment horizontal="center"/>
      <protection/>
    </xf>
    <xf numFmtId="0" fontId="6" fillId="0" borderId="55" xfId="58" applyFont="1" applyBorder="1" applyAlignment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22" xfId="0" applyFont="1" applyBorder="1" applyAlignment="1">
      <alignment vertical="center"/>
    </xf>
    <xf numFmtId="3" fontId="1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1" fillId="0" borderId="0" xfId="0" applyFont="1" applyAlignment="1">
      <alignment/>
    </xf>
    <xf numFmtId="16" fontId="10" fillId="0" borderId="0" xfId="0" applyNumberFormat="1" applyFont="1" applyAlignment="1" quotePrefix="1">
      <alignment/>
    </xf>
    <xf numFmtId="0" fontId="3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1" fillId="0" borderId="0" xfId="61" applyFont="1" applyBorder="1" applyAlignment="1" quotePrefix="1">
      <alignment horizontal="left" wrapText="1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 quotePrefix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21" xfId="0" applyFont="1" applyBorder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J1">
      <selection activeCell="J1" sqref="A1:IV16384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92" t="s">
        <v>352</v>
      </c>
      <c r="O42" s="392"/>
      <c r="P42" s="392"/>
      <c r="Q42" s="392"/>
      <c r="R42" s="392"/>
      <c r="S42" s="392"/>
      <c r="T42" s="392"/>
      <c r="U42" s="392"/>
      <c r="V42" s="392"/>
    </row>
    <row r="43" spans="14:21" ht="22.5">
      <c r="N43" s="392"/>
      <c r="O43" s="392"/>
      <c r="P43" s="392"/>
      <c r="Q43" s="392"/>
      <c r="R43" s="392"/>
      <c r="S43" s="392"/>
      <c r="T43" s="392"/>
      <c r="U43" s="392"/>
    </row>
    <row r="44" spans="14:22" ht="22.5">
      <c r="N44" s="392" t="s">
        <v>391</v>
      </c>
      <c r="O44" s="392"/>
      <c r="P44" s="392"/>
      <c r="Q44" s="392"/>
      <c r="R44" s="392"/>
      <c r="S44" s="392"/>
      <c r="T44" s="392"/>
      <c r="U44" s="392"/>
      <c r="V44" s="392"/>
    </row>
    <row r="45" spans="14:22" ht="22.5">
      <c r="N45" s="392" t="s">
        <v>353</v>
      </c>
      <c r="O45" s="392"/>
      <c r="P45" s="392"/>
      <c r="Q45" s="392"/>
      <c r="R45" s="392"/>
      <c r="S45" s="392"/>
      <c r="T45" s="392"/>
      <c r="U45" s="392"/>
      <c r="V45" s="392"/>
    </row>
    <row r="47" spans="15:21" ht="12.75" customHeight="1">
      <c r="O47" s="392" t="s">
        <v>487</v>
      </c>
      <c r="P47" s="392"/>
      <c r="Q47" s="392"/>
      <c r="R47" s="392"/>
      <c r="S47" s="392"/>
      <c r="T47" s="392"/>
      <c r="U47" s="392"/>
    </row>
    <row r="48" spans="15:21" ht="12.75" customHeight="1">
      <c r="O48" s="392"/>
      <c r="P48" s="392"/>
      <c r="Q48" s="392"/>
      <c r="R48" s="392"/>
      <c r="S48" s="392"/>
      <c r="T48" s="392"/>
      <c r="U48" s="392"/>
    </row>
    <row r="53" spans="14:16" s="148" customFormat="1" ht="15.75">
      <c r="N53" s="232"/>
      <c r="O53" s="19"/>
      <c r="P53" s="22"/>
    </row>
  </sheetData>
  <sheetProtection password="AF00" sheet="1" objects="1" scenarios="1" selectLockedCells="1" selectUnlockedCells="1"/>
  <mergeCells count="5">
    <mergeCell ref="N45:V45"/>
    <mergeCell ref="N43:U43"/>
    <mergeCell ref="N42:V42"/>
    <mergeCell ref="N44:V44"/>
    <mergeCell ref="O47:U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0" customWidth="1"/>
    <col min="2" max="2" width="68.625" style="0" customWidth="1"/>
    <col min="3" max="3" width="12.125" style="0" customWidth="1"/>
  </cols>
  <sheetData>
    <row r="1" spans="2:3" ht="15.75">
      <c r="B1" s="413" t="s">
        <v>503</v>
      </c>
      <c r="C1" s="520"/>
    </row>
    <row r="3" spans="1:2" ht="12.75">
      <c r="A3" s="627"/>
      <c r="B3" s="627"/>
    </row>
    <row r="8" ht="12.75">
      <c r="B8" s="649" t="s">
        <v>325</v>
      </c>
    </row>
    <row r="9" ht="12.75">
      <c r="B9" s="649" t="s">
        <v>388</v>
      </c>
    </row>
    <row r="10" ht="12.75">
      <c r="B10" s="649" t="s">
        <v>393</v>
      </c>
    </row>
    <row r="12" ht="13.5" thickBot="1"/>
    <row r="13" spans="1:3" ht="38.25" customHeight="1" thickBot="1">
      <c r="A13" s="648" t="s">
        <v>456</v>
      </c>
      <c r="B13" s="648" t="s">
        <v>0</v>
      </c>
      <c r="C13" s="388" t="s">
        <v>428</v>
      </c>
    </row>
    <row r="16" spans="1:2" ht="12.75">
      <c r="A16" t="s">
        <v>27</v>
      </c>
      <c r="B16" s="387" t="s">
        <v>390</v>
      </c>
    </row>
    <row r="18" spans="1:2" ht="17.25" customHeight="1">
      <c r="A18" s="386" t="s">
        <v>458</v>
      </c>
      <c r="B18" t="s">
        <v>425</v>
      </c>
    </row>
    <row r="19" spans="1:2" ht="33" customHeight="1">
      <c r="A19" s="647" t="s">
        <v>438</v>
      </c>
      <c r="B19" s="390" t="s">
        <v>426</v>
      </c>
    </row>
    <row r="20" spans="2:3" ht="20.25" customHeight="1">
      <c r="B20" t="s">
        <v>498</v>
      </c>
      <c r="C20" s="238">
        <v>4599710</v>
      </c>
    </row>
    <row r="21" spans="2:3" ht="15" customHeight="1">
      <c r="B21" t="s">
        <v>427</v>
      </c>
      <c r="C21" s="238">
        <v>1241922</v>
      </c>
    </row>
    <row r="22" spans="2:3" ht="18" customHeight="1">
      <c r="B22" s="239" t="s">
        <v>382</v>
      </c>
      <c r="C22" s="240">
        <f>C20+C21</f>
        <v>5841632</v>
      </c>
    </row>
    <row r="23" spans="2:3" ht="18" customHeight="1">
      <c r="B23" s="239"/>
      <c r="C23" s="240"/>
    </row>
    <row r="24" spans="1:5" ht="19.5" customHeight="1">
      <c r="A24" s="632" t="s">
        <v>439</v>
      </c>
      <c r="B24" s="188" t="s">
        <v>490</v>
      </c>
      <c r="C24" s="646"/>
      <c r="D24" s="646"/>
      <c r="E24" s="646"/>
    </row>
    <row r="25" spans="2:3" ht="13.5" customHeight="1">
      <c r="B25" t="s">
        <v>497</v>
      </c>
      <c r="C25" s="643">
        <v>787402</v>
      </c>
    </row>
    <row r="26" spans="2:3" ht="13.5" customHeight="1">
      <c r="B26" t="s">
        <v>427</v>
      </c>
      <c r="C26" s="643">
        <v>212598</v>
      </c>
    </row>
    <row r="27" spans="2:3" ht="13.5" customHeight="1">
      <c r="B27" s="239" t="s">
        <v>382</v>
      </c>
      <c r="C27" s="240">
        <f>C25+C26</f>
        <v>1000000</v>
      </c>
    </row>
    <row r="28" spans="2:3" ht="13.5" customHeight="1">
      <c r="B28" s="239"/>
      <c r="C28" s="240"/>
    </row>
    <row r="29" spans="1:3" ht="29.25" customHeight="1">
      <c r="A29" s="645" t="s">
        <v>440</v>
      </c>
      <c r="B29" s="644" t="s">
        <v>496</v>
      </c>
      <c r="C29" s="643">
        <v>1750236</v>
      </c>
    </row>
    <row r="30" spans="2:3" ht="13.5" customHeight="1">
      <c r="B30" t="s">
        <v>427</v>
      </c>
      <c r="C30" s="238">
        <v>472564</v>
      </c>
    </row>
    <row r="31" spans="2:3" ht="13.5" customHeight="1">
      <c r="B31" s="239" t="s">
        <v>382</v>
      </c>
      <c r="C31" s="240">
        <f>C29+C30</f>
        <v>2222800</v>
      </c>
    </row>
    <row r="32" spans="2:3" ht="13.5" customHeight="1">
      <c r="B32" s="239"/>
      <c r="C32" s="240"/>
    </row>
    <row r="34" spans="2:3" ht="12.75">
      <c r="B34" s="239" t="s">
        <v>389</v>
      </c>
      <c r="C34" s="240">
        <f>C22+C27+C31</f>
        <v>9064432</v>
      </c>
    </row>
  </sheetData>
  <sheetProtection password="AF00" sheet="1" objects="1" scenarios="1" selectLockedCells="1" selectUnlockedCells="1"/>
  <mergeCells count="2">
    <mergeCell ref="A3:B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333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6" ht="15.75">
      <c r="A1" s="413" t="s">
        <v>502</v>
      </c>
      <c r="B1" s="413"/>
      <c r="C1" s="413"/>
      <c r="D1" s="345"/>
      <c r="E1" s="345"/>
      <c r="F1" s="345"/>
    </row>
    <row r="3" spans="1:3" ht="15.75">
      <c r="A3" s="151"/>
      <c r="B3" s="151"/>
      <c r="C3" s="75"/>
    </row>
    <row r="4" s="111" customFormat="1" ht="15.75">
      <c r="C4" s="344"/>
    </row>
    <row r="6" spans="1:3" s="101" customFormat="1" ht="15.75">
      <c r="A6" s="522"/>
      <c r="B6" s="522"/>
      <c r="C6" s="522"/>
    </row>
    <row r="7" spans="1:3" ht="15.75">
      <c r="A7" s="523" t="s">
        <v>325</v>
      </c>
      <c r="B7" s="523"/>
      <c r="C7" s="523"/>
    </row>
    <row r="8" spans="1:3" ht="15.75">
      <c r="A8" s="400" t="s">
        <v>350</v>
      </c>
      <c r="B8" s="400"/>
      <c r="C8" s="400"/>
    </row>
    <row r="9" spans="1:3" ht="15.75">
      <c r="A9" s="400" t="s">
        <v>149</v>
      </c>
      <c r="B9" s="400"/>
      <c r="C9" s="400"/>
    </row>
    <row r="10" spans="1:3" ht="15.75">
      <c r="A10" s="400" t="s">
        <v>393</v>
      </c>
      <c r="B10" s="400"/>
      <c r="C10" s="400"/>
    </row>
    <row r="11" ht="16.5" thickBot="1">
      <c r="C11" s="343" t="s">
        <v>405</v>
      </c>
    </row>
    <row r="12" spans="1:3" ht="15.75">
      <c r="A12" s="118" t="s">
        <v>25</v>
      </c>
      <c r="B12" s="113"/>
      <c r="C12" s="339" t="s">
        <v>16</v>
      </c>
    </row>
    <row r="13" spans="1:3" ht="15.75">
      <c r="A13" s="114"/>
      <c r="B13" s="115" t="s">
        <v>0</v>
      </c>
      <c r="C13" s="338"/>
    </row>
    <row r="14" spans="1:3" ht="34.5" customHeight="1" thickBot="1">
      <c r="A14" s="116" t="s">
        <v>26</v>
      </c>
      <c r="B14" s="119"/>
      <c r="C14" s="337" t="s">
        <v>7</v>
      </c>
    </row>
    <row r="15" spans="1:3" ht="20.25" customHeight="1">
      <c r="A15" s="528" t="s">
        <v>150</v>
      </c>
      <c r="B15" s="528"/>
      <c r="C15" s="528"/>
    </row>
    <row r="16" spans="1:3" ht="20.25" customHeight="1">
      <c r="A16" s="120" t="s">
        <v>27</v>
      </c>
      <c r="B16" s="121" t="s">
        <v>151</v>
      </c>
      <c r="C16" s="342"/>
    </row>
    <row r="17" spans="1:3" ht="20.25" customHeight="1">
      <c r="A17" s="120"/>
      <c r="B17" s="22" t="s">
        <v>152</v>
      </c>
      <c r="C17" s="342">
        <f>'2.mell - bevétel'!H76</f>
        <v>22582480</v>
      </c>
    </row>
    <row r="18" spans="1:5" ht="20.25" customHeight="1">
      <c r="A18" s="120"/>
      <c r="B18" s="80" t="s">
        <v>153</v>
      </c>
      <c r="C18" s="342"/>
      <c r="D18" s="78"/>
      <c r="E18" s="78"/>
    </row>
    <row r="19" spans="1:3" ht="20.25" customHeight="1">
      <c r="A19" s="120" t="s">
        <v>21</v>
      </c>
      <c r="B19" s="121" t="s">
        <v>154</v>
      </c>
      <c r="C19" s="342">
        <f>'2.mell - bevétel'!H94</f>
        <v>1495000</v>
      </c>
    </row>
    <row r="20" spans="1:3" ht="20.25" customHeight="1">
      <c r="A20" s="120" t="s">
        <v>28</v>
      </c>
      <c r="B20" s="121" t="s">
        <v>155</v>
      </c>
      <c r="C20" s="342">
        <f>'2.mell - bevétel'!H108</f>
        <v>24495159</v>
      </c>
    </row>
    <row r="21" spans="1:3" ht="20.25" customHeight="1">
      <c r="A21" s="120" t="s">
        <v>66</v>
      </c>
      <c r="B21" s="122" t="s">
        <v>156</v>
      </c>
      <c r="C21" s="342"/>
    </row>
    <row r="22" spans="1:5" ht="36" customHeight="1">
      <c r="A22" s="120"/>
      <c r="B22" s="80" t="s">
        <v>157</v>
      </c>
      <c r="C22" s="342"/>
      <c r="D22" s="80"/>
      <c r="E22" s="80"/>
    </row>
    <row r="23" spans="1:3" ht="20.25" customHeight="1">
      <c r="A23" s="120"/>
      <c r="B23" s="22" t="s">
        <v>158</v>
      </c>
      <c r="C23" s="342"/>
    </row>
    <row r="24" spans="1:3" ht="36" customHeight="1">
      <c r="A24" s="123"/>
      <c r="B24" s="124" t="s">
        <v>159</v>
      </c>
      <c r="C24" s="335">
        <f>SUM(C17:C23)</f>
        <v>48572639</v>
      </c>
    </row>
    <row r="25" spans="1:3" ht="21" customHeight="1">
      <c r="A25" s="117" t="s">
        <v>67</v>
      </c>
      <c r="B25" s="121" t="s">
        <v>160</v>
      </c>
      <c r="C25" s="300">
        <f>'4.mell. - kiadás'!E33</f>
        <v>10139947</v>
      </c>
    </row>
    <row r="26" spans="1:3" ht="21" customHeight="1">
      <c r="A26" s="117" t="s">
        <v>72</v>
      </c>
      <c r="B26" s="121" t="s">
        <v>161</v>
      </c>
      <c r="C26" s="300">
        <f>'4.mell. - kiadás'!F33</f>
        <v>2266354</v>
      </c>
    </row>
    <row r="27" spans="1:3" ht="21" customHeight="1">
      <c r="A27" s="117" t="s">
        <v>162</v>
      </c>
      <c r="B27" s="125" t="s">
        <v>163</v>
      </c>
      <c r="C27" s="300">
        <f>'4.mell. - kiadás'!G33</f>
        <v>34095173</v>
      </c>
    </row>
    <row r="28" spans="1:3" ht="21" customHeight="1">
      <c r="A28" s="117" t="s">
        <v>164</v>
      </c>
      <c r="B28" s="125" t="s">
        <v>165</v>
      </c>
      <c r="C28" s="300">
        <f>'4.mell. - kiadás'!H33</f>
        <v>1421400</v>
      </c>
    </row>
    <row r="29" spans="1:3" ht="21" customHeight="1">
      <c r="A29" s="117" t="s">
        <v>166</v>
      </c>
      <c r="B29" s="125" t="s">
        <v>167</v>
      </c>
      <c r="C29" s="300"/>
    </row>
    <row r="30" spans="1:3" ht="15.75">
      <c r="A30" s="117"/>
      <c r="B30" s="126" t="s">
        <v>168</v>
      </c>
      <c r="C30" s="343">
        <f>'4.mell. - kiadás'!I33</f>
        <v>264190</v>
      </c>
    </row>
    <row r="31" spans="1:5" ht="15.75">
      <c r="A31" s="117"/>
      <c r="B31" s="126" t="s">
        <v>169</v>
      </c>
      <c r="C31" s="333">
        <f>'4.mell. - kiadás'!J33</f>
        <v>4372338</v>
      </c>
      <c r="E31" s="81"/>
    </row>
    <row r="32" spans="1:6" ht="33.75" customHeight="1">
      <c r="A32" s="123"/>
      <c r="B32" s="124" t="s">
        <v>170</v>
      </c>
      <c r="C32" s="335">
        <f>SUM(C25:C31)</f>
        <v>52559402</v>
      </c>
      <c r="E32" s="81"/>
      <c r="F32" s="81"/>
    </row>
    <row r="33" spans="1:6" ht="21.75" customHeight="1">
      <c r="A33" s="120"/>
      <c r="B33" s="121"/>
      <c r="C33" s="342"/>
      <c r="E33" s="81"/>
      <c r="F33" s="81"/>
    </row>
    <row r="34" spans="1:6" ht="22.5" customHeight="1">
      <c r="A34" s="120"/>
      <c r="B34" s="121"/>
      <c r="C34" s="342"/>
      <c r="E34" s="81"/>
      <c r="F34" s="81"/>
    </row>
    <row r="35" spans="1:6" ht="22.5" customHeight="1" thickBot="1">
      <c r="A35" s="120"/>
      <c r="B35" s="121"/>
      <c r="C35" s="342"/>
      <c r="E35" s="81"/>
      <c r="F35" s="81"/>
    </row>
    <row r="36" spans="1:3" ht="15.75">
      <c r="A36" s="118" t="s">
        <v>25</v>
      </c>
      <c r="B36" s="113"/>
      <c r="C36" s="339" t="s">
        <v>16</v>
      </c>
    </row>
    <row r="37" spans="1:3" ht="15.75">
      <c r="A37" s="114"/>
      <c r="B37" s="115" t="s">
        <v>0</v>
      </c>
      <c r="C37" s="338"/>
    </row>
    <row r="38" spans="1:3" ht="15.75" customHeight="1" thickBot="1">
      <c r="A38" s="116" t="s">
        <v>26</v>
      </c>
      <c r="B38" s="119"/>
      <c r="C38" s="337" t="s">
        <v>7</v>
      </c>
    </row>
    <row r="39" spans="1:3" ht="21" customHeight="1">
      <c r="A39" s="521" t="s">
        <v>171</v>
      </c>
      <c r="B39" s="521"/>
      <c r="C39" s="521"/>
    </row>
    <row r="40" spans="1:3" ht="21" customHeight="1">
      <c r="A40" s="117" t="s">
        <v>172</v>
      </c>
      <c r="B40" s="60" t="s">
        <v>173</v>
      </c>
      <c r="C40" s="333">
        <f>'2.mell - bevétel'!H82</f>
        <v>88489345</v>
      </c>
    </row>
    <row r="41" spans="1:2" ht="21" customHeight="1">
      <c r="A41" s="117" t="s">
        <v>174</v>
      </c>
      <c r="B41" s="60" t="s">
        <v>175</v>
      </c>
    </row>
    <row r="42" spans="1:2" ht="21" customHeight="1">
      <c r="A42" s="117" t="s">
        <v>176</v>
      </c>
      <c r="B42" s="122" t="s">
        <v>177</v>
      </c>
    </row>
    <row r="43" spans="1:2" ht="31.5" customHeight="1">
      <c r="A43" s="117"/>
      <c r="B43" s="96" t="s">
        <v>178</v>
      </c>
    </row>
    <row r="44" spans="1:2" ht="21" customHeight="1">
      <c r="A44" s="117"/>
      <c r="B44" s="53" t="s">
        <v>179</v>
      </c>
    </row>
    <row r="45" spans="1:5" ht="32.25" customHeight="1">
      <c r="A45" s="123"/>
      <c r="B45" s="124" t="s">
        <v>180</v>
      </c>
      <c r="C45" s="335">
        <f>SUM(C40:C44)</f>
        <v>88489345</v>
      </c>
      <c r="E45" s="81"/>
    </row>
    <row r="46" spans="1:3" ht="21" customHeight="1">
      <c r="A46" s="117" t="s">
        <v>181</v>
      </c>
      <c r="B46" s="60" t="s">
        <v>182</v>
      </c>
      <c r="C46" s="333">
        <f>'4.mell. - kiadás'!L33</f>
        <v>88865678</v>
      </c>
    </row>
    <row r="47" spans="1:3" ht="21" customHeight="1">
      <c r="A47" s="117" t="s">
        <v>183</v>
      </c>
      <c r="B47" s="60" t="s">
        <v>184</v>
      </c>
      <c r="C47" s="333">
        <f>'4.mell. - kiadás'!M33</f>
        <v>9064432</v>
      </c>
    </row>
    <row r="48" spans="1:2" ht="18.75" customHeight="1">
      <c r="A48" s="117" t="s">
        <v>185</v>
      </c>
      <c r="B48" s="122" t="s">
        <v>186</v>
      </c>
    </row>
    <row r="49" spans="1:2" ht="33" customHeight="1">
      <c r="A49" s="117"/>
      <c r="B49" s="96" t="s">
        <v>187</v>
      </c>
    </row>
    <row r="50" spans="1:2" ht="18" customHeight="1">
      <c r="A50" s="117"/>
      <c r="B50" s="126" t="s">
        <v>169</v>
      </c>
    </row>
    <row r="51" spans="1:6" s="9" customFormat="1" ht="27" customHeight="1" thickBot="1">
      <c r="A51" s="123"/>
      <c r="B51" s="124" t="s">
        <v>188</v>
      </c>
      <c r="C51" s="335">
        <f>SUM(C46:C50)</f>
        <v>97930110</v>
      </c>
      <c r="F51" s="127"/>
    </row>
    <row r="52" spans="1:3" s="9" customFormat="1" ht="27" customHeight="1" thickBot="1">
      <c r="A52" s="128"/>
      <c r="B52" s="129" t="s">
        <v>189</v>
      </c>
      <c r="C52" s="341">
        <f>C24+C45</f>
        <v>137061984</v>
      </c>
    </row>
    <row r="53" spans="1:6" s="9" customFormat="1" ht="27" customHeight="1" thickBot="1">
      <c r="A53" s="128"/>
      <c r="B53" s="129" t="s">
        <v>190</v>
      </c>
      <c r="C53" s="341">
        <f>C32+C51</f>
        <v>150489512</v>
      </c>
      <c r="F53" s="127"/>
    </row>
    <row r="54" spans="1:3" s="9" customFormat="1" ht="15.75">
      <c r="A54" s="130"/>
      <c r="B54" s="131"/>
      <c r="C54" s="340"/>
    </row>
    <row r="55" spans="1:3" s="132" customFormat="1" ht="16.5" thickBot="1">
      <c r="A55" s="131"/>
      <c r="B55" s="140"/>
      <c r="C55" s="336"/>
    </row>
    <row r="56" spans="1:3" s="132" customFormat="1" ht="19.5" customHeight="1">
      <c r="A56" s="118" t="s">
        <v>25</v>
      </c>
      <c r="B56" s="524" t="s">
        <v>0</v>
      </c>
      <c r="C56" s="339" t="s">
        <v>16</v>
      </c>
    </row>
    <row r="57" spans="1:3" s="132" customFormat="1" ht="15.75">
      <c r="A57" s="114"/>
      <c r="B57" s="525"/>
      <c r="C57" s="338"/>
    </row>
    <row r="58" spans="1:3" s="132" customFormat="1" ht="12" customHeight="1" thickBot="1">
      <c r="A58" s="116" t="s">
        <v>26</v>
      </c>
      <c r="B58" s="526"/>
      <c r="C58" s="337" t="s">
        <v>7</v>
      </c>
    </row>
    <row r="59" spans="1:3" s="132" customFormat="1" ht="15.75">
      <c r="A59" s="131"/>
      <c r="B59" s="140"/>
      <c r="C59" s="336"/>
    </row>
    <row r="60" spans="1:3" ht="15" customHeight="1">
      <c r="A60" s="527" t="s">
        <v>191</v>
      </c>
      <c r="B60" s="527"/>
      <c r="C60" s="527"/>
    </row>
    <row r="61" spans="1:3" ht="15" customHeight="1">
      <c r="A61" s="133"/>
      <c r="B61" s="133"/>
      <c r="C61" s="133"/>
    </row>
    <row r="62" spans="1:3" ht="20.25" customHeight="1">
      <c r="A62" s="123" t="s">
        <v>192</v>
      </c>
      <c r="B62" s="134" t="s">
        <v>193</v>
      </c>
      <c r="C62" s="335">
        <v>14128461</v>
      </c>
    </row>
    <row r="63" spans="1:4" ht="20.25" customHeight="1">
      <c r="A63" s="123" t="s">
        <v>195</v>
      </c>
      <c r="B63" s="650" t="s">
        <v>489</v>
      </c>
      <c r="C63" s="335">
        <v>815473</v>
      </c>
      <c r="D63" s="389"/>
    </row>
    <row r="64" spans="1:3" ht="21" customHeight="1">
      <c r="A64" s="123"/>
      <c r="B64" s="235" t="s">
        <v>194</v>
      </c>
      <c r="C64" s="334">
        <f>SUM(C62:C63)</f>
        <v>14943934</v>
      </c>
    </row>
    <row r="65" spans="1:3" ht="15.75">
      <c r="A65" s="120" t="s">
        <v>196</v>
      </c>
      <c r="B65" s="134" t="s">
        <v>375</v>
      </c>
      <c r="C65" s="335">
        <f>'4.mell. - kiadás'!P33</f>
        <v>1516406</v>
      </c>
    </row>
    <row r="66" spans="1:3" ht="15.75">
      <c r="A66" s="117" t="s">
        <v>252</v>
      </c>
      <c r="B66" s="134" t="s">
        <v>197</v>
      </c>
      <c r="C66" s="335"/>
    </row>
    <row r="67" spans="1:3" s="135" customFormat="1" ht="27" customHeight="1" thickBot="1">
      <c r="A67" s="123"/>
      <c r="B67" s="235" t="s">
        <v>198</v>
      </c>
      <c r="C67" s="334">
        <f>SUM(C65:C66)</f>
        <v>1516406</v>
      </c>
    </row>
    <row r="68" spans="1:5" s="135" customFormat="1" ht="27" customHeight="1" thickBot="1">
      <c r="A68" s="136"/>
      <c r="B68" s="137" t="s">
        <v>199</v>
      </c>
      <c r="C68" s="138">
        <f>C52+C64</f>
        <v>152005918</v>
      </c>
      <c r="E68" s="139"/>
    </row>
    <row r="69" spans="1:5" ht="27" customHeight="1" thickBot="1">
      <c r="A69" s="136"/>
      <c r="B69" s="137" t="s">
        <v>200</v>
      </c>
      <c r="C69" s="138">
        <f>C53+C67</f>
        <v>152005918</v>
      </c>
      <c r="E69" s="139"/>
    </row>
  </sheetData>
  <sheetProtection password="AF00" sheet="1" objects="1" scenarios="1" selectLockedCells="1" selectUnlockedCells="1"/>
  <mergeCells count="10">
    <mergeCell ref="A39:C39"/>
    <mergeCell ref="A1:C1"/>
    <mergeCell ref="A6:C6"/>
    <mergeCell ref="A7:C7"/>
    <mergeCell ref="B56:B58"/>
    <mergeCell ref="A60:C60"/>
    <mergeCell ref="A8:C8"/>
    <mergeCell ref="A9:C9"/>
    <mergeCell ref="A10:C10"/>
    <mergeCell ref="A15:C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1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53" customWidth="1"/>
    <col min="2" max="2" width="43.625" style="53" customWidth="1"/>
    <col min="3" max="10" width="15.375" style="300" customWidth="1"/>
    <col min="11" max="11" width="16.25390625" style="300" customWidth="1"/>
    <col min="12" max="12" width="15.375" style="300" customWidth="1"/>
    <col min="13" max="13" width="17.625" style="300" customWidth="1"/>
    <col min="14" max="14" width="16.375" style="300" customWidth="1"/>
    <col min="15" max="15" width="18.875" style="300" customWidth="1"/>
    <col min="16" max="16" width="12.625" style="53" bestFit="1" customWidth="1"/>
    <col min="17" max="16384" width="9.125" style="53" customWidth="1"/>
  </cols>
  <sheetData>
    <row r="1" spans="1:15" ht="15.75">
      <c r="A1" s="413" t="s">
        <v>501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3:15" s="231" customFormat="1" ht="15.75"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3:15" s="82" customFormat="1" ht="15.75"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6"/>
    </row>
    <row r="4" ht="15.75">
      <c r="O4" s="376"/>
    </row>
    <row r="5" spans="2:15" ht="15.75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6" spans="1:15" ht="15.75">
      <c r="A6" s="522"/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</row>
    <row r="7" spans="2:15" ht="15.75">
      <c r="B7" s="394" t="s">
        <v>325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</row>
    <row r="8" spans="2:15" ht="15.75">
      <c r="B8" s="394" t="s">
        <v>217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2:15" ht="15.75">
      <c r="B9" s="394" t="s">
        <v>393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</row>
    <row r="10" spans="3:15" ht="16.5" thickBot="1">
      <c r="C10" s="299"/>
      <c r="D10" s="299"/>
      <c r="E10" s="299"/>
      <c r="F10" s="375"/>
      <c r="G10" s="299"/>
      <c r="H10" s="299"/>
      <c r="I10" s="299"/>
      <c r="J10" s="299"/>
      <c r="O10" s="374" t="s">
        <v>483</v>
      </c>
    </row>
    <row r="11" spans="1:15" ht="15.75">
      <c r="A11" s="154" t="s">
        <v>25</v>
      </c>
      <c r="B11" s="155"/>
      <c r="C11" s="373"/>
      <c r="D11" s="372"/>
      <c r="E11" s="371"/>
      <c r="F11" s="370"/>
      <c r="G11" s="370"/>
      <c r="H11" s="370"/>
      <c r="I11" s="370"/>
      <c r="J11" s="370"/>
      <c r="K11" s="369"/>
      <c r="L11" s="369"/>
      <c r="M11" s="369"/>
      <c r="N11" s="368"/>
      <c r="O11" s="367"/>
    </row>
    <row r="12" spans="1:15" ht="15.75">
      <c r="A12" s="156"/>
      <c r="B12" s="157" t="s">
        <v>0</v>
      </c>
      <c r="C12" s="366" t="s">
        <v>218</v>
      </c>
      <c r="D12" s="365" t="s">
        <v>219</v>
      </c>
      <c r="E12" s="363" t="s">
        <v>220</v>
      </c>
      <c r="F12" s="364" t="s">
        <v>221</v>
      </c>
      <c r="G12" s="364" t="s">
        <v>222</v>
      </c>
      <c r="H12" s="364" t="s">
        <v>223</v>
      </c>
      <c r="I12" s="364" t="s">
        <v>224</v>
      </c>
      <c r="J12" s="364" t="s">
        <v>225</v>
      </c>
      <c r="K12" s="364" t="s">
        <v>226</v>
      </c>
      <c r="L12" s="364" t="s">
        <v>227</v>
      </c>
      <c r="M12" s="364" t="s">
        <v>228</v>
      </c>
      <c r="N12" s="363" t="s">
        <v>229</v>
      </c>
      <c r="O12" s="338" t="s">
        <v>214</v>
      </c>
    </row>
    <row r="13" spans="1:15" ht="16.5" thickBot="1">
      <c r="A13" s="158" t="s">
        <v>26</v>
      </c>
      <c r="B13" s="159"/>
      <c r="C13" s="359"/>
      <c r="D13" s="362"/>
      <c r="E13" s="360"/>
      <c r="F13" s="361"/>
      <c r="G13" s="361"/>
      <c r="H13" s="361"/>
      <c r="I13" s="361"/>
      <c r="J13" s="361"/>
      <c r="K13" s="361"/>
      <c r="L13" s="361"/>
      <c r="M13" s="361"/>
      <c r="N13" s="360"/>
      <c r="O13" s="359"/>
    </row>
    <row r="14" spans="1:15" ht="28.5" customHeight="1">
      <c r="A14" s="160"/>
      <c r="B14" s="161" t="s">
        <v>230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1"/>
    </row>
    <row r="15" spans="1:15" ht="28.5" customHeight="1">
      <c r="A15" s="160" t="s">
        <v>27</v>
      </c>
      <c r="B15" s="161" t="s">
        <v>231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1"/>
    </row>
    <row r="16" spans="1:15" ht="28.5" customHeight="1">
      <c r="A16" s="160"/>
      <c r="B16" s="161" t="s">
        <v>232</v>
      </c>
      <c r="C16" s="352">
        <f>918889+8001+13654-44600-1800</f>
        <v>894144</v>
      </c>
      <c r="D16" s="352">
        <f>1513711+4189+16093</f>
        <v>1533993</v>
      </c>
      <c r="E16" s="352">
        <f>1513711+16093</f>
        <v>1529804</v>
      </c>
      <c r="F16" s="352">
        <f>1513711+16093</f>
        <v>1529804</v>
      </c>
      <c r="G16" s="352">
        <f>1513711+16093</f>
        <v>1529804</v>
      </c>
      <c r="H16" s="352">
        <f>1513711+16093</f>
        <v>1529804</v>
      </c>
      <c r="I16" s="352">
        <f>1513711+16093</f>
        <v>1529804</v>
      </c>
      <c r="J16" s="352">
        <f>1513711+1000000+661875+55360+16092</f>
        <v>3247038</v>
      </c>
      <c r="K16" s="352">
        <f>1513711+16093</f>
        <v>1529804</v>
      </c>
      <c r="L16" s="352">
        <f>1513711+220625+16093</f>
        <v>1750429</v>
      </c>
      <c r="M16" s="352">
        <f>1513711+16092</f>
        <v>1529803</v>
      </c>
      <c r="N16" s="352">
        <f>1513711+16093-4189</f>
        <v>1525615</v>
      </c>
      <c r="O16" s="351">
        <f>SUM(C16:N16)</f>
        <v>19659846</v>
      </c>
    </row>
    <row r="17" spans="1:15" ht="28.5" customHeight="1">
      <c r="A17" s="160"/>
      <c r="B17" s="161" t="s">
        <v>233</v>
      </c>
      <c r="C17" s="352">
        <f>449683+44600</f>
        <v>494283</v>
      </c>
      <c r="D17" s="352"/>
      <c r="E17" s="352"/>
      <c r="F17" s="352">
        <v>447133</v>
      </c>
      <c r="G17" s="352"/>
      <c r="H17" s="352"/>
      <c r="I17" s="352">
        <v>177772</v>
      </c>
      <c r="J17" s="352">
        <f>962800+116664</f>
        <v>1079464</v>
      </c>
      <c r="K17" s="352">
        <v>361991</v>
      </c>
      <c r="L17" s="352"/>
      <c r="M17" s="352">
        <v>361991</v>
      </c>
      <c r="N17" s="352"/>
      <c r="O17" s="351">
        <f>SUM(C17:N17)</f>
        <v>2922634</v>
      </c>
    </row>
    <row r="18" spans="1:15" ht="28.5" customHeight="1">
      <c r="A18" s="160" t="s">
        <v>21</v>
      </c>
      <c r="B18" s="161" t="s">
        <v>234</v>
      </c>
      <c r="C18" s="352"/>
      <c r="D18" s="352"/>
      <c r="E18" s="352"/>
      <c r="F18" s="352"/>
      <c r="G18" s="352"/>
      <c r="H18" s="352"/>
      <c r="I18" s="352"/>
      <c r="J18" s="352"/>
      <c r="K18" s="352">
        <f>34800231*1.27</f>
        <v>44196293.37</v>
      </c>
      <c r="L18" s="352"/>
      <c r="M18" s="352">
        <v>1000000</v>
      </c>
      <c r="N18" s="352">
        <v>43293052</v>
      </c>
      <c r="O18" s="351">
        <f>SUM(C18:N18)</f>
        <v>88489345.37</v>
      </c>
    </row>
    <row r="19" spans="1:15" ht="15.75">
      <c r="A19" s="160" t="s">
        <v>28</v>
      </c>
      <c r="B19" s="161" t="s">
        <v>235</v>
      </c>
      <c r="C19" s="352">
        <v>23000</v>
      </c>
      <c r="D19" s="352">
        <v>83000</v>
      </c>
      <c r="E19" s="352">
        <v>415000</v>
      </c>
      <c r="F19" s="352">
        <v>69000</v>
      </c>
      <c r="G19" s="352">
        <v>64000</v>
      </c>
      <c r="H19" s="352">
        <v>24000</v>
      </c>
      <c r="I19" s="352">
        <v>9000</v>
      </c>
      <c r="J19" s="352">
        <v>120000</v>
      </c>
      <c r="K19" s="352">
        <v>410000</v>
      </c>
      <c r="L19" s="352">
        <v>22000</v>
      </c>
      <c r="M19" s="352">
        <v>184000</v>
      </c>
      <c r="N19" s="352">
        <v>72000</v>
      </c>
      <c r="O19" s="351">
        <f>SUM(C19:N19)</f>
        <v>1495000</v>
      </c>
    </row>
    <row r="20" spans="1:17" ht="15.75">
      <c r="A20" s="160" t="s">
        <v>66</v>
      </c>
      <c r="B20" s="161" t="s">
        <v>236</v>
      </c>
      <c r="C20" s="352">
        <v>72753</v>
      </c>
      <c r="D20" s="352">
        <v>72753</v>
      </c>
      <c r="E20" s="352">
        <v>72753</v>
      </c>
      <c r="F20" s="352">
        <v>72753</v>
      </c>
      <c r="G20" s="352">
        <v>72753</v>
      </c>
      <c r="H20" s="352">
        <v>72753</v>
      </c>
      <c r="I20" s="352">
        <v>72753</v>
      </c>
      <c r="J20" s="352">
        <v>72753</v>
      </c>
      <c r="K20" s="352">
        <v>72753</v>
      </c>
      <c r="L20" s="352">
        <v>72753</v>
      </c>
      <c r="M20" s="352">
        <v>72753</v>
      </c>
      <c r="N20" s="352">
        <v>23694876</v>
      </c>
      <c r="O20" s="351">
        <f>SUM(C20:N20)</f>
        <v>24495159</v>
      </c>
      <c r="P20" s="172"/>
      <c r="Q20" s="172"/>
    </row>
    <row r="21" spans="1:15" ht="15.75">
      <c r="A21" s="160" t="s">
        <v>67</v>
      </c>
      <c r="B21" s="162" t="s">
        <v>237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1">
        <f>SUM(C21:N21)</f>
        <v>0</v>
      </c>
    </row>
    <row r="22" spans="1:15" ht="15.75">
      <c r="A22" s="160" t="s">
        <v>72</v>
      </c>
      <c r="B22" s="162" t="s">
        <v>156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6"/>
      <c r="O22" s="351">
        <f>SUM(C22:N22)</f>
        <v>0</v>
      </c>
    </row>
    <row r="23" spans="1:15" ht="31.5">
      <c r="A23" s="160"/>
      <c r="B23" s="161" t="s">
        <v>238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  <c r="O23" s="351">
        <f>SUM(C23:N23)</f>
        <v>0</v>
      </c>
    </row>
    <row r="24" spans="1:15" ht="17.25" customHeight="1">
      <c r="A24" s="160"/>
      <c r="B24" s="161" t="s">
        <v>239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5"/>
      <c r="O24" s="351">
        <f>SUM(C24:N24)</f>
        <v>0</v>
      </c>
    </row>
    <row r="25" spans="1:15" ht="15.75">
      <c r="A25" s="160" t="s">
        <v>162</v>
      </c>
      <c r="B25" s="162" t="s">
        <v>240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5"/>
      <c r="O25" s="351">
        <f>SUM(C25:N25)</f>
        <v>0</v>
      </c>
    </row>
    <row r="26" spans="1:15" ht="47.25">
      <c r="A26" s="160"/>
      <c r="B26" s="171" t="s">
        <v>241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5"/>
      <c r="O26" s="351">
        <f>SUM(C26:N26)</f>
        <v>0</v>
      </c>
    </row>
    <row r="27" spans="1:15" ht="31.5">
      <c r="A27" s="160"/>
      <c r="B27" s="161" t="s">
        <v>242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5"/>
      <c r="O27" s="351">
        <f>SUM(C27:N27)</f>
        <v>0</v>
      </c>
    </row>
    <row r="28" spans="1:15" ht="15.75">
      <c r="A28" s="160" t="s">
        <v>164</v>
      </c>
      <c r="B28" s="162" t="s">
        <v>243</v>
      </c>
      <c r="C28" s="354">
        <v>2700933</v>
      </c>
      <c r="D28" s="354">
        <v>63487</v>
      </c>
      <c r="E28" s="354">
        <v>69464</v>
      </c>
      <c r="F28" s="354">
        <v>4500000</v>
      </c>
      <c r="G28" s="354">
        <v>6794577</v>
      </c>
      <c r="H28" s="354"/>
      <c r="I28" s="354"/>
      <c r="J28" s="354"/>
      <c r="K28" s="354"/>
      <c r="L28" s="354"/>
      <c r="M28" s="354"/>
      <c r="N28" s="355"/>
      <c r="O28" s="351">
        <f>SUM(C28:N28)</f>
        <v>14128461</v>
      </c>
    </row>
    <row r="29" spans="1:15" ht="15.75">
      <c r="A29" s="163" t="s">
        <v>166</v>
      </c>
      <c r="B29" s="164" t="s">
        <v>500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5">
        <v>815473</v>
      </c>
      <c r="O29" s="351">
        <f>SUM(C29:N29)</f>
        <v>815473</v>
      </c>
    </row>
    <row r="30" spans="1:15" ht="16.5" thickBot="1">
      <c r="A30" s="163" t="s">
        <v>172</v>
      </c>
      <c r="B30" s="164" t="s">
        <v>244</v>
      </c>
      <c r="C30" s="354"/>
      <c r="D30" s="354">
        <f>C49</f>
        <v>1892926</v>
      </c>
      <c r="E30" s="354">
        <f>D49</f>
        <v>1801233</v>
      </c>
      <c r="F30" s="354">
        <f>E49</f>
        <v>2160753</v>
      </c>
      <c r="G30" s="354">
        <f>F49</f>
        <v>995914</v>
      </c>
      <c r="H30" s="354">
        <f>G49</f>
        <v>3373704</v>
      </c>
      <c r="I30" s="354">
        <f>H49</f>
        <v>3165357</v>
      </c>
      <c r="J30" s="354">
        <f>I49</f>
        <v>2868717</v>
      </c>
      <c r="K30" s="354">
        <f>J49</f>
        <v>5221805</v>
      </c>
      <c r="L30" s="354">
        <f>K49</f>
        <v>5293390.369999997</v>
      </c>
      <c r="M30" s="354">
        <f>L49</f>
        <v>4067092.3699999973</v>
      </c>
      <c r="N30" s="354">
        <f>M49</f>
        <v>3140030.3699999973</v>
      </c>
      <c r="O30" s="351"/>
    </row>
    <row r="31" spans="1:16" s="19" customFormat="1" ht="27.75" customHeight="1" thickBot="1">
      <c r="A31" s="165"/>
      <c r="B31" s="165" t="s">
        <v>245</v>
      </c>
      <c r="C31" s="350">
        <f>SUM(C16:C30)</f>
        <v>4185113</v>
      </c>
      <c r="D31" s="350">
        <f>SUM(D16:D30)</f>
        <v>3646159</v>
      </c>
      <c r="E31" s="350">
        <f>SUM(E16:E30)</f>
        <v>3888254</v>
      </c>
      <c r="F31" s="350">
        <f>SUM(F16:F30)</f>
        <v>8779443</v>
      </c>
      <c r="G31" s="350">
        <f>SUM(G16:G30)</f>
        <v>9457048</v>
      </c>
      <c r="H31" s="350">
        <f>SUM(H16:H30)</f>
        <v>5000261</v>
      </c>
      <c r="I31" s="350">
        <f>SUM(I16:I30)</f>
        <v>4954686</v>
      </c>
      <c r="J31" s="350">
        <f>SUM(J16:J30)</f>
        <v>7387972</v>
      </c>
      <c r="K31" s="350">
        <f>SUM(K16:K30)</f>
        <v>51792646.37</v>
      </c>
      <c r="L31" s="350">
        <f>SUM(L16:L30)</f>
        <v>7138572.369999997</v>
      </c>
      <c r="M31" s="350">
        <f>SUM(M16:M30)</f>
        <v>7215639.369999997</v>
      </c>
      <c r="N31" s="350">
        <f>SUM(N16:N30)</f>
        <v>72541046.37</v>
      </c>
      <c r="O31" s="349">
        <f>SUM(O15:O30)</f>
        <v>152005918.37</v>
      </c>
      <c r="P31" s="89"/>
    </row>
    <row r="32" spans="1:15" ht="15.75">
      <c r="A32" s="166"/>
      <c r="B32" s="167" t="s">
        <v>246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3"/>
    </row>
    <row r="33" spans="1:16" ht="15.75">
      <c r="A33" s="160" t="s">
        <v>174</v>
      </c>
      <c r="B33" s="162" t="s">
        <v>118</v>
      </c>
      <c r="C33" s="352">
        <f>381300+9598+197558</f>
        <v>588456</v>
      </c>
      <c r="D33" s="352">
        <f>633712+197559</f>
        <v>831271</v>
      </c>
      <c r="E33" s="352">
        <f>633712+37133</f>
        <v>670845</v>
      </c>
      <c r="F33" s="352">
        <f>633713+13190+209196</f>
        <v>856099</v>
      </c>
      <c r="G33" s="352">
        <f>633712+13191+209196</f>
        <v>856099</v>
      </c>
      <c r="H33" s="352">
        <f>633713+13191+209196+14886</f>
        <v>870986</v>
      </c>
      <c r="I33" s="352">
        <f>633712+13191+209196+145715</f>
        <v>1001814</v>
      </c>
      <c r="J33" s="352">
        <f>633713+13191+209196</f>
        <v>856100</v>
      </c>
      <c r="K33" s="352">
        <f>633712+209198+13191+95626</f>
        <v>951727</v>
      </c>
      <c r="L33" s="352">
        <f>633713+13191+209146</f>
        <v>856050</v>
      </c>
      <c r="M33" s="352">
        <f>633712+116974-76634+162326+145000+13190</f>
        <v>994568</v>
      </c>
      <c r="N33" s="352">
        <f>633713+162326+13191-3298</f>
        <v>805932</v>
      </c>
      <c r="O33" s="351">
        <f>SUM(C33:N33)</f>
        <v>10139947</v>
      </c>
      <c r="P33" s="172"/>
    </row>
    <row r="34" spans="1:15" ht="31.5">
      <c r="A34" s="160" t="s">
        <v>176</v>
      </c>
      <c r="B34" s="171" t="s">
        <v>247</v>
      </c>
      <c r="C34" s="352">
        <f>114923+2592+27283</f>
        <v>144798</v>
      </c>
      <c r="D34" s="352">
        <f>161885+27283</f>
        <v>189168</v>
      </c>
      <c r="E34" s="352">
        <f>161885+8707</f>
        <v>170592</v>
      </c>
      <c r="F34" s="352">
        <f>161885+2902+23011</f>
        <v>187798</v>
      </c>
      <c r="G34" s="352">
        <f>161885+2902+23011</f>
        <v>187798</v>
      </c>
      <c r="H34" s="352">
        <f>161885+2902+23011</f>
        <v>187798</v>
      </c>
      <c r="I34" s="352">
        <f>161885+2902+23011+32057</f>
        <v>219855</v>
      </c>
      <c r="J34" s="352">
        <f>161885+2902+23014</f>
        <v>187801</v>
      </c>
      <c r="K34" s="352">
        <f>161885+23011+2902+21038</f>
        <v>208836</v>
      </c>
      <c r="L34" s="352">
        <f>161885+2902+23018</f>
        <v>187805</v>
      </c>
      <c r="M34" s="352">
        <f>161885+12853+18669+15230+2902</f>
        <v>211539</v>
      </c>
      <c r="N34" s="352">
        <f>161885+18670+2902-891</f>
        <v>182566</v>
      </c>
      <c r="O34" s="351">
        <f>SUM(C34:N34)</f>
        <v>2266354</v>
      </c>
    </row>
    <row r="35" spans="1:17" ht="15.75">
      <c r="A35" s="160" t="s">
        <v>176</v>
      </c>
      <c r="B35" s="162" t="s">
        <v>120</v>
      </c>
      <c r="C35" s="352">
        <v>796000</v>
      </c>
      <c r="D35" s="352">
        <f>730000+63487</f>
        <v>793487</v>
      </c>
      <c r="E35" s="352">
        <f>752600+69464</f>
        <v>822064</v>
      </c>
      <c r="F35" s="352">
        <v>856000</v>
      </c>
      <c r="G35" s="352">
        <v>720000</v>
      </c>
      <c r="H35" s="352">
        <f>654000+59000+15930</f>
        <v>728930</v>
      </c>
      <c r="I35" s="352">
        <f>671700+91000+24570+56030</f>
        <v>843300</v>
      </c>
      <c r="J35" s="352">
        <v>722000</v>
      </c>
      <c r="K35" s="352">
        <f>732000+50000</f>
        <v>782000</v>
      </c>
      <c r="L35" s="352">
        <v>752000</v>
      </c>
      <c r="M35" s="352">
        <f>820429+271439+76634+175000</f>
        <v>1343502</v>
      </c>
      <c r="N35" s="352">
        <v>24935890</v>
      </c>
      <c r="O35" s="351">
        <f>SUM(C35:N35)</f>
        <v>34095173</v>
      </c>
      <c r="Q35" s="237"/>
    </row>
    <row r="36" spans="1:15" ht="15.75">
      <c r="A36" s="160" t="s">
        <v>183</v>
      </c>
      <c r="B36" s="162" t="s">
        <v>121</v>
      </c>
      <c r="C36" s="352">
        <v>21000</v>
      </c>
      <c r="D36" s="352">
        <v>21000</v>
      </c>
      <c r="E36" s="352">
        <v>21000</v>
      </c>
      <c r="F36" s="352">
        <v>21000</v>
      </c>
      <c r="G36" s="352">
        <v>21000</v>
      </c>
      <c r="H36" s="352">
        <v>21000</v>
      </c>
      <c r="I36" s="352">
        <v>21000</v>
      </c>
      <c r="J36" s="352">
        <v>251000</v>
      </c>
      <c r="K36" s="352">
        <f>67400</f>
        <v>67400</v>
      </c>
      <c r="L36" s="352">
        <v>21000</v>
      </c>
      <c r="M36" s="352">
        <v>395000</v>
      </c>
      <c r="N36" s="352">
        <v>540000</v>
      </c>
      <c r="O36" s="351">
        <f>SUM(C36:N36)</f>
        <v>1421400</v>
      </c>
    </row>
    <row r="37" spans="1:15" ht="15.75">
      <c r="A37" s="160" t="s">
        <v>185</v>
      </c>
      <c r="B37" s="162" t="s">
        <v>248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1"/>
    </row>
    <row r="38" spans="1:16" ht="15.75">
      <c r="A38" s="160"/>
      <c r="B38" s="162" t="s">
        <v>250</v>
      </c>
      <c r="C38" s="352">
        <v>41000</v>
      </c>
      <c r="D38" s="352">
        <f>10000</f>
        <v>10000</v>
      </c>
      <c r="E38" s="352">
        <f>43000</f>
        <v>43000</v>
      </c>
      <c r="F38" s="352">
        <f>21000</f>
        <v>21000</v>
      </c>
      <c r="G38" s="352">
        <v>46000</v>
      </c>
      <c r="H38" s="352">
        <v>26190</v>
      </c>
      <c r="I38" s="352"/>
      <c r="J38" s="352"/>
      <c r="K38" s="352">
        <f>43000</f>
        <v>43000</v>
      </c>
      <c r="L38" s="352">
        <v>34000</v>
      </c>
      <c r="M38" s="352"/>
      <c r="N38" s="352"/>
      <c r="O38" s="351">
        <f>SUM(C38:N38)</f>
        <v>264190</v>
      </c>
      <c r="P38" s="172"/>
    </row>
    <row r="39" spans="1:15" ht="15.75">
      <c r="A39" s="160" t="s">
        <v>192</v>
      </c>
      <c r="B39" s="162" t="s">
        <v>124</v>
      </c>
      <c r="C39" s="352"/>
      <c r="D39" s="352"/>
      <c r="E39" s="352"/>
      <c r="F39" s="352"/>
      <c r="G39" s="352">
        <v>250000</v>
      </c>
      <c r="H39" s="352"/>
      <c r="I39" s="352"/>
      <c r="J39" s="352"/>
      <c r="K39" s="352">
        <f>250000+44196293</f>
        <v>44446293</v>
      </c>
      <c r="L39" s="352">
        <v>1000000</v>
      </c>
      <c r="M39" s="352">
        <v>131000</v>
      </c>
      <c r="N39" s="352">
        <f>42804285+234100</f>
        <v>43038385</v>
      </c>
      <c r="O39" s="351">
        <f>SUM(C39:N39)</f>
        <v>88865678</v>
      </c>
    </row>
    <row r="40" spans="1:15" ht="15.75">
      <c r="A40" s="160" t="s">
        <v>195</v>
      </c>
      <c r="B40" s="162" t="s">
        <v>45</v>
      </c>
      <c r="C40" s="352"/>
      <c r="D40" s="352"/>
      <c r="E40" s="352"/>
      <c r="F40" s="352">
        <v>5841632</v>
      </c>
      <c r="G40" s="352"/>
      <c r="H40" s="352"/>
      <c r="I40" s="352"/>
      <c r="J40" s="352"/>
      <c r="K40" s="352"/>
      <c r="L40" s="352"/>
      <c r="M40" s="352">
        <v>1000000</v>
      </c>
      <c r="N40" s="352">
        <v>2222800</v>
      </c>
      <c r="O40" s="351">
        <f>SUM(C40:N40)</f>
        <v>9064432</v>
      </c>
    </row>
    <row r="41" spans="1:15" ht="20.25" customHeight="1">
      <c r="A41" s="160" t="s">
        <v>196</v>
      </c>
      <c r="B41" s="162" t="s">
        <v>186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1">
        <f>SUM(C41:N41)</f>
        <v>0</v>
      </c>
    </row>
    <row r="42" spans="1:15" ht="20.25" customHeight="1">
      <c r="A42" s="160"/>
      <c r="B42" s="162" t="s">
        <v>249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1">
        <f>SUM(C42:N42)</f>
        <v>0</v>
      </c>
    </row>
    <row r="43" spans="1:15" ht="15.75">
      <c r="A43" s="160"/>
      <c r="B43" s="162" t="s">
        <v>250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1">
        <f>SUM(C43:N43)</f>
        <v>0</v>
      </c>
    </row>
    <row r="44" spans="1:15" ht="15.75">
      <c r="A44" s="160" t="s">
        <v>252</v>
      </c>
      <c r="B44" s="162" t="s">
        <v>117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1">
        <f>SUM(C44:N44)</f>
        <v>0</v>
      </c>
    </row>
    <row r="45" spans="1:15" ht="15.75">
      <c r="A45" s="160"/>
      <c r="B45" s="162" t="s">
        <v>376</v>
      </c>
      <c r="C45" s="352">
        <v>700933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>
        <v>815473</v>
      </c>
      <c r="O45" s="351">
        <f>SUM(C45:N45)</f>
        <v>1516406</v>
      </c>
    </row>
    <row r="46" spans="1:15" ht="15.75">
      <c r="A46" s="160"/>
      <c r="B46" s="162" t="s">
        <v>251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1">
        <f>SUM(C46:N46)</f>
        <v>0</v>
      </c>
    </row>
    <row r="47" spans="1:16" ht="16.5" thickBot="1">
      <c r="A47" s="160" t="s">
        <v>499</v>
      </c>
      <c r="B47" s="162" t="s">
        <v>253</v>
      </c>
      <c r="C47" s="352"/>
      <c r="D47" s="352"/>
      <c r="E47" s="352"/>
      <c r="F47" s="352"/>
      <c r="G47" s="352">
        <f>6794577-2222800-234100-335230</f>
        <v>4002447</v>
      </c>
      <c r="H47" s="352"/>
      <c r="I47" s="352"/>
      <c r="J47" s="352">
        <f>55360+661875-246530-50000-271439</f>
        <v>149266</v>
      </c>
      <c r="K47" s="352"/>
      <c r="L47" s="352">
        <v>220625</v>
      </c>
      <c r="M47" s="352"/>
      <c r="N47" s="352"/>
      <c r="O47" s="351">
        <f>SUM(C47:N47)</f>
        <v>4372338</v>
      </c>
      <c r="P47" s="172"/>
    </row>
    <row r="48" spans="1:19" s="19" customFormat="1" ht="24" customHeight="1" thickBot="1">
      <c r="A48" s="165"/>
      <c r="B48" s="165" t="s">
        <v>254</v>
      </c>
      <c r="C48" s="350">
        <f>SUM(C33:C47)</f>
        <v>2292187</v>
      </c>
      <c r="D48" s="350">
        <f>SUM(D33:D47)</f>
        <v>1844926</v>
      </c>
      <c r="E48" s="350">
        <f>SUM(E33:E47)</f>
        <v>1727501</v>
      </c>
      <c r="F48" s="350">
        <f>SUM(F33:F47)</f>
        <v>7783529</v>
      </c>
      <c r="G48" s="350">
        <f>SUM(G33:G47)</f>
        <v>6083344</v>
      </c>
      <c r="H48" s="350">
        <f>SUM(H33:H47)</f>
        <v>1834904</v>
      </c>
      <c r="I48" s="350">
        <f>SUM(I33:I47)</f>
        <v>2085969</v>
      </c>
      <c r="J48" s="350">
        <f>SUM(J33:J47)</f>
        <v>2166167</v>
      </c>
      <c r="K48" s="350">
        <f>SUM(K33:K47)</f>
        <v>46499256</v>
      </c>
      <c r="L48" s="350">
        <f>SUM(L33:L47)</f>
        <v>3071480</v>
      </c>
      <c r="M48" s="350">
        <f>SUM(M33:M47)</f>
        <v>4075609</v>
      </c>
      <c r="N48" s="350">
        <f>SUM(N33:N47)</f>
        <v>72541046</v>
      </c>
      <c r="O48" s="349">
        <f>SUM(O33:O47)</f>
        <v>152005918</v>
      </c>
      <c r="S48" s="168"/>
    </row>
    <row r="49" spans="1:15" ht="26.25" customHeight="1" thickBot="1">
      <c r="A49" s="169"/>
      <c r="B49" s="170" t="s">
        <v>255</v>
      </c>
      <c r="C49" s="348">
        <f>C31-C48</f>
        <v>1892926</v>
      </c>
      <c r="D49" s="348">
        <f>D31-D48</f>
        <v>1801233</v>
      </c>
      <c r="E49" s="348">
        <f>E31-E48</f>
        <v>2160753</v>
      </c>
      <c r="F49" s="348">
        <f>F31-F48</f>
        <v>995914</v>
      </c>
      <c r="G49" s="348">
        <f>G31-G48</f>
        <v>3373704</v>
      </c>
      <c r="H49" s="348">
        <f>H31-H48</f>
        <v>3165357</v>
      </c>
      <c r="I49" s="348">
        <f>I31-I48</f>
        <v>2868717</v>
      </c>
      <c r="J49" s="348">
        <f>J31-J48</f>
        <v>5221805</v>
      </c>
      <c r="K49" s="348">
        <f>K31-K48</f>
        <v>5293390.369999997</v>
      </c>
      <c r="L49" s="348">
        <f>L31-L48</f>
        <v>4067092.3699999973</v>
      </c>
      <c r="M49" s="348">
        <f>M31-M48</f>
        <v>3140030.3699999973</v>
      </c>
      <c r="N49" s="348">
        <f>N31-N48</f>
        <v>0.3700000047683716</v>
      </c>
      <c r="O49" s="347"/>
    </row>
    <row r="51" spans="3:14" ht="15.75"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</row>
  </sheetData>
  <sheetProtection password="AF00" sheet="1" objects="1" scenarios="1" selectLockedCells="1" selectUnlockedCells="1"/>
  <mergeCells count="6">
    <mergeCell ref="B9:O9"/>
    <mergeCell ref="B5:O5"/>
    <mergeCell ref="B7:O7"/>
    <mergeCell ref="B8:O8"/>
    <mergeCell ref="A1:O1"/>
    <mergeCell ref="A6:O6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26" customWidth="1"/>
    <col min="2" max="2" width="56.25390625" style="26" customWidth="1"/>
    <col min="3" max="3" width="17.875" style="26" customWidth="1"/>
    <col min="4" max="4" width="4.875" style="26" customWidth="1"/>
    <col min="5" max="16384" width="9.125" style="26" customWidth="1"/>
  </cols>
  <sheetData>
    <row r="1" spans="1:5" ht="15.75">
      <c r="A1" s="501" t="s">
        <v>463</v>
      </c>
      <c r="B1" s="501"/>
      <c r="C1" s="501"/>
      <c r="D1" s="501"/>
      <c r="E1" s="25"/>
    </row>
    <row r="2" spans="1:5" ht="15.75">
      <c r="A2" s="27"/>
      <c r="B2" s="27"/>
      <c r="C2" s="27"/>
      <c r="D2" s="28"/>
      <c r="E2" s="25"/>
    </row>
    <row r="3" spans="1:5" ht="18.75" customHeight="1">
      <c r="A3" s="529"/>
      <c r="B3" s="529"/>
      <c r="C3" s="529"/>
      <c r="D3" s="28"/>
      <c r="E3" s="25"/>
    </row>
    <row r="4" spans="1:5" ht="15.75">
      <c r="A4" s="529" t="s">
        <v>325</v>
      </c>
      <c r="B4" s="529"/>
      <c r="C4" s="529"/>
      <c r="D4" s="529"/>
      <c r="E4" s="25"/>
    </row>
    <row r="5" spans="1:5" ht="15.75">
      <c r="A5" s="529" t="s">
        <v>343</v>
      </c>
      <c r="B5" s="529"/>
      <c r="C5" s="529"/>
      <c r="D5" s="529"/>
      <c r="E5" s="25"/>
    </row>
    <row r="6" spans="1:5" ht="15.75">
      <c r="A6" s="529" t="s">
        <v>406</v>
      </c>
      <c r="B6" s="529"/>
      <c r="C6" s="529"/>
      <c r="D6" s="529"/>
      <c r="E6" s="25"/>
    </row>
    <row r="7" spans="1:5" ht="15.75">
      <c r="A7" s="27"/>
      <c r="B7" s="27"/>
      <c r="C7" s="27"/>
      <c r="D7" s="25"/>
      <c r="E7" s="25"/>
    </row>
    <row r="8" spans="1:5" ht="15.75">
      <c r="A8" s="27"/>
      <c r="B8" s="27"/>
      <c r="C8" s="27"/>
      <c r="D8" s="25"/>
      <c r="E8" s="25"/>
    </row>
    <row r="9" spans="1:5" ht="15.75">
      <c r="A9" s="27"/>
      <c r="B9" s="27"/>
      <c r="C9" s="27"/>
      <c r="D9" s="25"/>
      <c r="E9" s="25"/>
    </row>
    <row r="10" spans="1:5" ht="15.75">
      <c r="A10" s="27"/>
      <c r="B10" s="27"/>
      <c r="C10" s="27"/>
      <c r="D10" s="25"/>
      <c r="E10" s="25"/>
    </row>
    <row r="11" spans="1:5" ht="15.75">
      <c r="A11" s="293" t="s">
        <v>27</v>
      </c>
      <c r="B11" s="29" t="s">
        <v>9</v>
      </c>
      <c r="C11" s="27"/>
      <c r="D11" s="25"/>
      <c r="E11" s="25"/>
    </row>
    <row r="12" spans="1:5" ht="10.5" customHeight="1">
      <c r="A12" s="293"/>
      <c r="B12" s="29"/>
      <c r="C12" s="27"/>
      <c r="D12" s="25"/>
      <c r="E12" s="25"/>
    </row>
    <row r="13" spans="1:5" ht="12" customHeight="1">
      <c r="A13" s="293"/>
      <c r="B13" s="29"/>
      <c r="C13" s="30"/>
      <c r="D13" s="25"/>
      <c r="E13" s="25"/>
    </row>
    <row r="14" spans="1:3" s="33" customFormat="1" ht="15">
      <c r="A14" s="294" t="s">
        <v>429</v>
      </c>
      <c r="B14" s="31" t="s">
        <v>10</v>
      </c>
      <c r="C14" s="32"/>
    </row>
    <row r="15" spans="1:5" ht="19.5" customHeight="1">
      <c r="A15" s="295" t="s">
        <v>438</v>
      </c>
      <c r="B15" s="25" t="s">
        <v>11</v>
      </c>
      <c r="C15" s="34">
        <v>1740000</v>
      </c>
      <c r="D15" s="25" t="s">
        <v>1</v>
      </c>
      <c r="E15" s="25"/>
    </row>
    <row r="16" spans="1:5" ht="19.5" customHeight="1">
      <c r="A16" s="292"/>
      <c r="B16" s="28" t="s">
        <v>12</v>
      </c>
      <c r="C16" s="35">
        <f>SUM(C15)</f>
        <v>1740000</v>
      </c>
      <c r="D16" s="28" t="s">
        <v>1</v>
      </c>
      <c r="E16" s="25"/>
    </row>
    <row r="17" spans="1:5" ht="19.5" customHeight="1">
      <c r="A17" s="25"/>
      <c r="B17" s="28"/>
      <c r="C17" s="35"/>
      <c r="D17" s="28"/>
      <c r="E17" s="25"/>
    </row>
    <row r="18" spans="1:5" ht="19.5" customHeight="1">
      <c r="A18" s="25"/>
      <c r="B18" s="28"/>
      <c r="C18" s="35"/>
      <c r="D18" s="28"/>
      <c r="E18" s="25"/>
    </row>
    <row r="19" spans="1:5" ht="10.5" customHeight="1">
      <c r="A19" s="25"/>
      <c r="B19" s="28"/>
      <c r="C19" s="35"/>
      <c r="D19" s="28"/>
      <c r="E19" s="25"/>
    </row>
    <row r="20" spans="1:5" ht="15.75">
      <c r="A20" s="25"/>
      <c r="B20" s="36"/>
      <c r="C20" s="35"/>
      <c r="D20" s="25"/>
      <c r="E20" s="25"/>
    </row>
    <row r="21" spans="1:5" ht="18">
      <c r="A21" s="25"/>
      <c r="B21" s="25"/>
      <c r="C21" s="37"/>
      <c r="D21" s="25"/>
      <c r="E21" s="25"/>
    </row>
    <row r="22" spans="1:5" s="38" customFormat="1" ht="15.75">
      <c r="A22" s="28"/>
      <c r="B22" s="28"/>
      <c r="C22" s="35"/>
      <c r="D22" s="28"/>
      <c r="E22" s="28"/>
    </row>
    <row r="23" spans="1:5" ht="15.75">
      <c r="A23" s="25"/>
      <c r="B23" s="25"/>
      <c r="C23" s="25"/>
      <c r="D23" s="25"/>
      <c r="E23" s="25"/>
    </row>
    <row r="24" spans="1:5" ht="15.75">
      <c r="A24" s="25"/>
      <c r="B24" s="69"/>
      <c r="C24" s="25"/>
      <c r="D24" s="25"/>
      <c r="E24" s="25"/>
    </row>
    <row r="25" spans="1:5" ht="15.75">
      <c r="A25" s="25"/>
      <c r="B25" s="25"/>
      <c r="C25" s="25"/>
      <c r="D25" s="25"/>
      <c r="E25" s="25"/>
    </row>
    <row r="26" spans="1:5" ht="15.75">
      <c r="A26" s="25"/>
      <c r="B26" s="25"/>
      <c r="C26" s="25"/>
      <c r="D26" s="25"/>
      <c r="E26" s="25"/>
    </row>
    <row r="27" spans="1:5" ht="15.75">
      <c r="A27" s="25"/>
      <c r="B27" s="25"/>
      <c r="C27" s="25"/>
      <c r="D27" s="25"/>
      <c r="E27" s="25"/>
    </row>
    <row r="28" spans="1:5" ht="15.75">
      <c r="A28" s="25"/>
      <c r="B28" s="25"/>
      <c r="C28" s="25"/>
      <c r="D28" s="25"/>
      <c r="E28" s="25"/>
    </row>
    <row r="29" spans="1:5" ht="15.75">
      <c r="A29" s="25"/>
      <c r="B29" s="25"/>
      <c r="C29" s="25"/>
      <c r="D29" s="25"/>
      <c r="E29" s="25"/>
    </row>
    <row r="30" spans="1:5" ht="15.75">
      <c r="A30" s="25"/>
      <c r="B30" s="25"/>
      <c r="C30" s="25"/>
      <c r="D30" s="25"/>
      <c r="E30" s="25"/>
    </row>
    <row r="31" spans="1:5" ht="15.75">
      <c r="A31" s="25"/>
      <c r="B31" s="25"/>
      <c r="C31" s="25"/>
      <c r="D31" s="25"/>
      <c r="E31" s="25"/>
    </row>
    <row r="32" spans="1:5" ht="15.75">
      <c r="A32" s="25"/>
      <c r="B32" s="25"/>
      <c r="C32" s="25"/>
      <c r="D32" s="25"/>
      <c r="E32" s="25"/>
    </row>
  </sheetData>
  <sheetProtection password="AF00" sheet="1" objects="1" scenarios="1" selectLockedCells="1" selectUnlockedCells="1"/>
  <mergeCells count="5">
    <mergeCell ref="A6:D6"/>
    <mergeCell ref="A4:D4"/>
    <mergeCell ref="A5:D5"/>
    <mergeCell ref="A3:C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67"/>
      <c r="L1" s="567"/>
      <c r="M1" s="567"/>
    </row>
    <row r="2" spans="1:13" ht="12.75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ht="15.75">
      <c r="A3" s="501" t="s">
        <v>464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1:13" ht="15.75">
      <c r="A4" s="112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s="53" customFormat="1" ht="15.75">
      <c r="A5" s="394" t="s">
        <v>325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s="53" customFormat="1" ht="15.75">
      <c r="A6" s="394" t="s">
        <v>260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1:13" s="53" customFormat="1" ht="15.75">
      <c r="A7" s="394" t="s">
        <v>393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</row>
    <row r="8" spans="1:13" ht="12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13" s="53" customFormat="1" ht="15.75">
      <c r="A9" s="177" t="s">
        <v>261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12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5.75">
      <c r="A11" s="178" t="s">
        <v>262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2" customHeight="1" thickBo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16.5" thickBot="1">
      <c r="A13" s="575" t="s">
        <v>263</v>
      </c>
      <c r="B13" s="576"/>
      <c r="C13" s="576"/>
      <c r="D13" s="552" t="s">
        <v>264</v>
      </c>
      <c r="E13" s="553"/>
      <c r="F13" s="554"/>
      <c r="G13" s="552" t="s">
        <v>265</v>
      </c>
      <c r="H13" s="553"/>
      <c r="I13" s="554"/>
      <c r="J13" s="552" t="s">
        <v>266</v>
      </c>
      <c r="K13" s="553"/>
      <c r="L13" s="554"/>
      <c r="M13" s="555" t="s">
        <v>267</v>
      </c>
    </row>
    <row r="14" spans="1:13" ht="15.75">
      <c r="A14" s="577"/>
      <c r="B14" s="578"/>
      <c r="C14" s="578"/>
      <c r="D14" s="179" t="s">
        <v>268</v>
      </c>
      <c r="E14" s="180" t="s">
        <v>269</v>
      </c>
      <c r="F14" s="181" t="s">
        <v>270</v>
      </c>
      <c r="G14" s="180" t="s">
        <v>271</v>
      </c>
      <c r="H14" s="180" t="s">
        <v>269</v>
      </c>
      <c r="I14" s="181" t="s">
        <v>272</v>
      </c>
      <c r="J14" s="180" t="s">
        <v>271</v>
      </c>
      <c r="K14" s="181" t="s">
        <v>269</v>
      </c>
      <c r="L14" s="180" t="s">
        <v>272</v>
      </c>
      <c r="M14" s="556"/>
    </row>
    <row r="15" spans="1:13" ht="16.5" thickBot="1">
      <c r="A15" s="577"/>
      <c r="B15" s="578"/>
      <c r="C15" s="578"/>
      <c r="D15" s="182" t="s">
        <v>273</v>
      </c>
      <c r="E15" s="183" t="s">
        <v>274</v>
      </c>
      <c r="F15" s="184" t="s">
        <v>4</v>
      </c>
      <c r="G15" s="185" t="s">
        <v>273</v>
      </c>
      <c r="H15" s="183" t="s">
        <v>274</v>
      </c>
      <c r="I15" s="184" t="s">
        <v>4</v>
      </c>
      <c r="J15" s="185" t="s">
        <v>273</v>
      </c>
      <c r="K15" s="184" t="s">
        <v>274</v>
      </c>
      <c r="L15" s="183" t="s">
        <v>4</v>
      </c>
      <c r="M15" s="557"/>
    </row>
    <row r="16" spans="1:13" ht="7.5" customHeight="1">
      <c r="A16" s="558"/>
      <c r="B16" s="559"/>
      <c r="C16" s="560"/>
      <c r="D16" s="546"/>
      <c r="E16" s="530"/>
      <c r="F16" s="549"/>
      <c r="G16" s="569"/>
      <c r="H16" s="572"/>
      <c r="I16" s="590"/>
      <c r="J16" s="530"/>
      <c r="K16" s="530"/>
      <c r="L16" s="530"/>
      <c r="M16" s="533"/>
    </row>
    <row r="17" spans="1:13" ht="7.5" customHeight="1">
      <c r="A17" s="561"/>
      <c r="B17" s="562"/>
      <c r="C17" s="563"/>
      <c r="D17" s="547"/>
      <c r="E17" s="531"/>
      <c r="F17" s="550"/>
      <c r="G17" s="570"/>
      <c r="H17" s="573"/>
      <c r="I17" s="531"/>
      <c r="J17" s="531"/>
      <c r="K17" s="531"/>
      <c r="L17" s="531"/>
      <c r="M17" s="531"/>
    </row>
    <row r="18" spans="1:13" ht="15.75" customHeight="1" thickBot="1">
      <c r="A18" s="564"/>
      <c r="B18" s="565"/>
      <c r="C18" s="566"/>
      <c r="D18" s="548"/>
      <c r="E18" s="532"/>
      <c r="F18" s="551"/>
      <c r="G18" s="571"/>
      <c r="H18" s="574"/>
      <c r="I18" s="591"/>
      <c r="J18" s="532"/>
      <c r="K18" s="532"/>
      <c r="L18" s="532"/>
      <c r="M18" s="532"/>
    </row>
    <row r="19" spans="1:13" s="95" customFormat="1" ht="12.75" customHeight="1">
      <c r="A19" s="579" t="s">
        <v>2</v>
      </c>
      <c r="B19" s="580"/>
      <c r="C19" s="581"/>
      <c r="D19" s="585"/>
      <c r="E19" s="585"/>
      <c r="F19" s="587">
        <f>SUM(F16)</f>
        <v>0</v>
      </c>
      <c r="G19" s="585"/>
      <c r="H19" s="585"/>
      <c r="I19" s="585"/>
      <c r="J19" s="585"/>
      <c r="K19" s="585"/>
      <c r="L19" s="585"/>
      <c r="M19" s="589">
        <f>M16</f>
        <v>0</v>
      </c>
    </row>
    <row r="20" spans="1:13" s="95" customFormat="1" ht="13.5" customHeight="1" thickBot="1">
      <c r="A20" s="582"/>
      <c r="B20" s="583"/>
      <c r="C20" s="584"/>
      <c r="D20" s="586"/>
      <c r="E20" s="586"/>
      <c r="F20" s="588"/>
      <c r="G20" s="586"/>
      <c r="H20" s="586"/>
      <c r="I20" s="586"/>
      <c r="J20" s="586"/>
      <c r="K20" s="586"/>
      <c r="L20" s="586"/>
      <c r="M20" s="586"/>
    </row>
    <row r="21" spans="1:13" ht="12" customHeight="1">
      <c r="A21" s="176"/>
      <c r="B21" s="176"/>
      <c r="C21" s="176"/>
      <c r="D21" s="176"/>
      <c r="E21" s="176"/>
      <c r="F21" s="186"/>
      <c r="G21" s="176"/>
      <c r="H21" s="176"/>
      <c r="I21" s="176"/>
      <c r="J21" s="176"/>
      <c r="K21" s="176"/>
      <c r="L21" s="176"/>
      <c r="M21" s="176"/>
    </row>
    <row r="22" spans="1:6" s="178" customFormat="1" ht="12" customHeight="1">
      <c r="A22" s="178" t="s">
        <v>275</v>
      </c>
      <c r="F22" s="187"/>
    </row>
    <row r="23" spans="1:13" ht="13.5" customHeight="1">
      <c r="A23" s="188" t="s">
        <v>276</v>
      </c>
      <c r="B23" s="188"/>
      <c r="C23" s="188"/>
      <c r="D23" s="188"/>
      <c r="E23" s="188"/>
      <c r="F23" s="189"/>
      <c r="G23" s="190" t="s">
        <v>4</v>
      </c>
      <c r="H23" s="176"/>
      <c r="I23" s="176"/>
      <c r="J23" s="176"/>
      <c r="K23" s="176"/>
      <c r="L23" s="176"/>
      <c r="M23" s="176"/>
    </row>
    <row r="24" spans="1:13" ht="13.5" customHeight="1">
      <c r="A24" s="188" t="s">
        <v>277</v>
      </c>
      <c r="B24" s="188"/>
      <c r="C24" s="188"/>
      <c r="D24" s="188"/>
      <c r="E24" s="188"/>
      <c r="F24" s="189"/>
      <c r="G24" s="190" t="s">
        <v>4</v>
      </c>
      <c r="H24" s="176"/>
      <c r="I24" s="176"/>
      <c r="J24" s="176"/>
      <c r="K24" s="176"/>
      <c r="L24" s="176"/>
      <c r="M24" s="176"/>
    </row>
    <row r="25" spans="1:13" ht="13.5" customHeight="1">
      <c r="A25" s="188" t="s">
        <v>278</v>
      </c>
      <c r="B25" s="188"/>
      <c r="C25" s="188"/>
      <c r="D25" s="188"/>
      <c r="E25" s="188"/>
      <c r="F25" s="191"/>
      <c r="G25" s="192" t="s">
        <v>4</v>
      </c>
      <c r="H25" s="176"/>
      <c r="I25" s="176"/>
      <c r="J25" s="176"/>
      <c r="K25" s="176"/>
      <c r="L25" s="176"/>
      <c r="M25" s="176"/>
    </row>
    <row r="26" spans="1:13" ht="13.5" customHeight="1">
      <c r="A26" s="188" t="s">
        <v>279</v>
      </c>
      <c r="B26" s="188"/>
      <c r="C26" s="188"/>
      <c r="D26" s="188"/>
      <c r="E26" s="188"/>
      <c r="F26" s="193">
        <f>SUM(F23:F25)</f>
        <v>0</v>
      </c>
      <c r="G26" s="194" t="s">
        <v>4</v>
      </c>
      <c r="H26" s="176"/>
      <c r="I26" s="176"/>
      <c r="J26" s="176"/>
      <c r="K26" s="176"/>
      <c r="L26" s="176"/>
      <c r="M26" s="176"/>
    </row>
    <row r="27" spans="1:13" ht="13.5" customHeight="1">
      <c r="A27" s="188"/>
      <c r="B27" s="188"/>
      <c r="C27" s="188"/>
      <c r="D27" s="188"/>
      <c r="E27" s="188"/>
      <c r="F27" s="193"/>
      <c r="G27" s="194"/>
      <c r="H27" s="176"/>
      <c r="I27" s="176"/>
      <c r="J27" s="176"/>
      <c r="K27" s="176"/>
      <c r="L27" s="176"/>
      <c r="M27" s="176"/>
    </row>
    <row r="28" spans="1:13" ht="15.75">
      <c r="A28" s="178" t="s">
        <v>280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3.5" customHeight="1">
      <c r="A29" s="188"/>
      <c r="B29" s="188"/>
      <c r="C29" s="188"/>
      <c r="D29" s="188"/>
      <c r="E29" s="188"/>
      <c r="F29" s="193"/>
      <c r="G29" s="194"/>
      <c r="H29" s="176"/>
      <c r="I29" s="176"/>
      <c r="J29" s="176"/>
      <c r="K29" s="176"/>
      <c r="L29" s="176"/>
      <c r="M29" s="176"/>
    </row>
    <row r="30" spans="1:13" ht="13.5" customHeight="1" thickBot="1">
      <c r="A30" s="188"/>
      <c r="B30" s="188"/>
      <c r="C30" s="188"/>
      <c r="D30" s="188"/>
      <c r="E30" s="188"/>
      <c r="F30" s="193"/>
      <c r="G30" s="194"/>
      <c r="H30" s="176"/>
      <c r="I30" s="176"/>
      <c r="J30" s="176"/>
      <c r="K30" s="176"/>
      <c r="L30" s="176"/>
      <c r="M30" s="176"/>
    </row>
    <row r="31" spans="1:13" ht="16.5" thickBot="1">
      <c r="A31" s="575" t="s">
        <v>263</v>
      </c>
      <c r="B31" s="576"/>
      <c r="C31" s="576"/>
      <c r="D31" s="552" t="s">
        <v>264</v>
      </c>
      <c r="E31" s="553"/>
      <c r="F31" s="554"/>
      <c r="G31" s="552" t="s">
        <v>265</v>
      </c>
      <c r="H31" s="553"/>
      <c r="I31" s="554"/>
      <c r="J31" s="552" t="s">
        <v>266</v>
      </c>
      <c r="K31" s="553"/>
      <c r="L31" s="554"/>
      <c r="M31" s="555" t="s">
        <v>267</v>
      </c>
    </row>
    <row r="32" spans="1:13" ht="15.75">
      <c r="A32" s="577"/>
      <c r="B32" s="578"/>
      <c r="C32" s="578"/>
      <c r="D32" s="179" t="s">
        <v>268</v>
      </c>
      <c r="E32" s="180" t="s">
        <v>269</v>
      </c>
      <c r="F32" s="181" t="s">
        <v>270</v>
      </c>
      <c r="G32" s="180" t="s">
        <v>271</v>
      </c>
      <c r="H32" s="180" t="s">
        <v>269</v>
      </c>
      <c r="I32" s="181" t="s">
        <v>272</v>
      </c>
      <c r="J32" s="180" t="s">
        <v>271</v>
      </c>
      <c r="K32" s="181" t="s">
        <v>269</v>
      </c>
      <c r="L32" s="180" t="s">
        <v>272</v>
      </c>
      <c r="M32" s="556"/>
    </row>
    <row r="33" spans="1:13" ht="16.5" thickBot="1">
      <c r="A33" s="577"/>
      <c r="B33" s="578"/>
      <c r="C33" s="578"/>
      <c r="D33" s="182" t="s">
        <v>273</v>
      </c>
      <c r="E33" s="183" t="s">
        <v>274</v>
      </c>
      <c r="F33" s="184" t="s">
        <v>4</v>
      </c>
      <c r="G33" s="185" t="s">
        <v>273</v>
      </c>
      <c r="H33" s="183" t="s">
        <v>274</v>
      </c>
      <c r="I33" s="184" t="s">
        <v>4</v>
      </c>
      <c r="J33" s="185" t="s">
        <v>273</v>
      </c>
      <c r="K33" s="184" t="s">
        <v>274</v>
      </c>
      <c r="L33" s="183" t="s">
        <v>4</v>
      </c>
      <c r="M33" s="557"/>
    </row>
    <row r="34" spans="1:13" ht="7.5" customHeight="1">
      <c r="A34" s="537" t="s">
        <v>344</v>
      </c>
      <c r="B34" s="538"/>
      <c r="C34" s="539"/>
      <c r="D34" s="546" t="s">
        <v>345</v>
      </c>
      <c r="E34" s="530"/>
      <c r="F34" s="549">
        <v>63</v>
      </c>
      <c r="G34" s="535"/>
      <c r="H34" s="535"/>
      <c r="I34" s="535"/>
      <c r="J34" s="530"/>
      <c r="K34" s="530"/>
      <c r="L34" s="530"/>
      <c r="M34" s="533">
        <v>63</v>
      </c>
    </row>
    <row r="35" spans="1:13" ht="7.5" customHeight="1">
      <c r="A35" s="540"/>
      <c r="B35" s="541"/>
      <c r="C35" s="542"/>
      <c r="D35" s="547"/>
      <c r="E35" s="531"/>
      <c r="F35" s="550"/>
      <c r="G35" s="535"/>
      <c r="H35" s="535"/>
      <c r="I35" s="535"/>
      <c r="J35" s="531"/>
      <c r="K35" s="531"/>
      <c r="L35" s="531"/>
      <c r="M35" s="531"/>
    </row>
    <row r="36" spans="1:13" ht="7.5" customHeight="1">
      <c r="A36" s="543"/>
      <c r="B36" s="544"/>
      <c r="C36" s="545"/>
      <c r="D36" s="548"/>
      <c r="E36" s="532"/>
      <c r="F36" s="551"/>
      <c r="G36" s="535"/>
      <c r="H36" s="535"/>
      <c r="I36" s="535"/>
      <c r="J36" s="532"/>
      <c r="K36" s="532"/>
      <c r="L36" s="532"/>
      <c r="M36" s="532"/>
    </row>
    <row r="37" spans="1:13" ht="7.5" customHeight="1">
      <c r="A37" s="537" t="s">
        <v>346</v>
      </c>
      <c r="B37" s="538"/>
      <c r="C37" s="539"/>
      <c r="D37" s="546" t="s">
        <v>348</v>
      </c>
      <c r="E37" s="530"/>
      <c r="F37" s="549"/>
      <c r="G37" s="535"/>
      <c r="H37" s="535"/>
      <c r="I37" s="535"/>
      <c r="J37" s="530"/>
      <c r="K37" s="530"/>
      <c r="L37" s="530"/>
      <c r="M37" s="533"/>
    </row>
    <row r="38" spans="1:13" ht="7.5" customHeight="1">
      <c r="A38" s="540"/>
      <c r="B38" s="541"/>
      <c r="C38" s="542"/>
      <c r="D38" s="547"/>
      <c r="E38" s="531"/>
      <c r="F38" s="550"/>
      <c r="G38" s="535"/>
      <c r="H38" s="535"/>
      <c r="I38" s="535"/>
      <c r="J38" s="531"/>
      <c r="K38" s="531"/>
      <c r="L38" s="531"/>
      <c r="M38" s="531"/>
    </row>
    <row r="39" spans="1:13" ht="7.5" customHeight="1">
      <c r="A39" s="543"/>
      <c r="B39" s="544"/>
      <c r="C39" s="545"/>
      <c r="D39" s="548"/>
      <c r="E39" s="532"/>
      <c r="F39" s="551"/>
      <c r="G39" s="535"/>
      <c r="H39" s="535"/>
      <c r="I39" s="535"/>
      <c r="J39" s="532"/>
      <c r="K39" s="532"/>
      <c r="L39" s="532"/>
      <c r="M39" s="532"/>
    </row>
    <row r="40" spans="1:13" ht="7.5" customHeight="1">
      <c r="A40" s="537" t="s">
        <v>281</v>
      </c>
      <c r="B40" s="538"/>
      <c r="C40" s="539"/>
      <c r="D40" s="546" t="s">
        <v>282</v>
      </c>
      <c r="E40" s="530"/>
      <c r="F40" s="549">
        <v>21</v>
      </c>
      <c r="G40" s="535"/>
      <c r="H40" s="535"/>
      <c r="I40" s="535"/>
      <c r="J40" s="530"/>
      <c r="K40" s="530"/>
      <c r="L40" s="530"/>
      <c r="M40" s="533">
        <f>L40+I40+F40</f>
        <v>21</v>
      </c>
    </row>
    <row r="41" spans="1:13" ht="7.5" customHeight="1">
      <c r="A41" s="540"/>
      <c r="B41" s="541"/>
      <c r="C41" s="542"/>
      <c r="D41" s="547"/>
      <c r="E41" s="531"/>
      <c r="F41" s="550"/>
      <c r="G41" s="535"/>
      <c r="H41" s="535"/>
      <c r="I41" s="535"/>
      <c r="J41" s="531"/>
      <c r="K41" s="531"/>
      <c r="L41" s="531"/>
      <c r="M41" s="531"/>
    </row>
    <row r="42" spans="1:13" ht="7.5" customHeight="1">
      <c r="A42" s="543"/>
      <c r="B42" s="544"/>
      <c r="C42" s="545"/>
      <c r="D42" s="548"/>
      <c r="E42" s="532"/>
      <c r="F42" s="551"/>
      <c r="G42" s="535"/>
      <c r="H42" s="535"/>
      <c r="I42" s="535"/>
      <c r="J42" s="532"/>
      <c r="K42" s="532"/>
      <c r="L42" s="532"/>
      <c r="M42" s="532"/>
    </row>
    <row r="43" spans="1:13" ht="7.5" customHeight="1">
      <c r="A43" s="537" t="s">
        <v>283</v>
      </c>
      <c r="B43" s="538"/>
      <c r="C43" s="539"/>
      <c r="D43" s="546"/>
      <c r="E43" s="530"/>
      <c r="F43" s="549"/>
      <c r="G43" s="534" t="s">
        <v>347</v>
      </c>
      <c r="H43" s="535"/>
      <c r="I43" s="536"/>
      <c r="J43" s="530"/>
      <c r="K43" s="530"/>
      <c r="L43" s="530"/>
      <c r="M43" s="533">
        <f>L43+I43+F43</f>
        <v>0</v>
      </c>
    </row>
    <row r="44" spans="1:13" ht="7.5" customHeight="1">
      <c r="A44" s="540"/>
      <c r="B44" s="541"/>
      <c r="C44" s="542"/>
      <c r="D44" s="547"/>
      <c r="E44" s="531"/>
      <c r="F44" s="550"/>
      <c r="G44" s="534"/>
      <c r="H44" s="535"/>
      <c r="I44" s="536"/>
      <c r="J44" s="531"/>
      <c r="K44" s="531"/>
      <c r="L44" s="531"/>
      <c r="M44" s="531"/>
    </row>
    <row r="45" spans="1:13" ht="7.5" customHeight="1">
      <c r="A45" s="543"/>
      <c r="B45" s="544"/>
      <c r="C45" s="545"/>
      <c r="D45" s="548"/>
      <c r="E45" s="532"/>
      <c r="F45" s="551"/>
      <c r="G45" s="534"/>
      <c r="H45" s="535"/>
      <c r="I45" s="536"/>
      <c r="J45" s="532"/>
      <c r="K45" s="532"/>
      <c r="L45" s="532"/>
      <c r="M45" s="532"/>
    </row>
    <row r="46" spans="1:13" ht="7.5" customHeight="1">
      <c r="A46" s="537" t="s">
        <v>283</v>
      </c>
      <c r="B46" s="538"/>
      <c r="C46" s="539"/>
      <c r="D46" s="546"/>
      <c r="E46" s="530"/>
      <c r="F46" s="549"/>
      <c r="G46" s="534" t="s">
        <v>284</v>
      </c>
      <c r="H46" s="535"/>
      <c r="I46" s="536">
        <v>82</v>
      </c>
      <c r="J46" s="530"/>
      <c r="K46" s="530"/>
      <c r="L46" s="530"/>
      <c r="M46" s="533">
        <f>L46+I46+F46</f>
        <v>82</v>
      </c>
    </row>
    <row r="47" spans="1:13" ht="7.5" customHeight="1">
      <c r="A47" s="540"/>
      <c r="B47" s="541"/>
      <c r="C47" s="542"/>
      <c r="D47" s="547"/>
      <c r="E47" s="531"/>
      <c r="F47" s="550"/>
      <c r="G47" s="534"/>
      <c r="H47" s="535"/>
      <c r="I47" s="536"/>
      <c r="J47" s="531"/>
      <c r="K47" s="531"/>
      <c r="L47" s="531"/>
      <c r="M47" s="531"/>
    </row>
    <row r="48" spans="1:13" ht="7.5" customHeight="1">
      <c r="A48" s="543"/>
      <c r="B48" s="544"/>
      <c r="C48" s="545"/>
      <c r="D48" s="548"/>
      <c r="E48" s="532"/>
      <c r="F48" s="551"/>
      <c r="G48" s="534"/>
      <c r="H48" s="535"/>
      <c r="I48" s="536"/>
      <c r="J48" s="532"/>
      <c r="K48" s="532"/>
      <c r="L48" s="532"/>
      <c r="M48" s="532"/>
    </row>
    <row r="49" spans="1:13" ht="7.5" customHeight="1">
      <c r="A49" s="537" t="s">
        <v>283</v>
      </c>
      <c r="B49" s="538"/>
      <c r="C49" s="539"/>
      <c r="D49" s="546"/>
      <c r="E49" s="530"/>
      <c r="F49" s="549"/>
      <c r="G49" s="534" t="s">
        <v>347</v>
      </c>
      <c r="H49" s="535"/>
      <c r="I49" s="536"/>
      <c r="J49" s="530"/>
      <c r="K49" s="530"/>
      <c r="L49" s="530"/>
      <c r="M49" s="533"/>
    </row>
    <row r="50" spans="1:13" ht="7.5" customHeight="1">
      <c r="A50" s="540"/>
      <c r="B50" s="541"/>
      <c r="C50" s="542"/>
      <c r="D50" s="547"/>
      <c r="E50" s="531"/>
      <c r="F50" s="550"/>
      <c r="G50" s="534"/>
      <c r="H50" s="535"/>
      <c r="I50" s="536"/>
      <c r="J50" s="531"/>
      <c r="K50" s="531"/>
      <c r="L50" s="531"/>
      <c r="M50" s="531"/>
    </row>
    <row r="51" spans="1:13" ht="7.5" customHeight="1">
      <c r="A51" s="543"/>
      <c r="B51" s="544"/>
      <c r="C51" s="545"/>
      <c r="D51" s="548"/>
      <c r="E51" s="532"/>
      <c r="F51" s="551"/>
      <c r="G51" s="534"/>
      <c r="H51" s="535"/>
      <c r="I51" s="536"/>
      <c r="J51" s="532"/>
      <c r="K51" s="532"/>
      <c r="L51" s="532"/>
      <c r="M51" s="532"/>
    </row>
    <row r="52" spans="1:13" ht="7.5" customHeight="1">
      <c r="A52" s="537" t="s">
        <v>283</v>
      </c>
      <c r="B52" s="538"/>
      <c r="C52" s="539"/>
      <c r="D52" s="546"/>
      <c r="E52" s="530"/>
      <c r="F52" s="549"/>
      <c r="G52" s="534" t="s">
        <v>284</v>
      </c>
      <c r="H52" s="535"/>
      <c r="I52" s="536"/>
      <c r="J52" s="530"/>
      <c r="K52" s="530"/>
      <c r="L52" s="530"/>
      <c r="M52" s="533"/>
    </row>
    <row r="53" spans="1:13" ht="7.5" customHeight="1">
      <c r="A53" s="540"/>
      <c r="B53" s="541"/>
      <c r="C53" s="542"/>
      <c r="D53" s="547"/>
      <c r="E53" s="531"/>
      <c r="F53" s="550"/>
      <c r="G53" s="534"/>
      <c r="H53" s="535"/>
      <c r="I53" s="536"/>
      <c r="J53" s="531"/>
      <c r="K53" s="531"/>
      <c r="L53" s="531"/>
      <c r="M53" s="531"/>
    </row>
    <row r="54" spans="1:13" ht="7.5" customHeight="1" thickBot="1">
      <c r="A54" s="543"/>
      <c r="B54" s="544"/>
      <c r="C54" s="545"/>
      <c r="D54" s="548"/>
      <c r="E54" s="532"/>
      <c r="F54" s="551"/>
      <c r="G54" s="534"/>
      <c r="H54" s="535"/>
      <c r="I54" s="536"/>
      <c r="J54" s="532"/>
      <c r="K54" s="532"/>
      <c r="L54" s="532"/>
      <c r="M54" s="532"/>
    </row>
    <row r="55" spans="1:13" s="95" customFormat="1" ht="12.75" customHeight="1">
      <c r="A55" s="579" t="s">
        <v>2</v>
      </c>
      <c r="B55" s="580"/>
      <c r="C55" s="581"/>
      <c r="D55" s="585"/>
      <c r="E55" s="585"/>
      <c r="F55" s="587">
        <f>SUM(F34:F54)</f>
        <v>84</v>
      </c>
      <c r="G55" s="585"/>
      <c r="H55" s="585"/>
      <c r="I55" s="587">
        <f>SUM(I34:I54)</f>
        <v>82</v>
      </c>
      <c r="J55" s="585"/>
      <c r="K55" s="585"/>
      <c r="L55" s="585"/>
      <c r="M55" s="587">
        <f>SUM(M34:M54)</f>
        <v>166</v>
      </c>
    </row>
    <row r="56" spans="1:13" s="95" customFormat="1" ht="13.5" customHeight="1" thickBot="1">
      <c r="A56" s="582"/>
      <c r="B56" s="583"/>
      <c r="C56" s="584"/>
      <c r="D56" s="586"/>
      <c r="E56" s="586"/>
      <c r="F56" s="588"/>
      <c r="G56" s="586"/>
      <c r="H56" s="586"/>
      <c r="I56" s="588"/>
      <c r="J56" s="586"/>
      <c r="K56" s="586"/>
      <c r="L56" s="586"/>
      <c r="M56" s="588"/>
    </row>
    <row r="57" spans="1:13" ht="13.5" customHeight="1">
      <c r="A57" s="188"/>
      <c r="B57" s="188"/>
      <c r="C57" s="188"/>
      <c r="D57" s="188"/>
      <c r="E57" s="188"/>
      <c r="F57" s="193"/>
      <c r="G57" s="194"/>
      <c r="H57" s="176"/>
      <c r="I57" s="176"/>
      <c r="J57" s="176"/>
      <c r="K57" s="176"/>
      <c r="L57" s="176"/>
      <c r="M57" s="176"/>
    </row>
    <row r="58" spans="1:13" ht="13.5" customHeight="1">
      <c r="A58" s="188"/>
      <c r="B58" s="188"/>
      <c r="C58" s="188"/>
      <c r="D58" s="188"/>
      <c r="E58" s="188"/>
      <c r="F58" s="193"/>
      <c r="G58" s="194"/>
      <c r="H58" s="176"/>
      <c r="I58" s="176"/>
      <c r="J58" s="176"/>
      <c r="K58" s="176"/>
      <c r="L58" s="176"/>
      <c r="M58" s="176"/>
    </row>
    <row r="59" spans="1:13" ht="13.5" customHeight="1">
      <c r="A59" s="188"/>
      <c r="B59" s="188"/>
      <c r="C59" s="188"/>
      <c r="D59" s="188"/>
      <c r="E59" s="188"/>
      <c r="F59" s="193"/>
      <c r="G59" s="194"/>
      <c r="H59" s="176"/>
      <c r="I59" s="176"/>
      <c r="J59" s="176"/>
      <c r="K59" s="176"/>
      <c r="L59" s="176"/>
      <c r="M59" s="176"/>
    </row>
    <row r="60" spans="1:13" ht="15.75">
      <c r="A60" s="5" t="s">
        <v>285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ht="15.75">
      <c r="A62" s="5" t="s">
        <v>286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" customHeight="1" thickBo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1" ht="12.75" customHeight="1">
      <c r="A64" s="575" t="s">
        <v>263</v>
      </c>
      <c r="B64" s="576"/>
      <c r="C64" s="576"/>
      <c r="D64" s="575" t="s">
        <v>287</v>
      </c>
      <c r="E64" s="555"/>
      <c r="F64" s="575" t="s">
        <v>288</v>
      </c>
      <c r="G64" s="555"/>
      <c r="H64" s="575" t="s">
        <v>289</v>
      </c>
      <c r="I64" s="555"/>
      <c r="J64" s="575" t="s">
        <v>290</v>
      </c>
      <c r="K64" s="555"/>
    </row>
    <row r="65" spans="1:11" ht="12.75" customHeight="1">
      <c r="A65" s="577"/>
      <c r="B65" s="578"/>
      <c r="C65" s="578"/>
      <c r="D65" s="577"/>
      <c r="E65" s="556"/>
      <c r="F65" s="577"/>
      <c r="G65" s="556"/>
      <c r="H65" s="577"/>
      <c r="I65" s="556"/>
      <c r="J65" s="577"/>
      <c r="K65" s="556"/>
    </row>
    <row r="66" spans="1:11" ht="13.5" customHeight="1" thickBot="1">
      <c r="A66" s="595"/>
      <c r="B66" s="596"/>
      <c r="C66" s="596"/>
      <c r="D66" s="595"/>
      <c r="E66" s="557"/>
      <c r="F66" s="595"/>
      <c r="G66" s="557"/>
      <c r="H66" s="595"/>
      <c r="I66" s="557"/>
      <c r="J66" s="595"/>
      <c r="K66" s="557"/>
    </row>
    <row r="67" spans="1:12" s="53" customFormat="1" ht="25.5" customHeight="1" thickBot="1">
      <c r="A67" s="531" t="s">
        <v>291</v>
      </c>
      <c r="B67" s="531"/>
      <c r="C67" s="531"/>
      <c r="D67" s="531" t="s">
        <v>292</v>
      </c>
      <c r="E67" s="531"/>
      <c r="F67" s="592" t="s">
        <v>292</v>
      </c>
      <c r="G67" s="593"/>
      <c r="H67" s="592" t="s">
        <v>292</v>
      </c>
      <c r="I67" s="593"/>
      <c r="J67" s="531" t="s">
        <v>292</v>
      </c>
      <c r="K67" s="531"/>
      <c r="L67" s="195"/>
    </row>
    <row r="68" spans="1:13" s="95" customFormat="1" ht="12.75" customHeight="1">
      <c r="A68" s="579" t="s">
        <v>2</v>
      </c>
      <c r="B68" s="580"/>
      <c r="C68" s="581"/>
      <c r="D68" s="579"/>
      <c r="E68" s="581"/>
      <c r="F68" s="579"/>
      <c r="G68" s="581"/>
      <c r="H68" s="579"/>
      <c r="I68" s="581"/>
      <c r="J68" s="579" t="s">
        <v>292</v>
      </c>
      <c r="K68" s="581"/>
      <c r="L68" s="594"/>
      <c r="M68" s="594"/>
    </row>
    <row r="69" spans="1:13" s="95" customFormat="1" ht="13.5" customHeight="1" thickBot="1">
      <c r="A69" s="582"/>
      <c r="B69" s="583"/>
      <c r="C69" s="584"/>
      <c r="D69" s="582"/>
      <c r="E69" s="584"/>
      <c r="F69" s="582"/>
      <c r="G69" s="584"/>
      <c r="H69" s="582"/>
      <c r="I69" s="584"/>
      <c r="J69" s="582"/>
      <c r="K69" s="584"/>
      <c r="L69" s="594"/>
      <c r="M69" s="594"/>
    </row>
    <row r="71" spans="1:13" ht="15.75">
      <c r="A71" s="5" t="s">
        <v>293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ht="13.5" thickBot="1"/>
    <row r="73" spans="1:11" ht="12.75" customHeight="1">
      <c r="A73" s="575" t="s">
        <v>263</v>
      </c>
      <c r="B73" s="576"/>
      <c r="C73" s="576"/>
      <c r="D73" s="575" t="s">
        <v>287</v>
      </c>
      <c r="E73" s="555"/>
      <c r="F73" s="575" t="s">
        <v>294</v>
      </c>
      <c r="G73" s="555"/>
      <c r="H73" s="575" t="s">
        <v>289</v>
      </c>
      <c r="I73" s="555"/>
      <c r="J73" s="575" t="s">
        <v>290</v>
      </c>
      <c r="K73" s="555"/>
    </row>
    <row r="74" spans="1:11" ht="12.75" customHeight="1">
      <c r="A74" s="577"/>
      <c r="B74" s="578"/>
      <c r="C74" s="578"/>
      <c r="D74" s="577"/>
      <c r="E74" s="556"/>
      <c r="F74" s="577"/>
      <c r="G74" s="556"/>
      <c r="H74" s="577"/>
      <c r="I74" s="556"/>
      <c r="J74" s="577"/>
      <c r="K74" s="556"/>
    </row>
    <row r="75" spans="1:11" ht="13.5" customHeight="1" thickBot="1">
      <c r="A75" s="595"/>
      <c r="B75" s="596"/>
      <c r="C75" s="596"/>
      <c r="D75" s="595"/>
      <c r="E75" s="557"/>
      <c r="F75" s="595"/>
      <c r="G75" s="557"/>
      <c r="H75" s="595"/>
      <c r="I75" s="557"/>
      <c r="J75" s="595"/>
      <c r="K75" s="557"/>
    </row>
    <row r="76" spans="1:12" s="53" customFormat="1" ht="25.5" customHeight="1" thickBot="1">
      <c r="A76" s="531" t="s">
        <v>295</v>
      </c>
      <c r="B76" s="531"/>
      <c r="C76" s="531"/>
      <c r="D76" s="531" t="s">
        <v>296</v>
      </c>
      <c r="E76" s="531"/>
      <c r="F76" s="615" t="s">
        <v>292</v>
      </c>
      <c r="G76" s="616"/>
      <c r="H76" s="615"/>
      <c r="I76" s="616"/>
      <c r="J76" s="550"/>
      <c r="K76" s="550"/>
      <c r="L76" s="195"/>
    </row>
    <row r="77" spans="1:13" ht="12.75" customHeight="1">
      <c r="A77" s="597" t="s">
        <v>2</v>
      </c>
      <c r="B77" s="598"/>
      <c r="C77" s="599"/>
      <c r="D77" s="603"/>
      <c r="E77" s="604"/>
      <c r="F77" s="607">
        <f>SUM(F76)</f>
        <v>0</v>
      </c>
      <c r="G77" s="608"/>
      <c r="H77" s="611">
        <f>SUM(H76)</f>
        <v>0</v>
      </c>
      <c r="I77" s="612"/>
      <c r="J77" s="611">
        <f>SUM(J76)</f>
        <v>0</v>
      </c>
      <c r="K77" s="612"/>
      <c r="L77" s="617"/>
      <c r="M77" s="617"/>
    </row>
    <row r="78" spans="1:13" ht="13.5" customHeight="1" thickBot="1">
      <c r="A78" s="600"/>
      <c r="B78" s="601"/>
      <c r="C78" s="602"/>
      <c r="D78" s="605"/>
      <c r="E78" s="606"/>
      <c r="F78" s="609"/>
      <c r="G78" s="610"/>
      <c r="H78" s="613"/>
      <c r="I78" s="614"/>
      <c r="J78" s="613"/>
      <c r="K78" s="614"/>
      <c r="L78" s="617"/>
      <c r="M78" s="617"/>
    </row>
    <row r="80" spans="1:13" ht="15.75">
      <c r="A80" s="5" t="s">
        <v>297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ht="13.5" thickBot="1"/>
    <row r="82" spans="1:11" ht="12.75" customHeight="1">
      <c r="A82" s="575" t="s">
        <v>263</v>
      </c>
      <c r="B82" s="576"/>
      <c r="C82" s="576"/>
      <c r="D82" s="575" t="s">
        <v>287</v>
      </c>
      <c r="E82" s="555"/>
      <c r="F82" s="575" t="s">
        <v>288</v>
      </c>
      <c r="G82" s="555"/>
      <c r="H82" s="575" t="s">
        <v>289</v>
      </c>
      <c r="I82" s="555"/>
      <c r="J82" s="575" t="s">
        <v>290</v>
      </c>
      <c r="K82" s="555"/>
    </row>
    <row r="83" spans="1:11" ht="12.75" customHeight="1">
      <c r="A83" s="577"/>
      <c r="B83" s="578"/>
      <c r="C83" s="578"/>
      <c r="D83" s="577"/>
      <c r="E83" s="556"/>
      <c r="F83" s="577"/>
      <c r="G83" s="556"/>
      <c r="H83" s="577"/>
      <c r="I83" s="556"/>
      <c r="J83" s="577"/>
      <c r="K83" s="556"/>
    </row>
    <row r="84" spans="1:11" ht="13.5" customHeight="1" thickBot="1">
      <c r="A84" s="595"/>
      <c r="B84" s="596"/>
      <c r="C84" s="596"/>
      <c r="D84" s="595"/>
      <c r="E84" s="557"/>
      <c r="F84" s="595"/>
      <c r="G84" s="557"/>
      <c r="H84" s="595"/>
      <c r="I84" s="557"/>
      <c r="J84" s="595"/>
      <c r="K84" s="557"/>
    </row>
    <row r="85" spans="1:12" s="53" customFormat="1" ht="25.5" customHeight="1" thickBot="1">
      <c r="A85" s="531" t="s">
        <v>295</v>
      </c>
      <c r="B85" s="531"/>
      <c r="C85" s="531"/>
      <c r="D85" s="531" t="s">
        <v>298</v>
      </c>
      <c r="E85" s="531"/>
      <c r="F85" s="592" t="s">
        <v>292</v>
      </c>
      <c r="G85" s="593"/>
      <c r="H85" s="592"/>
      <c r="I85" s="593"/>
      <c r="J85" s="531"/>
      <c r="K85" s="531"/>
      <c r="L85" s="195"/>
    </row>
    <row r="86" spans="1:13" ht="12.75" customHeight="1">
      <c r="A86" s="597" t="s">
        <v>2</v>
      </c>
      <c r="B86" s="598"/>
      <c r="C86" s="599"/>
      <c r="D86" s="603"/>
      <c r="E86" s="604"/>
      <c r="F86" s="603"/>
      <c r="G86" s="604"/>
      <c r="H86" s="579">
        <f>SUM(H85)</f>
        <v>0</v>
      </c>
      <c r="I86" s="581"/>
      <c r="J86" s="579">
        <f>SUM(J85)</f>
        <v>0</v>
      </c>
      <c r="K86" s="581"/>
      <c r="L86" s="617"/>
      <c r="M86" s="617"/>
    </row>
    <row r="87" spans="1:13" ht="13.5" customHeight="1" thickBot="1">
      <c r="A87" s="600"/>
      <c r="B87" s="601"/>
      <c r="C87" s="602"/>
      <c r="D87" s="605"/>
      <c r="E87" s="606"/>
      <c r="F87" s="605"/>
      <c r="G87" s="606"/>
      <c r="H87" s="582"/>
      <c r="I87" s="584"/>
      <c r="J87" s="582"/>
      <c r="K87" s="584"/>
      <c r="L87" s="617"/>
      <c r="M87" s="617"/>
    </row>
    <row r="89" spans="1:13" ht="15.75">
      <c r="A89" s="5" t="s">
        <v>299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ht="13.5" thickBot="1"/>
    <row r="91" spans="1:11" ht="12.75" customHeight="1">
      <c r="A91" s="575" t="s">
        <v>263</v>
      </c>
      <c r="B91" s="576"/>
      <c r="C91" s="576"/>
      <c r="D91" s="575" t="s">
        <v>287</v>
      </c>
      <c r="E91" s="555"/>
      <c r="F91" s="575" t="s">
        <v>288</v>
      </c>
      <c r="G91" s="555"/>
      <c r="H91" s="575" t="s">
        <v>289</v>
      </c>
      <c r="I91" s="555"/>
      <c r="J91" s="575" t="s">
        <v>290</v>
      </c>
      <c r="K91" s="555"/>
    </row>
    <row r="92" spans="1:11" ht="12.75" customHeight="1">
      <c r="A92" s="577"/>
      <c r="B92" s="578"/>
      <c r="C92" s="578"/>
      <c r="D92" s="577"/>
      <c r="E92" s="556"/>
      <c r="F92" s="577"/>
      <c r="G92" s="556"/>
      <c r="H92" s="577"/>
      <c r="I92" s="556"/>
      <c r="J92" s="577"/>
      <c r="K92" s="556"/>
    </row>
    <row r="93" spans="1:11" ht="13.5" customHeight="1" thickBot="1">
      <c r="A93" s="595"/>
      <c r="B93" s="596"/>
      <c r="C93" s="596"/>
      <c r="D93" s="595"/>
      <c r="E93" s="557"/>
      <c r="F93" s="595"/>
      <c r="G93" s="557"/>
      <c r="H93" s="595"/>
      <c r="I93" s="557"/>
      <c r="J93" s="595"/>
      <c r="K93" s="557"/>
    </row>
    <row r="94" spans="1:12" s="53" customFormat="1" ht="25.5" customHeight="1" thickBot="1">
      <c r="A94" s="531" t="s">
        <v>295</v>
      </c>
      <c r="B94" s="531"/>
      <c r="C94" s="531"/>
      <c r="D94" s="531"/>
      <c r="E94" s="531"/>
      <c r="F94" s="592" t="s">
        <v>292</v>
      </c>
      <c r="G94" s="593"/>
      <c r="H94" s="592"/>
      <c r="I94" s="593"/>
      <c r="J94" s="531"/>
      <c r="K94" s="531"/>
      <c r="L94" s="195"/>
    </row>
    <row r="95" spans="1:13" ht="12.75" customHeight="1">
      <c r="A95" s="597" t="s">
        <v>2</v>
      </c>
      <c r="B95" s="598"/>
      <c r="C95" s="599"/>
      <c r="D95" s="603"/>
      <c r="E95" s="604"/>
      <c r="F95" s="603"/>
      <c r="G95" s="604"/>
      <c r="H95" s="579">
        <f>SUM(H94)</f>
        <v>0</v>
      </c>
      <c r="I95" s="581"/>
      <c r="J95" s="579">
        <f>SUM(J94)</f>
        <v>0</v>
      </c>
      <c r="K95" s="581"/>
      <c r="L95" s="617"/>
      <c r="M95" s="617"/>
    </row>
    <row r="96" spans="1:13" ht="13.5" customHeight="1" thickBot="1">
      <c r="A96" s="600"/>
      <c r="B96" s="601"/>
      <c r="C96" s="602"/>
      <c r="D96" s="605"/>
      <c r="E96" s="606"/>
      <c r="F96" s="605"/>
      <c r="G96" s="606"/>
      <c r="H96" s="582"/>
      <c r="I96" s="584"/>
      <c r="J96" s="582"/>
      <c r="K96" s="584"/>
      <c r="L96" s="617"/>
      <c r="M96" s="617"/>
    </row>
  </sheetData>
  <sheetProtection password="AF00" sheet="1" objects="1" scenarios="1" selectLockedCells="1" selectUnlockedCells="1"/>
  <mergeCells count="194">
    <mergeCell ref="A3:M3"/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K52:K54"/>
    <mergeCell ref="L52:L54"/>
    <mergeCell ref="M52:M54"/>
    <mergeCell ref="G52:G54"/>
    <mergeCell ref="H52:H54"/>
    <mergeCell ref="I52:I54"/>
    <mergeCell ref="J52:J5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25" customWidth="1"/>
    <col min="2" max="2" width="65.75390625" style="25" customWidth="1"/>
    <col min="3" max="5" width="15.75390625" style="25" bestFit="1" customWidth="1"/>
    <col min="6" max="6" width="18.00390625" style="25" bestFit="1" customWidth="1"/>
    <col min="7" max="7" width="11.375" style="53" bestFit="1" customWidth="1"/>
    <col min="8" max="16384" width="9.125" style="53" customWidth="1"/>
  </cols>
  <sheetData>
    <row r="1" spans="1:6" ht="15.75">
      <c r="A1" s="501" t="s">
        <v>465</v>
      </c>
      <c r="B1" s="501"/>
      <c r="C1" s="501"/>
      <c r="D1" s="501"/>
      <c r="E1" s="501"/>
      <c r="F1" s="501"/>
    </row>
    <row r="2" spans="1:6" ht="15.75">
      <c r="A2" s="27"/>
      <c r="B2" s="27"/>
      <c r="C2" s="27"/>
      <c r="D2" s="27"/>
      <c r="E2" s="27"/>
      <c r="F2" s="27"/>
    </row>
    <row r="3" spans="1:6" ht="15.75">
      <c r="A3" s="529" t="s">
        <v>326</v>
      </c>
      <c r="B3" s="529"/>
      <c r="C3" s="529"/>
      <c r="D3" s="529"/>
      <c r="E3" s="529"/>
      <c r="F3" s="529"/>
    </row>
    <row r="4" spans="1:6" ht="15.75">
      <c r="A4" s="529" t="s">
        <v>300</v>
      </c>
      <c r="B4" s="529"/>
      <c r="C4" s="529"/>
      <c r="D4" s="529"/>
      <c r="E4" s="529"/>
      <c r="F4" s="529"/>
    </row>
    <row r="5" spans="1:6" ht="15.75">
      <c r="A5" s="529" t="s">
        <v>408</v>
      </c>
      <c r="B5" s="529"/>
      <c r="C5" s="529"/>
      <c r="D5" s="529"/>
      <c r="E5" s="529"/>
      <c r="F5" s="529"/>
    </row>
    <row r="6" spans="1:6" ht="16.5" thickBot="1">
      <c r="A6" s="27"/>
      <c r="B6" s="27"/>
      <c r="C6" s="53"/>
      <c r="D6" s="197"/>
      <c r="E6" s="53"/>
      <c r="F6" s="197" t="s">
        <v>407</v>
      </c>
    </row>
    <row r="7" spans="1:6" ht="15.75">
      <c r="A7" s="198" t="s">
        <v>25</v>
      </c>
      <c r="B7" s="618" t="s">
        <v>301</v>
      </c>
      <c r="C7" s="621" t="s">
        <v>302</v>
      </c>
      <c r="D7" s="622"/>
      <c r="E7" s="622"/>
      <c r="F7" s="618" t="s">
        <v>214</v>
      </c>
    </row>
    <row r="8" spans="1:6" ht="16.5" thickBot="1">
      <c r="A8" s="199"/>
      <c r="B8" s="619"/>
      <c r="C8" s="623"/>
      <c r="D8" s="624"/>
      <c r="E8" s="624"/>
      <c r="F8" s="619"/>
    </row>
    <row r="9" spans="1:6" ht="16.5" thickBot="1">
      <c r="A9" s="199"/>
      <c r="B9" s="619"/>
      <c r="C9" s="200" t="s">
        <v>259</v>
      </c>
      <c r="D9" s="200" t="s">
        <v>369</v>
      </c>
      <c r="E9" s="200" t="s">
        <v>460</v>
      </c>
      <c r="F9" s="619"/>
    </row>
    <row r="10" spans="1:6" ht="16.5" thickBot="1">
      <c r="A10" s="201" t="s">
        <v>26</v>
      </c>
      <c r="B10" s="620"/>
      <c r="C10" s="625" t="s">
        <v>303</v>
      </c>
      <c r="D10" s="626"/>
      <c r="E10" s="626"/>
      <c r="F10" s="620"/>
    </row>
    <row r="11" spans="1:6" ht="15.75">
      <c r="A11" s="196" t="s">
        <v>27</v>
      </c>
      <c r="B11" s="226" t="s">
        <v>309</v>
      </c>
      <c r="C11" s="202">
        <v>1450000</v>
      </c>
      <c r="D11" s="202">
        <v>1450000</v>
      </c>
      <c r="E11" s="202">
        <v>1450000</v>
      </c>
      <c r="F11" s="202">
        <f>SUM(C11:E11)</f>
        <v>4350000</v>
      </c>
    </row>
    <row r="12" spans="1:6" ht="31.5">
      <c r="A12" s="196" t="s">
        <v>21</v>
      </c>
      <c r="B12" s="227" t="s">
        <v>310</v>
      </c>
      <c r="C12" s="203"/>
      <c r="D12" s="203"/>
      <c r="E12" s="203"/>
      <c r="F12" s="202">
        <f>SUM(C12:E12)</f>
        <v>0</v>
      </c>
    </row>
    <row r="13" spans="1:2" s="174" customFormat="1" ht="15.75">
      <c r="A13" s="196" t="s">
        <v>28</v>
      </c>
      <c r="B13" s="226" t="s">
        <v>311</v>
      </c>
    </row>
    <row r="14" spans="1:6" s="174" customFormat="1" ht="31.5">
      <c r="A14" s="196" t="s">
        <v>66</v>
      </c>
      <c r="B14" s="227" t="s">
        <v>312</v>
      </c>
      <c r="C14" s="204"/>
      <c r="D14" s="204"/>
      <c r="E14" s="204"/>
      <c r="F14" s="202">
        <f>SUM(C14:E14)</f>
        <v>0</v>
      </c>
    </row>
    <row r="15" spans="1:6" s="174" customFormat="1" ht="15.75">
      <c r="A15" s="196" t="s">
        <v>67</v>
      </c>
      <c r="B15" s="226" t="s">
        <v>304</v>
      </c>
      <c r="C15" s="204">
        <v>40000</v>
      </c>
      <c r="D15" s="204">
        <v>40000</v>
      </c>
      <c r="E15" s="204">
        <v>40000</v>
      </c>
      <c r="F15" s="202">
        <f>SUM(C15:E15)</f>
        <v>120000</v>
      </c>
    </row>
    <row r="16" spans="1:6" s="174" customFormat="1" ht="15.75">
      <c r="A16" s="196" t="s">
        <v>72</v>
      </c>
      <c r="B16" s="226" t="s">
        <v>313</v>
      </c>
      <c r="C16" s="205"/>
      <c r="D16" s="205"/>
      <c r="E16" s="205"/>
      <c r="F16" s="205"/>
    </row>
    <row r="17" spans="1:6" s="209" customFormat="1" ht="15.75">
      <c r="A17" s="196" t="s">
        <v>162</v>
      </c>
      <c r="B17" s="207" t="s">
        <v>305</v>
      </c>
      <c r="C17" s="208">
        <f>SUM(C11:C16)</f>
        <v>1490000</v>
      </c>
      <c r="D17" s="208">
        <f>SUM(D11:D16)</f>
        <v>1490000</v>
      </c>
      <c r="E17" s="208">
        <f>SUM(E11:E16)</f>
        <v>1490000</v>
      </c>
      <c r="F17" s="208">
        <f>SUM(F11:F16)</f>
        <v>4470000</v>
      </c>
    </row>
    <row r="18" spans="1:6" s="214" customFormat="1" ht="18.75">
      <c r="A18" s="210" t="s">
        <v>164</v>
      </c>
      <c r="B18" s="211" t="s">
        <v>306</v>
      </c>
      <c r="C18" s="212">
        <f>C17*0.5</f>
        <v>745000</v>
      </c>
      <c r="D18" s="212">
        <f>D17*0.5</f>
        <v>745000</v>
      </c>
      <c r="E18" s="212">
        <f>E17*0.5</f>
        <v>745000</v>
      </c>
      <c r="F18" s="213">
        <f>SUM(C18:E18)</f>
        <v>2235000</v>
      </c>
    </row>
    <row r="19" spans="1:6" s="174" customFormat="1" ht="31.5">
      <c r="A19" s="215" t="s">
        <v>166</v>
      </c>
      <c r="B19" s="227" t="s">
        <v>314</v>
      </c>
      <c r="C19" s="204"/>
      <c r="D19" s="204"/>
      <c r="E19" s="204"/>
      <c r="F19" s="204">
        <f>SUM(C19:E19)</f>
        <v>0</v>
      </c>
    </row>
    <row r="20" spans="1:6" s="174" customFormat="1" ht="31.5">
      <c r="A20" s="215" t="s">
        <v>172</v>
      </c>
      <c r="B20" s="227" t="s">
        <v>315</v>
      </c>
      <c r="C20" s="204"/>
      <c r="D20" s="204"/>
      <c r="E20" s="204"/>
      <c r="F20" s="204">
        <f>SUM(C20:E20)</f>
        <v>0</v>
      </c>
    </row>
    <row r="21" spans="1:6" s="174" customFormat="1" ht="15.75">
      <c r="A21" s="215" t="s">
        <v>174</v>
      </c>
      <c r="B21" s="226" t="s">
        <v>316</v>
      </c>
      <c r="C21" s="204"/>
      <c r="D21" s="204"/>
      <c r="E21" s="204"/>
      <c r="F21" s="204"/>
    </row>
    <row r="22" spans="1:6" s="174" customFormat="1" ht="31.5">
      <c r="A22" s="215" t="s">
        <v>176</v>
      </c>
      <c r="B22" s="216" t="s">
        <v>317</v>
      </c>
      <c r="C22" s="204"/>
      <c r="D22" s="204"/>
      <c r="E22" s="204"/>
      <c r="F22" s="204"/>
    </row>
    <row r="23" spans="1:6" s="174" customFormat="1" ht="47.25">
      <c r="A23" s="215" t="s">
        <v>181</v>
      </c>
      <c r="B23" s="216" t="s">
        <v>351</v>
      </c>
      <c r="C23" s="204"/>
      <c r="D23" s="204"/>
      <c r="E23" s="204"/>
      <c r="F23" s="204"/>
    </row>
    <row r="24" spans="1:6" s="174" customFormat="1" ht="31.5">
      <c r="A24" s="215" t="s">
        <v>183</v>
      </c>
      <c r="B24" s="216" t="s">
        <v>318</v>
      </c>
      <c r="C24" s="204"/>
      <c r="D24" s="204"/>
      <c r="E24" s="204"/>
      <c r="F24" s="204"/>
    </row>
    <row r="25" spans="1:6" s="174" customFormat="1" ht="31.5">
      <c r="A25" s="215" t="s">
        <v>185</v>
      </c>
      <c r="B25" s="216" t="s">
        <v>319</v>
      </c>
      <c r="C25" s="217"/>
      <c r="D25" s="217"/>
      <c r="E25" s="217"/>
      <c r="F25" s="217"/>
    </row>
    <row r="26" spans="1:6" s="209" customFormat="1" ht="15.75">
      <c r="A26" s="206" t="s">
        <v>192</v>
      </c>
      <c r="B26" s="218" t="s">
        <v>307</v>
      </c>
      <c r="C26" s="219">
        <f>SUM(C19:C24)</f>
        <v>0</v>
      </c>
      <c r="D26" s="219">
        <f>SUM(D19:D24)</f>
        <v>0</v>
      </c>
      <c r="E26" s="219">
        <f>SUM(E19:E24)</f>
        <v>0</v>
      </c>
      <c r="F26" s="219">
        <f>SUM(F19:F24)</f>
        <v>0</v>
      </c>
    </row>
    <row r="27" spans="1:6" s="222" customFormat="1" ht="37.5">
      <c r="A27" s="296" t="s">
        <v>195</v>
      </c>
      <c r="B27" s="220" t="s">
        <v>308</v>
      </c>
      <c r="C27" s="221">
        <f>C18-C26</f>
        <v>745000</v>
      </c>
      <c r="D27" s="221">
        <f>D18-D26</f>
        <v>745000</v>
      </c>
      <c r="E27" s="221">
        <f>E18-E26</f>
        <v>745000</v>
      </c>
      <c r="F27" s="221">
        <f>SUM(C27:E27)</f>
        <v>2235000</v>
      </c>
    </row>
    <row r="28" spans="1:6" s="174" customFormat="1" ht="15.75">
      <c r="A28" s="223"/>
      <c r="B28" s="224"/>
      <c r="C28" s="204"/>
      <c r="D28" s="204"/>
      <c r="E28" s="204"/>
      <c r="F28" s="204"/>
    </row>
    <row r="29" spans="1:7" s="174" customFormat="1" ht="15.75">
      <c r="A29" s="223"/>
      <c r="B29" s="224"/>
      <c r="C29" s="204"/>
      <c r="D29" s="204"/>
      <c r="E29" s="204"/>
      <c r="F29" s="204"/>
      <c r="G29" s="204"/>
    </row>
    <row r="30" spans="1:6" s="174" customFormat="1" ht="15.75">
      <c r="A30" s="224"/>
      <c r="B30" s="224"/>
      <c r="C30" s="204"/>
      <c r="D30" s="204"/>
      <c r="E30" s="204"/>
      <c r="F30" s="204"/>
    </row>
    <row r="31" spans="1:6" s="174" customFormat="1" ht="15.75">
      <c r="A31" s="224"/>
      <c r="B31" s="224"/>
      <c r="C31" s="204"/>
      <c r="D31" s="204"/>
      <c r="E31" s="204"/>
      <c r="F31" s="204"/>
    </row>
    <row r="32" spans="1:6" s="174" customFormat="1" ht="15.75">
      <c r="A32" s="224"/>
      <c r="B32" s="224"/>
      <c r="C32" s="204"/>
      <c r="D32" s="204"/>
      <c r="E32" s="204"/>
      <c r="F32" s="204"/>
    </row>
    <row r="33" spans="1:6" s="174" customFormat="1" ht="15.75">
      <c r="A33" s="224"/>
      <c r="B33" s="225"/>
      <c r="C33" s="204"/>
      <c r="D33" s="204"/>
      <c r="E33" s="204"/>
      <c r="F33" s="204"/>
    </row>
    <row r="34" spans="1:6" s="174" customFormat="1" ht="15.75">
      <c r="A34" s="224"/>
      <c r="B34" s="224"/>
      <c r="C34" s="204"/>
      <c r="D34" s="204"/>
      <c r="E34" s="204"/>
      <c r="F34" s="204"/>
    </row>
    <row r="35" spans="1:6" s="174" customFormat="1" ht="15.75">
      <c r="A35" s="224"/>
      <c r="B35" s="224"/>
      <c r="C35" s="204"/>
      <c r="D35" s="204"/>
      <c r="E35" s="204"/>
      <c r="F35" s="204"/>
    </row>
  </sheetData>
  <sheetProtection password="AF00" sheet="1" objects="1" scenarios="1" selectLockedCells="1" selectUnlockedCells="1"/>
  <mergeCells count="8">
    <mergeCell ref="A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72" customWidth="1"/>
    <col min="2" max="2" width="64.625" style="2" customWidth="1"/>
    <col min="3" max="3" width="14.875" style="298" customWidth="1"/>
    <col min="4" max="4" width="4.875" style="2" customWidth="1"/>
    <col min="5" max="5" width="17.25390625" style="298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.75">
      <c r="A1" s="395" t="s">
        <v>509</v>
      </c>
      <c r="B1" s="395"/>
      <c r="C1" s="395"/>
      <c r="D1" s="395"/>
      <c r="E1" s="395"/>
      <c r="F1" s="395"/>
    </row>
    <row r="3" spans="1:6" ht="15">
      <c r="A3" s="297"/>
      <c r="C3" s="297"/>
      <c r="D3" s="297"/>
      <c r="E3" s="297"/>
      <c r="F3" s="297"/>
    </row>
    <row r="4" spans="2:6" ht="15">
      <c r="B4" s="76"/>
      <c r="C4" s="76"/>
      <c r="D4" s="76"/>
      <c r="E4" s="76"/>
      <c r="F4" s="76"/>
    </row>
    <row r="5" spans="1:6" s="53" customFormat="1" ht="15.75">
      <c r="A5" s="273"/>
      <c r="B5" s="394"/>
      <c r="C5" s="394"/>
      <c r="D5" s="394"/>
      <c r="E5" s="394"/>
      <c r="F5" s="394"/>
    </row>
    <row r="6" spans="1:6" s="53" customFormat="1" ht="15.75">
      <c r="A6" s="273"/>
      <c r="B6" s="394" t="s">
        <v>325</v>
      </c>
      <c r="C6" s="394"/>
      <c r="D6" s="394"/>
      <c r="E6" s="394"/>
      <c r="F6" s="394"/>
    </row>
    <row r="7" spans="2:6" ht="15.75">
      <c r="B7" s="394" t="s">
        <v>97</v>
      </c>
      <c r="C7" s="394"/>
      <c r="D7" s="394"/>
      <c r="E7" s="394"/>
      <c r="F7" s="394"/>
    </row>
    <row r="8" spans="2:6" ht="12.75" customHeight="1">
      <c r="B8" s="393" t="s">
        <v>392</v>
      </c>
      <c r="C8" s="393"/>
      <c r="D8" s="393"/>
      <c r="E8" s="393"/>
      <c r="F8" s="393"/>
    </row>
    <row r="9" spans="1:6" s="1" customFormat="1" ht="15">
      <c r="A9" s="274"/>
      <c r="B9" s="2"/>
      <c r="C9" s="298"/>
      <c r="D9" s="2"/>
      <c r="E9" s="302"/>
      <c r="F9" s="2"/>
    </row>
    <row r="10" spans="1:5" s="1" customFormat="1" ht="18.75">
      <c r="A10" s="274" t="s">
        <v>27</v>
      </c>
      <c r="B10" s="94" t="s">
        <v>98</v>
      </c>
      <c r="C10" s="301"/>
      <c r="E10" s="95"/>
    </row>
    <row r="11" spans="1:6" ht="15.75">
      <c r="A11" s="272" t="s">
        <v>429</v>
      </c>
      <c r="B11" s="5" t="s">
        <v>99</v>
      </c>
      <c r="C11" s="301"/>
      <c r="D11" s="1"/>
      <c r="E11" s="306">
        <f>C12+C13</f>
        <v>22582480</v>
      </c>
      <c r="F11" s="1" t="s">
        <v>399</v>
      </c>
    </row>
    <row r="12" spans="2:8" ht="15.75">
      <c r="B12" s="96" t="s">
        <v>100</v>
      </c>
      <c r="C12" s="298">
        <f>'2.mell - bevétel'!H66</f>
        <v>19659846</v>
      </c>
      <c r="D12" s="2" t="s">
        <v>399</v>
      </c>
      <c r="E12" s="302"/>
      <c r="H12" s="70"/>
    </row>
    <row r="13" spans="1:6" s="1" customFormat="1" ht="15.75" customHeight="1">
      <c r="A13" s="274"/>
      <c r="B13" s="96" t="s">
        <v>101</v>
      </c>
      <c r="C13" s="298">
        <f>'2.mell - bevétel'!H74</f>
        <v>2922634</v>
      </c>
      <c r="D13" s="2" t="s">
        <v>399</v>
      </c>
      <c r="E13" s="302"/>
      <c r="F13" s="2"/>
    </row>
    <row r="14" spans="1:5" s="1" customFormat="1" ht="15.75">
      <c r="A14" s="274"/>
      <c r="B14" s="5"/>
      <c r="C14" s="301"/>
      <c r="E14" s="306"/>
    </row>
    <row r="15" spans="1:6" s="1" customFormat="1" ht="15.75">
      <c r="A15" s="274" t="s">
        <v>430</v>
      </c>
      <c r="B15" s="5" t="s">
        <v>102</v>
      </c>
      <c r="C15" s="301"/>
      <c r="E15" s="306">
        <f>'2.mell - bevétel'!H82</f>
        <v>88489345</v>
      </c>
      <c r="F15" s="1" t="s">
        <v>399</v>
      </c>
    </row>
    <row r="16" spans="1:5" s="1" customFormat="1" ht="15.75">
      <c r="A16" s="274"/>
      <c r="B16" s="22" t="s">
        <v>421</v>
      </c>
      <c r="C16" s="301">
        <v>78740410</v>
      </c>
      <c r="E16" s="306"/>
    </row>
    <row r="17" spans="1:5" s="1" customFormat="1" ht="15.75">
      <c r="A17" s="274"/>
      <c r="B17" s="22" t="s">
        <v>422</v>
      </c>
      <c r="C17" s="301">
        <v>8748965</v>
      </c>
      <c r="E17" s="306"/>
    </row>
    <row r="18" spans="1:6" s="1" customFormat="1" ht="15.75">
      <c r="A18" s="274" t="s">
        <v>431</v>
      </c>
      <c r="B18" s="5" t="s">
        <v>75</v>
      </c>
      <c r="C18" s="301"/>
      <c r="E18" s="306">
        <f>'2.mell - bevétel'!H94</f>
        <v>1495000</v>
      </c>
      <c r="F18" s="1" t="s">
        <v>399</v>
      </c>
    </row>
    <row r="19" spans="1:8" s="1" customFormat="1" ht="15.75">
      <c r="A19" s="274"/>
      <c r="B19" s="5"/>
      <c r="C19" s="301"/>
      <c r="E19" s="306"/>
      <c r="H19" s="71"/>
    </row>
    <row r="20" spans="1:6" s="1" customFormat="1" ht="15.75">
      <c r="A20" s="274" t="s">
        <v>432</v>
      </c>
      <c r="B20" s="5" t="s">
        <v>37</v>
      </c>
      <c r="C20" s="301"/>
      <c r="E20" s="306">
        <f>'2.mell - bevétel'!H108</f>
        <v>24495159</v>
      </c>
      <c r="F20" s="1" t="s">
        <v>399</v>
      </c>
    </row>
    <row r="21" spans="1:5" s="1" customFormat="1" ht="15.75">
      <c r="A21" s="274"/>
      <c r="B21" s="8"/>
      <c r="C21" s="305"/>
      <c r="E21" s="306"/>
    </row>
    <row r="22" spans="1:5" s="1" customFormat="1" ht="15.75">
      <c r="A22" s="274"/>
      <c r="B22" s="8"/>
      <c r="C22" s="301"/>
      <c r="E22" s="306"/>
    </row>
    <row r="23" spans="1:6" s="1" customFormat="1" ht="15.75">
      <c r="A23" s="274" t="s">
        <v>433</v>
      </c>
      <c r="B23" s="5" t="s">
        <v>104</v>
      </c>
      <c r="E23" s="306">
        <f>C24+C25</f>
        <v>0</v>
      </c>
      <c r="F23" s="1" t="s">
        <v>399</v>
      </c>
    </row>
    <row r="24" spans="1:8" s="4" customFormat="1" ht="32.25">
      <c r="A24" s="275"/>
      <c r="B24" s="96" t="s">
        <v>105</v>
      </c>
      <c r="C24" s="305">
        <v>0</v>
      </c>
      <c r="D24" s="1" t="s">
        <v>399</v>
      </c>
      <c r="E24" s="306"/>
      <c r="F24" s="1"/>
      <c r="G24" s="1"/>
      <c r="H24" s="72"/>
    </row>
    <row r="25" spans="2:8" ht="18.75">
      <c r="B25" s="53" t="s">
        <v>106</v>
      </c>
      <c r="C25" s="301">
        <v>0</v>
      </c>
      <c r="D25" s="1" t="s">
        <v>399</v>
      </c>
      <c r="E25" s="306"/>
      <c r="F25" s="1"/>
      <c r="G25" s="4"/>
      <c r="H25" s="73"/>
    </row>
    <row r="26" spans="1:8" s="1" customFormat="1" ht="18.75">
      <c r="A26" s="274"/>
      <c r="B26" s="61"/>
      <c r="C26" s="298"/>
      <c r="D26" s="2"/>
      <c r="E26" s="307"/>
      <c r="F26" s="4"/>
      <c r="H26" s="74"/>
    </row>
    <row r="27" spans="1:6" s="1" customFormat="1" ht="15.75">
      <c r="A27" s="274" t="s">
        <v>434</v>
      </c>
      <c r="B27" s="5" t="s">
        <v>86</v>
      </c>
      <c r="C27" s="301"/>
      <c r="E27" s="306">
        <f>C28+C29</f>
        <v>0</v>
      </c>
      <c r="F27" s="1" t="s">
        <v>399</v>
      </c>
    </row>
    <row r="28" spans="1:5" s="1" customFormat="1" ht="31.5">
      <c r="A28" s="274"/>
      <c r="B28" s="96" t="s">
        <v>107</v>
      </c>
      <c r="C28" s="301">
        <v>0</v>
      </c>
      <c r="D28" s="1" t="s">
        <v>399</v>
      </c>
      <c r="E28" s="306"/>
    </row>
    <row r="29" spans="1:5" s="1" customFormat="1" ht="15.75">
      <c r="A29" s="274"/>
      <c r="B29" s="53" t="s">
        <v>108</v>
      </c>
      <c r="C29" s="301">
        <v>0</v>
      </c>
      <c r="D29" s="1" t="s">
        <v>399</v>
      </c>
      <c r="E29" s="306"/>
    </row>
    <row r="30" spans="1:5" s="1" customFormat="1" ht="15.75">
      <c r="A30" s="274"/>
      <c r="B30" s="61"/>
      <c r="E30" s="95"/>
    </row>
    <row r="31" spans="1:6" s="1" customFormat="1" ht="15.75">
      <c r="A31" s="274" t="s">
        <v>435</v>
      </c>
      <c r="B31" s="5" t="s">
        <v>29</v>
      </c>
      <c r="E31" s="97">
        <f>SUM(E11:E30)</f>
        <v>137061984</v>
      </c>
      <c r="F31" s="1" t="s">
        <v>399</v>
      </c>
    </row>
    <row r="32" spans="1:6" s="1" customFormat="1" ht="20.25" customHeight="1">
      <c r="A32" s="274" t="s">
        <v>488</v>
      </c>
      <c r="B32" s="19" t="s">
        <v>89</v>
      </c>
      <c r="E32" s="97">
        <v>815473</v>
      </c>
      <c r="F32" s="1" t="s">
        <v>399</v>
      </c>
    </row>
    <row r="33" spans="1:5" s="1" customFormat="1" ht="18.75">
      <c r="A33" s="274" t="s">
        <v>21</v>
      </c>
      <c r="B33" s="94" t="s">
        <v>109</v>
      </c>
      <c r="E33" s="95"/>
    </row>
    <row r="34" spans="1:6" s="1" customFormat="1" ht="15.75">
      <c r="A34" s="274" t="s">
        <v>436</v>
      </c>
      <c r="B34" s="9" t="s">
        <v>14</v>
      </c>
      <c r="C34" s="301"/>
      <c r="E34" s="306">
        <f>C36+C37+C38+C39+C40++C41</f>
        <v>52559402</v>
      </c>
      <c r="F34" s="1" t="s">
        <v>399</v>
      </c>
    </row>
    <row r="35" spans="1:5" s="1" customFormat="1" ht="15.75">
      <c r="A35" s="274"/>
      <c r="B35" s="8" t="s">
        <v>13</v>
      </c>
      <c r="C35" s="301"/>
      <c r="E35" s="306"/>
    </row>
    <row r="36" spans="1:5" s="1" customFormat="1" ht="15.75">
      <c r="A36" s="274" t="s">
        <v>438</v>
      </c>
      <c r="B36" s="53" t="s">
        <v>443</v>
      </c>
      <c r="C36" s="301">
        <f>'4.mell. - kiadás'!E33</f>
        <v>10139947</v>
      </c>
      <c r="D36" s="1" t="s">
        <v>399</v>
      </c>
      <c r="E36" s="306"/>
    </row>
    <row r="37" spans="1:5" s="1" customFormat="1" ht="15.75">
      <c r="A37" s="274" t="s">
        <v>439</v>
      </c>
      <c r="B37" s="53" t="s">
        <v>444</v>
      </c>
      <c r="C37" s="301">
        <f>'4.mell. - kiadás'!F33</f>
        <v>2266354</v>
      </c>
      <c r="D37" s="1" t="s">
        <v>399</v>
      </c>
      <c r="E37" s="306"/>
    </row>
    <row r="38" spans="1:5" s="1" customFormat="1" ht="15.75">
      <c r="A38" s="274" t="s">
        <v>440</v>
      </c>
      <c r="B38" s="53" t="s">
        <v>445</v>
      </c>
      <c r="C38" s="301">
        <f>'4.mell. - kiadás'!G33</f>
        <v>34095173</v>
      </c>
      <c r="D38" s="1" t="s">
        <v>399</v>
      </c>
      <c r="E38" s="306"/>
    </row>
    <row r="39" spans="1:5" s="1" customFormat="1" ht="15.75">
      <c r="A39" s="274" t="s">
        <v>441</v>
      </c>
      <c r="B39" s="98" t="s">
        <v>446</v>
      </c>
      <c r="C39" s="301">
        <f>'4.mell. - kiadás'!H33</f>
        <v>1421400</v>
      </c>
      <c r="D39" s="1" t="s">
        <v>399</v>
      </c>
      <c r="E39" s="306"/>
    </row>
    <row r="40" spans="1:5" s="1" customFormat="1" ht="15.75">
      <c r="A40" s="274" t="s">
        <v>442</v>
      </c>
      <c r="B40" s="236" t="s">
        <v>447</v>
      </c>
      <c r="C40" s="301">
        <f>'4.mell. - kiadás'!I33</f>
        <v>264190</v>
      </c>
      <c r="D40" s="1" t="s">
        <v>399</v>
      </c>
      <c r="E40" s="306"/>
    </row>
    <row r="41" spans="1:5" s="1" customFormat="1" ht="15.75">
      <c r="A41" s="274" t="s">
        <v>472</v>
      </c>
      <c r="B41" s="236" t="s">
        <v>471</v>
      </c>
      <c r="C41" s="301">
        <f>'4.mell. - kiadás'!J16</f>
        <v>4372338</v>
      </c>
      <c r="D41" s="1" t="s">
        <v>470</v>
      </c>
      <c r="E41" s="306"/>
    </row>
    <row r="42" spans="1:6" s="1" customFormat="1" ht="15.75">
      <c r="A42" s="274" t="s">
        <v>437</v>
      </c>
      <c r="B42" s="9" t="s">
        <v>15</v>
      </c>
      <c r="C42" s="301"/>
      <c r="E42" s="304">
        <f>C44+C45+C46</f>
        <v>97930110</v>
      </c>
      <c r="F42" s="1" t="s">
        <v>399</v>
      </c>
    </row>
    <row r="43" spans="1:5" s="1" customFormat="1" ht="15.75">
      <c r="A43" s="274"/>
      <c r="B43" s="8" t="s">
        <v>13</v>
      </c>
      <c r="C43" s="301"/>
      <c r="E43" s="306"/>
    </row>
    <row r="44" spans="1:5" s="1" customFormat="1" ht="15.75">
      <c r="A44" s="274" t="s">
        <v>451</v>
      </c>
      <c r="B44" s="53" t="s">
        <v>448</v>
      </c>
      <c r="C44" s="305">
        <f>'4.mell. - kiadás'!L33</f>
        <v>88865678</v>
      </c>
      <c r="D44" s="1" t="s">
        <v>399</v>
      </c>
      <c r="E44" s="306"/>
    </row>
    <row r="45" spans="1:5" s="1" customFormat="1" ht="15.75">
      <c r="A45" s="274" t="s">
        <v>452</v>
      </c>
      <c r="B45" s="53" t="s">
        <v>449</v>
      </c>
      <c r="C45" s="305">
        <f>'4.mell. - kiadás'!M33</f>
        <v>9064432</v>
      </c>
      <c r="D45" s="1" t="s">
        <v>399</v>
      </c>
      <c r="E45" s="306"/>
    </row>
    <row r="46" spans="1:7" ht="15.75">
      <c r="A46" s="272" t="s">
        <v>453</v>
      </c>
      <c r="B46" s="53" t="s">
        <v>450</v>
      </c>
      <c r="C46" s="305">
        <f>'4.mell. - kiadás'!N33</f>
        <v>0</v>
      </c>
      <c r="D46" s="1" t="s">
        <v>399</v>
      </c>
      <c r="E46" s="306"/>
      <c r="F46" s="1"/>
      <c r="G46" s="1"/>
    </row>
    <row r="47" spans="1:5" s="1" customFormat="1" ht="15.75">
      <c r="A47" s="274"/>
      <c r="B47" s="53"/>
      <c r="C47" s="305"/>
      <c r="E47" s="306"/>
    </row>
    <row r="48" spans="1:6" s="1" customFormat="1" ht="15.75">
      <c r="A48" s="274" t="s">
        <v>454</v>
      </c>
      <c r="B48" s="19" t="s">
        <v>110</v>
      </c>
      <c r="C48" s="305"/>
      <c r="E48" s="306">
        <f>C49</f>
        <v>1516406</v>
      </c>
      <c r="F48" s="1" t="s">
        <v>399</v>
      </c>
    </row>
    <row r="49" spans="1:5" s="1" customFormat="1" ht="15.75">
      <c r="A49" s="274"/>
      <c r="B49" s="53" t="s">
        <v>377</v>
      </c>
      <c r="C49" s="301">
        <f>'4.mell. - kiadás'!S33</f>
        <v>1516406</v>
      </c>
      <c r="D49" s="1" t="s">
        <v>399</v>
      </c>
      <c r="E49" s="306"/>
    </row>
    <row r="50" spans="1:7" s="4" customFormat="1" ht="18.75">
      <c r="A50" s="275"/>
      <c r="B50" s="53" t="s">
        <v>111</v>
      </c>
      <c r="C50" s="301">
        <v>0</v>
      </c>
      <c r="D50" s="1" t="s">
        <v>399</v>
      </c>
      <c r="E50" s="306"/>
      <c r="F50" s="1"/>
      <c r="G50" s="2"/>
    </row>
    <row r="51" spans="2:7" ht="15.75">
      <c r="B51" s="53"/>
      <c r="C51" s="305"/>
      <c r="D51" s="1"/>
      <c r="E51" s="306"/>
      <c r="F51" s="1"/>
      <c r="G51" s="1"/>
    </row>
    <row r="52" spans="1:7" ht="15.75">
      <c r="A52" s="272" t="s">
        <v>455</v>
      </c>
      <c r="B52" s="5" t="s">
        <v>30</v>
      </c>
      <c r="C52" s="305"/>
      <c r="D52" s="1"/>
      <c r="E52" s="302">
        <f>SUM(E34:E51)</f>
        <v>152005918</v>
      </c>
      <c r="F52" s="2" t="s">
        <v>399</v>
      </c>
      <c r="G52" s="1"/>
    </row>
    <row r="53" spans="2:7" ht="15.75">
      <c r="B53" s="53"/>
      <c r="C53" s="301"/>
      <c r="D53" s="1"/>
      <c r="E53" s="304"/>
      <c r="F53" s="1"/>
      <c r="G53" s="1"/>
    </row>
    <row r="54" spans="1:7" ht="18.75">
      <c r="A54" s="272" t="s">
        <v>28</v>
      </c>
      <c r="B54" s="5" t="s">
        <v>31</v>
      </c>
      <c r="C54" s="301"/>
      <c r="D54" s="1"/>
      <c r="E54" s="302">
        <f>E31-E52+E32</f>
        <v>-14128461</v>
      </c>
      <c r="F54" s="2" t="s">
        <v>399</v>
      </c>
      <c r="G54" s="4"/>
    </row>
    <row r="55" spans="2:5" ht="15.75">
      <c r="B55" s="53"/>
      <c r="C55" s="301"/>
      <c r="D55" s="1"/>
      <c r="E55" s="302"/>
    </row>
    <row r="56" spans="1:6" ht="32.25">
      <c r="A56" s="276" t="s">
        <v>66</v>
      </c>
      <c r="B56" s="99" t="s">
        <v>378</v>
      </c>
      <c r="C56" s="303"/>
      <c r="D56" s="4"/>
      <c r="E56" s="302">
        <f>'2.mell - bevétel'!H121+'2.mell - bevétel'!H122</f>
        <v>14128461</v>
      </c>
      <c r="F56" s="2" t="s">
        <v>399</v>
      </c>
    </row>
    <row r="57" spans="1:7" s="1" customFormat="1" ht="15.75">
      <c r="A57" s="274"/>
      <c r="B57" s="53"/>
      <c r="C57" s="298"/>
      <c r="D57" s="2"/>
      <c r="E57" s="302"/>
      <c r="F57" s="2"/>
      <c r="G57" s="2"/>
    </row>
    <row r="58" spans="1:6" ht="15.75">
      <c r="A58" s="272" t="s">
        <v>67</v>
      </c>
      <c r="B58" s="5" t="s">
        <v>46</v>
      </c>
      <c r="E58" s="302">
        <f>E54+E56</f>
        <v>0</v>
      </c>
      <c r="F58" s="2" t="s">
        <v>399</v>
      </c>
    </row>
    <row r="59" spans="1:5" s="1" customFormat="1" ht="10.5" customHeight="1">
      <c r="A59" s="274"/>
      <c r="B59" s="3"/>
      <c r="C59" s="301"/>
      <c r="E59" s="300"/>
    </row>
    <row r="60" spans="2:6" ht="15.75">
      <c r="B60" s="3"/>
      <c r="C60" s="301"/>
      <c r="D60" s="1"/>
      <c r="E60" s="300"/>
      <c r="F60" s="5"/>
    </row>
    <row r="61" spans="2:6" ht="15.75">
      <c r="B61" s="5"/>
      <c r="E61" s="299"/>
      <c r="F61" s="5"/>
    </row>
  </sheetData>
  <sheetProtection password="AF00" sheet="1" objects="1" scenarios="1" selectLockedCells="1" selectUnlockedCells="1"/>
  <mergeCells count="5">
    <mergeCell ref="B8:F8"/>
    <mergeCell ref="B6:F6"/>
    <mergeCell ref="B5:F5"/>
    <mergeCell ref="B7:F7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60" customWidth="1"/>
    <col min="2" max="2" width="3.125" style="57" customWidth="1"/>
    <col min="3" max="3" width="4.25390625" style="57" customWidth="1"/>
    <col min="4" max="5" width="3.125" style="57" customWidth="1"/>
    <col min="6" max="6" width="52.125" style="8" customWidth="1"/>
    <col min="7" max="7" width="15.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413" t="s">
        <v>508</v>
      </c>
      <c r="B1" s="413"/>
      <c r="C1" s="413"/>
      <c r="D1" s="413"/>
      <c r="E1" s="413"/>
      <c r="F1" s="413"/>
      <c r="G1" s="413"/>
      <c r="H1" s="413"/>
      <c r="I1" s="413"/>
    </row>
    <row r="3" spans="1:9" ht="15.75">
      <c r="A3" s="151"/>
      <c r="B3" s="151"/>
      <c r="C3" s="151"/>
      <c r="D3" s="151"/>
      <c r="E3" s="151"/>
      <c r="F3" s="75"/>
      <c r="G3" s="75"/>
      <c r="H3" s="75"/>
      <c r="I3" s="75"/>
    </row>
    <row r="4" spans="5:9" ht="15.75">
      <c r="E4" s="76"/>
      <c r="F4" s="76"/>
      <c r="G4" s="76"/>
      <c r="H4" s="76"/>
      <c r="I4" s="76"/>
    </row>
    <row r="5" spans="1:9" ht="15.75">
      <c r="A5" s="400"/>
      <c r="B5" s="400"/>
      <c r="C5" s="400"/>
      <c r="D5" s="400"/>
      <c r="E5" s="400"/>
      <c r="F5" s="400"/>
      <c r="G5" s="400"/>
      <c r="H5" s="400"/>
      <c r="I5" s="400"/>
    </row>
    <row r="6" spans="1:9" s="9" customFormat="1" ht="15.75">
      <c r="A6" s="400" t="s">
        <v>325</v>
      </c>
      <c r="B6" s="400"/>
      <c r="C6" s="400"/>
      <c r="D6" s="400"/>
      <c r="E6" s="400"/>
      <c r="F6" s="400"/>
      <c r="G6" s="400"/>
      <c r="H6" s="400"/>
      <c r="I6" s="400"/>
    </row>
    <row r="7" spans="1:9" s="9" customFormat="1" ht="15.75">
      <c r="A7" s="400" t="s">
        <v>327</v>
      </c>
      <c r="B7" s="400"/>
      <c r="C7" s="400"/>
      <c r="D7" s="400"/>
      <c r="E7" s="400"/>
      <c r="F7" s="400"/>
      <c r="G7" s="400"/>
      <c r="H7" s="400"/>
      <c r="I7" s="400"/>
    </row>
    <row r="8" spans="1:9" ht="15.75">
      <c r="A8" s="400" t="s">
        <v>393</v>
      </c>
      <c r="B8" s="400"/>
      <c r="C8" s="400"/>
      <c r="D8" s="400"/>
      <c r="E8" s="400"/>
      <c r="F8" s="400"/>
      <c r="G8" s="400"/>
      <c r="H8" s="400"/>
      <c r="I8" s="400"/>
    </row>
    <row r="9" ht="15.75" hidden="1"/>
    <row r="10" spans="8:9" ht="16.5" thickBot="1">
      <c r="H10" s="62"/>
      <c r="I10" s="63" t="s">
        <v>394</v>
      </c>
    </row>
    <row r="11" spans="1:9" ht="15.75">
      <c r="A11" s="404" t="s">
        <v>18</v>
      </c>
      <c r="B11" s="405"/>
      <c r="C11" s="405"/>
      <c r="D11" s="405"/>
      <c r="E11" s="405"/>
      <c r="F11" s="406"/>
      <c r="G11" s="64" t="s">
        <v>16</v>
      </c>
      <c r="H11" s="64" t="s">
        <v>16</v>
      </c>
      <c r="I11" s="64" t="s">
        <v>17</v>
      </c>
    </row>
    <row r="12" spans="1:9" ht="15.75">
      <c r="A12" s="407"/>
      <c r="B12" s="408"/>
      <c r="C12" s="408"/>
      <c r="D12" s="408"/>
      <c r="E12" s="408"/>
      <c r="F12" s="409"/>
      <c r="G12" s="65" t="s">
        <v>7</v>
      </c>
      <c r="H12" s="65" t="s">
        <v>7</v>
      </c>
      <c r="I12" s="65"/>
    </row>
    <row r="13" spans="1:9" ht="16.5" thickBot="1">
      <c r="A13" s="410"/>
      <c r="B13" s="411"/>
      <c r="C13" s="411"/>
      <c r="D13" s="411"/>
      <c r="E13" s="411"/>
      <c r="F13" s="412"/>
      <c r="G13" s="66" t="s">
        <v>356</v>
      </c>
      <c r="H13" s="66" t="s">
        <v>393</v>
      </c>
      <c r="I13" s="66" t="s">
        <v>19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9" t="s">
        <v>32</v>
      </c>
      <c r="B15" s="396" t="s">
        <v>48</v>
      </c>
      <c r="C15" s="396"/>
      <c r="D15" s="396"/>
      <c r="E15" s="396"/>
      <c r="F15" s="396"/>
      <c r="G15" s="78"/>
      <c r="H15" s="317"/>
      <c r="I15" s="78"/>
    </row>
    <row r="16" spans="1:9" ht="10.5" customHeight="1">
      <c r="A16" s="19"/>
      <c r="B16" s="77"/>
      <c r="C16" s="77"/>
      <c r="D16" s="77"/>
      <c r="E16" s="77"/>
      <c r="F16" s="77"/>
      <c r="G16" s="78"/>
      <c r="H16" s="317"/>
      <c r="I16" s="78"/>
    </row>
    <row r="17" spans="1:9" ht="15.75">
      <c r="A17" s="19"/>
      <c r="B17" s="19" t="s">
        <v>32</v>
      </c>
      <c r="C17" s="19" t="s">
        <v>49</v>
      </c>
      <c r="D17" s="19"/>
      <c r="E17" s="19"/>
      <c r="F17" s="19"/>
      <c r="G17" s="313"/>
      <c r="H17" s="313"/>
      <c r="I17" s="19"/>
    </row>
    <row r="18" spans="1:9" ht="6.75" customHeight="1">
      <c r="A18" s="19"/>
      <c r="B18" s="19"/>
      <c r="C18" s="19"/>
      <c r="D18" s="19"/>
      <c r="E18" s="19"/>
      <c r="F18" s="19"/>
      <c r="G18" s="313"/>
      <c r="H18" s="313"/>
      <c r="I18" s="19"/>
    </row>
    <row r="19" spans="1:9" ht="15.75">
      <c r="A19" s="19"/>
      <c r="B19" s="19"/>
      <c r="C19" s="19" t="s">
        <v>27</v>
      </c>
      <c r="D19" s="396" t="s">
        <v>50</v>
      </c>
      <c r="E19" s="396"/>
      <c r="F19" s="396"/>
      <c r="G19" s="317"/>
      <c r="H19" s="317"/>
      <c r="I19" s="78"/>
    </row>
    <row r="20" spans="1:9" ht="15.75">
      <c r="A20" s="19"/>
      <c r="B20" s="19"/>
      <c r="C20" s="19"/>
      <c r="D20" s="77"/>
      <c r="E20" s="77"/>
      <c r="F20" s="77"/>
      <c r="G20" s="317"/>
      <c r="H20" s="317"/>
      <c r="I20" s="78"/>
    </row>
    <row r="21" spans="1:9" ht="15.75">
      <c r="A21" s="19"/>
      <c r="B21" s="19"/>
      <c r="C21" s="19"/>
      <c r="D21" s="19" t="s">
        <v>27</v>
      </c>
      <c r="E21" s="396" t="s">
        <v>51</v>
      </c>
      <c r="F21" s="396"/>
      <c r="G21" s="317"/>
      <c r="H21" s="317"/>
      <c r="I21" s="78"/>
    </row>
    <row r="22" spans="1:9" ht="15.75">
      <c r="A22" s="22"/>
      <c r="B22" s="22"/>
      <c r="C22" s="22"/>
      <c r="D22" s="22"/>
      <c r="E22" s="22" t="s">
        <v>38</v>
      </c>
      <c r="F22" s="22" t="s">
        <v>33</v>
      </c>
      <c r="G22" s="314"/>
      <c r="H22" s="314"/>
      <c r="I22" s="79"/>
    </row>
    <row r="23" spans="1:9" ht="15.75">
      <c r="A23" s="22"/>
      <c r="B23" s="22"/>
      <c r="C23" s="22"/>
      <c r="D23" s="22"/>
      <c r="E23" s="22"/>
      <c r="F23" s="22" t="s">
        <v>52</v>
      </c>
      <c r="G23" s="314"/>
      <c r="I23" s="79"/>
    </row>
    <row r="24" spans="1:9" ht="31.5">
      <c r="A24" s="22"/>
      <c r="B24" s="22"/>
      <c r="C24" s="22"/>
      <c r="D24" s="22"/>
      <c r="E24" s="22" t="s">
        <v>39</v>
      </c>
      <c r="F24" s="80" t="s">
        <v>34</v>
      </c>
      <c r="G24" s="311"/>
      <c r="I24" s="79"/>
    </row>
    <row r="25" spans="1:9" ht="31.5">
      <c r="A25" s="22"/>
      <c r="B25" s="22"/>
      <c r="C25" s="22"/>
      <c r="D25" s="22"/>
      <c r="E25" s="22" t="s">
        <v>53</v>
      </c>
      <c r="F25" s="80" t="s">
        <v>54</v>
      </c>
      <c r="G25" s="314">
        <v>1074860</v>
      </c>
      <c r="H25" s="241">
        <v>1074860</v>
      </c>
      <c r="I25" s="79">
        <f>H25/G25*100</f>
        <v>100</v>
      </c>
    </row>
    <row r="26" spans="1:9" ht="15.75">
      <c r="A26" s="22"/>
      <c r="B26" s="22"/>
      <c r="C26" s="22"/>
      <c r="D26" s="22"/>
      <c r="E26" s="22"/>
      <c r="F26" s="22" t="s">
        <v>52</v>
      </c>
      <c r="G26" s="314"/>
      <c r="H26" s="241"/>
      <c r="I26" s="79"/>
    </row>
    <row r="27" spans="1:9" ht="15.75">
      <c r="A27" s="22"/>
      <c r="B27" s="22"/>
      <c r="C27" s="22"/>
      <c r="D27" s="22"/>
      <c r="E27" s="22" t="s">
        <v>55</v>
      </c>
      <c r="F27" s="80" t="s">
        <v>56</v>
      </c>
      <c r="G27" s="314">
        <v>1024000</v>
      </c>
      <c r="H27" s="241">
        <v>1024000</v>
      </c>
      <c r="I27" s="79">
        <f>H27/G27*100</f>
        <v>100</v>
      </c>
    </row>
    <row r="28" spans="1:9" ht="15.75">
      <c r="A28" s="22"/>
      <c r="B28" s="22"/>
      <c r="C28" s="22"/>
      <c r="D28" s="22"/>
      <c r="E28" s="22"/>
      <c r="F28" s="22" t="s">
        <v>52</v>
      </c>
      <c r="G28" s="314"/>
      <c r="H28" s="241"/>
      <c r="I28" s="79"/>
    </row>
    <row r="29" spans="1:9" ht="21" customHeight="1">
      <c r="A29" s="22"/>
      <c r="B29" s="22"/>
      <c r="C29" s="22"/>
      <c r="D29" s="22"/>
      <c r="E29" s="22" t="s">
        <v>57</v>
      </c>
      <c r="F29" s="80" t="s">
        <v>58</v>
      </c>
      <c r="G29" s="314">
        <v>100000</v>
      </c>
      <c r="H29" s="241">
        <v>357006</v>
      </c>
      <c r="I29" s="79">
        <f>H29/G29*100</f>
        <v>357.006</v>
      </c>
    </row>
    <row r="30" spans="1:9" ht="15.75">
      <c r="A30" s="22"/>
      <c r="B30" s="22"/>
      <c r="C30" s="22"/>
      <c r="D30" s="22"/>
      <c r="E30" s="22"/>
      <c r="F30" s="22" t="s">
        <v>52</v>
      </c>
      <c r="G30" s="314"/>
      <c r="H30" s="241"/>
      <c r="I30" s="79"/>
    </row>
    <row r="31" spans="1:9" ht="15.75">
      <c r="A31" s="22"/>
      <c r="B31" s="22"/>
      <c r="C31" s="22"/>
      <c r="D31" s="22"/>
      <c r="E31" s="22" t="s">
        <v>59</v>
      </c>
      <c r="F31" s="80" t="s">
        <v>60</v>
      </c>
      <c r="G31" s="314">
        <v>692350</v>
      </c>
      <c r="H31" s="241">
        <v>692350</v>
      </c>
      <c r="I31" s="79">
        <f>H31/G31*100</f>
        <v>100</v>
      </c>
    </row>
    <row r="32" spans="1:9" s="54" customFormat="1" ht="15.75">
      <c r="A32" s="22"/>
      <c r="B32" s="22"/>
      <c r="C32" s="22"/>
      <c r="D32" s="22"/>
      <c r="E32" s="22"/>
      <c r="F32" s="22" t="s">
        <v>52</v>
      </c>
      <c r="G32" s="314"/>
      <c r="H32" s="242"/>
      <c r="I32" s="79"/>
    </row>
    <row r="33" spans="1:9" ht="15.75">
      <c r="A33" s="22"/>
      <c r="B33" s="22"/>
      <c r="C33" s="22"/>
      <c r="D33" s="22" t="s">
        <v>40</v>
      </c>
      <c r="E33" s="22" t="s">
        <v>61</v>
      </c>
      <c r="F33" s="22"/>
      <c r="G33" s="314">
        <v>5000000</v>
      </c>
      <c r="H33" s="241">
        <v>5000000</v>
      </c>
      <c r="I33" s="79">
        <f>H33/G33*100</f>
        <v>100</v>
      </c>
    </row>
    <row r="34" spans="1:9" ht="15.75">
      <c r="A34" s="22"/>
      <c r="B34" s="22"/>
      <c r="C34" s="22"/>
      <c r="D34" s="22"/>
      <c r="E34" s="22"/>
      <c r="F34" s="22" t="s">
        <v>52</v>
      </c>
      <c r="G34" s="314"/>
      <c r="H34" s="241"/>
      <c r="I34" s="79"/>
    </row>
    <row r="35" spans="1:9" ht="15.75">
      <c r="A35" s="22"/>
      <c r="B35" s="22"/>
      <c r="C35" s="22"/>
      <c r="D35" s="22" t="s">
        <v>41</v>
      </c>
      <c r="E35" s="22" t="s">
        <v>93</v>
      </c>
      <c r="F35" s="22"/>
      <c r="G35" s="314">
        <v>66300</v>
      </c>
      <c r="H35" s="241">
        <v>56100</v>
      </c>
      <c r="I35" s="79">
        <f>H35/G35*100</f>
        <v>84.61538461538461</v>
      </c>
    </row>
    <row r="36" spans="1:9" ht="15.75">
      <c r="A36" s="22"/>
      <c r="B36" s="22"/>
      <c r="C36" s="22"/>
      <c r="D36" s="22" t="s">
        <v>94</v>
      </c>
      <c r="E36" s="22" t="s">
        <v>320</v>
      </c>
      <c r="F36" s="22"/>
      <c r="G36" s="314">
        <v>1989378</v>
      </c>
      <c r="H36" s="241">
        <v>2953554</v>
      </c>
      <c r="I36" s="79">
        <f>H36/G36*100</f>
        <v>148.46620400949442</v>
      </c>
    </row>
    <row r="37" spans="1:9" s="54" customFormat="1" ht="15.75">
      <c r="A37" s="22"/>
      <c r="B37" s="22"/>
      <c r="C37" s="22"/>
      <c r="D37" s="22" t="s">
        <v>21</v>
      </c>
      <c r="E37" s="22" t="s">
        <v>62</v>
      </c>
      <c r="F37" s="22"/>
      <c r="G37" s="314"/>
      <c r="I37" s="79"/>
    </row>
    <row r="38" spans="1:9" ht="15.75">
      <c r="A38" s="22"/>
      <c r="B38" s="22"/>
      <c r="C38" s="22"/>
      <c r="D38" s="22"/>
      <c r="E38" s="22"/>
      <c r="F38" s="22" t="s">
        <v>52</v>
      </c>
      <c r="G38" s="314"/>
      <c r="I38" s="79"/>
    </row>
    <row r="39" spans="1:9" ht="15.75">
      <c r="A39" s="22"/>
      <c r="B39" s="22"/>
      <c r="C39" s="22"/>
      <c r="D39" s="22" t="s">
        <v>67</v>
      </c>
      <c r="E39" s="22" t="s">
        <v>395</v>
      </c>
      <c r="F39" s="22"/>
      <c r="G39" s="314"/>
      <c r="H39" s="8">
        <v>8001</v>
      </c>
      <c r="I39" s="79"/>
    </row>
    <row r="40" spans="1:9" ht="15.75">
      <c r="A40" s="22"/>
      <c r="B40" s="22"/>
      <c r="C40" s="22"/>
      <c r="D40" s="22" t="s">
        <v>72</v>
      </c>
      <c r="E40" s="22" t="s">
        <v>482</v>
      </c>
      <c r="F40" s="22"/>
      <c r="G40" s="314"/>
      <c r="H40" s="241">
        <v>1000000</v>
      </c>
      <c r="I40" s="79"/>
    </row>
    <row r="41" spans="1:9" ht="31.5" customHeight="1">
      <c r="A41" s="82"/>
      <c r="B41" s="82"/>
      <c r="C41" s="83"/>
      <c r="D41" s="402" t="s">
        <v>63</v>
      </c>
      <c r="E41" s="402"/>
      <c r="F41" s="402"/>
      <c r="G41" s="318">
        <f>SUM(G22:G39)</f>
        <v>9946888</v>
      </c>
      <c r="H41" s="318">
        <f>SUM(H22:H40)</f>
        <v>12165871</v>
      </c>
      <c r="I41" s="277">
        <f>H41/G41*100</f>
        <v>122.3083139168753</v>
      </c>
    </row>
    <row r="42" spans="1:9" s="54" customFormat="1" ht="15.75">
      <c r="A42" s="19"/>
      <c r="B42" s="19"/>
      <c r="C42" s="19"/>
      <c r="D42" s="77"/>
      <c r="E42" s="77"/>
      <c r="F42" s="77"/>
      <c r="G42" s="317"/>
      <c r="I42" s="79"/>
    </row>
    <row r="43" spans="1:9" ht="33" customHeight="1">
      <c r="A43" s="22"/>
      <c r="B43" s="22"/>
      <c r="C43" s="278" t="s">
        <v>28</v>
      </c>
      <c r="D43" s="396" t="s">
        <v>64</v>
      </c>
      <c r="E43" s="396"/>
      <c r="F43" s="396"/>
      <c r="G43" s="317"/>
      <c r="I43" s="79"/>
    </row>
    <row r="44" spans="1:9" ht="15.75">
      <c r="A44" s="22"/>
      <c r="B44" s="22"/>
      <c r="C44" s="22"/>
      <c r="D44" s="22" t="s">
        <v>27</v>
      </c>
      <c r="E44" s="22" t="s">
        <v>95</v>
      </c>
      <c r="F44" s="22"/>
      <c r="G44" s="314"/>
      <c r="H44" s="314"/>
      <c r="I44" s="79"/>
    </row>
    <row r="45" spans="1:9" ht="30.75" customHeight="1">
      <c r="A45" s="22"/>
      <c r="B45" s="22"/>
      <c r="C45" s="22"/>
      <c r="D45" s="22" t="s">
        <v>21</v>
      </c>
      <c r="E45" s="401" t="s">
        <v>96</v>
      </c>
      <c r="F45" s="401"/>
      <c r="G45" s="314">
        <v>2229720</v>
      </c>
      <c r="H45" s="314">
        <v>2444000</v>
      </c>
      <c r="I45" s="93">
        <f>H45/G45*100</f>
        <v>109.6101752686436</v>
      </c>
    </row>
    <row r="46" spans="1:9" ht="15.75">
      <c r="A46" s="22"/>
      <c r="B46" s="22"/>
      <c r="C46" s="22"/>
      <c r="D46" s="22" t="s">
        <v>28</v>
      </c>
      <c r="E46" s="22" t="s">
        <v>65</v>
      </c>
      <c r="F46" s="22"/>
      <c r="G46" s="314"/>
      <c r="H46" s="314"/>
      <c r="I46" s="79"/>
    </row>
    <row r="47" spans="1:9" ht="15.75">
      <c r="A47" s="22"/>
      <c r="B47" s="22"/>
      <c r="C47" s="22"/>
      <c r="D47" s="22"/>
      <c r="E47" s="22" t="s">
        <v>357</v>
      </c>
      <c r="F47" s="22" t="s">
        <v>358</v>
      </c>
      <c r="G47" s="314">
        <v>221440</v>
      </c>
      <c r="H47" s="314">
        <v>221440</v>
      </c>
      <c r="I47" s="93">
        <f>H47/G47*100</f>
        <v>100</v>
      </c>
    </row>
    <row r="48" spans="1:9" ht="15.75">
      <c r="A48" s="22"/>
      <c r="B48" s="22"/>
      <c r="C48" s="22"/>
      <c r="D48" s="22"/>
      <c r="E48" s="22" t="s">
        <v>359</v>
      </c>
      <c r="F48" s="22" t="s">
        <v>360</v>
      </c>
      <c r="G48" s="314">
        <v>2500000</v>
      </c>
      <c r="H48" s="314">
        <v>2500000</v>
      </c>
      <c r="I48" s="93">
        <f>H48/G48*100</f>
        <v>100</v>
      </c>
    </row>
    <row r="49" spans="1:10" ht="15.75">
      <c r="A49" s="22"/>
      <c r="B49" s="22"/>
      <c r="C49" s="22"/>
      <c r="D49" s="22"/>
      <c r="E49" s="22" t="s">
        <v>481</v>
      </c>
      <c r="F49" s="85" t="s">
        <v>467</v>
      </c>
      <c r="G49" s="85"/>
      <c r="H49" s="314">
        <f>45840+80464+32186+32185</f>
        <v>190675</v>
      </c>
      <c r="I49" s="312"/>
      <c r="J49" s="311"/>
    </row>
    <row r="50" spans="1:9" ht="33.75" customHeight="1">
      <c r="A50" s="82"/>
      <c r="B50" s="82"/>
      <c r="C50" s="402" t="s">
        <v>68</v>
      </c>
      <c r="D50" s="402"/>
      <c r="E50" s="402"/>
      <c r="F50" s="402"/>
      <c r="G50" s="316">
        <f>SUM(G44:G48)</f>
        <v>4951160</v>
      </c>
      <c r="H50" s="316">
        <f>SUM(H44:H49)</f>
        <v>5356115</v>
      </c>
      <c r="I50" s="277">
        <f>H50/G50*100</f>
        <v>108.17899239774114</v>
      </c>
    </row>
    <row r="51" spans="1:9" ht="12" customHeight="1">
      <c r="A51" s="22"/>
      <c r="B51" s="22"/>
      <c r="C51" s="22"/>
      <c r="D51" s="22"/>
      <c r="E51" s="22"/>
      <c r="F51" s="22"/>
      <c r="G51" s="314"/>
      <c r="H51" s="314"/>
      <c r="I51" s="79"/>
    </row>
    <row r="52" spans="1:9" ht="31.5" customHeight="1">
      <c r="A52" s="22"/>
      <c r="B52" s="22"/>
      <c r="C52" s="278" t="s">
        <v>66</v>
      </c>
      <c r="D52" s="396" t="s">
        <v>69</v>
      </c>
      <c r="E52" s="396"/>
      <c r="F52" s="396"/>
      <c r="G52" s="317"/>
      <c r="H52" s="317"/>
      <c r="I52" s="78"/>
    </row>
    <row r="53" spans="1:9" ht="15.75">
      <c r="A53" s="22"/>
      <c r="B53" s="22"/>
      <c r="C53" s="22"/>
      <c r="D53" s="22" t="s">
        <v>27</v>
      </c>
      <c r="E53" s="401" t="s">
        <v>36</v>
      </c>
      <c r="F53" s="401"/>
      <c r="G53" s="311"/>
      <c r="H53" s="311"/>
      <c r="I53" s="80"/>
    </row>
    <row r="54" spans="1:9" ht="31.5">
      <c r="A54" s="22"/>
      <c r="B54" s="22"/>
      <c r="C54" s="22"/>
      <c r="D54" s="22"/>
      <c r="E54" s="22" t="s">
        <v>41</v>
      </c>
      <c r="F54" s="80" t="s">
        <v>70</v>
      </c>
      <c r="G54" s="314">
        <v>1200000</v>
      </c>
      <c r="H54" s="311">
        <v>1200000</v>
      </c>
      <c r="I54" s="79">
        <f>H54/G54*100</f>
        <v>100</v>
      </c>
    </row>
    <row r="55" spans="1:9" ht="31.5" customHeight="1">
      <c r="A55" s="22"/>
      <c r="B55" s="22"/>
      <c r="C55" s="402" t="s">
        <v>71</v>
      </c>
      <c r="D55" s="402"/>
      <c r="E55" s="402"/>
      <c r="F55" s="402"/>
      <c r="G55" s="316">
        <f>SUM(G54)</f>
        <v>1200000</v>
      </c>
      <c r="H55" s="316">
        <f>SUM(H54)</f>
        <v>1200000</v>
      </c>
      <c r="I55" s="277">
        <f>H55/G55*100</f>
        <v>100</v>
      </c>
    </row>
    <row r="56" spans="1:9" ht="31.5" customHeight="1">
      <c r="A56" s="22"/>
      <c r="B56" s="22"/>
      <c r="C56" s="379"/>
      <c r="D56" s="379"/>
      <c r="E56" s="379"/>
      <c r="F56" s="379"/>
      <c r="G56" s="316"/>
      <c r="H56" s="316"/>
      <c r="I56" s="277"/>
    </row>
    <row r="57" spans="1:9" ht="15.75">
      <c r="A57" s="22"/>
      <c r="B57" s="22"/>
      <c r="C57" s="22"/>
      <c r="D57" s="22"/>
      <c r="E57" s="22"/>
      <c r="F57" s="80"/>
      <c r="G57" s="314"/>
      <c r="H57" s="311"/>
      <c r="I57" s="79"/>
    </row>
    <row r="58" spans="1:9" ht="15.75">
      <c r="A58" s="22"/>
      <c r="B58" s="22"/>
      <c r="C58" s="19" t="s">
        <v>67</v>
      </c>
      <c r="D58" s="19" t="s">
        <v>480</v>
      </c>
      <c r="E58" s="19"/>
      <c r="F58" s="78"/>
      <c r="G58" s="314"/>
      <c r="H58" s="311"/>
      <c r="I58" s="79"/>
    </row>
    <row r="59" spans="1:9" ht="15.75">
      <c r="A59" s="22"/>
      <c r="B59" s="22"/>
      <c r="C59" s="22"/>
      <c r="D59" s="22"/>
      <c r="E59" s="22" t="s">
        <v>27</v>
      </c>
      <c r="F59" s="80" t="s">
        <v>479</v>
      </c>
      <c r="G59" s="314"/>
      <c r="H59" s="311">
        <f>4189-4189</f>
        <v>0</v>
      </c>
      <c r="I59" s="79"/>
    </row>
    <row r="60" spans="1:9" ht="15.75">
      <c r="A60" s="22"/>
      <c r="B60" s="22"/>
      <c r="C60" s="22"/>
      <c r="D60" s="22"/>
      <c r="E60" s="22" t="s">
        <v>21</v>
      </c>
      <c r="F60" s="80" t="s">
        <v>478</v>
      </c>
      <c r="G60" s="314"/>
      <c r="H60" s="311">
        <f>661875+220625</f>
        <v>882500</v>
      </c>
      <c r="I60" s="79"/>
    </row>
    <row r="61" spans="1:9" ht="15.75">
      <c r="A61" s="22"/>
      <c r="B61" s="22"/>
      <c r="C61" s="381" t="s">
        <v>477</v>
      </c>
      <c r="D61" s="381"/>
      <c r="E61" s="381"/>
      <c r="F61" s="380"/>
      <c r="G61" s="316"/>
      <c r="H61" s="318">
        <f>H59+H60</f>
        <v>882500</v>
      </c>
      <c r="I61" s="79"/>
    </row>
    <row r="62" spans="1:9" ht="21.75" customHeight="1">
      <c r="A62" s="22"/>
      <c r="B62" s="22"/>
      <c r="C62" s="19" t="s">
        <v>476</v>
      </c>
      <c r="D62" s="19"/>
      <c r="E62" s="19"/>
      <c r="F62" s="78"/>
      <c r="G62" s="314"/>
      <c r="H62" s="311"/>
      <c r="I62" s="79"/>
    </row>
    <row r="63" spans="1:9" ht="15.75">
      <c r="A63" s="22"/>
      <c r="B63" s="22"/>
      <c r="C63" s="22"/>
      <c r="D63" s="22"/>
      <c r="E63" s="22" t="s">
        <v>27</v>
      </c>
      <c r="F63" s="80" t="s">
        <v>475</v>
      </c>
      <c r="G63" s="314"/>
      <c r="H63" s="311">
        <v>55360</v>
      </c>
      <c r="I63" s="79"/>
    </row>
    <row r="64" spans="1:9" ht="15.75">
      <c r="A64" s="22"/>
      <c r="B64" s="22"/>
      <c r="C64" s="381" t="s">
        <v>474</v>
      </c>
      <c r="D64" s="381"/>
      <c r="E64" s="381"/>
      <c r="F64" s="380"/>
      <c r="G64" s="316"/>
      <c r="H64" s="318">
        <f>H63</f>
        <v>55360</v>
      </c>
      <c r="I64" s="79"/>
    </row>
    <row r="65" spans="1:9" ht="10.5" customHeight="1">
      <c r="A65" s="22"/>
      <c r="B65" s="22"/>
      <c r="C65" s="22"/>
      <c r="D65" s="22"/>
      <c r="E65" s="22"/>
      <c r="F65" s="22"/>
      <c r="G65" s="314"/>
      <c r="H65" s="314"/>
      <c r="I65" s="79"/>
    </row>
    <row r="66" spans="1:9" ht="29.25" customHeight="1">
      <c r="A66" s="84"/>
      <c r="B66" s="396" t="s">
        <v>73</v>
      </c>
      <c r="C66" s="396"/>
      <c r="D66" s="396"/>
      <c r="E66" s="396"/>
      <c r="F66" s="396"/>
      <c r="G66" s="312">
        <f>G41+G50+G55</f>
        <v>16098048</v>
      </c>
      <c r="H66" s="312">
        <f>H41+H50+H61+H64+H55</f>
        <v>19659846</v>
      </c>
      <c r="I66" s="87">
        <f>H66/G66*100</f>
        <v>122.12565150756167</v>
      </c>
    </row>
    <row r="67" spans="1:9" ht="7.5" customHeight="1">
      <c r="A67" s="84"/>
      <c r="B67" s="77"/>
      <c r="C67" s="77"/>
      <c r="D67" s="77"/>
      <c r="E67" s="77"/>
      <c r="F67" s="77"/>
      <c r="G67" s="312"/>
      <c r="H67" s="312"/>
      <c r="I67" s="87"/>
    </row>
    <row r="68" spans="1:9" ht="19.5" customHeight="1">
      <c r="A68" s="84"/>
      <c r="B68" s="77" t="s">
        <v>322</v>
      </c>
      <c r="C68" s="396" t="s">
        <v>323</v>
      </c>
      <c r="D68" s="396"/>
      <c r="E68" s="396"/>
      <c r="F68" s="396"/>
      <c r="G68" s="312"/>
      <c r="H68" s="312"/>
      <c r="I68" s="87"/>
    </row>
    <row r="69" spans="1:9" ht="15.75" customHeight="1">
      <c r="A69" s="84"/>
      <c r="B69" s="77"/>
      <c r="C69" s="85" t="s">
        <v>21</v>
      </c>
      <c r="D69" s="397" t="s">
        <v>256</v>
      </c>
      <c r="E69" s="397"/>
      <c r="F69" s="397"/>
      <c r="G69" s="315">
        <v>76000</v>
      </c>
      <c r="H69" s="311">
        <v>46400</v>
      </c>
      <c r="I69" s="87"/>
    </row>
    <row r="70" spans="1:9" ht="15.75">
      <c r="A70" s="84"/>
      <c r="B70" s="77"/>
      <c r="C70" s="85" t="s">
        <v>28</v>
      </c>
      <c r="D70" s="398" t="s">
        <v>361</v>
      </c>
      <c r="E70" s="399"/>
      <c r="F70" s="399"/>
      <c r="G70" s="315">
        <v>1397000</v>
      </c>
      <c r="H70" s="311"/>
      <c r="I70" s="87"/>
    </row>
    <row r="71" spans="1:9" ht="15.75">
      <c r="A71" s="84"/>
      <c r="B71" s="77"/>
      <c r="C71" s="85" t="s">
        <v>66</v>
      </c>
      <c r="D71" s="397" t="s">
        <v>362</v>
      </c>
      <c r="E71" s="397"/>
      <c r="F71" s="397"/>
      <c r="G71" s="315">
        <v>244000</v>
      </c>
      <c r="H71" s="311"/>
      <c r="I71" s="87"/>
    </row>
    <row r="72" spans="1:9" ht="15.75">
      <c r="A72" s="84"/>
      <c r="B72" s="77"/>
      <c r="C72" s="8" t="s">
        <v>67</v>
      </c>
      <c r="D72" s="8" t="s">
        <v>466</v>
      </c>
      <c r="E72" s="8"/>
      <c r="H72" s="311">
        <f>449683+1408133+361991+361991</f>
        <v>2581798</v>
      </c>
      <c r="I72" s="87"/>
    </row>
    <row r="73" spans="1:9" ht="15.75">
      <c r="A73" s="84"/>
      <c r="B73" s="77"/>
      <c r="C73" s="8" t="s">
        <v>72</v>
      </c>
      <c r="D73" s="8" t="s">
        <v>473</v>
      </c>
      <c r="E73" s="8"/>
      <c r="H73" s="311">
        <f>177772+116664</f>
        <v>294436</v>
      </c>
      <c r="I73" s="87"/>
    </row>
    <row r="74" spans="1:9" ht="31.5" customHeight="1">
      <c r="A74" s="84"/>
      <c r="B74" s="396" t="s">
        <v>324</v>
      </c>
      <c r="C74" s="396"/>
      <c r="D74" s="396"/>
      <c r="E74" s="396"/>
      <c r="F74" s="396"/>
      <c r="G74" s="312">
        <f>SUM(G69:G71)</f>
        <v>1717000</v>
      </c>
      <c r="H74" s="312">
        <f>SUM(H69:H73)</f>
        <v>2922634</v>
      </c>
      <c r="I74" s="87"/>
    </row>
    <row r="75" spans="1:9" ht="12" customHeight="1">
      <c r="A75" s="22"/>
      <c r="B75" s="22"/>
      <c r="C75" s="22"/>
      <c r="D75" s="22"/>
      <c r="E75" s="22"/>
      <c r="F75" s="22"/>
      <c r="G75" s="314"/>
      <c r="H75" s="314"/>
      <c r="I75" s="79"/>
    </row>
    <row r="76" spans="1:9" ht="36" customHeight="1">
      <c r="A76" s="396" t="s">
        <v>74</v>
      </c>
      <c r="B76" s="396"/>
      <c r="C76" s="396"/>
      <c r="D76" s="396"/>
      <c r="E76" s="396"/>
      <c r="F76" s="396"/>
      <c r="G76" s="88">
        <f>G66+G74</f>
        <v>17815048</v>
      </c>
      <c r="H76" s="88">
        <f>H66+H74</f>
        <v>22582480</v>
      </c>
      <c r="I76" s="228">
        <f>I66</f>
        <v>122.12565150756167</v>
      </c>
    </row>
    <row r="77" spans="1:9" ht="10.5" customHeight="1">
      <c r="A77" s="77"/>
      <c r="B77" s="77"/>
      <c r="C77" s="77"/>
      <c r="D77" s="77"/>
      <c r="E77" s="77"/>
      <c r="F77" s="77"/>
      <c r="G77" s="88"/>
      <c r="H77" s="88"/>
      <c r="I77" s="228"/>
    </row>
    <row r="78" spans="1:9" ht="33" customHeight="1">
      <c r="A78" s="246" t="s">
        <v>322</v>
      </c>
      <c r="B78" s="396" t="s">
        <v>410</v>
      </c>
      <c r="C78" s="396"/>
      <c r="D78" s="396"/>
      <c r="E78" s="396"/>
      <c r="F78" s="396"/>
      <c r="G78" s="88"/>
      <c r="H78" s="88"/>
      <c r="I78" s="228"/>
    </row>
    <row r="79" spans="1:9" ht="15" customHeight="1">
      <c r="A79" s="77"/>
      <c r="B79" s="77" t="s">
        <v>27</v>
      </c>
      <c r="C79" s="398" t="s">
        <v>411</v>
      </c>
      <c r="D79" s="398"/>
      <c r="E79" s="398"/>
      <c r="F79" s="398"/>
      <c r="H79" s="247">
        <v>78740410</v>
      </c>
      <c r="I79" s="228"/>
    </row>
    <row r="80" spans="1:9" ht="15" customHeight="1">
      <c r="A80" s="77"/>
      <c r="B80" s="77"/>
      <c r="C80" s="398" t="s">
        <v>412</v>
      </c>
      <c r="D80" s="398"/>
      <c r="E80" s="398"/>
      <c r="F80" s="398"/>
      <c r="H80" s="247">
        <v>8748935</v>
      </c>
      <c r="I80" s="228"/>
    </row>
    <row r="81" spans="1:9" ht="33.75" customHeight="1">
      <c r="A81" s="77"/>
      <c r="B81" s="77" t="s">
        <v>21</v>
      </c>
      <c r="C81" s="401" t="s">
        <v>490</v>
      </c>
      <c r="D81" s="629"/>
      <c r="E81" s="629"/>
      <c r="F81" s="629"/>
      <c r="H81" s="247">
        <v>1000000</v>
      </c>
      <c r="I81" s="228"/>
    </row>
    <row r="82" spans="1:9" ht="40.5" customHeight="1">
      <c r="A82" s="396" t="s">
        <v>413</v>
      </c>
      <c r="B82" s="396"/>
      <c r="C82" s="396"/>
      <c r="D82" s="396"/>
      <c r="E82" s="396"/>
      <c r="F82" s="396"/>
      <c r="G82" s="88"/>
      <c r="H82" s="88">
        <f>H79+H80+H81</f>
        <v>88489345</v>
      </c>
      <c r="I82" s="228"/>
    </row>
    <row r="83" spans="1:9" ht="15" customHeight="1">
      <c r="A83" s="77"/>
      <c r="B83" s="77"/>
      <c r="C83" s="77"/>
      <c r="D83" s="77"/>
      <c r="E83" s="77"/>
      <c r="F83" s="77"/>
      <c r="G83" s="88"/>
      <c r="H83" s="88"/>
      <c r="I83" s="228"/>
    </row>
    <row r="84" spans="1:9" ht="15.75">
      <c r="A84" s="19" t="s">
        <v>35</v>
      </c>
      <c r="B84" s="19" t="s">
        <v>75</v>
      </c>
      <c r="C84" s="19"/>
      <c r="D84" s="19"/>
      <c r="E84" s="19"/>
      <c r="F84" s="19"/>
      <c r="G84" s="19"/>
      <c r="H84" s="313"/>
      <c r="I84" s="79"/>
    </row>
    <row r="85" spans="1:9" ht="12" customHeight="1">
      <c r="A85" s="22"/>
      <c r="B85" s="22"/>
      <c r="C85" s="22"/>
      <c r="D85" s="22"/>
      <c r="E85" s="22"/>
      <c r="F85" s="22"/>
      <c r="G85" s="314"/>
      <c r="H85" s="314"/>
      <c r="I85" s="79"/>
    </row>
    <row r="86" spans="1:9" ht="15.75">
      <c r="A86" s="19"/>
      <c r="B86" s="19" t="s">
        <v>27</v>
      </c>
      <c r="C86" s="19" t="s">
        <v>76</v>
      </c>
      <c r="D86" s="19"/>
      <c r="E86" s="19"/>
      <c r="F86" s="19"/>
      <c r="G86" s="19"/>
      <c r="H86" s="313"/>
      <c r="I86" s="79"/>
    </row>
    <row r="87" spans="1:9" s="9" customFormat="1" ht="15.75">
      <c r="A87" s="22"/>
      <c r="B87" s="22"/>
      <c r="C87" s="22" t="s">
        <v>27</v>
      </c>
      <c r="D87" s="22" t="s">
        <v>77</v>
      </c>
      <c r="E87" s="22"/>
      <c r="F87" s="22"/>
      <c r="G87" s="310">
        <v>800000</v>
      </c>
      <c r="H87" s="314">
        <v>800000</v>
      </c>
      <c r="I87" s="79">
        <f>H87/G87*100</f>
        <v>100</v>
      </c>
    </row>
    <row r="88" spans="1:9" ht="15.75">
      <c r="A88" s="19"/>
      <c r="B88" s="19" t="s">
        <v>21</v>
      </c>
      <c r="C88" s="19" t="s">
        <v>78</v>
      </c>
      <c r="D88" s="19"/>
      <c r="E88" s="19"/>
      <c r="F88" s="19"/>
      <c r="G88" s="310"/>
      <c r="H88" s="313"/>
      <c r="I88" s="79"/>
    </row>
    <row r="89" spans="1:9" ht="15.75">
      <c r="A89" s="22"/>
      <c r="B89" s="22"/>
      <c r="C89" s="22" t="s">
        <v>27</v>
      </c>
      <c r="D89" s="22" t="s">
        <v>79</v>
      </c>
      <c r="E89" s="22"/>
      <c r="F89" s="22"/>
      <c r="G89" s="310">
        <v>650000</v>
      </c>
      <c r="H89" s="314">
        <v>650000</v>
      </c>
      <c r="I89" s="79">
        <f>H89/G89*100</f>
        <v>100</v>
      </c>
    </row>
    <row r="90" spans="1:9" ht="15.75">
      <c r="A90" s="19"/>
      <c r="B90" s="19" t="s">
        <v>66</v>
      </c>
      <c r="C90" s="19" t="s">
        <v>80</v>
      </c>
      <c r="D90" s="19"/>
      <c r="E90" s="19"/>
      <c r="F90" s="19"/>
      <c r="G90" s="310"/>
      <c r="H90" s="313"/>
      <c r="I90" s="79"/>
    </row>
    <row r="91" spans="1:9" ht="15.75">
      <c r="A91" s="22"/>
      <c r="B91" s="22"/>
      <c r="C91" s="19" t="s">
        <v>27</v>
      </c>
      <c r="D91" s="22" t="s">
        <v>81</v>
      </c>
      <c r="E91" s="22"/>
      <c r="F91" s="22"/>
      <c r="G91" s="310">
        <v>5000</v>
      </c>
      <c r="H91" s="314">
        <v>5000</v>
      </c>
      <c r="I91" s="79">
        <f>H91/G91*100</f>
        <v>100</v>
      </c>
    </row>
    <row r="92" spans="1:9" ht="15.75">
      <c r="A92" s="22"/>
      <c r="B92" s="22"/>
      <c r="C92" s="19" t="s">
        <v>28</v>
      </c>
      <c r="D92" s="22" t="s">
        <v>82</v>
      </c>
      <c r="E92" s="22"/>
      <c r="F92" s="22"/>
      <c r="G92" s="310">
        <v>40000</v>
      </c>
      <c r="H92" s="314">
        <v>40000</v>
      </c>
      <c r="I92" s="79">
        <f>H92/G92*100</f>
        <v>100</v>
      </c>
    </row>
    <row r="93" spans="1:9" ht="9" customHeight="1">
      <c r="A93" s="84"/>
      <c r="B93" s="84"/>
      <c r="C93" s="84"/>
      <c r="D93" s="84"/>
      <c r="E93" s="84"/>
      <c r="F93" s="84"/>
      <c r="G93" s="310"/>
      <c r="H93" s="310"/>
      <c r="I93" s="79"/>
    </row>
    <row r="94" spans="1:9" s="9" customFormat="1" ht="15.75">
      <c r="A94" s="19" t="s">
        <v>42</v>
      </c>
      <c r="B94" s="84"/>
      <c r="C94" s="84"/>
      <c r="D94" s="84"/>
      <c r="E94" s="84"/>
      <c r="F94" s="84"/>
      <c r="G94" s="312">
        <f>G87+G89+G91+G92</f>
        <v>1495000</v>
      </c>
      <c r="H94" s="312">
        <f>H87+H89+H91+H92</f>
        <v>1495000</v>
      </c>
      <c r="I94" s="87">
        <f>H94/G94*100</f>
        <v>100</v>
      </c>
    </row>
    <row r="95" spans="1:9" ht="9" customHeight="1">
      <c r="A95" s="84"/>
      <c r="B95" s="84"/>
      <c r="C95" s="84"/>
      <c r="D95" s="84"/>
      <c r="E95" s="84"/>
      <c r="F95" s="84"/>
      <c r="G95" s="310"/>
      <c r="H95" s="310"/>
      <c r="I95" s="79"/>
    </row>
    <row r="96" spans="1:9" ht="15.75">
      <c r="A96" s="19" t="s">
        <v>83</v>
      </c>
      <c r="B96" s="19" t="s">
        <v>37</v>
      </c>
      <c r="C96" s="19"/>
      <c r="D96" s="19"/>
      <c r="E96" s="19"/>
      <c r="F96" s="19"/>
      <c r="G96" s="19"/>
      <c r="H96" s="313"/>
      <c r="I96" s="79"/>
    </row>
    <row r="97" spans="1:9" ht="9" customHeight="1">
      <c r="A97" s="84"/>
      <c r="B97" s="84"/>
      <c r="C97" s="84"/>
      <c r="D97" s="84"/>
      <c r="E97" s="84"/>
      <c r="F97" s="84"/>
      <c r="G97" s="310"/>
      <c r="H97" s="310"/>
      <c r="I97" s="79"/>
    </row>
    <row r="98" spans="1:9" ht="15.75">
      <c r="A98" s="84"/>
      <c r="B98" s="84" t="s">
        <v>27</v>
      </c>
      <c r="C98" s="86" t="s">
        <v>321</v>
      </c>
      <c r="D98" s="86"/>
      <c r="E98" s="86"/>
      <c r="F98" s="86"/>
      <c r="G98" s="310"/>
      <c r="H98" s="310"/>
      <c r="I98" s="79"/>
    </row>
    <row r="99" spans="1:9" ht="30.75" customHeight="1">
      <c r="A99" s="84"/>
      <c r="B99" s="84"/>
      <c r="C99" s="84" t="s">
        <v>27</v>
      </c>
      <c r="D99" s="403" t="s">
        <v>349</v>
      </c>
      <c r="E99" s="403"/>
      <c r="F99" s="403"/>
      <c r="G99" s="310">
        <v>54000</v>
      </c>
      <c r="H99" s="310">
        <v>54000</v>
      </c>
      <c r="I99" s="79">
        <f>H99/G99*100</f>
        <v>100</v>
      </c>
    </row>
    <row r="100" spans="1:9" ht="15.75" customHeight="1">
      <c r="A100" s="84"/>
      <c r="B100" s="84"/>
      <c r="C100" s="84">
        <v>2</v>
      </c>
      <c r="D100" s="416" t="s">
        <v>363</v>
      </c>
      <c r="E100" s="417"/>
      <c r="F100" s="417"/>
      <c r="G100" s="310">
        <v>5000</v>
      </c>
      <c r="H100" s="310">
        <v>5000</v>
      </c>
      <c r="I100" s="79">
        <f>H100/G100*100</f>
        <v>100</v>
      </c>
    </row>
    <row r="101" spans="1:9" ht="15.75">
      <c r="A101" s="84"/>
      <c r="B101" s="84" t="s">
        <v>21</v>
      </c>
      <c r="C101" s="86" t="s">
        <v>84</v>
      </c>
      <c r="D101" s="86"/>
      <c r="E101" s="86"/>
      <c r="F101" s="86"/>
      <c r="G101" s="310"/>
      <c r="H101" s="310"/>
      <c r="I101" s="79"/>
    </row>
    <row r="102" spans="1:9" ht="15.75">
      <c r="A102" s="84"/>
      <c r="B102" s="84"/>
      <c r="C102" s="84" t="s">
        <v>27</v>
      </c>
      <c r="D102" s="86" t="s">
        <v>47</v>
      </c>
      <c r="E102" s="86"/>
      <c r="F102" s="86"/>
      <c r="G102" s="310">
        <v>454000</v>
      </c>
      <c r="H102" s="310">
        <v>489450</v>
      </c>
      <c r="I102" s="79">
        <f>H102/G102*100</f>
        <v>107.80837004405286</v>
      </c>
    </row>
    <row r="103" spans="1:9" ht="15.75">
      <c r="A103" s="84"/>
      <c r="B103" s="84"/>
      <c r="C103" s="84" t="s">
        <v>21</v>
      </c>
      <c r="D103" s="86" t="s">
        <v>396</v>
      </c>
      <c r="E103" s="86"/>
      <c r="F103" s="86"/>
      <c r="G103" s="310"/>
      <c r="H103" s="310">
        <f>132152+23622123</f>
        <v>23754275</v>
      </c>
      <c r="I103" s="79"/>
    </row>
    <row r="104" spans="1:9" ht="15.75">
      <c r="A104" s="84"/>
      <c r="B104" s="84"/>
      <c r="C104" s="84" t="s">
        <v>28</v>
      </c>
      <c r="D104" s="86" t="s">
        <v>397</v>
      </c>
      <c r="E104" s="86"/>
      <c r="F104" s="86"/>
      <c r="G104" s="310"/>
      <c r="H104" s="310">
        <v>190434</v>
      </c>
      <c r="I104" s="79"/>
    </row>
    <row r="105" spans="1:9" ht="15.75">
      <c r="A105" s="84"/>
      <c r="B105" s="84"/>
      <c r="C105" s="84"/>
      <c r="D105" s="86"/>
      <c r="E105" s="86"/>
      <c r="F105" s="86"/>
      <c r="G105" s="310"/>
      <c r="H105" s="310"/>
      <c r="I105" s="79"/>
    </row>
    <row r="106" spans="1:9" ht="15.75">
      <c r="A106" s="84"/>
      <c r="B106" s="84" t="s">
        <v>28</v>
      </c>
      <c r="C106" s="86" t="s">
        <v>85</v>
      </c>
      <c r="D106" s="84"/>
      <c r="E106" s="84"/>
      <c r="F106" s="84"/>
      <c r="G106" s="310">
        <v>2000</v>
      </c>
      <c r="H106" s="310">
        <v>2000</v>
      </c>
      <c r="I106" s="79">
        <f>H106/G106*100</f>
        <v>100</v>
      </c>
    </row>
    <row r="107" spans="1:9" ht="11.25" customHeight="1">
      <c r="A107" s="84"/>
      <c r="B107" s="84"/>
      <c r="C107" s="84"/>
      <c r="D107" s="84"/>
      <c r="E107" s="84"/>
      <c r="F107" s="84"/>
      <c r="G107" s="310"/>
      <c r="H107" s="310"/>
      <c r="I107" s="79"/>
    </row>
    <row r="108" spans="1:9" ht="15.75">
      <c r="A108" s="19" t="s">
        <v>20</v>
      </c>
      <c r="B108" s="84"/>
      <c r="C108" s="84"/>
      <c r="D108" s="84"/>
      <c r="E108" s="84"/>
      <c r="F108" s="84"/>
      <c r="G108" s="312">
        <f>SUM(G99:G107)</f>
        <v>515000</v>
      </c>
      <c r="H108" s="312">
        <f>H99+H102+H106+H100+H103+H104</f>
        <v>24495159</v>
      </c>
      <c r="I108" s="87">
        <f>H108/G108*100</f>
        <v>4756.341553398058</v>
      </c>
    </row>
    <row r="109" spans="1:9" ht="13.5" customHeight="1">
      <c r="A109" s="84"/>
      <c r="B109" s="84"/>
      <c r="C109" s="84"/>
      <c r="D109" s="84"/>
      <c r="E109" s="84"/>
      <c r="F109" s="84"/>
      <c r="G109" s="310"/>
      <c r="H109" s="310"/>
      <c r="I109" s="79"/>
    </row>
    <row r="110" spans="1:9" ht="13.5" customHeight="1">
      <c r="A110" s="234" t="s">
        <v>364</v>
      </c>
      <c r="B110" s="418" t="s">
        <v>103</v>
      </c>
      <c r="C110" s="417"/>
      <c r="D110" s="417"/>
      <c r="E110" s="417"/>
      <c r="F110" s="417"/>
      <c r="G110" s="310"/>
      <c r="H110" s="310"/>
      <c r="I110" s="79"/>
    </row>
    <row r="111" spans="1:9" ht="13.5" customHeight="1">
      <c r="A111" s="84"/>
      <c r="B111" s="84" t="s">
        <v>27</v>
      </c>
      <c r="C111" s="416" t="s">
        <v>365</v>
      </c>
      <c r="D111" s="417"/>
      <c r="E111" s="417"/>
      <c r="F111" s="417"/>
      <c r="G111" s="310"/>
      <c r="H111" s="310"/>
      <c r="I111" s="79"/>
    </row>
    <row r="112" spans="1:9" ht="13.5" customHeight="1">
      <c r="A112" s="84"/>
      <c r="B112" s="84"/>
      <c r="C112" s="84" t="s">
        <v>27</v>
      </c>
      <c r="D112" s="416" t="s">
        <v>366</v>
      </c>
      <c r="E112" s="417"/>
      <c r="F112" s="417"/>
      <c r="G112" s="310">
        <v>1800000</v>
      </c>
      <c r="H112" s="310"/>
      <c r="I112" s="79"/>
    </row>
    <row r="113" spans="1:9" ht="9" customHeight="1">
      <c r="A113" s="84"/>
      <c r="B113" s="84"/>
      <c r="C113" s="84"/>
      <c r="D113" s="86"/>
      <c r="E113" s="233"/>
      <c r="F113" s="233"/>
      <c r="G113" s="310"/>
      <c r="H113" s="310"/>
      <c r="I113" s="79"/>
    </row>
    <row r="114" spans="1:9" ht="13.5" customHeight="1">
      <c r="A114" s="419" t="s">
        <v>367</v>
      </c>
      <c r="B114" s="420"/>
      <c r="C114" s="420"/>
      <c r="D114" s="420"/>
      <c r="E114" s="420"/>
      <c r="F114" s="420"/>
      <c r="G114" s="312">
        <f>G112</f>
        <v>1800000</v>
      </c>
      <c r="H114" s="312"/>
      <c r="I114" s="79"/>
    </row>
    <row r="115" spans="1:9" ht="12.75" customHeight="1">
      <c r="A115" s="84"/>
      <c r="B115" s="84"/>
      <c r="C115" s="84"/>
      <c r="D115" s="84"/>
      <c r="E115" s="84"/>
      <c r="F115" s="84"/>
      <c r="G115" s="310"/>
      <c r="H115" s="310"/>
      <c r="I115" s="79"/>
    </row>
    <row r="116" spans="1:9" ht="17.25" customHeight="1">
      <c r="A116" s="90" t="s">
        <v>87</v>
      </c>
      <c r="B116" s="90"/>
      <c r="C116" s="90"/>
      <c r="D116" s="90"/>
      <c r="E116" s="90"/>
      <c r="F116" s="90"/>
      <c r="G116" s="89">
        <f>G108+G94+G76+G114</f>
        <v>21625048</v>
      </c>
      <c r="H116" s="245">
        <f>H108+H94+H76+H112+H82</f>
        <v>137061984</v>
      </c>
      <c r="I116" s="87">
        <f>H116/G116*100</f>
        <v>633.8112359334416</v>
      </c>
    </row>
    <row r="117" spans="1:9" ht="17.25" customHeight="1">
      <c r="A117" s="90"/>
      <c r="B117" s="90"/>
      <c r="C117" s="90"/>
      <c r="D117" s="90"/>
      <c r="E117" s="90"/>
      <c r="F117" s="90"/>
      <c r="G117" s="89"/>
      <c r="H117" s="245"/>
      <c r="I117" s="87"/>
    </row>
    <row r="118" spans="1:9" ht="16.5">
      <c r="A118" s="90"/>
      <c r="B118" s="90"/>
      <c r="C118" s="90"/>
      <c r="D118" s="90"/>
      <c r="E118" s="90"/>
      <c r="F118" s="90"/>
      <c r="G118" s="89"/>
      <c r="H118" s="89"/>
      <c r="I118" s="87"/>
    </row>
    <row r="119" spans="1:9" ht="15.75">
      <c r="A119" s="91" t="s">
        <v>88</v>
      </c>
      <c r="B119" s="396" t="s">
        <v>89</v>
      </c>
      <c r="C119" s="396"/>
      <c r="D119" s="396"/>
      <c r="E119" s="396"/>
      <c r="F119" s="396"/>
      <c r="G119" s="19"/>
      <c r="H119" s="311"/>
      <c r="I119" s="79"/>
    </row>
    <row r="120" spans="1:9" ht="15.75">
      <c r="A120" s="19"/>
      <c r="B120" s="77" t="s">
        <v>27</v>
      </c>
      <c r="C120" s="396" t="s">
        <v>90</v>
      </c>
      <c r="D120" s="396"/>
      <c r="E120" s="396"/>
      <c r="F120" s="396"/>
      <c r="G120" s="310"/>
      <c r="H120" s="311"/>
      <c r="I120" s="79"/>
    </row>
    <row r="121" spans="1:9" ht="15.75">
      <c r="A121" s="19"/>
      <c r="B121" s="77"/>
      <c r="C121" s="85" t="s">
        <v>27</v>
      </c>
      <c r="D121" s="401" t="s">
        <v>91</v>
      </c>
      <c r="E121" s="401"/>
      <c r="F121" s="401"/>
      <c r="G121" s="310">
        <v>913000</v>
      </c>
      <c r="H121" s="309">
        <f>700933+63487+69464+6794577</f>
        <v>7628461</v>
      </c>
      <c r="I121" s="79">
        <f>H121/G121*100</f>
        <v>835.5378970427163</v>
      </c>
    </row>
    <row r="122" spans="1:9" ht="34.5" customHeight="1">
      <c r="A122" s="22"/>
      <c r="B122" s="22"/>
      <c r="C122" s="243" t="s">
        <v>21</v>
      </c>
      <c r="D122" s="414" t="s">
        <v>398</v>
      </c>
      <c r="E122" s="415"/>
      <c r="F122" s="415"/>
      <c r="G122" s="53"/>
      <c r="H122" s="308">
        <v>6500000</v>
      </c>
      <c r="I122" s="79"/>
    </row>
    <row r="123" spans="1:9" ht="17.25" customHeight="1">
      <c r="A123" s="22"/>
      <c r="B123" s="243" t="s">
        <v>28</v>
      </c>
      <c r="C123" s="628" t="s">
        <v>489</v>
      </c>
      <c r="D123" s="627"/>
      <c r="E123" s="627"/>
      <c r="F123" s="627"/>
      <c r="G123" s="53"/>
      <c r="H123" s="308">
        <v>815473</v>
      </c>
      <c r="I123" s="79"/>
    </row>
    <row r="124" spans="1:9" ht="16.5">
      <c r="A124" s="90" t="s">
        <v>89</v>
      </c>
      <c r="B124" s="90"/>
      <c r="C124" s="90"/>
      <c r="D124" s="90"/>
      <c r="E124" s="90"/>
      <c r="F124" s="90"/>
      <c r="G124" s="92">
        <f>G121</f>
        <v>913000</v>
      </c>
      <c r="H124" s="244">
        <f>H121+H122+H123</f>
        <v>14943934</v>
      </c>
      <c r="I124" s="79">
        <f>H124/G124*100</f>
        <v>1636.7945235487405</v>
      </c>
    </row>
    <row r="125" spans="1:9" ht="15.75">
      <c r="A125" s="22"/>
      <c r="B125" s="22"/>
      <c r="C125" s="22"/>
      <c r="D125" s="22"/>
      <c r="E125" s="22"/>
      <c r="F125" s="22"/>
      <c r="G125" s="53"/>
      <c r="H125" s="22"/>
      <c r="I125" s="79"/>
    </row>
    <row r="126" spans="1:9" ht="18.75">
      <c r="A126" s="21" t="s">
        <v>92</v>
      </c>
      <c r="B126" s="21"/>
      <c r="C126" s="21"/>
      <c r="D126" s="21"/>
      <c r="E126" s="21"/>
      <c r="F126" s="21"/>
      <c r="G126" s="92">
        <f>G116+G124</f>
        <v>22538048</v>
      </c>
      <c r="H126" s="245">
        <f>H116+H124</f>
        <v>152005918</v>
      </c>
      <c r="I126" s="87">
        <f>H126/G126*100</f>
        <v>674.4413624462952</v>
      </c>
    </row>
    <row r="127" spans="7:9" ht="15.75">
      <c r="G127" s="6"/>
      <c r="H127" s="6"/>
      <c r="I127" s="7"/>
    </row>
    <row r="128" spans="7:9" ht="15.75">
      <c r="G128" s="67"/>
      <c r="H128" s="81"/>
      <c r="I128" s="11"/>
    </row>
    <row r="129" ht="9" customHeight="1">
      <c r="I129" s="11"/>
    </row>
    <row r="130" spans="1:9" s="9" customFormat="1" ht="15.75">
      <c r="A130" s="59"/>
      <c r="B130" s="58"/>
      <c r="C130" s="58"/>
      <c r="D130" s="58"/>
      <c r="E130" s="58"/>
      <c r="H130" s="81"/>
      <c r="I130" s="10"/>
    </row>
    <row r="131" ht="9" customHeight="1">
      <c r="I131" s="11"/>
    </row>
    <row r="132" ht="9" customHeight="1">
      <c r="I132" s="11"/>
    </row>
    <row r="138" ht="15.75">
      <c r="I138" s="11"/>
    </row>
    <row r="143" ht="15.75">
      <c r="I143" s="11"/>
    </row>
  </sheetData>
  <sheetProtection password="AF00" sheet="1" objects="1" scenarios="1" selectLockedCells="1" selectUnlockedCells="1"/>
  <mergeCells count="39">
    <mergeCell ref="C123:F123"/>
    <mergeCell ref="C81:F81"/>
    <mergeCell ref="A1:I1"/>
    <mergeCell ref="C79:F79"/>
    <mergeCell ref="C80:F80"/>
    <mergeCell ref="A82:F82"/>
    <mergeCell ref="D122:F122"/>
    <mergeCell ref="D100:F100"/>
    <mergeCell ref="B110:F110"/>
    <mergeCell ref="C111:F111"/>
    <mergeCell ref="D112:F112"/>
    <mergeCell ref="A114:F114"/>
    <mergeCell ref="D121:F121"/>
    <mergeCell ref="B119:F119"/>
    <mergeCell ref="D99:F99"/>
    <mergeCell ref="A11:F13"/>
    <mergeCell ref="D19:F19"/>
    <mergeCell ref="C50:F50"/>
    <mergeCell ref="E21:F21"/>
    <mergeCell ref="D43:F43"/>
    <mergeCell ref="E45:F45"/>
    <mergeCell ref="B78:F78"/>
    <mergeCell ref="A5:I5"/>
    <mergeCell ref="A6:I6"/>
    <mergeCell ref="A7:I7"/>
    <mergeCell ref="A8:I8"/>
    <mergeCell ref="D70:F70"/>
    <mergeCell ref="D71:F71"/>
    <mergeCell ref="B74:F74"/>
    <mergeCell ref="C120:F120"/>
    <mergeCell ref="B15:F15"/>
    <mergeCell ref="E53:F53"/>
    <mergeCell ref="D41:F41"/>
    <mergeCell ref="D52:F52"/>
    <mergeCell ref="C55:F55"/>
    <mergeCell ref="B66:F66"/>
    <mergeCell ref="A76:F76"/>
    <mergeCell ref="C68:F68"/>
    <mergeCell ref="D69:F69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148" customWidth="1"/>
    <col min="2" max="2" width="9.125" style="148" customWidth="1"/>
    <col min="3" max="3" width="61.125" style="148" customWidth="1"/>
    <col min="4" max="7" width="26.25390625" style="148" customWidth="1"/>
    <col min="8" max="16384" width="9.125" style="148" customWidth="1"/>
  </cols>
  <sheetData>
    <row r="1" spans="1:7" ht="15.75">
      <c r="A1" s="413" t="s">
        <v>507</v>
      </c>
      <c r="B1" s="413"/>
      <c r="C1" s="413"/>
      <c r="D1" s="413"/>
      <c r="E1" s="413"/>
      <c r="F1" s="413"/>
      <c r="G1" s="413"/>
    </row>
    <row r="4" spans="1:7" s="144" customFormat="1" ht="12.75" customHeight="1">
      <c r="A4" s="444"/>
      <c r="B4" s="444"/>
      <c r="C4" s="444"/>
      <c r="D4" s="444"/>
      <c r="E4" s="444"/>
      <c r="F4" s="444"/>
      <c r="G4" s="444"/>
    </row>
    <row r="5" spans="3:7" s="68" customFormat="1" ht="15" customHeight="1">
      <c r="C5" s="445"/>
      <c r="D5" s="445"/>
      <c r="E5" s="445"/>
      <c r="F5" s="445"/>
      <c r="G5" s="445"/>
    </row>
    <row r="6" spans="1:7" s="146" customFormat="1" ht="15" customHeight="1">
      <c r="A6" s="421"/>
      <c r="B6" s="421"/>
      <c r="C6" s="421"/>
      <c r="D6" s="421"/>
      <c r="E6" s="421"/>
      <c r="F6" s="421"/>
      <c r="G6" s="421"/>
    </row>
    <row r="7" spans="3:7" s="110" customFormat="1" ht="15" customHeight="1">
      <c r="C7" s="421" t="s">
        <v>325</v>
      </c>
      <c r="D7" s="421"/>
      <c r="E7" s="421"/>
      <c r="F7" s="421"/>
      <c r="G7" s="421"/>
    </row>
    <row r="8" spans="3:7" s="110" customFormat="1" ht="15.75">
      <c r="C8" s="446" t="s">
        <v>201</v>
      </c>
      <c r="D8" s="446"/>
      <c r="E8" s="446"/>
      <c r="F8" s="446"/>
      <c r="G8" s="446"/>
    </row>
    <row r="9" spans="3:7" s="110" customFormat="1" ht="15" customHeight="1">
      <c r="C9" s="421" t="s">
        <v>393</v>
      </c>
      <c r="D9" s="421"/>
      <c r="E9" s="421"/>
      <c r="F9" s="421"/>
      <c r="G9" s="421"/>
    </row>
    <row r="10" spans="3:7" s="144" customFormat="1" ht="12" customHeight="1" thickBot="1">
      <c r="C10" s="145"/>
      <c r="D10" s="147"/>
      <c r="E10" s="327"/>
      <c r="F10" s="327"/>
      <c r="G10" s="383" t="s">
        <v>483</v>
      </c>
    </row>
    <row r="11" spans="1:7" s="144" customFormat="1" ht="16.5" customHeight="1" thickBot="1">
      <c r="A11" s="422" t="s">
        <v>456</v>
      </c>
      <c r="B11" s="424" t="s">
        <v>113</v>
      </c>
      <c r="C11" s="427" t="s">
        <v>114</v>
      </c>
      <c r="D11" s="430" t="s">
        <v>202</v>
      </c>
      <c r="E11" s="433" t="s">
        <v>203</v>
      </c>
      <c r="F11" s="433"/>
      <c r="G11" s="434"/>
    </row>
    <row r="12" spans="1:7" s="144" customFormat="1" ht="33" customHeight="1" thickBot="1">
      <c r="A12" s="423"/>
      <c r="B12" s="425"/>
      <c r="C12" s="428"/>
      <c r="D12" s="431"/>
      <c r="E12" s="324" t="s">
        <v>204</v>
      </c>
      <c r="F12" s="326" t="s">
        <v>205</v>
      </c>
      <c r="G12" s="325" t="s">
        <v>206</v>
      </c>
    </row>
    <row r="13" spans="1:7" s="144" customFormat="1" ht="22.5" customHeight="1">
      <c r="A13" s="423"/>
      <c r="B13" s="425"/>
      <c r="C13" s="428"/>
      <c r="D13" s="431"/>
      <c r="E13" s="435" t="s">
        <v>207</v>
      </c>
      <c r="F13" s="436"/>
      <c r="G13" s="437"/>
    </row>
    <row r="14" spans="1:7" ht="12.75">
      <c r="A14" s="423"/>
      <c r="B14" s="425"/>
      <c r="C14" s="428"/>
      <c r="D14" s="431"/>
      <c r="E14" s="438"/>
      <c r="F14" s="439"/>
      <c r="G14" s="440"/>
    </row>
    <row r="15" spans="1:7" ht="3" customHeight="1" thickBot="1">
      <c r="A15" s="279"/>
      <c r="B15" s="426"/>
      <c r="C15" s="429"/>
      <c r="D15" s="432"/>
      <c r="E15" s="441"/>
      <c r="F15" s="442"/>
      <c r="G15" s="443"/>
    </row>
    <row r="16" spans="1:7" ht="30">
      <c r="A16" s="280" t="s">
        <v>27</v>
      </c>
      <c r="B16" s="230" t="s">
        <v>130</v>
      </c>
      <c r="C16" s="382" t="s">
        <v>131</v>
      </c>
      <c r="D16" s="323">
        <f>SUM(E16:G16)</f>
        <v>301436</v>
      </c>
      <c r="E16" s="323">
        <f>7000+177772+116664</f>
        <v>301436</v>
      </c>
      <c r="F16" s="323"/>
      <c r="G16" s="322"/>
    </row>
    <row r="17" spans="1:7" ht="15">
      <c r="A17" s="281" t="s">
        <v>21</v>
      </c>
      <c r="B17" s="230" t="s">
        <v>132</v>
      </c>
      <c r="C17" s="229" t="s">
        <v>355</v>
      </c>
      <c r="D17" s="323">
        <f>SUM(E17:G17)</f>
        <v>5000</v>
      </c>
      <c r="E17" s="323">
        <v>5000</v>
      </c>
      <c r="F17" s="323"/>
      <c r="G17" s="322"/>
    </row>
    <row r="18" spans="1:7" ht="15">
      <c r="A18" s="281" t="s">
        <v>28</v>
      </c>
      <c r="B18" s="104" t="s">
        <v>133</v>
      </c>
      <c r="C18" s="103" t="s">
        <v>134</v>
      </c>
      <c r="D18" s="321">
        <f>SUM(E18:G18)</f>
        <v>54000</v>
      </c>
      <c r="E18" s="321"/>
      <c r="F18" s="321">
        <v>54000</v>
      </c>
      <c r="G18" s="320"/>
    </row>
    <row r="19" spans="1:7" ht="15">
      <c r="A19" s="281" t="s">
        <v>66</v>
      </c>
      <c r="B19" s="104" t="s">
        <v>208</v>
      </c>
      <c r="C19" s="103" t="s">
        <v>209</v>
      </c>
      <c r="D19" s="321">
        <f>SUM(E19:G19)</f>
        <v>21475319</v>
      </c>
      <c r="E19" s="321">
        <f>17523310+12190+45840+1000000+80464+661875+55360+32186+220625+32185+815473+1000000-4189</f>
        <v>21475319</v>
      </c>
      <c r="F19" s="321"/>
      <c r="G19" s="320"/>
    </row>
    <row r="20" spans="1:7" ht="15">
      <c r="A20" s="281" t="s">
        <v>67</v>
      </c>
      <c r="B20" s="149" t="s">
        <v>400</v>
      </c>
      <c r="C20" s="103" t="s">
        <v>401</v>
      </c>
      <c r="D20" s="321">
        <f>SUM(E20:G20)</f>
        <v>14128461</v>
      </c>
      <c r="E20" s="321">
        <f>7200933+63487+69464+6794577</f>
        <v>14128461</v>
      </c>
      <c r="F20" s="321"/>
      <c r="G20" s="320"/>
    </row>
    <row r="21" spans="1:7" ht="15">
      <c r="A21" s="281"/>
      <c r="B21" s="149" t="s">
        <v>469</v>
      </c>
      <c r="C21" s="103" t="s">
        <v>468</v>
      </c>
      <c r="D21" s="321">
        <f>SUM(E21:G21)</f>
        <v>2581798</v>
      </c>
      <c r="E21" s="321">
        <f>449683+1408133+361991+361991</f>
        <v>2581798</v>
      </c>
      <c r="F21" s="321"/>
      <c r="G21" s="320"/>
    </row>
    <row r="22" spans="1:7" ht="15">
      <c r="A22" s="281" t="s">
        <v>72</v>
      </c>
      <c r="B22" s="104" t="s">
        <v>415</v>
      </c>
      <c r="C22" s="103" t="s">
        <v>414</v>
      </c>
      <c r="D22" s="321">
        <f>SUM(E22:G22)</f>
        <v>111111468</v>
      </c>
      <c r="E22" s="321">
        <v>111111468</v>
      </c>
      <c r="F22" s="321"/>
      <c r="G22" s="320"/>
    </row>
    <row r="23" spans="1:7" ht="15">
      <c r="A23" s="281" t="s">
        <v>162</v>
      </c>
      <c r="B23" s="149">
        <v>104051</v>
      </c>
      <c r="C23" s="103" t="s">
        <v>354</v>
      </c>
      <c r="D23" s="321">
        <f>SUM(E23:G23)</f>
        <v>46400</v>
      </c>
      <c r="E23" s="321"/>
      <c r="F23" s="321"/>
      <c r="G23" s="320">
        <v>46400</v>
      </c>
    </row>
    <row r="24" spans="1:7" ht="15">
      <c r="A24" s="281" t="s">
        <v>164</v>
      </c>
      <c r="B24" s="149">
        <v>107051</v>
      </c>
      <c r="C24" s="105" t="s">
        <v>328</v>
      </c>
      <c r="D24" s="321">
        <f>SUM(E24:G24)</f>
        <v>812036</v>
      </c>
      <c r="E24" s="321">
        <v>812036</v>
      </c>
      <c r="F24" s="321"/>
      <c r="G24" s="320"/>
    </row>
    <row r="25" spans="1:7" ht="30.75" thickBot="1">
      <c r="A25" s="282" t="s">
        <v>166</v>
      </c>
      <c r="B25" s="149">
        <v>900020</v>
      </c>
      <c r="C25" s="103" t="s">
        <v>210</v>
      </c>
      <c r="D25" s="321">
        <f>SUM(E25:G25)</f>
        <v>1490000</v>
      </c>
      <c r="E25" s="321">
        <v>1490000</v>
      </c>
      <c r="F25" s="321"/>
      <c r="G25" s="320"/>
    </row>
    <row r="26" spans="1:7" ht="30" customHeight="1" thickBot="1">
      <c r="A26" s="283" t="s">
        <v>172</v>
      </c>
      <c r="B26" s="150"/>
      <c r="C26" s="150" t="s">
        <v>2</v>
      </c>
      <c r="D26" s="319">
        <f>SUM(D16:D25)</f>
        <v>152005918</v>
      </c>
      <c r="E26" s="319">
        <f>SUM(E16:E25)</f>
        <v>151905518</v>
      </c>
      <c r="F26" s="319">
        <f>SUM(F16:F25)</f>
        <v>54000</v>
      </c>
      <c r="G26" s="319">
        <f>SUM(G16:G25)</f>
        <v>46400</v>
      </c>
    </row>
  </sheetData>
  <sheetProtection password="AF00" sheet="1" objects="1" scenarios="1" selectLockedCells="1" selectUnlockedCells="1"/>
  <mergeCells count="13">
    <mergeCell ref="A4:G4"/>
    <mergeCell ref="A1:G1"/>
    <mergeCell ref="A6:G6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5" width="12.875" style="12" customWidth="1"/>
    <col min="6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0.253906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s="328" customFormat="1" ht="15.75">
      <c r="A1" s="413" t="s">
        <v>506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</row>
    <row r="2" s="328" customFormat="1" ht="15.75"/>
    <row r="3" spans="1:21" ht="15.75">
      <c r="A3" s="112"/>
      <c r="M3" s="474"/>
      <c r="N3" s="474"/>
      <c r="O3" s="474"/>
      <c r="P3" s="474"/>
      <c r="Q3" s="474"/>
      <c r="R3" s="474"/>
      <c r="S3" s="474"/>
      <c r="T3" s="474"/>
      <c r="U3" s="474"/>
    </row>
    <row r="4" spans="2:18" ht="15.75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</row>
    <row r="5" spans="2:21" s="100" customFormat="1" ht="15.75" customHeight="1"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</row>
    <row r="6" spans="1:21" s="100" customFormat="1" ht="15.75" customHeight="1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</row>
    <row r="7" spans="2:21" s="100" customFormat="1" ht="15.75" customHeight="1">
      <c r="B7" s="456" t="s">
        <v>325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</row>
    <row r="8" spans="2:21" s="100" customFormat="1" ht="15.75" customHeight="1">
      <c r="B8" s="456" t="s">
        <v>112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</row>
    <row r="9" spans="2:21" s="100" customFormat="1" ht="15.75" customHeight="1">
      <c r="B9" s="456" t="s">
        <v>392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</row>
    <row r="10" spans="20:21" s="100" customFormat="1" ht="15.75" thickBot="1">
      <c r="T10" s="475" t="s">
        <v>483</v>
      </c>
      <c r="U10" s="475"/>
    </row>
    <row r="11" spans="1:21" s="101" customFormat="1" ht="20.25" customHeight="1" thickBot="1">
      <c r="A11" s="463" t="s">
        <v>456</v>
      </c>
      <c r="B11" s="460" t="s">
        <v>113</v>
      </c>
      <c r="C11" s="485" t="s">
        <v>114</v>
      </c>
      <c r="D11" s="448" t="s">
        <v>115</v>
      </c>
      <c r="E11" s="451" t="s">
        <v>116</v>
      </c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3"/>
      <c r="T11" s="454" t="s">
        <v>3</v>
      </c>
      <c r="U11" s="455"/>
    </row>
    <row r="12" spans="1:21" s="101" customFormat="1" ht="38.25" customHeight="1" thickBot="1">
      <c r="A12" s="464"/>
      <c r="B12" s="461"/>
      <c r="C12" s="486"/>
      <c r="D12" s="449"/>
      <c r="E12" s="479" t="s">
        <v>43</v>
      </c>
      <c r="F12" s="480"/>
      <c r="G12" s="480"/>
      <c r="H12" s="480"/>
      <c r="I12" s="480"/>
      <c r="J12" s="480"/>
      <c r="K12" s="481"/>
      <c r="L12" s="451" t="s">
        <v>44</v>
      </c>
      <c r="M12" s="452"/>
      <c r="N12" s="452"/>
      <c r="O12" s="453"/>
      <c r="P12" s="471" t="s">
        <v>117</v>
      </c>
      <c r="Q12" s="472"/>
      <c r="R12" s="472"/>
      <c r="S12" s="473"/>
      <c r="T12" s="477" t="s">
        <v>6</v>
      </c>
      <c r="U12" s="478"/>
    </row>
    <row r="13" spans="1:21" s="101" customFormat="1" ht="21" customHeight="1" thickBot="1">
      <c r="A13" s="464"/>
      <c r="B13" s="461"/>
      <c r="C13" s="486"/>
      <c r="D13" s="449"/>
      <c r="E13" s="448" t="s">
        <v>118</v>
      </c>
      <c r="F13" s="448" t="s">
        <v>119</v>
      </c>
      <c r="G13" s="448" t="s">
        <v>120</v>
      </c>
      <c r="H13" s="448" t="s">
        <v>121</v>
      </c>
      <c r="I13" s="448" t="s">
        <v>122</v>
      </c>
      <c r="J13" s="466" t="s">
        <v>370</v>
      </c>
      <c r="K13" s="457" t="s">
        <v>123</v>
      </c>
      <c r="L13" s="466" t="s">
        <v>124</v>
      </c>
      <c r="M13" s="466" t="s">
        <v>45</v>
      </c>
      <c r="N13" s="448" t="s">
        <v>211</v>
      </c>
      <c r="O13" s="482" t="s">
        <v>212</v>
      </c>
      <c r="P13" s="448" t="s">
        <v>372</v>
      </c>
      <c r="Q13" s="448" t="s">
        <v>125</v>
      </c>
      <c r="R13" s="448" t="s">
        <v>126</v>
      </c>
      <c r="S13" s="482" t="s">
        <v>213</v>
      </c>
      <c r="T13" s="142" t="s">
        <v>127</v>
      </c>
      <c r="U13" s="143" t="s">
        <v>128</v>
      </c>
    </row>
    <row r="14" spans="1:21" s="101" customFormat="1" ht="18.75" customHeight="1">
      <c r="A14" s="464"/>
      <c r="B14" s="461"/>
      <c r="C14" s="486"/>
      <c r="D14" s="449"/>
      <c r="E14" s="449"/>
      <c r="F14" s="449"/>
      <c r="G14" s="449"/>
      <c r="H14" s="449"/>
      <c r="I14" s="449"/>
      <c r="J14" s="467"/>
      <c r="K14" s="458"/>
      <c r="L14" s="469"/>
      <c r="M14" s="469"/>
      <c r="N14" s="449"/>
      <c r="O14" s="483"/>
      <c r="P14" s="449"/>
      <c r="Q14" s="449"/>
      <c r="R14" s="449"/>
      <c r="S14" s="483"/>
      <c r="T14" s="488" t="s">
        <v>129</v>
      </c>
      <c r="U14" s="489"/>
    </row>
    <row r="15" spans="1:21" s="101" customFormat="1" ht="20.25" customHeight="1" thickBot="1">
      <c r="A15" s="465"/>
      <c r="B15" s="462"/>
      <c r="C15" s="487"/>
      <c r="D15" s="450"/>
      <c r="E15" s="450"/>
      <c r="F15" s="450"/>
      <c r="G15" s="450"/>
      <c r="H15" s="450"/>
      <c r="I15" s="450"/>
      <c r="J15" s="468"/>
      <c r="K15" s="459"/>
      <c r="L15" s="470"/>
      <c r="M15" s="470"/>
      <c r="N15" s="450"/>
      <c r="O15" s="484"/>
      <c r="P15" s="450"/>
      <c r="Q15" s="450"/>
      <c r="R15" s="450"/>
      <c r="S15" s="484"/>
      <c r="T15" s="477"/>
      <c r="U15" s="478"/>
    </row>
    <row r="16" spans="1:21" s="100" customFormat="1" ht="30.75" thickBot="1">
      <c r="A16" s="284" t="s">
        <v>27</v>
      </c>
      <c r="B16" s="102" t="s">
        <v>130</v>
      </c>
      <c r="C16" s="103" t="s">
        <v>131</v>
      </c>
      <c r="D16" s="249">
        <f>K16+O16+S16</f>
        <v>13339788</v>
      </c>
      <c r="E16" s="250">
        <f>3815428+145715+95626+60401</f>
        <v>4117170</v>
      </c>
      <c r="F16" s="251">
        <f>1051960+32057+21038</f>
        <v>1105055</v>
      </c>
      <c r="G16" s="251">
        <f>2796439+63487+115570+271439</f>
        <v>3246935</v>
      </c>
      <c r="H16" s="251"/>
      <c r="I16" s="251">
        <f>264190</f>
        <v>264190</v>
      </c>
      <c r="J16" s="251">
        <f>6794577+661875+55360-115570-74930-56030-50000+220625-271439-160230-175000-2222800-234100</f>
        <v>4372338</v>
      </c>
      <c r="K16" s="252">
        <f>SUM(E16:J16)</f>
        <v>13105688</v>
      </c>
      <c r="L16" s="253">
        <v>234100</v>
      </c>
      <c r="M16" s="253"/>
      <c r="N16" s="253"/>
      <c r="O16" s="254">
        <f>SUM(L16:N16)</f>
        <v>234100</v>
      </c>
      <c r="P16" s="255"/>
      <c r="Q16" s="256"/>
      <c r="R16" s="257"/>
      <c r="S16" s="257">
        <f>SUM(P16:R16)</f>
        <v>0</v>
      </c>
      <c r="T16" s="258"/>
      <c r="U16" s="259"/>
    </row>
    <row r="17" spans="1:21" s="100" customFormat="1" ht="15">
      <c r="A17" s="285" t="s">
        <v>21</v>
      </c>
      <c r="B17" s="104" t="s">
        <v>132</v>
      </c>
      <c r="C17" s="103" t="s">
        <v>23</v>
      </c>
      <c r="D17" s="249">
        <f>K17+O17+S17</f>
        <v>181534</v>
      </c>
      <c r="E17" s="250"/>
      <c r="F17" s="251"/>
      <c r="G17" s="251">
        <v>181534</v>
      </c>
      <c r="H17" s="251"/>
      <c r="I17" s="251"/>
      <c r="J17" s="251"/>
      <c r="K17" s="252">
        <f>SUM(E17:J17)</f>
        <v>181534</v>
      </c>
      <c r="L17" s="253"/>
      <c r="M17" s="253"/>
      <c r="N17" s="253"/>
      <c r="O17" s="254">
        <f>SUM(L17:N17)</f>
        <v>0</v>
      </c>
      <c r="P17" s="254"/>
      <c r="Q17" s="256"/>
      <c r="R17" s="257"/>
      <c r="S17" s="257">
        <f>SUM(P17:R17)</f>
        <v>0</v>
      </c>
      <c r="T17" s="260"/>
      <c r="U17" s="261"/>
    </row>
    <row r="18" spans="1:21" s="100" customFormat="1" ht="30">
      <c r="A18" s="285" t="s">
        <v>28</v>
      </c>
      <c r="B18" s="104" t="s">
        <v>133</v>
      </c>
      <c r="C18" s="103" t="s">
        <v>416</v>
      </c>
      <c r="D18" s="249">
        <f>K18+O18+S18</f>
        <v>11480</v>
      </c>
      <c r="E18" s="250"/>
      <c r="F18" s="251"/>
      <c r="G18" s="251">
        <v>11480</v>
      </c>
      <c r="H18" s="251"/>
      <c r="I18" s="251"/>
      <c r="J18" s="251"/>
      <c r="K18" s="252">
        <f>SUM(E18:J18)</f>
        <v>11480</v>
      </c>
      <c r="L18" s="253"/>
      <c r="M18" s="253"/>
      <c r="N18" s="253"/>
      <c r="O18" s="254"/>
      <c r="P18" s="254"/>
      <c r="Q18" s="256"/>
      <c r="R18" s="257"/>
      <c r="S18" s="257"/>
      <c r="T18" s="260"/>
      <c r="U18" s="261"/>
    </row>
    <row r="19" spans="1:21" s="100" customFormat="1" ht="30">
      <c r="A19" s="285" t="s">
        <v>66</v>
      </c>
      <c r="B19" s="104" t="s">
        <v>208</v>
      </c>
      <c r="C19" s="103" t="s">
        <v>371</v>
      </c>
      <c r="D19" s="249">
        <f>K19+O19+S19</f>
        <v>1516406</v>
      </c>
      <c r="E19" s="250"/>
      <c r="F19" s="251"/>
      <c r="G19" s="251"/>
      <c r="H19" s="251"/>
      <c r="I19" s="251"/>
      <c r="J19" s="251"/>
      <c r="K19" s="252">
        <f>SUM(E19:J19)</f>
        <v>0</v>
      </c>
      <c r="L19" s="253"/>
      <c r="M19" s="253"/>
      <c r="N19" s="253"/>
      <c r="O19" s="254">
        <f>SUM(L19:N19)</f>
        <v>0</v>
      </c>
      <c r="P19" s="254">
        <f>700933+815473</f>
        <v>1516406</v>
      </c>
      <c r="Q19" s="256"/>
      <c r="R19" s="257"/>
      <c r="S19" s="257">
        <f>SUM(P19:R19)</f>
        <v>1516406</v>
      </c>
      <c r="T19" s="260"/>
      <c r="U19" s="261"/>
    </row>
    <row r="20" spans="1:21" s="100" customFormat="1" ht="15">
      <c r="A20" s="285" t="s">
        <v>67</v>
      </c>
      <c r="B20" s="104" t="s">
        <v>469</v>
      </c>
      <c r="C20" s="103" t="s">
        <v>468</v>
      </c>
      <c r="D20" s="249">
        <f>E20+F20</f>
        <v>2584516</v>
      </c>
      <c r="E20" s="250">
        <f>395117+1255176+14888+326120+324652</f>
        <v>2315953</v>
      </c>
      <c r="F20" s="251">
        <f>54566+138069+2718+35871+37339</f>
        <v>268563</v>
      </c>
      <c r="G20" s="251"/>
      <c r="H20" s="251"/>
      <c r="I20" s="251"/>
      <c r="J20" s="251"/>
      <c r="K20" s="252">
        <f>SUM(E20:J20)</f>
        <v>2584516</v>
      </c>
      <c r="L20" s="253"/>
      <c r="M20" s="253"/>
      <c r="N20" s="253"/>
      <c r="O20" s="254"/>
      <c r="P20" s="254"/>
      <c r="Q20" s="256"/>
      <c r="R20" s="257"/>
      <c r="S20" s="257"/>
      <c r="T20" s="260"/>
      <c r="U20" s="261"/>
    </row>
    <row r="21" spans="1:21" s="100" customFormat="1" ht="30">
      <c r="A21" s="285" t="s">
        <v>72</v>
      </c>
      <c r="B21" s="104" t="s">
        <v>373</v>
      </c>
      <c r="C21" s="103" t="s">
        <v>374</v>
      </c>
      <c r="D21" s="249">
        <f>K21+O21+S21</f>
        <v>9924730</v>
      </c>
      <c r="E21" s="250"/>
      <c r="F21" s="251"/>
      <c r="G21" s="251">
        <f>785368+74930</f>
        <v>860298</v>
      </c>
      <c r="H21" s="251"/>
      <c r="I21" s="251"/>
      <c r="J21" s="251"/>
      <c r="K21" s="252">
        <f>SUM(E21:J21)</f>
        <v>860298</v>
      </c>
      <c r="L21" s="253"/>
      <c r="M21" s="253">
        <f>5841632+1000000+2222800</f>
        <v>9064432</v>
      </c>
      <c r="N21" s="253"/>
      <c r="O21" s="254">
        <f>SUM(L21:N21)</f>
        <v>9064432</v>
      </c>
      <c r="P21" s="254"/>
      <c r="Q21" s="256"/>
      <c r="R21" s="257"/>
      <c r="S21" s="257"/>
      <c r="T21" s="260"/>
      <c r="U21" s="261"/>
    </row>
    <row r="22" spans="1:21" s="100" customFormat="1" ht="18.75" customHeight="1">
      <c r="A22" s="285" t="s">
        <v>162</v>
      </c>
      <c r="B22" s="104" t="s">
        <v>415</v>
      </c>
      <c r="C22" s="103" t="s">
        <v>414</v>
      </c>
      <c r="D22" s="249">
        <f>K22+O22+S22</f>
        <v>111111468</v>
      </c>
      <c r="E22" s="262"/>
      <c r="F22" s="263"/>
      <c r="G22" s="263">
        <v>24110890</v>
      </c>
      <c r="H22" s="263"/>
      <c r="I22" s="263"/>
      <c r="J22" s="263"/>
      <c r="K22" s="264">
        <f>SUM(E22:J22)</f>
        <v>24110890</v>
      </c>
      <c r="L22" s="264">
        <v>87000578</v>
      </c>
      <c r="M22" s="264"/>
      <c r="N22" s="264"/>
      <c r="O22" s="254">
        <f>SUM(L22:N22)</f>
        <v>87000578</v>
      </c>
      <c r="P22" s="265"/>
      <c r="Q22" s="265"/>
      <c r="R22" s="266"/>
      <c r="S22" s="266"/>
      <c r="T22" s="267"/>
      <c r="U22" s="268"/>
    </row>
    <row r="23" spans="1:21" s="100" customFormat="1" ht="29.25" customHeight="1">
      <c r="A23" s="285" t="s">
        <v>164</v>
      </c>
      <c r="B23" s="104" t="s">
        <v>135</v>
      </c>
      <c r="C23" s="248" t="s">
        <v>136</v>
      </c>
      <c r="D23" s="249">
        <f>K23+O23+S23</f>
        <v>1188710</v>
      </c>
      <c r="E23" s="250"/>
      <c r="F23" s="251"/>
      <c r="G23" s="251">
        <f>1119246+69464</f>
        <v>1188710</v>
      </c>
      <c r="H23" s="253"/>
      <c r="I23" s="251"/>
      <c r="J23" s="251"/>
      <c r="K23" s="252">
        <f>SUM(E23:I23)</f>
        <v>1188710</v>
      </c>
      <c r="L23" s="253"/>
      <c r="M23" s="253"/>
      <c r="N23" s="253"/>
      <c r="O23" s="254">
        <f>SUM(L23:N23)</f>
        <v>0</v>
      </c>
      <c r="P23" s="254"/>
      <c r="Q23" s="256"/>
      <c r="R23" s="257"/>
      <c r="S23" s="257">
        <f>SUM(P23:R23)</f>
        <v>0</v>
      </c>
      <c r="T23" s="269"/>
      <c r="U23" s="261"/>
    </row>
    <row r="24" spans="1:21" s="100" customFormat="1" ht="15">
      <c r="A24" s="285" t="s">
        <v>166</v>
      </c>
      <c r="B24" s="104" t="s">
        <v>137</v>
      </c>
      <c r="C24" s="103" t="s">
        <v>138</v>
      </c>
      <c r="D24" s="249">
        <f>K24+O24+S24</f>
        <v>1051612</v>
      </c>
      <c r="E24" s="250">
        <f>258000-76634-1</f>
        <v>181365</v>
      </c>
      <c r="F24" s="251">
        <f>51084-2742</f>
        <v>48342</v>
      </c>
      <c r="G24" s="251">
        <f>431800+76634+68375</f>
        <v>576809</v>
      </c>
      <c r="H24" s="253"/>
      <c r="I24" s="251"/>
      <c r="J24" s="251"/>
      <c r="K24" s="252">
        <f>SUM(E24:I24)</f>
        <v>806516</v>
      </c>
      <c r="L24" s="253">
        <f>250000-4904</f>
        <v>245096</v>
      </c>
      <c r="M24" s="253"/>
      <c r="N24" s="253"/>
      <c r="O24" s="254">
        <f>SUM(L24:N24)</f>
        <v>245096</v>
      </c>
      <c r="P24" s="254"/>
      <c r="Q24" s="256"/>
      <c r="R24" s="257"/>
      <c r="S24" s="257">
        <f>SUM(P24:R24)</f>
        <v>0</v>
      </c>
      <c r="T24" s="269"/>
      <c r="U24" s="261"/>
    </row>
    <row r="25" spans="1:21" s="100" customFormat="1" ht="30">
      <c r="A25" s="285" t="s">
        <v>172</v>
      </c>
      <c r="B25" s="104" t="s">
        <v>139</v>
      </c>
      <c r="C25" s="103" t="s">
        <v>140</v>
      </c>
      <c r="D25" s="249">
        <f>K25+O25+S25</f>
        <v>1020690</v>
      </c>
      <c r="E25" s="250"/>
      <c r="F25" s="251"/>
      <c r="G25" s="251">
        <f>361095+-340405</f>
        <v>20690</v>
      </c>
      <c r="H25" s="253"/>
      <c r="I25" s="251"/>
      <c r="J25" s="251"/>
      <c r="K25" s="252">
        <f>SUM(E25:I25)</f>
        <v>20690</v>
      </c>
      <c r="L25" s="253">
        <v>1000000</v>
      </c>
      <c r="M25" s="253"/>
      <c r="N25" s="253"/>
      <c r="O25" s="254">
        <f>SUM(L25:N25)</f>
        <v>1000000</v>
      </c>
      <c r="P25" s="254"/>
      <c r="Q25" s="256"/>
      <c r="R25" s="257"/>
      <c r="S25" s="257">
        <f>SUM(P25:R25)</f>
        <v>0</v>
      </c>
      <c r="T25" s="258"/>
      <c r="U25" s="261"/>
    </row>
    <row r="26" spans="1:21" s="100" customFormat="1" ht="15">
      <c r="A26" s="285" t="s">
        <v>174</v>
      </c>
      <c r="B26" s="104" t="s">
        <v>141</v>
      </c>
      <c r="C26" s="103" t="s">
        <v>22</v>
      </c>
      <c r="D26" s="249">
        <f>K26+O26+S26</f>
        <v>73100</v>
      </c>
      <c r="E26" s="250"/>
      <c r="F26" s="251"/>
      <c r="G26" s="251">
        <v>73100</v>
      </c>
      <c r="H26" s="253"/>
      <c r="I26" s="251"/>
      <c r="J26" s="251"/>
      <c r="K26" s="252">
        <f>SUM(E26:I26)</f>
        <v>73100</v>
      </c>
      <c r="L26" s="253"/>
      <c r="M26" s="253"/>
      <c r="N26" s="253"/>
      <c r="O26" s="254">
        <f>SUM(L26:N26)</f>
        <v>0</v>
      </c>
      <c r="P26" s="254"/>
      <c r="Q26" s="256"/>
      <c r="R26" s="257"/>
      <c r="S26" s="257">
        <f>SUM(P26:R26)</f>
        <v>0</v>
      </c>
      <c r="T26" s="269"/>
      <c r="U26" s="261"/>
    </row>
    <row r="27" spans="1:21" s="100" customFormat="1" ht="15">
      <c r="A27" s="285" t="s">
        <v>176</v>
      </c>
      <c r="B27" s="104" t="s">
        <v>142</v>
      </c>
      <c r="C27" s="103" t="s">
        <v>24</v>
      </c>
      <c r="D27" s="249">
        <f>K27+O27+S27</f>
        <v>1697315</v>
      </c>
      <c r="E27" s="250">
        <f>208200-15000</f>
        <v>193200</v>
      </c>
      <c r="F27" s="251">
        <v>48419</v>
      </c>
      <c r="G27" s="251">
        <f>987792+175000-93000</f>
        <v>1069792</v>
      </c>
      <c r="H27" s="251"/>
      <c r="I27" s="251"/>
      <c r="J27" s="251"/>
      <c r="K27" s="252">
        <f>SUM(E27:I27)</f>
        <v>1311411</v>
      </c>
      <c r="L27" s="253">
        <f>381000+4904</f>
        <v>385904</v>
      </c>
      <c r="M27" s="253"/>
      <c r="N27" s="253"/>
      <c r="O27" s="254">
        <f>SUM(L27:N27)</f>
        <v>385904</v>
      </c>
      <c r="P27" s="254"/>
      <c r="Q27" s="256"/>
      <c r="R27" s="257"/>
      <c r="S27" s="257">
        <f>SUM(P27:R27)</f>
        <v>0</v>
      </c>
      <c r="T27" s="269"/>
      <c r="U27" s="261"/>
    </row>
    <row r="28" spans="1:21" s="100" customFormat="1" ht="30">
      <c r="A28" s="285" t="s">
        <v>181</v>
      </c>
      <c r="B28" s="104" t="s">
        <v>329</v>
      </c>
      <c r="C28" s="103" t="s">
        <v>330</v>
      </c>
      <c r="D28" s="249">
        <f>K28+O28+S28</f>
        <v>1448481</v>
      </c>
      <c r="E28" s="250">
        <f>260000+84599+15000</f>
        <v>359599</v>
      </c>
      <c r="F28" s="251">
        <f>163647+15230</f>
        <v>178877</v>
      </c>
      <c r="G28" s="251">
        <f>476600+93000+340405</f>
        <v>910005</v>
      </c>
      <c r="H28" s="251"/>
      <c r="I28" s="251"/>
      <c r="J28" s="251"/>
      <c r="K28" s="252">
        <f>SUM(E28:I28)</f>
        <v>1448481</v>
      </c>
      <c r="L28" s="253"/>
      <c r="M28" s="253"/>
      <c r="N28" s="253"/>
      <c r="O28" s="254">
        <f>SUM(L28:N28)</f>
        <v>0</v>
      </c>
      <c r="P28" s="254"/>
      <c r="Q28" s="256"/>
      <c r="R28" s="257"/>
      <c r="S28" s="257">
        <f>SUM(P28:R28)</f>
        <v>0</v>
      </c>
      <c r="T28" s="269"/>
      <c r="U28" s="261"/>
    </row>
    <row r="29" spans="1:21" s="100" customFormat="1" ht="33.75" customHeight="1">
      <c r="A29" s="285" t="s">
        <v>183</v>
      </c>
      <c r="B29" s="104">
        <v>104051</v>
      </c>
      <c r="C29" s="106" t="s">
        <v>256</v>
      </c>
      <c r="D29" s="249">
        <f>K29+O29+S29</f>
        <v>46400</v>
      </c>
      <c r="E29" s="250"/>
      <c r="F29" s="251"/>
      <c r="G29" s="251"/>
      <c r="H29" s="251">
        <v>46400</v>
      </c>
      <c r="I29" s="251"/>
      <c r="J29" s="251"/>
      <c r="K29" s="252">
        <f>SUM(E29:I29)</f>
        <v>46400</v>
      </c>
      <c r="L29" s="253"/>
      <c r="M29" s="253"/>
      <c r="N29" s="253"/>
      <c r="O29" s="254">
        <f>SUM(L29:N29)</f>
        <v>0</v>
      </c>
      <c r="P29" s="254"/>
      <c r="Q29" s="256"/>
      <c r="R29" s="257"/>
      <c r="S29" s="257">
        <f>SUM(P29:R29)</f>
        <v>0</v>
      </c>
      <c r="T29" s="269"/>
      <c r="U29" s="261"/>
    </row>
    <row r="30" spans="1:21" s="100" customFormat="1" ht="15">
      <c r="A30" s="285" t="s">
        <v>185</v>
      </c>
      <c r="B30" s="104" t="s">
        <v>143</v>
      </c>
      <c r="C30" s="105" t="s">
        <v>331</v>
      </c>
      <c r="D30" s="249">
        <f>K30+O30+S30</f>
        <v>1027895</v>
      </c>
      <c r="E30" s="250"/>
      <c r="F30" s="251"/>
      <c r="G30" s="251">
        <v>1027895</v>
      </c>
      <c r="H30" s="251"/>
      <c r="I30" s="251"/>
      <c r="J30" s="251"/>
      <c r="K30" s="252">
        <f>SUM(E30:I30)</f>
        <v>1027895</v>
      </c>
      <c r="L30" s="253"/>
      <c r="M30" s="253"/>
      <c r="N30" s="253"/>
      <c r="O30" s="254">
        <f>SUM(L30:N30)</f>
        <v>0</v>
      </c>
      <c r="P30" s="254"/>
      <c r="Q30" s="256"/>
      <c r="R30" s="257"/>
      <c r="S30" s="257">
        <f>SUM(P30:R30)</f>
        <v>0</v>
      </c>
      <c r="T30" s="269"/>
      <c r="U30" s="261"/>
    </row>
    <row r="31" spans="1:21" s="100" customFormat="1" ht="15.75" thickBot="1">
      <c r="A31" s="286" t="s">
        <v>192</v>
      </c>
      <c r="B31" s="104">
        <v>107055</v>
      </c>
      <c r="C31" s="106" t="s">
        <v>332</v>
      </c>
      <c r="D31" s="249">
        <f>K31+O31+S31</f>
        <v>4406793</v>
      </c>
      <c r="E31" s="250">
        <f>2810509+9598+37133+65954+26382+26381+1-3298</f>
        <v>2972660</v>
      </c>
      <c r="F31" s="251">
        <f>580548+2592+8707+14510-2718+5804+5804+2742-891</f>
        <v>617098</v>
      </c>
      <c r="G31" s="251">
        <f>779380+56030+50000-68375</f>
        <v>817035</v>
      </c>
      <c r="H31" s="251"/>
      <c r="I31" s="251"/>
      <c r="J31" s="251"/>
      <c r="K31" s="252">
        <f>SUM(E31:I31)</f>
        <v>4406793</v>
      </c>
      <c r="L31" s="253"/>
      <c r="M31" s="253"/>
      <c r="N31" s="253"/>
      <c r="O31" s="254">
        <f>SUM(L31:N31)</f>
        <v>0</v>
      </c>
      <c r="P31" s="254"/>
      <c r="Q31" s="256"/>
      <c r="R31" s="257"/>
      <c r="S31" s="257">
        <f>SUM(P31:R31)</f>
        <v>0</v>
      </c>
      <c r="T31" s="269">
        <v>1</v>
      </c>
      <c r="U31" s="261">
        <v>1</v>
      </c>
    </row>
    <row r="32" spans="1:21" s="100" customFormat="1" ht="30.75" thickBot="1">
      <c r="A32" s="287" t="s">
        <v>195</v>
      </c>
      <c r="B32" s="104">
        <v>107060</v>
      </c>
      <c r="C32" s="103" t="s">
        <v>144</v>
      </c>
      <c r="D32" s="249">
        <f>K32+O32+S32</f>
        <v>1375000</v>
      </c>
      <c r="E32" s="250"/>
      <c r="F32" s="251"/>
      <c r="G32" s="251"/>
      <c r="H32" s="251">
        <f>1123000+252000</f>
        <v>1375000</v>
      </c>
      <c r="I32" s="251"/>
      <c r="J32" s="251"/>
      <c r="K32" s="252">
        <f>SUM(E32:I32)</f>
        <v>1375000</v>
      </c>
      <c r="L32" s="253"/>
      <c r="M32" s="253"/>
      <c r="N32" s="253"/>
      <c r="O32" s="254">
        <f>SUM(L32:N32)</f>
        <v>0</v>
      </c>
      <c r="P32" s="254"/>
      <c r="Q32" s="256"/>
      <c r="R32" s="257"/>
      <c r="S32" s="257">
        <f>SUM(P32:R32)</f>
        <v>0</v>
      </c>
      <c r="T32" s="269"/>
      <c r="U32" s="261"/>
    </row>
    <row r="33" spans="1:21" s="100" customFormat="1" ht="33.75" customHeight="1" thickBot="1">
      <c r="A33" s="287" t="s">
        <v>491</v>
      </c>
      <c r="B33" s="152"/>
      <c r="C33" s="153" t="s">
        <v>214</v>
      </c>
      <c r="D33" s="255">
        <f>SUM(D16:D32)</f>
        <v>152005918</v>
      </c>
      <c r="E33" s="255">
        <f>SUM(E16:E32)</f>
        <v>10139947</v>
      </c>
      <c r="F33" s="255">
        <f>SUM(F16:F32)</f>
        <v>2266354</v>
      </c>
      <c r="G33" s="255">
        <f>SUM(G16:G32)</f>
        <v>34095173</v>
      </c>
      <c r="H33" s="255">
        <f>SUM(H16:H32)</f>
        <v>1421400</v>
      </c>
      <c r="I33" s="255">
        <f>SUM(I16:I32)</f>
        <v>264190</v>
      </c>
      <c r="J33" s="255">
        <f>SUM(J16:J32)</f>
        <v>4372338</v>
      </c>
      <c r="K33" s="255">
        <f>SUM(K16:K32)</f>
        <v>52559402</v>
      </c>
      <c r="L33" s="255">
        <f>SUM(L16:L32)</f>
        <v>88865678</v>
      </c>
      <c r="M33" s="255">
        <f>SUM(M16:M32)</f>
        <v>9064432</v>
      </c>
      <c r="N33" s="255">
        <f>SUM(N16:N32)</f>
        <v>0</v>
      </c>
      <c r="O33" s="255">
        <f>SUM(O16:O32)</f>
        <v>97930110</v>
      </c>
      <c r="P33" s="255">
        <f>SUM(P16:P32)</f>
        <v>1516406</v>
      </c>
      <c r="Q33" s="255"/>
      <c r="R33" s="255"/>
      <c r="S33" s="255">
        <f>SUM(S16:S32)</f>
        <v>1516406</v>
      </c>
      <c r="T33" s="255">
        <f>SUM(T16:T32)</f>
        <v>1</v>
      </c>
      <c r="U33" s="270">
        <f>SUM(U16:U32)</f>
        <v>1</v>
      </c>
    </row>
    <row r="35" spans="4:15" ht="12.75">
      <c r="D35" s="384"/>
      <c r="K35" s="384"/>
      <c r="O35" s="384"/>
    </row>
  </sheetData>
  <sheetProtection password="AF00" sheet="1" objects="1" scenarios="1" selectLockedCells="1" selectUnlockedCells="1"/>
  <mergeCells count="35">
    <mergeCell ref="A11:A15"/>
    <mergeCell ref="E11:S11"/>
    <mergeCell ref="F13:F15"/>
    <mergeCell ref="P13:P15"/>
    <mergeCell ref="J13:J15"/>
    <mergeCell ref="A1:U1"/>
    <mergeCell ref="A6:U6"/>
    <mergeCell ref="G13:G15"/>
    <mergeCell ref="L12:O12"/>
    <mergeCell ref="T11:U11"/>
    <mergeCell ref="M3:U3"/>
    <mergeCell ref="T10:U10"/>
    <mergeCell ref="B8:U8"/>
    <mergeCell ref="B4:R4"/>
    <mergeCell ref="T12:U12"/>
    <mergeCell ref="M13:M15"/>
    <mergeCell ref="N13:N15"/>
    <mergeCell ref="L13:L15"/>
    <mergeCell ref="H13:H15"/>
    <mergeCell ref="P12:S12"/>
    <mergeCell ref="B5:U5"/>
    <mergeCell ref="C11:C15"/>
    <mergeCell ref="B7:U7"/>
    <mergeCell ref="T14:U15"/>
    <mergeCell ref="R13:R15"/>
    <mergeCell ref="I13:I15"/>
    <mergeCell ref="E13:E15"/>
    <mergeCell ref="E12:K12"/>
    <mergeCell ref="O13:O15"/>
    <mergeCell ref="S13:S15"/>
    <mergeCell ref="B9:U9"/>
    <mergeCell ref="D11:D15"/>
    <mergeCell ref="K13:K15"/>
    <mergeCell ref="Q13:Q15"/>
    <mergeCell ref="B11:B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48" customWidth="1"/>
    <col min="3" max="3" width="63.125" style="148" customWidth="1"/>
    <col min="4" max="7" width="26.25390625" style="148" customWidth="1"/>
    <col min="8" max="16384" width="9.125" style="148" customWidth="1"/>
  </cols>
  <sheetData>
    <row r="1" spans="1:7" s="22" customFormat="1" ht="15.75">
      <c r="A1" s="413" t="s">
        <v>505</v>
      </c>
      <c r="B1" s="413"/>
      <c r="C1" s="413"/>
      <c r="D1" s="413"/>
      <c r="E1" s="413"/>
      <c r="F1" s="413"/>
      <c r="G1" s="413"/>
    </row>
    <row r="3" spans="1:7" s="144" customFormat="1" ht="15.75">
      <c r="A3" s="112"/>
      <c r="D3" s="145"/>
      <c r="E3" s="332"/>
      <c r="F3" s="332"/>
      <c r="G3" s="332"/>
    </row>
    <row r="4" spans="3:7" s="68" customFormat="1" ht="15" customHeight="1">
      <c r="C4" s="445"/>
      <c r="D4" s="445"/>
      <c r="E4" s="445"/>
      <c r="F4" s="445"/>
      <c r="G4" s="445"/>
    </row>
    <row r="5" spans="1:7" s="146" customFormat="1" ht="15" customHeight="1">
      <c r="A5" s="491"/>
      <c r="B5" s="491"/>
      <c r="C5" s="491"/>
      <c r="D5" s="491"/>
      <c r="E5" s="491"/>
      <c r="F5" s="491"/>
      <c r="G5" s="491"/>
    </row>
    <row r="6" spans="3:7" s="110" customFormat="1" ht="15" customHeight="1">
      <c r="C6" s="421" t="s">
        <v>325</v>
      </c>
      <c r="D6" s="421"/>
      <c r="E6" s="421"/>
      <c r="F6" s="421"/>
      <c r="G6" s="421"/>
    </row>
    <row r="7" spans="3:7" s="110" customFormat="1" ht="15.75">
      <c r="C7" s="446" t="s">
        <v>215</v>
      </c>
      <c r="D7" s="446"/>
      <c r="E7" s="446"/>
      <c r="F7" s="446"/>
      <c r="G7" s="446"/>
    </row>
    <row r="8" spans="3:7" s="110" customFormat="1" ht="15" customHeight="1">
      <c r="C8" s="421" t="s">
        <v>393</v>
      </c>
      <c r="D8" s="421"/>
      <c r="E8" s="421"/>
      <c r="F8" s="421"/>
      <c r="G8" s="421"/>
    </row>
    <row r="9" spans="3:7" s="144" customFormat="1" ht="12" customHeight="1" thickBot="1">
      <c r="C9" s="145"/>
      <c r="D9" s="147"/>
      <c r="E9" s="327"/>
      <c r="F9" s="327"/>
      <c r="G9" s="383" t="s">
        <v>483</v>
      </c>
    </row>
    <row r="10" spans="1:7" s="144" customFormat="1" ht="16.5" customHeight="1" thickBot="1">
      <c r="A10" s="422" t="s">
        <v>456</v>
      </c>
      <c r="B10" s="424" t="s">
        <v>113</v>
      </c>
      <c r="C10" s="427" t="s">
        <v>114</v>
      </c>
      <c r="D10" s="430" t="s">
        <v>216</v>
      </c>
      <c r="E10" s="433" t="s">
        <v>203</v>
      </c>
      <c r="F10" s="433"/>
      <c r="G10" s="434"/>
    </row>
    <row r="11" spans="1:7" s="144" customFormat="1" ht="33" customHeight="1" thickBot="1">
      <c r="A11" s="423"/>
      <c r="B11" s="425"/>
      <c r="C11" s="428"/>
      <c r="D11" s="431"/>
      <c r="E11" s="324" t="s">
        <v>204</v>
      </c>
      <c r="F11" s="326" t="s">
        <v>205</v>
      </c>
      <c r="G11" s="325" t="s">
        <v>206</v>
      </c>
    </row>
    <row r="12" spans="1:7" s="144" customFormat="1" ht="22.5" customHeight="1">
      <c r="A12" s="423"/>
      <c r="B12" s="425"/>
      <c r="C12" s="428"/>
      <c r="D12" s="431"/>
      <c r="E12" s="435" t="s">
        <v>207</v>
      </c>
      <c r="F12" s="436"/>
      <c r="G12" s="437"/>
    </row>
    <row r="13" spans="1:7" ht="12.75">
      <c r="A13" s="423"/>
      <c r="B13" s="425"/>
      <c r="C13" s="428"/>
      <c r="D13" s="431"/>
      <c r="E13" s="438"/>
      <c r="F13" s="439"/>
      <c r="G13" s="440"/>
    </row>
    <row r="14" spans="1:7" ht="3" customHeight="1" thickBot="1">
      <c r="A14" s="490"/>
      <c r="B14" s="426"/>
      <c r="C14" s="429"/>
      <c r="D14" s="432"/>
      <c r="E14" s="441"/>
      <c r="F14" s="442"/>
      <c r="G14" s="443"/>
    </row>
    <row r="15" spans="1:7" ht="30">
      <c r="A15" s="280" t="s">
        <v>27</v>
      </c>
      <c r="B15" s="102" t="s">
        <v>130</v>
      </c>
      <c r="C15" s="103" t="s">
        <v>131</v>
      </c>
      <c r="D15" s="323">
        <f>SUM(E15:G15)</f>
        <v>13339788</v>
      </c>
      <c r="E15" s="323">
        <f>6965297+63487+6794577+661875+55360+115570-50000-246530+177772+220625+116664-2222800-335230+60401</f>
        <v>12377068</v>
      </c>
      <c r="F15" s="323">
        <v>962720</v>
      </c>
      <c r="G15" s="323"/>
    </row>
    <row r="16" spans="1:7" ht="15">
      <c r="A16" s="281" t="s">
        <v>21</v>
      </c>
      <c r="B16" s="104" t="s">
        <v>132</v>
      </c>
      <c r="C16" s="103" t="s">
        <v>23</v>
      </c>
      <c r="D16" s="321">
        <f>SUM(E16:G16)</f>
        <v>181534</v>
      </c>
      <c r="E16" s="321">
        <v>181534</v>
      </c>
      <c r="F16" s="321"/>
      <c r="G16" s="321"/>
    </row>
    <row r="17" spans="1:7" ht="15">
      <c r="A17" s="281" t="s">
        <v>28</v>
      </c>
      <c r="B17" s="104" t="s">
        <v>133</v>
      </c>
      <c r="C17" s="103" t="s">
        <v>416</v>
      </c>
      <c r="D17" s="321">
        <f>SUM(E17:G17)</f>
        <v>11480</v>
      </c>
      <c r="E17" s="321">
        <v>11480</v>
      </c>
      <c r="F17" s="321"/>
      <c r="G17" s="321"/>
    </row>
    <row r="18" spans="1:7" ht="15">
      <c r="A18" s="281" t="s">
        <v>66</v>
      </c>
      <c r="B18" s="104" t="s">
        <v>208</v>
      </c>
      <c r="C18" s="103" t="s">
        <v>379</v>
      </c>
      <c r="D18" s="321">
        <f>SUM(E18:G18)</f>
        <v>1516406</v>
      </c>
      <c r="E18" s="321">
        <f>700933+815473</f>
        <v>1516406</v>
      </c>
      <c r="F18" s="321"/>
      <c r="G18" s="321"/>
    </row>
    <row r="19" spans="1:7" ht="15">
      <c r="A19" s="281" t="s">
        <v>67</v>
      </c>
      <c r="B19" s="104" t="s">
        <v>469</v>
      </c>
      <c r="C19" s="103" t="s">
        <v>468</v>
      </c>
      <c r="D19" s="321">
        <f>SUM(E19:G19)</f>
        <v>2584516</v>
      </c>
      <c r="E19" s="321">
        <f>449683+1408133+2718+361991+361991</f>
        <v>2584516</v>
      </c>
      <c r="F19" s="321"/>
      <c r="G19" s="321"/>
    </row>
    <row r="20" spans="1:7" ht="15">
      <c r="A20" s="281" t="s">
        <v>72</v>
      </c>
      <c r="B20" s="104" t="s">
        <v>373</v>
      </c>
      <c r="C20" s="103" t="s">
        <v>380</v>
      </c>
      <c r="D20" s="321">
        <f>SUM(E20:G20)</f>
        <v>9924730</v>
      </c>
      <c r="E20" s="321">
        <f>6627000+59000+15930+2222800+1000000</f>
        <v>9924730</v>
      </c>
      <c r="F20" s="321"/>
      <c r="G20" s="321"/>
    </row>
    <row r="21" spans="1:7" ht="15">
      <c r="A21" s="281" t="s">
        <v>162</v>
      </c>
      <c r="B21" s="104" t="s">
        <v>415</v>
      </c>
      <c r="C21" s="103" t="s">
        <v>414</v>
      </c>
      <c r="D21" s="321">
        <f>SUM(E21:G21)</f>
        <v>111111468</v>
      </c>
      <c r="E21" s="321">
        <v>111111468</v>
      </c>
      <c r="F21" s="321"/>
      <c r="G21" s="321"/>
    </row>
    <row r="22" spans="1:7" ht="15">
      <c r="A22" s="281" t="s">
        <v>164</v>
      </c>
      <c r="B22" s="104" t="s">
        <v>135</v>
      </c>
      <c r="C22" s="103" t="s">
        <v>136</v>
      </c>
      <c r="D22" s="321">
        <f>SUM(E22:G22)</f>
        <v>1188710</v>
      </c>
      <c r="E22" s="321">
        <f>1119246+69464</f>
        <v>1188710</v>
      </c>
      <c r="F22" s="321"/>
      <c r="G22" s="321"/>
    </row>
    <row r="23" spans="1:7" ht="15">
      <c r="A23" s="281" t="s">
        <v>166</v>
      </c>
      <c r="B23" s="104" t="s">
        <v>137</v>
      </c>
      <c r="C23" s="103" t="s">
        <v>138</v>
      </c>
      <c r="D23" s="321">
        <f>SUM(E23:G23)</f>
        <v>1051612</v>
      </c>
      <c r="E23" s="321">
        <f>990884+60728</f>
        <v>1051612</v>
      </c>
      <c r="F23" s="321"/>
      <c r="G23" s="321"/>
    </row>
    <row r="24" spans="1:7" ht="15">
      <c r="A24" s="281" t="s">
        <v>172</v>
      </c>
      <c r="B24" s="104" t="s">
        <v>139</v>
      </c>
      <c r="C24" s="103" t="s">
        <v>140</v>
      </c>
      <c r="D24" s="321">
        <f>SUM(E24:G24)</f>
        <v>1020690</v>
      </c>
      <c r="E24" s="321">
        <f>361095+1000000-340405</f>
        <v>1020690</v>
      </c>
      <c r="F24" s="321"/>
      <c r="G24" s="321"/>
    </row>
    <row r="25" spans="1:7" ht="15">
      <c r="A25" s="281" t="s">
        <v>174</v>
      </c>
      <c r="B25" s="104" t="s">
        <v>141</v>
      </c>
      <c r="C25" s="103" t="s">
        <v>22</v>
      </c>
      <c r="D25" s="321">
        <f>SUM(E25:G25)</f>
        <v>73100</v>
      </c>
      <c r="E25" s="321">
        <v>73100</v>
      </c>
      <c r="F25" s="321"/>
      <c r="G25" s="321"/>
    </row>
    <row r="26" spans="1:7" ht="15">
      <c r="A26" s="281" t="s">
        <v>176</v>
      </c>
      <c r="B26" s="104" t="s">
        <v>142</v>
      </c>
      <c r="C26" s="103" t="s">
        <v>24</v>
      </c>
      <c r="D26" s="321">
        <f>SUM(E26:G26)</f>
        <v>1697315</v>
      </c>
      <c r="E26" s="321">
        <f>1602411+175000-80096</f>
        <v>1697315</v>
      </c>
      <c r="F26" s="321"/>
      <c r="G26" s="321"/>
    </row>
    <row r="27" spans="1:7" ht="15">
      <c r="A27" s="281" t="s">
        <v>181</v>
      </c>
      <c r="B27" s="104" t="s">
        <v>329</v>
      </c>
      <c r="C27" s="103" t="s">
        <v>330</v>
      </c>
      <c r="D27" s="321">
        <f>SUM(E27:G27)</f>
        <v>1448481</v>
      </c>
      <c r="E27" s="321">
        <f>476600+433405</f>
        <v>910005</v>
      </c>
      <c r="F27" s="321">
        <f>423647+160230-60401+15000</f>
        <v>538476</v>
      </c>
      <c r="G27" s="321"/>
    </row>
    <row r="28" spans="1:7" ht="15">
      <c r="A28" s="281" t="s">
        <v>183</v>
      </c>
      <c r="B28" s="104">
        <v>104051</v>
      </c>
      <c r="C28" s="106" t="s">
        <v>256</v>
      </c>
      <c r="D28" s="321">
        <f>SUM(E28:G28)</f>
        <v>46400</v>
      </c>
      <c r="E28" s="321"/>
      <c r="F28" s="321"/>
      <c r="G28" s="321">
        <v>46400</v>
      </c>
    </row>
    <row r="29" spans="1:7" ht="15">
      <c r="A29" s="281" t="s">
        <v>185</v>
      </c>
      <c r="B29" s="104" t="s">
        <v>143</v>
      </c>
      <c r="C29" s="105" t="s">
        <v>328</v>
      </c>
      <c r="D29" s="321">
        <f>SUM(E29:G29)</f>
        <v>1027895</v>
      </c>
      <c r="E29" s="321">
        <v>1027895</v>
      </c>
      <c r="F29" s="321"/>
      <c r="G29" s="321"/>
    </row>
    <row r="30" spans="1:7" ht="15.75" thickBot="1">
      <c r="A30" s="282" t="s">
        <v>192</v>
      </c>
      <c r="B30" s="104">
        <v>107055</v>
      </c>
      <c r="C30" s="106" t="s">
        <v>332</v>
      </c>
      <c r="D30" s="321">
        <f>SUM(E30:G30)</f>
        <v>4406793</v>
      </c>
      <c r="E30" s="321">
        <f>3959699+12190+45840+80464-2718+56030+50000+32186+32185-4189-65632</f>
        <v>4196055</v>
      </c>
      <c r="F30" s="321">
        <v>210738</v>
      </c>
      <c r="G30" s="321"/>
    </row>
    <row r="31" spans="1:7" ht="15.75" thickBot="1">
      <c r="A31" s="283" t="s">
        <v>195</v>
      </c>
      <c r="B31" s="104">
        <v>107060</v>
      </c>
      <c r="C31" s="105" t="s">
        <v>144</v>
      </c>
      <c r="D31" s="321">
        <f>SUM(E31:G31)</f>
        <v>1375000</v>
      </c>
      <c r="E31" s="321">
        <f>1123000+252000</f>
        <v>1375000</v>
      </c>
      <c r="F31" s="321"/>
      <c r="G31" s="321"/>
    </row>
    <row r="32" spans="1:7" s="329" customFormat="1" ht="33" customHeight="1" thickBot="1">
      <c r="A32" s="630" t="s">
        <v>196</v>
      </c>
      <c r="B32" s="331"/>
      <c r="C32" s="330" t="s">
        <v>2</v>
      </c>
      <c r="D32" s="385">
        <f>SUM(D15:D31)</f>
        <v>152005918</v>
      </c>
      <c r="E32" s="385">
        <f>SUM(E15:E31)</f>
        <v>150247584</v>
      </c>
      <c r="F32" s="385">
        <f>SUM(F15:F31)</f>
        <v>1711934</v>
      </c>
      <c r="G32" s="385">
        <f>SUM(G15:G31)</f>
        <v>46400</v>
      </c>
    </row>
  </sheetData>
  <sheetProtection password="AF00" sheet="1" objects="1" scenarios="1" selectLockedCells="1" selectUnlockedCells="1"/>
  <mergeCells count="12">
    <mergeCell ref="A1:G1"/>
    <mergeCell ref="A5:G5"/>
    <mergeCell ref="C4:G4"/>
    <mergeCell ref="C6:G6"/>
    <mergeCell ref="C7:G7"/>
    <mergeCell ref="C8:G8"/>
    <mergeCell ref="A10:A14"/>
    <mergeCell ref="B10:B14"/>
    <mergeCell ref="C10:C14"/>
    <mergeCell ref="D10:D14"/>
    <mergeCell ref="E10:G10"/>
    <mergeCell ref="E12:G1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501" t="s">
        <v>461</v>
      </c>
      <c r="B1" s="501"/>
      <c r="C1" s="501"/>
      <c r="D1" s="501"/>
      <c r="E1" s="501"/>
      <c r="F1" s="501"/>
      <c r="G1" s="75"/>
      <c r="H1" s="75"/>
      <c r="I1" s="75"/>
      <c r="J1" s="75"/>
    </row>
    <row r="2" spans="1:6" ht="15">
      <c r="A2" s="505"/>
      <c r="B2" s="505"/>
      <c r="C2" s="505"/>
      <c r="D2" s="505"/>
      <c r="E2" s="505"/>
      <c r="F2" s="505"/>
    </row>
    <row r="3" spans="1:6" ht="15">
      <c r="A3" s="505"/>
      <c r="B3" s="505"/>
      <c r="C3" s="505"/>
      <c r="D3" s="505"/>
      <c r="E3" s="505"/>
      <c r="F3" s="505"/>
    </row>
    <row r="4" ht="12.75" customHeight="1"/>
    <row r="5" spans="1:6" s="22" customFormat="1" ht="15.75">
      <c r="A5" s="506" t="s">
        <v>325</v>
      </c>
      <c r="B5" s="506"/>
      <c r="C5" s="506"/>
      <c r="D5" s="506"/>
      <c r="E5" s="506"/>
      <c r="F5" s="506"/>
    </row>
    <row r="6" spans="1:6" s="22" customFormat="1" ht="15.75">
      <c r="A6" s="506" t="s">
        <v>402</v>
      </c>
      <c r="B6" s="506"/>
      <c r="C6" s="506"/>
      <c r="D6" s="506"/>
      <c r="E6" s="506"/>
      <c r="F6" s="506"/>
    </row>
    <row r="7" spans="1:6" ht="18.75">
      <c r="A7" s="507"/>
      <c r="B7" s="507"/>
      <c r="C7" s="507"/>
      <c r="D7" s="507"/>
      <c r="E7" s="507"/>
      <c r="F7" s="507"/>
    </row>
    <row r="8" ht="15">
      <c r="F8" s="107" t="s">
        <v>394</v>
      </c>
    </row>
    <row r="9" spans="1:6" ht="15">
      <c r="A9" s="492" t="s">
        <v>0</v>
      </c>
      <c r="B9" s="493"/>
      <c r="C9" s="493"/>
      <c r="D9" s="493"/>
      <c r="E9" s="494"/>
      <c r="F9" s="509" t="s">
        <v>8</v>
      </c>
    </row>
    <row r="10" spans="1:6" ht="15">
      <c r="A10" s="495"/>
      <c r="B10" s="496"/>
      <c r="C10" s="496"/>
      <c r="D10" s="496"/>
      <c r="E10" s="497"/>
      <c r="F10" s="510"/>
    </row>
    <row r="11" spans="1:6" ht="15">
      <c r="A11" s="498"/>
      <c r="B11" s="499"/>
      <c r="C11" s="499"/>
      <c r="D11" s="499"/>
      <c r="E11" s="500"/>
      <c r="F11" s="511"/>
    </row>
    <row r="12" spans="1:6" ht="15">
      <c r="A12" s="15" t="s">
        <v>145</v>
      </c>
      <c r="E12" s="23"/>
      <c r="F12" s="24"/>
    </row>
    <row r="13" spans="1:2" s="15" customFormat="1" ht="15">
      <c r="A13" s="107"/>
      <c r="B13" s="13"/>
    </row>
    <row r="14" spans="1:6" ht="33" customHeight="1">
      <c r="A14" s="15"/>
      <c r="B14" s="504" t="s">
        <v>146</v>
      </c>
      <c r="C14" s="504"/>
      <c r="D14" s="504"/>
      <c r="E14" s="504"/>
      <c r="F14" s="49"/>
    </row>
    <row r="15" ht="13.5" customHeight="1">
      <c r="F15" s="49"/>
    </row>
    <row r="16" spans="1:255" ht="15.75">
      <c r="A16" s="14" t="s">
        <v>27</v>
      </c>
      <c r="B16" s="508" t="s">
        <v>336</v>
      </c>
      <c r="C16" s="508"/>
      <c r="D16" s="508"/>
      <c r="E16" s="508"/>
      <c r="F16" s="49">
        <v>85620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.75">
      <c r="A17" s="14" t="s">
        <v>21</v>
      </c>
      <c r="B17" s="508" t="s">
        <v>337</v>
      </c>
      <c r="C17" s="508"/>
      <c r="D17" s="508"/>
      <c r="E17" s="508"/>
      <c r="F17" s="49">
        <v>10000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15.75">
      <c r="A18" s="14" t="s">
        <v>28</v>
      </c>
      <c r="B18" s="503" t="s">
        <v>338</v>
      </c>
      <c r="C18" s="503"/>
      <c r="D18" s="503"/>
      <c r="E18" s="503"/>
      <c r="F18" s="49">
        <v>39100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15.75">
      <c r="A19" s="108" t="s">
        <v>66</v>
      </c>
      <c r="B19" s="502" t="s">
        <v>333</v>
      </c>
      <c r="C19" s="502"/>
      <c r="D19" s="502"/>
      <c r="E19" s="502"/>
      <c r="F19" s="49">
        <v>4010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15.75">
      <c r="A20" s="109" t="s">
        <v>67</v>
      </c>
      <c r="B20" s="502" t="s">
        <v>334</v>
      </c>
      <c r="C20" s="502"/>
      <c r="D20" s="502"/>
      <c r="E20" s="502"/>
      <c r="F20" s="49">
        <v>8160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.75">
      <c r="A21" s="14" t="s">
        <v>72</v>
      </c>
      <c r="B21" s="502" t="s">
        <v>335</v>
      </c>
      <c r="C21" s="502"/>
      <c r="D21" s="502"/>
      <c r="E21" s="502"/>
      <c r="F21" s="49">
        <v>117300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6" ht="13.5" customHeight="1">
      <c r="A22" s="18"/>
      <c r="F22" s="49"/>
    </row>
    <row r="23" spans="1:8" ht="32.25" customHeight="1">
      <c r="A23" s="15"/>
      <c r="B23" s="504" t="s">
        <v>147</v>
      </c>
      <c r="C23" s="504"/>
      <c r="D23" s="504"/>
      <c r="E23" s="504"/>
      <c r="F23" s="50">
        <f>SUM(F16:F22)</f>
        <v>264190</v>
      </c>
      <c r="G23" s="17"/>
      <c r="H23" s="17"/>
    </row>
    <row r="24" spans="1:8" ht="12.75" customHeight="1">
      <c r="A24" s="15"/>
      <c r="F24" s="49"/>
      <c r="G24" s="17"/>
      <c r="H24" s="17"/>
    </row>
    <row r="25" spans="1:7" s="19" customFormat="1" ht="15.75">
      <c r="A25" s="15" t="s">
        <v>148</v>
      </c>
      <c r="F25" s="50">
        <f>F23</f>
        <v>264190</v>
      </c>
      <c r="G25" s="20"/>
    </row>
    <row r="26" spans="1:7" s="19" customFormat="1" ht="15.75">
      <c r="A26" s="15"/>
      <c r="F26" s="50"/>
      <c r="G26" s="20"/>
    </row>
    <row r="27" spans="1:6" s="21" customFormat="1" ht="18.75">
      <c r="A27" s="21" t="s">
        <v>5</v>
      </c>
      <c r="F27" s="48">
        <f>F23</f>
        <v>264190</v>
      </c>
    </row>
  </sheetData>
  <sheetProtection password="AF00" sheet="1" objects="1" scenarios="1" selectLockedCells="1" selectUnlockedCells="1"/>
  <mergeCells count="16">
    <mergeCell ref="B23:E23"/>
    <mergeCell ref="A2:F2"/>
    <mergeCell ref="A3:F3"/>
    <mergeCell ref="A5:F5"/>
    <mergeCell ref="A7:F7"/>
    <mergeCell ref="A6:F6"/>
    <mergeCell ref="B21:E21"/>
    <mergeCell ref="B16:E16"/>
    <mergeCell ref="B17:E17"/>
    <mergeCell ref="F9:F11"/>
    <mergeCell ref="A9:E11"/>
    <mergeCell ref="A1:F1"/>
    <mergeCell ref="B19:E19"/>
    <mergeCell ref="B20:E20"/>
    <mergeCell ref="B18:E18"/>
    <mergeCell ref="B14:E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9" customWidth="1"/>
    <col min="2" max="2" width="67.875" style="39" customWidth="1"/>
    <col min="3" max="3" width="17.00390625" style="39" customWidth="1"/>
    <col min="4" max="16384" width="9.125" style="39" customWidth="1"/>
  </cols>
  <sheetData>
    <row r="1" spans="2:4" ht="15.75">
      <c r="B1" s="501" t="s">
        <v>462</v>
      </c>
      <c r="C1" s="501"/>
      <c r="D1" s="75"/>
    </row>
    <row r="2" spans="2:4" ht="15">
      <c r="B2" s="76"/>
      <c r="C2" s="76"/>
      <c r="D2" s="75"/>
    </row>
    <row r="3" spans="2:3" ht="15.75" customHeight="1">
      <c r="B3" s="515"/>
      <c r="C3" s="515"/>
    </row>
    <row r="4" spans="2:3" ht="15">
      <c r="B4" s="40"/>
      <c r="C4" s="40"/>
    </row>
    <row r="5" spans="2:3" s="16" customFormat="1" ht="15.75" customHeight="1">
      <c r="B5" s="516" t="s">
        <v>325</v>
      </c>
      <c r="C5" s="516"/>
    </row>
    <row r="6" spans="2:6" s="22" customFormat="1" ht="15.75">
      <c r="B6" s="506" t="s">
        <v>340</v>
      </c>
      <c r="C6" s="506"/>
      <c r="D6" s="52"/>
      <c r="E6" s="52"/>
      <c r="F6" s="52"/>
    </row>
    <row r="7" spans="2:6" s="13" customFormat="1" ht="15">
      <c r="B7" s="505" t="s">
        <v>403</v>
      </c>
      <c r="C7" s="505"/>
      <c r="D7" s="51"/>
      <c r="E7" s="51"/>
      <c r="F7" s="51"/>
    </row>
    <row r="8" ht="15.75" customHeight="1" thickBot="1">
      <c r="C8" s="41" t="s">
        <v>404</v>
      </c>
    </row>
    <row r="9" spans="1:3" ht="15" customHeight="1">
      <c r="A9" s="512" t="s">
        <v>456</v>
      </c>
      <c r="B9" s="42"/>
      <c r="C9" s="517" t="s">
        <v>457</v>
      </c>
    </row>
    <row r="10" spans="1:3" ht="15.75" customHeight="1">
      <c r="A10" s="513"/>
      <c r="B10" s="43" t="s">
        <v>0</v>
      </c>
      <c r="C10" s="518"/>
    </row>
    <row r="11" spans="1:3" ht="15.75" thickBot="1">
      <c r="A11" s="514"/>
      <c r="B11" s="44"/>
      <c r="C11" s="519"/>
    </row>
    <row r="12" ht="11.25" customHeight="1"/>
    <row r="13" ht="15" customHeight="1">
      <c r="C13" s="49"/>
    </row>
    <row r="14" spans="1:3" ht="15">
      <c r="A14" s="288" t="s">
        <v>27</v>
      </c>
      <c r="B14" s="45" t="s">
        <v>417</v>
      </c>
      <c r="C14" s="49"/>
    </row>
    <row r="15" spans="1:3" ht="15">
      <c r="A15" s="288"/>
      <c r="B15" s="45"/>
      <c r="C15" s="49"/>
    </row>
    <row r="16" spans="1:3" ht="30">
      <c r="A16" s="288" t="s">
        <v>458</v>
      </c>
      <c r="B16" s="141" t="s">
        <v>258</v>
      </c>
      <c r="C16" s="49">
        <v>46400</v>
      </c>
    </row>
    <row r="17" spans="1:3" ht="15">
      <c r="A17" s="288"/>
      <c r="B17" s="271"/>
      <c r="C17" s="50"/>
    </row>
    <row r="18" spans="1:3" ht="29.25">
      <c r="A18" s="288" t="s">
        <v>21</v>
      </c>
      <c r="B18" s="271" t="s">
        <v>418</v>
      </c>
      <c r="C18" s="50"/>
    </row>
    <row r="19" spans="1:3" ht="15">
      <c r="A19" s="288"/>
      <c r="C19" s="49"/>
    </row>
    <row r="20" spans="1:3" ht="30">
      <c r="A20" s="288" t="s">
        <v>436</v>
      </c>
      <c r="B20" s="141" t="s">
        <v>257</v>
      </c>
      <c r="C20" s="49">
        <v>252000</v>
      </c>
    </row>
    <row r="21" spans="1:3" ht="15">
      <c r="A21" s="288"/>
      <c r="B21" s="271"/>
      <c r="C21" s="50"/>
    </row>
    <row r="22" spans="1:3" ht="15">
      <c r="A22" s="288" t="s">
        <v>437</v>
      </c>
      <c r="B22" s="271" t="s">
        <v>419</v>
      </c>
      <c r="C22" s="49"/>
    </row>
    <row r="23" spans="1:3" ht="23.25" customHeight="1">
      <c r="A23" s="288" t="s">
        <v>451</v>
      </c>
      <c r="B23" s="290" t="s">
        <v>459</v>
      </c>
      <c r="C23" s="291">
        <v>140000</v>
      </c>
    </row>
    <row r="24" spans="1:3" ht="24" customHeight="1">
      <c r="A24" s="288" t="s">
        <v>452</v>
      </c>
      <c r="B24" s="290" t="s">
        <v>339</v>
      </c>
      <c r="C24" s="291">
        <v>483000</v>
      </c>
    </row>
    <row r="25" spans="1:3" ht="18.75" customHeight="1">
      <c r="A25" s="288" t="s">
        <v>453</v>
      </c>
      <c r="B25" s="290" t="s">
        <v>368</v>
      </c>
      <c r="C25" s="291">
        <v>500000</v>
      </c>
    </row>
    <row r="26" spans="1:3" ht="15">
      <c r="A26" s="288"/>
      <c r="B26" s="45" t="s">
        <v>420</v>
      </c>
      <c r="C26" s="50">
        <f>SUM(C23:C25)</f>
        <v>1123000</v>
      </c>
    </row>
    <row r="27" spans="1:3" ht="15">
      <c r="A27" s="288"/>
      <c r="C27" s="49"/>
    </row>
    <row r="28" spans="1:3" ht="15">
      <c r="A28" s="288"/>
      <c r="C28" s="50"/>
    </row>
    <row r="29" spans="1:3" ht="15">
      <c r="A29" s="288"/>
      <c r="B29" s="45" t="s">
        <v>341</v>
      </c>
      <c r="C29" s="50">
        <f>C26+C20+C16</f>
        <v>1421400</v>
      </c>
    </row>
    <row r="30" ht="15">
      <c r="A30" s="288"/>
    </row>
    <row r="31" spans="1:3" ht="11.25" customHeight="1">
      <c r="A31" s="288"/>
      <c r="C31" s="49"/>
    </row>
    <row r="32" spans="1:3" ht="16.5">
      <c r="A32" s="288"/>
      <c r="B32" s="46" t="s">
        <v>342</v>
      </c>
      <c r="C32" s="56">
        <f>C29</f>
        <v>1421400</v>
      </c>
    </row>
    <row r="33" spans="1:3" s="47" customFormat="1" ht="16.5">
      <c r="A33" s="289"/>
      <c r="B33" s="46"/>
      <c r="C33" s="55"/>
    </row>
    <row r="34" spans="1:2" s="47" customFormat="1" ht="16.5">
      <c r="A34" s="289"/>
      <c r="B34" s="39"/>
    </row>
  </sheetData>
  <sheetProtection password="AF00" sheet="1" objects="1" scenarios="1" selectLockedCells="1" selectUnlockedCells="1"/>
  <mergeCells count="7">
    <mergeCell ref="A9:A11"/>
    <mergeCell ref="B1:C1"/>
    <mergeCell ref="B7:C7"/>
    <mergeCell ref="B6:C6"/>
    <mergeCell ref="B3:C3"/>
    <mergeCell ref="B5:C5"/>
    <mergeCell ref="C9:C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72.25390625" style="0" customWidth="1"/>
    <col min="3" max="3" width="11.375" style="0" customWidth="1"/>
  </cols>
  <sheetData>
    <row r="1" spans="2:4" ht="15.75">
      <c r="B1" s="413" t="s">
        <v>504</v>
      </c>
      <c r="C1" s="520"/>
      <c r="D1" s="642"/>
    </row>
    <row r="2" spans="2:4" ht="15.75">
      <c r="B2" s="378"/>
      <c r="C2" s="378"/>
      <c r="D2" s="378"/>
    </row>
    <row r="3" spans="1:5" ht="15.75">
      <c r="A3" s="22"/>
      <c r="B3" s="22"/>
      <c r="C3" s="22"/>
      <c r="D3" s="22"/>
      <c r="E3" s="22"/>
    </row>
    <row r="4" spans="1:5" ht="15.75">
      <c r="A4" s="22"/>
      <c r="B4" s="22"/>
      <c r="C4" s="22"/>
      <c r="D4" s="22"/>
      <c r="E4" s="22"/>
    </row>
    <row r="5" spans="1:5" ht="15.75">
      <c r="A5" s="22"/>
      <c r="B5" s="391" t="s">
        <v>325</v>
      </c>
      <c r="C5" s="22"/>
      <c r="D5" s="22"/>
      <c r="E5" s="22"/>
    </row>
    <row r="6" spans="1:5" ht="15.75">
      <c r="A6" s="22"/>
      <c r="B6" s="391" t="s">
        <v>381</v>
      </c>
      <c r="C6" s="22"/>
      <c r="D6" s="22"/>
      <c r="E6" s="22"/>
    </row>
    <row r="7" spans="1:5" ht="15.75">
      <c r="A7" s="22"/>
      <c r="B7" s="391" t="s">
        <v>393</v>
      </c>
      <c r="C7" s="22"/>
      <c r="D7" s="22"/>
      <c r="E7" s="22"/>
    </row>
    <row r="8" spans="1:5" ht="16.5" thickBot="1">
      <c r="A8" s="22"/>
      <c r="B8" s="391"/>
      <c r="C8" s="107"/>
      <c r="D8" s="22"/>
      <c r="E8" s="22"/>
    </row>
    <row r="9" spans="1:5" ht="48.75" customHeight="1" thickBot="1">
      <c r="A9" s="640" t="s">
        <v>495</v>
      </c>
      <c r="B9" s="641" t="s">
        <v>0</v>
      </c>
      <c r="C9" s="640" t="s">
        <v>494</v>
      </c>
      <c r="D9" s="22"/>
      <c r="E9" s="22"/>
    </row>
    <row r="10" spans="1:5" ht="15.75" customHeight="1">
      <c r="A10" s="636"/>
      <c r="B10" s="637"/>
      <c r="C10" s="636"/>
      <c r="D10" s="22"/>
      <c r="E10" s="22"/>
    </row>
    <row r="11" spans="1:5" ht="36" customHeight="1">
      <c r="A11" s="22" t="s">
        <v>27</v>
      </c>
      <c r="B11" s="639" t="s">
        <v>493</v>
      </c>
      <c r="C11" s="636"/>
      <c r="D11" s="22"/>
      <c r="E11" s="22"/>
    </row>
    <row r="12" spans="1:5" ht="15.75" customHeight="1">
      <c r="A12" s="22"/>
      <c r="B12" s="637"/>
      <c r="C12" s="636"/>
      <c r="D12" s="22"/>
      <c r="E12" s="22"/>
    </row>
    <row r="13" spans="1:5" ht="14.25" customHeight="1">
      <c r="A13" s="634" t="s">
        <v>458</v>
      </c>
      <c r="B13" s="638" t="s">
        <v>492</v>
      </c>
      <c r="C13" s="631">
        <v>234100</v>
      </c>
      <c r="D13" s="22"/>
      <c r="E13" s="22"/>
    </row>
    <row r="14" spans="2:5" ht="14.25" customHeight="1">
      <c r="B14" s="19" t="s">
        <v>2</v>
      </c>
      <c r="C14" s="20">
        <f>C13</f>
        <v>234100</v>
      </c>
      <c r="D14" s="22"/>
      <c r="E14" s="22"/>
    </row>
    <row r="15" spans="2:5" ht="14.25" customHeight="1">
      <c r="B15" s="637"/>
      <c r="C15" s="636"/>
      <c r="D15" s="22"/>
      <c r="E15" s="22"/>
    </row>
    <row r="16" spans="2:5" ht="15.75">
      <c r="B16" s="22"/>
      <c r="C16" s="22"/>
      <c r="D16" s="22"/>
      <c r="E16" s="22"/>
    </row>
    <row r="17" spans="1:5" ht="15.75">
      <c r="A17" s="22" t="s">
        <v>21</v>
      </c>
      <c r="B17" s="633" t="s">
        <v>423</v>
      </c>
      <c r="C17" s="22"/>
      <c r="D17" s="22"/>
      <c r="E17" s="22"/>
    </row>
    <row r="18" spans="1:5" ht="15.75">
      <c r="A18" s="22"/>
      <c r="B18" s="22"/>
      <c r="C18" s="22"/>
      <c r="D18" s="22"/>
      <c r="E18" s="22"/>
    </row>
    <row r="19" spans="1:5" ht="15.75">
      <c r="A19" s="634" t="s">
        <v>486</v>
      </c>
      <c r="B19" s="22" t="s">
        <v>424</v>
      </c>
      <c r="C19" s="631">
        <v>87000578</v>
      </c>
      <c r="D19" s="22"/>
      <c r="E19" s="22"/>
    </row>
    <row r="20" spans="1:5" ht="15.75">
      <c r="A20" s="22"/>
      <c r="B20" s="19" t="s">
        <v>2</v>
      </c>
      <c r="C20" s="20">
        <v>87000578</v>
      </c>
      <c r="D20" s="22"/>
      <c r="E20" s="22"/>
    </row>
    <row r="21" spans="1:5" ht="15.75">
      <c r="A21" s="22"/>
      <c r="B21" s="22"/>
      <c r="C21" s="22"/>
      <c r="D21" s="22"/>
      <c r="E21" s="22"/>
    </row>
    <row r="22" spans="1:5" ht="15.75">
      <c r="A22" s="22" t="s">
        <v>28</v>
      </c>
      <c r="B22" s="635" t="s">
        <v>387</v>
      </c>
      <c r="C22" s="22"/>
      <c r="D22" s="22"/>
      <c r="E22" s="22"/>
    </row>
    <row r="23" spans="1:5" ht="15.75">
      <c r="A23" s="22"/>
      <c r="B23" s="22"/>
      <c r="C23" s="22"/>
      <c r="D23" s="22"/>
      <c r="E23" s="22"/>
    </row>
    <row r="24" spans="1:5" ht="15.75">
      <c r="A24" s="634" t="s">
        <v>485</v>
      </c>
      <c r="B24" s="22" t="s">
        <v>409</v>
      </c>
      <c r="C24" s="631">
        <f>196850-3861</f>
        <v>192989</v>
      </c>
      <c r="D24" s="22"/>
      <c r="E24" s="22"/>
    </row>
    <row r="25" spans="2:5" ht="15.75">
      <c r="B25" s="22" t="s">
        <v>385</v>
      </c>
      <c r="C25" s="631">
        <f>53150-1043</f>
        <v>52107</v>
      </c>
      <c r="D25" s="22"/>
      <c r="E25" s="22"/>
    </row>
    <row r="26" spans="2:5" ht="15.75">
      <c r="B26" s="19" t="s">
        <v>382</v>
      </c>
      <c r="C26" s="20">
        <f>C24+C25</f>
        <v>245096</v>
      </c>
      <c r="D26" s="22"/>
      <c r="E26" s="22"/>
    </row>
    <row r="27" spans="2:5" ht="15.75">
      <c r="B27" s="22"/>
      <c r="C27" s="22"/>
      <c r="D27" s="22"/>
      <c r="E27" s="22"/>
    </row>
    <row r="28" spans="2:5" ht="15.75">
      <c r="B28" s="22"/>
      <c r="C28" s="22"/>
      <c r="D28" s="22"/>
      <c r="E28" s="22"/>
    </row>
    <row r="29" spans="1:5" ht="15.75">
      <c r="A29" s="632" t="s">
        <v>66</v>
      </c>
      <c r="B29" s="633" t="s">
        <v>383</v>
      </c>
      <c r="C29" s="22"/>
      <c r="D29" s="22"/>
      <c r="E29" s="22"/>
    </row>
    <row r="30" spans="2:5" ht="15.75">
      <c r="B30" s="633"/>
      <c r="C30" s="22"/>
      <c r="D30" s="22"/>
      <c r="E30" s="22"/>
    </row>
    <row r="31" spans="1:5" ht="15.75">
      <c r="A31" s="632" t="s">
        <v>484</v>
      </c>
      <c r="B31" s="22" t="s">
        <v>384</v>
      </c>
      <c r="C31" s="631">
        <f>300000+3861</f>
        <v>303861</v>
      </c>
      <c r="D31" s="22"/>
      <c r="E31" s="22"/>
    </row>
    <row r="32" spans="2:5" ht="15.75">
      <c r="B32" s="22" t="s">
        <v>385</v>
      </c>
      <c r="C32" s="631">
        <f>81000+1043</f>
        <v>82043</v>
      </c>
      <c r="D32" s="22"/>
      <c r="E32" s="22"/>
    </row>
    <row r="33" spans="1:5" ht="15.75">
      <c r="A33" s="22"/>
      <c r="B33" s="19" t="s">
        <v>382</v>
      </c>
      <c r="C33" s="20">
        <f>C31+C32</f>
        <v>385904</v>
      </c>
      <c r="D33" s="22"/>
      <c r="E33" s="22"/>
    </row>
    <row r="34" spans="1:5" ht="15.75">
      <c r="A34" s="22"/>
      <c r="B34" s="22"/>
      <c r="C34" s="22"/>
      <c r="D34" s="22"/>
      <c r="E34" s="22"/>
    </row>
    <row r="35" spans="1:5" ht="15.75">
      <c r="A35" s="22"/>
      <c r="B35" s="19" t="s">
        <v>386</v>
      </c>
      <c r="C35" s="20">
        <f>C33+C26+C20+C14</f>
        <v>87865678</v>
      </c>
      <c r="D35" s="22"/>
      <c r="E35" s="22"/>
    </row>
    <row r="36" spans="1:5" ht="15.75">
      <c r="A36" s="22"/>
      <c r="B36" s="19" t="s">
        <v>386</v>
      </c>
      <c r="C36" s="20">
        <v>87631578</v>
      </c>
      <c r="D36" s="22"/>
      <c r="E36" s="22"/>
    </row>
    <row r="37" spans="1:5" ht="15.75">
      <c r="A37" s="22"/>
      <c r="B37" s="22"/>
      <c r="C37" s="22"/>
      <c r="D37" s="22"/>
      <c r="E37" s="22"/>
    </row>
    <row r="38" spans="2:5" ht="15.75">
      <c r="B38" s="22"/>
      <c r="C38" s="22"/>
      <c r="D38" s="22"/>
      <c r="E38" s="22"/>
    </row>
  </sheetData>
  <sheetProtection password="AF00" sheet="1" objects="1" scenarios="1" selectLockedCells="1" selectUnlockedCells="1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2017-02-06T14:48:56Z</cp:lastPrinted>
  <dcterms:created xsi:type="dcterms:W3CDTF">2002-11-26T17:22:50Z</dcterms:created>
  <dcterms:modified xsi:type="dcterms:W3CDTF">2018-03-21T08:42:21Z</dcterms:modified>
  <cp:category/>
  <cp:version/>
  <cp:contentType/>
  <cp:contentStatus/>
</cp:coreProperties>
</file>