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65476" windowWidth="5760" windowHeight="6585" firstSheet="24" activeTab="33"/>
  </bookViews>
  <sheets>
    <sheet name="bor." sheetId="1" r:id="rId1"/>
    <sheet name="1. mell." sheetId="2" r:id="rId2"/>
    <sheet name="2. mell." sheetId="3" r:id="rId3"/>
    <sheet name="3. mell" sheetId="4" r:id="rId4"/>
    <sheet name="4. mell." sheetId="5" r:id="rId5"/>
    <sheet name="5. mell." sheetId="6" r:id="rId6"/>
    <sheet name="6. mell." sheetId="7" r:id="rId7"/>
    <sheet name="7. mell." sheetId="8" r:id="rId8"/>
    <sheet name="8. mell." sheetId="9" r:id="rId9"/>
    <sheet name="9. mell." sheetId="10" r:id="rId10"/>
    <sheet name="10. mell." sheetId="11" r:id="rId11"/>
    <sheet name="11. mell." sheetId="12" r:id="rId12"/>
    <sheet name="12. mell." sheetId="13" r:id="rId13"/>
    <sheet name="13. mell." sheetId="14" r:id="rId14"/>
    <sheet name="14. mell. " sheetId="15" r:id="rId15"/>
    <sheet name="15. mell." sheetId="16" r:id="rId16"/>
    <sheet name="16. mell." sheetId="17" r:id="rId17"/>
    <sheet name="17. mell." sheetId="18" r:id="rId18"/>
    <sheet name="18. mell." sheetId="19" r:id="rId19"/>
    <sheet name="19. mell." sheetId="20" r:id="rId20"/>
    <sheet name="20. mell." sheetId="21" r:id="rId21"/>
    <sheet name="21. mell." sheetId="22" r:id="rId22"/>
    <sheet name="22. mell." sheetId="23" r:id="rId23"/>
    <sheet name="23. mell." sheetId="24" r:id="rId24"/>
    <sheet name="24.mell." sheetId="25" r:id="rId25"/>
    <sheet name="25.mell." sheetId="26" r:id="rId26"/>
    <sheet name="26.mell." sheetId="27" r:id="rId27"/>
    <sheet name="27.mell. " sheetId="28" r:id="rId28"/>
    <sheet name="28.mell." sheetId="29" r:id="rId29"/>
    <sheet name="29.mell." sheetId="30" r:id="rId30"/>
    <sheet name="30.mell." sheetId="31" r:id="rId31"/>
    <sheet name="31.mell" sheetId="32" r:id="rId32"/>
    <sheet name="32.mell." sheetId="33" r:id="rId33"/>
    <sheet name="33.MELL." sheetId="34" r:id="rId34"/>
    <sheet name="Munka9" sheetId="35" r:id="rId35"/>
  </sheets>
  <externalReferences>
    <externalReference r:id="rId38"/>
  </externalReferences>
  <definedNames>
    <definedName name="_xlnm.Print_Titles" localSheetId="1">'1. mell.'!$10:$12</definedName>
  </definedNames>
  <calcPr fullCalcOnLoad="1"/>
</workbook>
</file>

<file path=xl/sharedStrings.xml><?xml version="1.0" encoding="utf-8"?>
<sst xmlns="http://schemas.openxmlformats.org/spreadsheetml/2006/main" count="3236" uniqueCount="1190">
  <si>
    <t>Egyéb működési célú átvett pénzeszközök</t>
  </si>
  <si>
    <t>Falunap i rendezvények támogatása</t>
  </si>
  <si>
    <t>FELHALMOZÁSI CÉLÚ ÁTVETT PÉNZESZKÖZÖK</t>
  </si>
  <si>
    <t>felhalmozási célú visszatérítendő támogatások, kölcsönök visszatérülése államháztartáson kívülről</t>
  </si>
  <si>
    <t>Első lakáshoz jutók lakásépítési és -vásárlási kölcsönének törlesztése</t>
  </si>
  <si>
    <t>FELHALMOZÁSI CÉLÚ ÁTVETT PÉNZESZKÖZÖK ÖSSZESEN:</t>
  </si>
  <si>
    <t>KÖLTSÉGVETÉSI BEVÉTELEK</t>
  </si>
  <si>
    <t>FINANSZÍROZÁSI BEVÉTELEK</t>
  </si>
  <si>
    <t>Forgatási célú belföldi értékpapírok beváltása, értékesítése</t>
  </si>
  <si>
    <t>Előző évi költségvetési maradvány igénybevétele</t>
  </si>
  <si>
    <t>előző éveki költségvetési maradvány igénybevétele</t>
  </si>
  <si>
    <t>Államháztartáson belüli megelőlegezések teljesítése</t>
  </si>
  <si>
    <t>BEVÉTELEK ÖSSZESEN:</t>
  </si>
  <si>
    <t>MŰKÖDÉSI CÉLÚ ÁTVETT PÉNZESZKÖZÖK ÖSSZESEN:</t>
  </si>
  <si>
    <t>KÖTELEZŐ, ÖNKÉNT VÁLLALT ÉS ÁLLAMI (ÁLLAMIGAZGATÁSI) FELADATAINAK BEVÉTELEI</t>
  </si>
  <si>
    <t>kormány- zati funkció száma</t>
  </si>
  <si>
    <t>Kormányzati funkció megnevezése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</si>
  <si>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</si>
  <si>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</si>
  <si>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</si>
  <si>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</si>
  <si>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</si>
  <si>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</si>
  <si>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011130</t>
  </si>
  <si>
    <t>Önkormányzatok és önkormányzati hivatalok jogalkotó és általános igazgatási tevékenysége</t>
  </si>
  <si>
    <t>Nem tartós részesedések</t>
  </si>
  <si>
    <t xml:space="preserve"> - ebből: kárpótlási jegyek</t>
  </si>
  <si>
    <t xml:space="preserve"> - ebből: kincstár jegyek</t>
  </si>
  <si>
    <t>e.</t>
  </si>
  <si>
    <t xml:space="preserve"> - ebből: befektetési jegyek</t>
  </si>
  <si>
    <t>B)</t>
  </si>
  <si>
    <t>NEMZETI VAGYONBA TARTOZÓ FORGÓESZKÖZÖK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</si>
  <si>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</si>
  <si>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</si>
  <si>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</si>
  <si>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</si>
  <si>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</si>
  <si>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</si>
  <si>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</si>
  <si>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</si>
  <si>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</si>
  <si>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Hosszú lejáratú betétek</t>
  </si>
  <si>
    <t>Forintszámlák</t>
  </si>
  <si>
    <t>Devizaszámlák</t>
  </si>
  <si>
    <t>Idegen pénzeszközök</t>
  </si>
  <si>
    <t>C)</t>
  </si>
  <si>
    <t>PÉNZESZKÖZÖK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</si>
  <si>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</si>
  <si>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</si>
  <si>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</si>
  <si>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</si>
  <si>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</si>
  <si>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</si>
  <si>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</si>
  <si>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</si>
  <si>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</si>
  <si>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</si>
  <si>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</si>
  <si>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</si>
  <si>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</si>
  <si>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</si>
  <si>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</si>
  <si>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</si>
  <si>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</si>
  <si>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</si>
  <si>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</si>
  <si>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</si>
  <si>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</si>
  <si>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</si>
  <si>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</si>
  <si>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</si>
  <si>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</si>
  <si>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</si>
  <si>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</si>
  <si>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</si>
  <si>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</si>
  <si>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</si>
  <si>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</si>
  <si>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</si>
  <si>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</si>
  <si>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</si>
  <si>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</si>
  <si>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</si>
  <si>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</si>
  <si>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</si>
  <si>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</si>
  <si>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</si>
  <si>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</si>
  <si>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</si>
  <si>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</si>
  <si>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</si>
  <si>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</si>
  <si>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</si>
  <si>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</si>
  <si>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</si>
  <si>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</si>
  <si>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</si>
  <si>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</si>
  <si>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</si>
  <si>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</si>
  <si>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</si>
  <si>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Költségvetési évben esedékes követelések működési célú támogatások bevételeire államháztartáson belülről</t>
  </si>
  <si>
    <t>Költségvetési évben esedékes követelések felhalmozási célú támogatások bevételeire államháztartáson belülről</t>
  </si>
  <si>
    <t>Költségvetési évben esedékes követelések közhatalmi bevételekre</t>
  </si>
  <si>
    <t>Költségvetési évben esedékes követelések működési bevételekre</t>
  </si>
  <si>
    <t>Költségvetési évben esedékes követelések felhalmozási bevételekre</t>
  </si>
  <si>
    <t>Költségvetési évben esedékes követelések működési célú pénzeszközre</t>
  </si>
  <si>
    <t>Költségvetési évben esedékes követelések felhalmozási célú pénzeszközre</t>
  </si>
  <si>
    <t>Költségvetési évben esedékes követelések finanszírozási bevételekre</t>
  </si>
  <si>
    <t xml:space="preserve"> - ebből: költségvetési évben esedékes követelések államháztartáson belüli megelőlegezések törlesztésére</t>
  </si>
  <si>
    <t>Költségvetési évben esedékes követelések</t>
  </si>
  <si>
    <t>Költségvetési évet követőn esedékes követelések működési célú támogatások bevételeire államháztartáson belülről</t>
  </si>
  <si>
    <t>Költségvetési évet követően esedékes követelések felhalmozási célú támogatások bevételeire államháztartáson belülről</t>
  </si>
  <si>
    <t>Költségvetési évet követően esedékes követelések közhatalmi bevételekre</t>
  </si>
  <si>
    <t>Költségvetési évet követően esedékes követelések működési bevételekre</t>
  </si>
  <si>
    <t>Költségvetési évet követően esedékes követelések felhalmozási bevételekre</t>
  </si>
  <si>
    <t>Költségvetési évet követően esedékes követelések felhalmozási célú pénzeszközre</t>
  </si>
  <si>
    <t xml:space="preserve"> - ebből: költségvetési évet követően esedékes követelések államháztartáson belüli megelőlegezések törlesztésére</t>
  </si>
  <si>
    <t>költségvetési évet követően esedékes követelések</t>
  </si>
  <si>
    <t>Adott előlegek</t>
  </si>
  <si>
    <t xml:space="preserve"> - ebből: immateriális javakra adott előlegek</t>
  </si>
  <si>
    <t xml:space="preserve"> - ebből: beruházásokra adott előlegek</t>
  </si>
  <si>
    <t xml:space="preserve"> - ebből. Készletekre adott előlegek</t>
  </si>
  <si>
    <t xml:space="preserve"> - ebből: foglalkoztatottaknak adott előlegek</t>
  </si>
  <si>
    <t xml:space="preserve"> - ebből: egyéb adott előlegek</t>
  </si>
  <si>
    <t>Továbbadási célból folyósított támogatások, ellátások elszámolása</t>
  </si>
  <si>
    <t>Más által beszedett bevételek elszámolása</t>
  </si>
  <si>
    <t>Forgótőke elszámolása</t>
  </si>
  <si>
    <t>Vagyonkezelésbe adott eszközökkel kapcsolatos visszapótlási követelés elszámolása</t>
  </si>
  <si>
    <t>Nem társadalombiztosítás pénzügyi alapjait terhelő kifizetett ellátások megtérítésének elszámolása</t>
  </si>
  <si>
    <t>Folyósított, megelőlegezett társadalombiztosítási és családtámogatási ellátások elszámolása</t>
  </si>
  <si>
    <t>Követelés jellegű sajátos elszámolások</t>
  </si>
  <si>
    <t>D)</t>
  </si>
  <si>
    <t>KÖVETELÉSEK</t>
  </si>
  <si>
    <t>E)</t>
  </si>
  <si>
    <t>EGYÉB SAJÁTOS ESZKÖZOLDALI ELSZÁMOLÁSOK</t>
  </si>
  <si>
    <t>Eredményszemléletű bevételek aktív időbeni elhatárolása</t>
  </si>
  <si>
    <t>Költségek, ráfordítások aktív időbeni elhatárolása</t>
  </si>
  <si>
    <t>Halasztott ráfordítások</t>
  </si>
  <si>
    <t>F)</t>
  </si>
  <si>
    <t>AKTÍV IDŐBELI ELHATÁROLÁSOK</t>
  </si>
  <si>
    <t>E S Z K Ö Z Ö K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</si>
  <si>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</si>
  <si>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</si>
  <si>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</si>
  <si>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</si>
  <si>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</si>
  <si>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</si>
  <si>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</si>
  <si>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</si>
  <si>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</si>
  <si>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</si>
  <si>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</si>
  <si>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</si>
  <si>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</si>
  <si>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</si>
  <si>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</si>
  <si>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</si>
  <si>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</si>
  <si>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</si>
  <si>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</si>
  <si>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</si>
  <si>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</si>
  <si>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</si>
  <si>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</si>
  <si>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</si>
  <si>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</si>
  <si>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</si>
  <si>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</si>
  <si>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</si>
  <si>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</si>
  <si>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</si>
  <si>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</si>
  <si>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</si>
  <si>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</si>
  <si>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</si>
  <si>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</si>
  <si>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</si>
  <si>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</si>
  <si>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</si>
  <si>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</si>
  <si>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</si>
  <si>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</si>
  <si>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</si>
  <si>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</si>
  <si>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</si>
  <si>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</si>
  <si>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</si>
  <si>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</si>
  <si>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EGYÉB MŰKÖDÉSI CÉLÚ KIADÁSOK</t>
  </si>
  <si>
    <t>EGYÉB FELHALMOZÁSI CÉLÚ KIADÁSOK</t>
  </si>
  <si>
    <t>FELHALMOZÁSI CÉLÚ VISSZATÉRITENDŐ TÁMOGATÁSOK, KÖLCSÖNÖK NYÚJTÁSA ÁLLAMHÁZTARTÁSON KÍVÜLRE</t>
  </si>
  <si>
    <t>Lakáshoz jutast segítő támogatás</t>
  </si>
  <si>
    <t>FELHALMOZÁSI CÉLÚ VISSZATÉRITENDŐ TÁMOGATÁSOK, KÖLCSÖNÖK NYÚJTÁSA ÁLLAMHÁZTARTÁSON KÍVÜLRE ÖSSZESEN:</t>
  </si>
  <si>
    <t>EGYÉB FELHALMOZÁSI CÉLÚ KIADÁSOK ÖSSZESEN:</t>
  </si>
  <si>
    <t>150.</t>
  </si>
  <si>
    <t>Nemzeti vagyon induláskori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</si>
  <si>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</si>
  <si>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</si>
  <si>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</si>
  <si>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</si>
  <si>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VI.</t>
  </si>
  <si>
    <t>Mérleg szerinti eredmény</t>
  </si>
  <si>
    <t>G)</t>
  </si>
  <si>
    <t>SAJÁT TŐKE</t>
  </si>
  <si>
    <t>h.</t>
  </si>
  <si>
    <t>költségvetési évben esedékes kötelezettségek személyi juttatásokra</t>
  </si>
  <si>
    <t>Költségvetési évben esedékes kötelezettségek munkaadókat terhelő járulékokra és szociális hozzájárulási adóra</t>
  </si>
  <si>
    <t>H</t>
  </si>
  <si>
    <t>Költségvetési évben esedékes kötelezettségek egyéb működési célú kiadásokra</t>
  </si>
  <si>
    <t xml:space="preserve"> - ebből: költségvetési évben esedékes kötelezettségek működési célú visszatérítendő támogatások, kölcsönök törlesztésére államháztartáson belülre</t>
  </si>
  <si>
    <t>Költségvetési évben esedékes kötelezettségek felújításokra</t>
  </si>
  <si>
    <t>Költségvetési évben esedékes kötelezettségek egyéb felhalmozási célú kiadásokra</t>
  </si>
  <si>
    <t xml:space="preserve"> - ebből: költségvetési évben esedékes kötelezettségek felhalmozási célú visszatérítendő támogatások, kölcsönök törlesztésére államháztartáson belülre</t>
  </si>
  <si>
    <t>Költségvetési évben esedékes kötelezettségek finanszírozási kiadásokra</t>
  </si>
  <si>
    <t xml:space="preserve"> - ebből. Költségvetési évben esedékes kötelezettségek államháztartáson belüli megelőlegezések visszafizetésére</t>
  </si>
  <si>
    <t xml:space="preserve"> - ebből: költségvetési évben esedékes kötelezettségek hosszú lejáratú hitelek, kölcsönök törlesztésére</t>
  </si>
  <si>
    <t xml:space="preserve"> - ebből: költségvetési évben esedékes kötelezettségek likviditási célú hitelek, kölcsönök törlesztésére pénzügyi vállalkozásoknak</t>
  </si>
  <si>
    <t xml:space="preserve"> - ebből költségvetési évben esedékes kötelezettségek rövid lejáratú hitelek, kölcsönök törlesztésére</t>
  </si>
  <si>
    <t>f.</t>
  </si>
  <si>
    <t xml:space="preserve"> - ebből: költségvetési évben esedékes kötelezettségek forgatási célú belföldi értékpapírok beváltására</t>
  </si>
  <si>
    <t>g.</t>
  </si>
  <si>
    <t xml:space="preserve"> - ebből: költségvetési évben esedékes kötelezettségek befektetési célú belföldi értékpapírok beváltására</t>
  </si>
  <si>
    <t xml:space="preserve"> - ebből: költségvetési évben esedékes kötelezettségek külföldi értékpapírok beváltására</t>
  </si>
  <si>
    <t>I,</t>
  </si>
  <si>
    <t>Költségvetési évben esedékes kötelezettségek</t>
  </si>
  <si>
    <t>költségvetési évet követően esedékes kötelezettségek személyi juttatásokra</t>
  </si>
  <si>
    <t>Költségvetési évet követően esedékes kötelezettségek munkaadókat terhelő járulékokra és szociális hozzájárulási adóra</t>
  </si>
  <si>
    <t>Költségvetési évet követően esedékes kötelezettségek egyéb működési célú kiadásokra</t>
  </si>
  <si>
    <t>Költségvetési évet követően esedékes kötelezettségek felújításokra</t>
  </si>
  <si>
    <t>Költségvetési évet követően esedékes kötelezettségek egyéb felhalmozási célú kiadásokra</t>
  </si>
  <si>
    <t xml:space="preserve"> - ebből: költségvetési évet követően esedékes kötelezettségek felhalmozási célú visszatérítendő támogatások, kölcsönök törlesztésére államháztartáson belülre</t>
  </si>
  <si>
    <t>Költségvetési évet követően esedékes kötelezettségek finanszírozási kiadásokra</t>
  </si>
  <si>
    <t xml:space="preserve"> - ebből. Költségvetési évet követően esedékes kötelezettségek államháztartáson belüli megelőlegezések visszafizetésére</t>
  </si>
  <si>
    <t xml:space="preserve"> - ebből: költségvetési évet követően esedékes kötelezettségek hosszú lejáratú hitelek, kölcsönök törlesztésére</t>
  </si>
  <si>
    <t xml:space="preserve"> - ebből: költségvetési évet követően esedékes kötelezettségek likviditási célú hitelek, kölcsönök törlesztésére pénzügyi vállalkozásoknak</t>
  </si>
  <si>
    <t xml:space="preserve"> - ebből költségvetési évet követően esedékes kötelezettségek rövid lejáratú hitelek, kölcsönök törlesztésére</t>
  </si>
  <si>
    <t xml:space="preserve"> - ebből: költségvetési évet követően esedékes kötelezettségek forgatási célú belföldi értékpapírok beváltására</t>
  </si>
  <si>
    <t xml:space="preserve"> - ebből: költségvetési évet követően esedékes kötelezettségek befektetési célú belföldi értékpapírok beváltására</t>
  </si>
  <si>
    <t xml:space="preserve"> - ebből: költségvetési évet követően esedékes kötelezettségek külföldi értékpapírok beváltására</t>
  </si>
  <si>
    <t>Költségvetési évet követően esedékes kötelezettségek</t>
  </si>
  <si>
    <t>Kapott előlegek</t>
  </si>
  <si>
    <t>Továbbadási célú folyósított támogatások, ellátások elszámolása</t>
  </si>
  <si>
    <t>Más szervezetet megillető bevételek elszámolása</t>
  </si>
  <si>
    <t>Forgótőke elszámolása (Kincstár)</t>
  </si>
  <si>
    <t>Vagyonkezelésbe vett eszközökkel kapcsolatos visszapótlási kötelezettség elszámolása</t>
  </si>
  <si>
    <t>Munkáltató által korengedményes nyugdíjhoz megfizetett hozzájárulás elszámolása</t>
  </si>
  <si>
    <t>Kötelezettség jellegű sajátos leszámolások</t>
  </si>
  <si>
    <t xml:space="preserve"> - ebből: költségvetési évet követően esedékes kötelezett- ségek működési célú visszatérítendő támogatások, kölcsönök törlesztésére államháztartáson belülre</t>
  </si>
  <si>
    <t>H)</t>
  </si>
  <si>
    <t xml:space="preserve">KÖTELEZETTSÉGEK </t>
  </si>
  <si>
    <t>Eredményszemléletű bevételek passzív időbeli elhatárolása</t>
  </si>
  <si>
    <t>151.</t>
  </si>
  <si>
    <t>152.</t>
  </si>
  <si>
    <t>153.</t>
  </si>
  <si>
    <t>154.</t>
  </si>
  <si>
    <t>Költségek, ráfordítások passzív időbeli elhatárolása</t>
  </si>
  <si>
    <t>Halasztott eredményszemléletű bevételek</t>
  </si>
  <si>
    <t>K)</t>
  </si>
  <si>
    <t>PASSZÍV IDŐBELI ELHATÁROLÁSOK</t>
  </si>
  <si>
    <t>F O R R Á S O K</t>
  </si>
  <si>
    <t xml:space="preserve"> - járművek</t>
  </si>
  <si>
    <t>TÖRZSVAGYON</t>
  </si>
  <si>
    <t>Sor-     szám</t>
  </si>
  <si>
    <t>tárgyi évi</t>
  </si>
  <si>
    <t>Alaptevékenység költségvetési bevételei</t>
  </si>
  <si>
    <t>Alaptevékenység költségvetési kiadásai</t>
  </si>
  <si>
    <t xml:space="preserve">Alaptevékenység költségvetési egyenlege 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</si>
  <si>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</si>
  <si>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</si>
  <si>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</si>
  <si>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</si>
  <si>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Vállalkozási tevékenység költségvetési bevételei</t>
  </si>
  <si>
    <t>Vállalkozási tevékenység költségvetési kiadásai</t>
  </si>
  <si>
    <t>Vállalkozási tevékenység költségvetési egyenlege</t>
  </si>
  <si>
    <t>Vállalkozási tevékenység finanszírozási bevételei</t>
  </si>
  <si>
    <t>Vállalkozási tevékenység finanszírozási kiadásai</t>
  </si>
  <si>
    <t>vállalkozási tevékenység finanszírozási egyenlege</t>
  </si>
  <si>
    <t>VÁLLALKOZÁSI TEVÉKENYSÉG MARADVÁNYA</t>
  </si>
  <si>
    <t>ÖSSZES MARADVÁNY</t>
  </si>
  <si>
    <t>Alaptevékenység kötelezettségvállalással terhelt maradványa</t>
  </si>
  <si>
    <t>ALAPTEVÉKENYSÉG SZABAD MARADVÁNYA</t>
  </si>
  <si>
    <t>IX        Pénzügyi műveletek ráfordításai (=19+20+21) (33=29+...+31)</t>
  </si>
  <si>
    <t>B)        PÉNZÜGYI MŰVELETEK EREDMÉNYE (=VIII-IX) (34=28-33)</t>
  </si>
  <si>
    <t>E)        MÉRLEG SZERINTI EREDMÉNY (=±C±D) (41=±35±40)</t>
  </si>
  <si>
    <t>IX.</t>
  </si>
  <si>
    <t>Közhatalmi eredményszemléletű bevételek</t>
  </si>
  <si>
    <t>Az önkormányzat tulajdonában lévő, külön jogszabály alapján érték nélkül nyilvántartott eszközök állománya</t>
  </si>
  <si>
    <t>(db)</t>
  </si>
  <si>
    <t>Használatban lévő kisértékű tárgyi eszközök</t>
  </si>
  <si>
    <t>A nemzeti vagyonról szóló 2011. évi CXCVI. Törvény 1.§ (2) bekezdése g) pontja szerinti kulturális javak</t>
  </si>
  <si>
    <t>A nemzeti vagyonról szóló 2011. évi CXCVI. Törvény 1.§ (2) bekezdése h) pontja szerinti régészeti leletek</t>
  </si>
  <si>
    <t>függő követelések</t>
  </si>
  <si>
    <t>függő kötelezettségek</t>
  </si>
  <si>
    <t>biztos (jövőbeni) követelések</t>
  </si>
  <si>
    <t>"0"-ra leírt, de használatban lévő, illetve használaton kívüli eszközök állománya (bruttó érték)</t>
  </si>
  <si>
    <t>A mérlegben értékben nem szereplő kötelezettségek</t>
  </si>
  <si>
    <t>kezességvállalás ( tőke összege)</t>
  </si>
  <si>
    <t>garanciavállalás</t>
  </si>
  <si>
    <t xml:space="preserve"> FORGALOMKÉPES (ÜZLETI) VAGYON</t>
  </si>
  <si>
    <t>Bevételek:</t>
  </si>
  <si>
    <t>Összes bevétel:</t>
  </si>
  <si>
    <t>Tárgyévi bevétel</t>
  </si>
  <si>
    <t>Kiadások:</t>
  </si>
  <si>
    <t>Összes kiadás:</t>
  </si>
  <si>
    <t xml:space="preserve"> - korrekciós tételek: (361-363, 356-367. fkv-i számla egyenlege, 3671 fkv-i számla forgalma) </t>
  </si>
  <si>
    <t>FINANSZÍROZÁSI BEVÉTELEK ÖSSZESEN:</t>
  </si>
  <si>
    <t xml:space="preserve">SITKE KÖZSÉG ÖNKORMÁNYZATA  </t>
  </si>
  <si>
    <t xml:space="preserve">  MŰKÖDÉSI KIADÁSAI KIEMELT ELŐIRÁNYZATONKÉNT ÉS KORMÁNYZATI FUNKCIÓNKÉNT</t>
  </si>
  <si>
    <t>FELHALMOZÁSI KIADÁSAI KIEMELT ELŐIRÁNYZATONKÉNT ÉS KORMÁNYZATI FUNKCIÓNKÉNT</t>
  </si>
  <si>
    <t>Táborozás támogatása</t>
  </si>
  <si>
    <t>Gyermekek természetbeni ellátása (Erzsébet utalvány)</t>
  </si>
  <si>
    <t xml:space="preserve">  - levonva:  költségvetési maradvány (0981313)</t>
  </si>
  <si>
    <t>VAGYONMÉRLEGE</t>
  </si>
  <si>
    <t>VAGYONKIMUTATÁSA</t>
  </si>
  <si>
    <t>ESZKÖZÖK - FORRÁSOK</t>
  </si>
  <si>
    <t xml:space="preserve">használatban lévő kisértékű immateriális javak </t>
  </si>
  <si>
    <t>Függő követelések és kötelezettségek, biztos( jövőbeni) követelések</t>
  </si>
  <si>
    <t>eszközcsoportok átlagos elhasználódottsági foka                             (%)</t>
  </si>
  <si>
    <t xml:space="preserve"> - üzemeltetésre, kezelésre átadott  koncesszióba, vagyonkezelésbe adott, illetve vagyonkezelésbe vett eszközök</t>
  </si>
  <si>
    <t xml:space="preserve"> RÉSZESEDÉSEINEK, ÉRTÉKPAPÍRJAINAK </t>
  </si>
  <si>
    <t xml:space="preserve"> KÖLTSÉGVETÉSI MARADVÁNY-KIMUTATÁSA</t>
  </si>
  <si>
    <t>EREDMÉNYKIMUTATÁSA</t>
  </si>
  <si>
    <t>közalkalmazottak</t>
  </si>
  <si>
    <t>közfoglalkoztatottak összesen:</t>
  </si>
  <si>
    <t>formája: készfizető kezességvállalás</t>
  </si>
  <si>
    <t>KÖZVETETT TÁMOGATÁSOK</t>
  </si>
  <si>
    <t>SAJÁT BEVÉTELEINEK, VALAMINT AZ ADÓSSÁGOT KELETKEZTETŐ ÜGYLETEIBŐL ADÓDÓ</t>
  </si>
  <si>
    <t xml:space="preserve">FIZETÉSI KÖTELEZETTSÉGEINEK BEMUTATÁSA </t>
  </si>
  <si>
    <t xml:space="preserve">visszavásárlási kötelezettség kikötésével megkötött adásvételi szerződés eladói félként történő megkötése a vásárlási kötelezettség kikötésével megkötött adásvételi szerződés </t>
  </si>
  <si>
    <t>Eszközök és szolgáltatások értékesítése nettó eredményszemléletű bevételei</t>
  </si>
  <si>
    <t>Tevékenység egyéb nettó eredményszemléletű bevételei</t>
  </si>
  <si>
    <t>013320</t>
  </si>
  <si>
    <t>013350</t>
  </si>
  <si>
    <t>Önkormányzati vagyonnal való gazdálkodással kapcsolatos feladatok</t>
  </si>
  <si>
    <t>018010</t>
  </si>
  <si>
    <t>Önkormányzatok elszámolásai a központi költségvetéssel</t>
  </si>
  <si>
    <t>Téli közfoglalkoztatás</t>
  </si>
  <si>
    <t>041233</t>
  </si>
  <si>
    <t>Hosszabb időtartamú közfoglalkoztatás</t>
  </si>
  <si>
    <t>ESZKÖZÖK</t>
  </si>
  <si>
    <t>FORRÁSOK</t>
  </si>
  <si>
    <t>01.</t>
  </si>
  <si>
    <t>02.</t>
  </si>
  <si>
    <t>03.</t>
  </si>
  <si>
    <t>04.</t>
  </si>
  <si>
    <t>05.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</si>
  <si>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</si>
  <si>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</si>
  <si>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</si>
  <si>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</si>
  <si>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</si>
  <si>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</si>
  <si>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</si>
  <si>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</si>
  <si>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</si>
  <si>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</si>
  <si>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</si>
  <si>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</si>
  <si>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</si>
  <si>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</si>
  <si>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</si>
  <si>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</si>
  <si>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Előző időszak</t>
  </si>
  <si>
    <t>módosítások</t>
  </si>
  <si>
    <t>Tárgyi időszak</t>
  </si>
  <si>
    <t>Immateriális javak</t>
  </si>
  <si>
    <t>Gépek, berendezések, felszerelések  , járművek</t>
  </si>
  <si>
    <t>06.</t>
  </si>
  <si>
    <t>07.</t>
  </si>
  <si>
    <t>08.</t>
  </si>
  <si>
    <t>09.</t>
  </si>
  <si>
    <t xml:space="preserve">Tárgyi eszközök  </t>
  </si>
  <si>
    <t>Tartós részesedések</t>
  </si>
  <si>
    <t xml:space="preserve"> - ebből: tartós részesedések jegybankban</t>
  </si>
  <si>
    <t xml:space="preserve"> - ebből: tartós részesedések társulásban</t>
  </si>
  <si>
    <t>Tartós hitelviszonyt megtestesítő értékpapírok</t>
  </si>
  <si>
    <t xml:space="preserve"> - ebből: államkötvények</t>
  </si>
  <si>
    <t xml:space="preserve"> - ebből: helyi önkormányzatok kötvényei</t>
  </si>
  <si>
    <t>Koncesszióba, vagyonkezelésbe adott eszközök</t>
  </si>
  <si>
    <t>Koncesszióba, vagyonkezelésbe adott eszközök értékhelyesbítése</t>
  </si>
  <si>
    <t>A)</t>
  </si>
  <si>
    <t>Vásárolt készletek</t>
  </si>
  <si>
    <t>Átsorolt, követelés fejében átvett készletek</t>
  </si>
  <si>
    <t>Egyéb készletek</t>
  </si>
  <si>
    <t>Befejezetlen termelés, félkész termékek, késztermékek</t>
  </si>
  <si>
    <t>052080</t>
  </si>
  <si>
    <t>Szennyvízcsatorna építése, fenntartása, üzemeltetése</t>
  </si>
  <si>
    <t>064010</t>
  </si>
  <si>
    <t>066020</t>
  </si>
  <si>
    <t>Város- és községgazdálkodási egyéb szolgáltatások</t>
  </si>
  <si>
    <t>082044</t>
  </si>
  <si>
    <t>086020</t>
  </si>
  <si>
    <t>Helyi, térségi közösségi tér biztosítása, működtetése</t>
  </si>
  <si>
    <t>096010</t>
  </si>
  <si>
    <t>Gyermekvédelmi pénzbeni és természetbeni ellátása</t>
  </si>
  <si>
    <t>107051</t>
  </si>
  <si>
    <t>Egyéb szociális pénzbeni és természetbeni ellátások, támogatások</t>
  </si>
  <si>
    <t>Önkormányzatok funkcióba nem sorolható bevételei államháztartáson kívülről</t>
  </si>
  <si>
    <t>Szabad kapacitás terhére végzett, nem haszonszerzési célú tevékenységek kiadásai és bevételei</t>
  </si>
  <si>
    <t>045160</t>
  </si>
  <si>
    <t>051030</t>
  </si>
  <si>
    <t>Nem veszélyes (települési) hulladék vegyes (ömlesztett ) begyűjtése, szállítása, átrakás</t>
  </si>
  <si>
    <t>061030</t>
  </si>
  <si>
    <t>Lakáshoz jutást segítő támogatások</t>
  </si>
  <si>
    <t>066010</t>
  </si>
  <si>
    <t>072111</t>
  </si>
  <si>
    <t>081041</t>
  </si>
  <si>
    <t>Versenysport és utánpótlás-nevelési tevékenység és támogatása</t>
  </si>
  <si>
    <t>084031</t>
  </si>
  <si>
    <t>094260</t>
  </si>
  <si>
    <t>Hallgatói és oktatói ösztöndíjak, egyéb juttatások</t>
  </si>
  <si>
    <t>Lakásfenntartással, lakhatással összefüggő ellátások</t>
  </si>
  <si>
    <t>Egyéb szociális természetbeni és pénzbeni ellátások</t>
  </si>
  <si>
    <t>KIADÁSAI KIEMELT ELŐIRÁNYZATONKÉNT ÉS KORMÁNYZATI FUNKCIÓNKÉNT</t>
  </si>
  <si>
    <t>ellátottak juttatásai</t>
  </si>
  <si>
    <t>egyéb működési kiadások</t>
  </si>
  <si>
    <t>082093</t>
  </si>
  <si>
    <t>Közművelődés - egész életre kiterjedő tanulás, amatőr művészetek</t>
  </si>
  <si>
    <t>052020</t>
  </si>
  <si>
    <t>Szennyvíz gyűjtése,tisztítása, elhelyezése</t>
  </si>
  <si>
    <t>egyéb felhalmozási kiadások</t>
  </si>
  <si>
    <t>KÖTELEZŐ, ÖNKÉNT VÁLLALT ÉS ÁLLAMI (ÁLLAMIGAZGATÁSI) FELADATAINAK KIADÁSAI</t>
  </si>
  <si>
    <t>kiadás                                       összesen:</t>
  </si>
  <si>
    <t>EGYÉB MŰKÖDÉSI ÉS FELHALMOZÁSI KIADÁSAI</t>
  </si>
  <si>
    <t>EGYÉB MŰKÖDÉSI CÉLÚ TÁMOGATÁSOK ÁLLAMHÁZTARTÁSON BELÜLRE</t>
  </si>
  <si>
    <t>Sághegy Leader tagdíj</t>
  </si>
  <si>
    <t>Kistérségi tagsági díj</t>
  </si>
  <si>
    <t>EGYÉB MŰKÖDÉSI CÉLÚ TÁMOGATÁSOK ÁLLAMHÁZTARTÁSON BELÜLRE ÖSSZESEN:</t>
  </si>
  <si>
    <t>EGYÉB MŰKÖDÉSI CÉLÚ TÁMOGATÁSOK ÁLLAMHÁZTARTÁSON KÍVÜLRE</t>
  </si>
  <si>
    <t>Hímzőszakkör támogatása</t>
  </si>
  <si>
    <t>Nyugdíjas Klub</t>
  </si>
  <si>
    <t xml:space="preserve">Tekeszakosztály </t>
  </si>
  <si>
    <t>Labdarugó Szakosztály támogatása</t>
  </si>
  <si>
    <t>EGYÉB MŰKÖDÉSI CÉLÚ TÁMOGATÁSOK ÁLLAMHÁZTARTÁSON KÍVÜLRE ÖSSZESEN:</t>
  </si>
  <si>
    <t>EGYÉB MŰKÖDÉSI KIADÁSOK ÖSSZESEN:</t>
  </si>
  <si>
    <t>központi költségvetési kapcsolatok elszámolása</t>
  </si>
  <si>
    <t>ELLÁTOTTAK JUTTATÁSAI</t>
  </si>
  <si>
    <t xml:space="preserve">SITKE KÖZSÉG ÖNKORMÁNYZATA   </t>
  </si>
  <si>
    <t>FELÚJÍTÁSI KIADÁSAI</t>
  </si>
  <si>
    <t>törzsvagyon</t>
  </si>
  <si>
    <t>forgalomképtelen vagyon</t>
  </si>
  <si>
    <t>korlátozottan forgalomképes vagyon</t>
  </si>
  <si>
    <t>forgalomképes (üzleti) vagyon</t>
  </si>
  <si>
    <r>
      <t xml:space="preserve">Készletek </t>
    </r>
    <r>
      <rPr>
        <sz val="11"/>
        <rFont val="Times New Roman"/>
        <family val="1"/>
      </rPr>
      <t>(forgalomképes)</t>
    </r>
  </si>
  <si>
    <r>
      <t xml:space="preserve">Értékpapírok </t>
    </r>
    <r>
      <rPr>
        <sz val="11"/>
        <rFont val="Times New Roman"/>
        <family val="1"/>
      </rPr>
      <t>(forgalomképes)</t>
    </r>
  </si>
  <si>
    <t>Hosszú lejáratú betétek (forgalomképes)</t>
  </si>
  <si>
    <t>E S Z K Ö Z Ö K    ÖSSZESEN:</t>
  </si>
  <si>
    <t>F O R R Á S O K   ÖSSZESEN:</t>
  </si>
  <si>
    <t>II. A KÖNYVVITELI MÉRLEGBEN NEM SZEREPLŐ ESZKÖZÖK ÉS KÖTELEZETTSÉGEK</t>
  </si>
  <si>
    <t>KÖLTSÉGVETÉSI (MŰKÖDÉSI ÉS FELHALMOZÁSI) MÉRLEGE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</si>
  <si>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</si>
  <si>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</si>
  <si>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</si>
  <si>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</si>
  <si>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</si>
  <si>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</si>
  <si>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</si>
  <si>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</si>
  <si>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</si>
  <si>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</si>
  <si>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</si>
  <si>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</si>
  <si>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</si>
  <si>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egyéb működési célú támogatások államháztartáson belülre</t>
  </si>
  <si>
    <t xml:space="preserve"> - egyéb működési célú támogatások államháztartáson kívülre</t>
  </si>
  <si>
    <t xml:space="preserve"> - tartalékok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</si>
  <si>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</si>
  <si>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</si>
  <si>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</si>
  <si>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</si>
  <si>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</si>
  <si>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</si>
  <si>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Felújítások</t>
  </si>
  <si>
    <t>Egyéb felhalmozási kiadások</t>
  </si>
  <si>
    <t xml:space="preserve"> - egyéb felhalmozási célú támogatások államháztartáson kívülre</t>
  </si>
  <si>
    <t>Előző év költségvetési maradványának igénybevétele</t>
  </si>
  <si>
    <t>Hitel-, kölcsöntörlesztés államháztartáson kívülre</t>
  </si>
  <si>
    <t>Befektetési célú belföldi értékpapírok vásárlása</t>
  </si>
  <si>
    <t>Államháztartáson belüli megelőlegezések visszafizetése</t>
  </si>
  <si>
    <t>fizetési kötelezettség összesen</t>
  </si>
  <si>
    <t>Fizetési kötelezettséggel csökkentett saját bevétel összege</t>
  </si>
  <si>
    <t>(közgazdasági tagolásban)</t>
  </si>
  <si>
    <t>módosított</t>
  </si>
  <si>
    <t>Finanszírozási bevételek összesen:</t>
  </si>
  <si>
    <t>Finanszírozási kiadások összesen:</t>
  </si>
  <si>
    <t>Önkormányzat bevételei mindösszesen:</t>
  </si>
  <si>
    <t>Önkormányzat kiadásai mindösszesen:</t>
  </si>
  <si>
    <t>település-üzemeltetéshez kapcsolódó feladatellátás támogatása</t>
  </si>
  <si>
    <t>Könyvtári, közművelődési és múzeumi feladatok támogatása</t>
  </si>
  <si>
    <t>VII.</t>
  </si>
  <si>
    <t>VIII.</t>
  </si>
  <si>
    <t>Közutak, hidak, alagutak üzemeltetése, fenntartása</t>
  </si>
  <si>
    <t>Házi segítségnyújtás</t>
  </si>
  <si>
    <t>működési kiadások összesen:</t>
  </si>
  <si>
    <t>tejesítés %-a</t>
  </si>
  <si>
    <t>sorszám</t>
  </si>
  <si>
    <t>Vagyoni értékű jogok</t>
  </si>
  <si>
    <t>Szellemi termékek</t>
  </si>
  <si>
    <t>Immateriális javak értékhelyesbítése</t>
  </si>
  <si>
    <t>II.</t>
  </si>
  <si>
    <t>Ingatlanok és a  kapcsolódó vagyoni  értékű jogok</t>
  </si>
  <si>
    <t>Tenyészállatok</t>
  </si>
  <si>
    <t>Beruházások, felújítások</t>
  </si>
  <si>
    <t>Tárgyi eszközök értékhelyesbítése</t>
  </si>
  <si>
    <t>III.</t>
  </si>
  <si>
    <t>Befektetett pénzügyi eszközök</t>
  </si>
  <si>
    <t>Befektetett pénzeszközök értékhelyesbítése</t>
  </si>
  <si>
    <t>IV.</t>
  </si>
  <si>
    <t>Készletek</t>
  </si>
  <si>
    <t>Növendék, hízó és egyéb állatok</t>
  </si>
  <si>
    <t>Értékpapírok</t>
  </si>
  <si>
    <t>Forgatási célú hitelviszonyt megtestesítő értékpapírok</t>
  </si>
  <si>
    <t>V.</t>
  </si>
  <si>
    <t>Sor- szám</t>
  </si>
  <si>
    <t>Projekt  megnevezése</t>
  </si>
  <si>
    <t>támoga-  tás mértéke %</t>
  </si>
  <si>
    <t>megvalósítás időszaka</t>
  </si>
  <si>
    <t>forrásösszetétel</t>
  </si>
  <si>
    <t>saját erő</t>
  </si>
  <si>
    <t>támogatás</t>
  </si>
  <si>
    <t>teljesített kiadás</t>
  </si>
  <si>
    <t>kapott támogatás</t>
  </si>
  <si>
    <t>felmerült költség</t>
  </si>
  <si>
    <t>összesen:</t>
  </si>
  <si>
    <t xml:space="preserve"> 2. Méltányossági eljárás</t>
  </si>
  <si>
    <t xml:space="preserve"> - fizetési halasztás</t>
  </si>
  <si>
    <t xml:space="preserve"> - részletfizetés</t>
  </si>
  <si>
    <t xml:space="preserve"> összesen:</t>
  </si>
  <si>
    <t>súlyos mozgáskorlátozottak</t>
  </si>
  <si>
    <t>Gjt. 5.§. f. pont</t>
  </si>
  <si>
    <t>adóalanyok</t>
  </si>
  <si>
    <t>Gjt. 6.§.(3) bek.</t>
  </si>
  <si>
    <t>KEZESSÉGVÁLLALÁSOK ÁLLOMÁNYA</t>
  </si>
  <si>
    <t>2015.                                     év</t>
  </si>
  <si>
    <t>2016.                                     év</t>
  </si>
  <si>
    <t>2017.                                     év</t>
  </si>
  <si>
    <t>2018.                                     év</t>
  </si>
  <si>
    <t>2019.                                     év</t>
  </si>
  <si>
    <t>Költségvetési évet követően esedékes követelések</t>
  </si>
  <si>
    <t>KÖTELEZETTSÉGEK</t>
  </si>
  <si>
    <t>Költségvetési évet terhelő kötelezettségek</t>
  </si>
  <si>
    <t>Kötelezettség jellegű sajátos elszámolások</t>
  </si>
  <si>
    <t>önkormányzati vagyon és az önkormányzatot megillető vagyoni értékű jog értékesítéséből és hasznosításából származó bevétel</t>
  </si>
  <si>
    <t>az osztalék, a koncessziós díj és a hozambevétel,</t>
  </si>
  <si>
    <t>a tárgyi eszköz és az immateriális jószág, részvény, részesedés, vállalat értékesítéséből vagy privatizációból származó bevétel</t>
  </si>
  <si>
    <t>bírság-, pótlék- és díjbevétel</t>
  </si>
  <si>
    <t>hitel, kölcsön felvétele, átvállalása a folyósítás, átvállalás napjától a végtörlesztés napjáig, és annak aktuális tőketartozása,</t>
  </si>
  <si>
    <t> számvitelről szóló törvény szerinti hitelviszonyt megtestesítő értékpapír forgalomba hozatala a forgalomba hozatal napjától a beváltás napjáig,</t>
  </si>
  <si>
    <t> váltó kibocsátása a kibocsátás napjától a beváltás napjáig, </t>
  </si>
  <si>
    <t>Szt. szerint pénzügyi lízing lízingbevevői félként történő megkötése a lízing futamideje alatt, </t>
  </si>
  <si>
    <t>szerződésben kapott, legalább háromszázhatvanöt nap időtartamú halasztott fizetés, részletfizetés,</t>
  </si>
  <si>
    <t>hitelintézetek által, származékos műveletek különbözeteként az Államadósság Kezelő Központ Zrt.-nél  elhelyezett fedezeti betétek, </t>
  </si>
  <si>
    <t>állandó lakás céljára ténylegesen használt ingatlan adóalanya</t>
  </si>
  <si>
    <t>magánsz. kommunális adója</t>
  </si>
  <si>
    <t>összesen                  (e Ft)</t>
  </si>
  <si>
    <t>gyermekkedvezmény</t>
  </si>
  <si>
    <t>térítési díj elengedése</t>
  </si>
  <si>
    <t>1. Magánszemélyek kommunális adója</t>
  </si>
  <si>
    <t xml:space="preserve">2014. évet megelőző </t>
  </si>
  <si>
    <t>2014. évi</t>
  </si>
  <si>
    <t>2015. évre áthúzódó támogatás</t>
  </si>
  <si>
    <t>Mikrobusz beszerzése (vidéki gazdaság és lakosság számára nyújtott alapszolgáltatások fejlesztése)</t>
  </si>
  <si>
    <t>2014.</t>
  </si>
  <si>
    <t>közalkalmazottak összesen:</t>
  </si>
  <si>
    <t>közfoglalkoztatottak</t>
  </si>
  <si>
    <t>Mindösszesen</t>
  </si>
  <si>
    <t>sor- szám</t>
  </si>
  <si>
    <t xml:space="preserve">SITKE KÖZSÉG ÖNKORMÁNYZATA </t>
  </si>
  <si>
    <t>Ebből:</t>
  </si>
  <si>
    <t>Tevékenység nettó eredményszemléletű bevétele</t>
  </si>
  <si>
    <t>Saját termelésű készletek állományváltozása</t>
  </si>
  <si>
    <t>Saját előállítású eszközök aktivált értéke</t>
  </si>
  <si>
    <t>Aktivált saját teljesítmények értéke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</si>
  <si>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</si>
  <si>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</si>
  <si>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</si>
  <si>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Egyéb eredményszemléletű bevételek</t>
  </si>
  <si>
    <t>Anyagköltség</t>
  </si>
  <si>
    <t>Igénybe vett szolgáltatások értéke</t>
  </si>
  <si>
    <t>Eladott áruk beszerzési értéke</t>
  </si>
  <si>
    <t>Eladott (közvetített) szolgáltatások értéke</t>
  </si>
  <si>
    <t>Anyagjellegű ráfordítások</t>
  </si>
  <si>
    <t>Bérköltség</t>
  </si>
  <si>
    <t>Személyi jellegű egyéb kifizetések</t>
  </si>
  <si>
    <t>Bérjárulékok</t>
  </si>
  <si>
    <t xml:space="preserve">Személyi jellegű ráfordítások </t>
  </si>
  <si>
    <t>Értékcsökkenési leírás</t>
  </si>
  <si>
    <t>Egyéb ráfordítások</t>
  </si>
  <si>
    <t xml:space="preserve">TEVÉKENYSÉGEK EREDMÉNYE </t>
  </si>
  <si>
    <t>Kapott (járó) osztalék és részesedés</t>
  </si>
  <si>
    <t>Kapott (járó) kamatok és kamatjellegű eredményszemléletű bevételek</t>
  </si>
  <si>
    <t>Pénzügyi műveletek egyéb eredményszemléletű bevételei</t>
  </si>
  <si>
    <t xml:space="preserve"> - ebből: árfolyamnyereség</t>
  </si>
  <si>
    <t xml:space="preserve">Pénzügyi műveletek eredményszemléletű bevételei </t>
  </si>
  <si>
    <t>Fizetendő kamatok és kamatjellegű ráfordítások</t>
  </si>
  <si>
    <t>Részesedések, értékpapírok, pénzeszközök értékvesztése</t>
  </si>
  <si>
    <t>Pénzügyi műveletek egyéb ráfordításai</t>
  </si>
  <si>
    <t xml:space="preserve"> - ebből: árfolyamveszteség</t>
  </si>
  <si>
    <t xml:space="preserve">Pénzügyi műveletek ráfordításai </t>
  </si>
  <si>
    <t xml:space="preserve">PÉNZÜGYI MŰVELETEK EREDMÉNYE </t>
  </si>
  <si>
    <t>Felhalmozási célú támogatások eredményszemléletű bevételei</t>
  </si>
  <si>
    <t xml:space="preserve">MÉRLEG SZERINTI EREDMÉNY </t>
  </si>
  <si>
    <t>NEMZETI VAGYONBA TARTOZÓ BEFEKTETETT ESZKÖZÖK</t>
  </si>
  <si>
    <t>Pénztárak, csekkek, betétkönyvek</t>
  </si>
  <si>
    <t xml:space="preserve"> - ebből: költségvetési évben esedékes követelések működési célú visszatérítendő támogatások, kölcsönök visszatérülésére államháztartáson belülről</t>
  </si>
  <si>
    <t xml:space="preserve"> - ebből: költségvetési évben esedékes követelések felhalmozási célú visszatérítendő támogatások, kölcsönök visszatérülésére államháztartáson belülről</t>
  </si>
  <si>
    <t xml:space="preserve"> - ebből: költségvetési évben esedékes követelések működési célú visszatérítendő támogatások, kölcsönök visszatérülésére államháztartáson kívülről</t>
  </si>
  <si>
    <t xml:space="preserve"> - ebből: költségvetési évben esedékes követelések felhalmozási célú visszatérítendő támogatások, kölcsönök visszatérülésére államháztartáson kívülről</t>
  </si>
  <si>
    <t xml:space="preserve"> - ebből: költségvetési évet követően esedékes követelések működési célú visszatérítendő támogatások, kölcsönök visszatérülésére államháztartáson belülről</t>
  </si>
  <si>
    <t xml:space="preserve"> - ebből: költségvetési évet követően esedékes követelések felhalmozási célú visszatérítendő támogatások, kölcsönök visszatérülésére államháztartáson belülről</t>
  </si>
  <si>
    <t>Költségvetési évet követően esedékes követelések működési célú pénzeszközre</t>
  </si>
  <si>
    <t xml:space="preserve"> - ebből: költségvetési évet követően esedékes követelések működési célú visszatérítendő támogatások, kölcsönök visszatérülésére államháztartáson kívülről</t>
  </si>
  <si>
    <t xml:space="preserve"> - ebből: költségvetési évet követően esedékes követelések felhalmozási célú visszatérítendő támogatások, kölcsönök visszatérülésére államháztartáson kívülről</t>
  </si>
  <si>
    <t>Költségvetési évet követőem esedékes követelések finanszírozási bevételekre</t>
  </si>
  <si>
    <t>Költségvetési évben esedékes kötelezettségek dologi kiadásokra</t>
  </si>
  <si>
    <t>Költségvetési évben esedékes kötelezettségek ellátottak juttatásaira</t>
  </si>
  <si>
    <t>Költségvetési évben esedékes kötelezettségek beruházásokra</t>
  </si>
  <si>
    <t xml:space="preserve"> - ebből. Költségvetési évben esedékes kötelezettségek külföldi hitelek, kölcsönök törlesztésére</t>
  </si>
  <si>
    <t>Költségvetési évet követően esedékes kötelezettségek dologi kiadásokra</t>
  </si>
  <si>
    <t>Költségvetési évet követően esedékes kötelezettségek beruházásokra</t>
  </si>
  <si>
    <t xml:space="preserve"> - ebből. Költségvetési évet követően esedékes kötelezettségek külföldi hitelek, kölcsönök törlesztésére</t>
  </si>
  <si>
    <t xml:space="preserve">Vállalkozási tevékenységet terhelő befizetési kötelezettség </t>
  </si>
  <si>
    <t xml:space="preserve">Vállalkozási tevékenység felhasználható maradványa </t>
  </si>
  <si>
    <t>Megnevezése, fajtája, száma</t>
  </si>
  <si>
    <t>Sitkei  Viziközmű Társulat által felvett hitel</t>
  </si>
  <si>
    <t>mértéke: lakossági érdekeltségi hozzájárulás együttes összegének 20 %-a, 11.322.424 Ft</t>
  </si>
  <si>
    <t>devizaneme:       Ft</t>
  </si>
  <si>
    <t>futamideje:        2012-2019</t>
  </si>
  <si>
    <t>Részvények, részesedések</t>
  </si>
  <si>
    <t>25 % alatti részesedés:</t>
  </si>
  <si>
    <t>VASI-VÍZ Rt.</t>
  </si>
  <si>
    <t>Ft</t>
  </si>
  <si>
    <t>Részesedések, részvények összesen:</t>
  </si>
  <si>
    <t xml:space="preserve"> </t>
  </si>
  <si>
    <t>Bursa Hungarica Alapítvány támogatása</t>
  </si>
  <si>
    <t>Citerazenekar támogatása</t>
  </si>
  <si>
    <t>A támogatás kedvezményezettje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</si>
  <si>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</si>
  <si>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</si>
  <si>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</si>
  <si>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</si>
  <si>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</si>
  <si>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</si>
  <si>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</si>
  <si>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</si>
  <si>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</si>
  <si>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</si>
  <si>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>e Ft</t>
  </si>
  <si>
    <t>előirányzat</t>
  </si>
  <si>
    <t xml:space="preserve"> személyi  juttatások</t>
  </si>
  <si>
    <t>munkáltatót terhelő járulékok</t>
  </si>
  <si>
    <t xml:space="preserve"> Dologi  kiadások</t>
  </si>
  <si>
    <t>Megnevezés</t>
  </si>
  <si>
    <t>összesen</t>
  </si>
  <si>
    <t>szám</t>
  </si>
  <si>
    <t>tés</t>
  </si>
  <si>
    <t>sor-</t>
  </si>
  <si>
    <t>1.</t>
  </si>
  <si>
    <t>2.</t>
  </si>
  <si>
    <t>3.</t>
  </si>
  <si>
    <t>4.</t>
  </si>
  <si>
    <t>5.</t>
  </si>
  <si>
    <t>7.</t>
  </si>
  <si>
    <t>8.</t>
  </si>
  <si>
    <t>Működési bevételek összesen</t>
  </si>
  <si>
    <t>9.</t>
  </si>
  <si>
    <t>Személyi juttatások</t>
  </si>
  <si>
    <t>10.</t>
  </si>
  <si>
    <t>11.</t>
  </si>
  <si>
    <t>13.</t>
  </si>
  <si>
    <t>14.</t>
  </si>
  <si>
    <t>15.</t>
  </si>
  <si>
    <t>Működési kiadások összesen</t>
  </si>
  <si>
    <t>16.</t>
  </si>
  <si>
    <t>17.</t>
  </si>
  <si>
    <t>18.</t>
  </si>
  <si>
    <t>19.</t>
  </si>
  <si>
    <t>20.</t>
  </si>
  <si>
    <t>21.</t>
  </si>
  <si>
    <t>Előzetesen felszámított általános forgalmi adó</t>
  </si>
  <si>
    <t>B. Egyéb közvetett támogatások</t>
  </si>
  <si>
    <t>kedvezmény jogcíme</t>
  </si>
  <si>
    <t>éves kedvezmény              (e Ft)</t>
  </si>
  <si>
    <t>magánszemély</t>
  </si>
  <si>
    <t>2. lakosság részére lakásépítéshez, lakásfelújításhoz nyújtott kölcsönök elengedésének összege</t>
  </si>
  <si>
    <t>magánszemélyek</t>
  </si>
  <si>
    <t>3. ellátottak térítési díjának, illetve kártérítésének méltányossági alapon történő elengedésének összege</t>
  </si>
  <si>
    <t>-</t>
  </si>
  <si>
    <t>Sitke Község Önkormányzata</t>
  </si>
  <si>
    <t>telje-</t>
  </si>
  <si>
    <t>( e Ft-ban)</t>
  </si>
  <si>
    <t>költségvetési beszámoló</t>
  </si>
  <si>
    <t>eredeti</t>
  </si>
  <si>
    <t>teljesítés</t>
  </si>
  <si>
    <t>módos.</t>
  </si>
  <si>
    <t>teljesí-</t>
  </si>
  <si>
    <t>előir.</t>
  </si>
  <si>
    <t>%-a</t>
  </si>
  <si>
    <t>6.</t>
  </si>
  <si>
    <t>12.</t>
  </si>
  <si>
    <t>Felhalmozási bevételek összesen</t>
  </si>
  <si>
    <t>Önkormányzat bevételei összesen:</t>
  </si>
  <si>
    <t>Önkormányzat kiadásai összesen:</t>
  </si>
  <si>
    <t>Felhalmozási kiadások összesen</t>
  </si>
  <si>
    <t>Összesen:</t>
  </si>
  <si>
    <t>Óvodai intézményi étkeztetés</t>
  </si>
  <si>
    <t>Szociális étkeztetés</t>
  </si>
  <si>
    <t>III. Finanszírozási műveletek elszámolása</t>
  </si>
  <si>
    <t>MŰKÖDÉSI BEVÉTELEK ÖSSZESEN:</t>
  </si>
  <si>
    <t>( Ft-ban )</t>
  </si>
  <si>
    <t>eszközcsoport              megnevezése</t>
  </si>
  <si>
    <t>Forgalomképtelen</t>
  </si>
  <si>
    <t>korlátozottan forgalomképes</t>
  </si>
  <si>
    <t>bruttó érték</t>
  </si>
  <si>
    <t>elszámolt értékcsökkenés</t>
  </si>
  <si>
    <t>nettó érték</t>
  </si>
  <si>
    <t xml:space="preserve">Immateriális javak </t>
  </si>
  <si>
    <t xml:space="preserve"> - vagyonértékű jogok</t>
  </si>
  <si>
    <t>Ingatlanok</t>
  </si>
  <si>
    <t xml:space="preserve"> - földterületek</t>
  </si>
  <si>
    <t xml:space="preserve"> - telkek</t>
  </si>
  <si>
    <t xml:space="preserve"> - épületek</t>
  </si>
  <si>
    <t xml:space="preserve"> - építmények</t>
  </si>
  <si>
    <t xml:space="preserve"> - ültetvények</t>
  </si>
  <si>
    <t xml:space="preserve"> - erdők</t>
  </si>
  <si>
    <t>Beruházások</t>
  </si>
  <si>
    <t>Zöldterület-kezelés</t>
  </si>
  <si>
    <t>Közvilágítás</t>
  </si>
  <si>
    <t>Háziorvosi alapellátás</t>
  </si>
  <si>
    <t>Civil szervezetek működési támogatása</t>
  </si>
  <si>
    <t>Könyvtári szolgáltatások</t>
  </si>
  <si>
    <t>Köztemető-fenntartás és működtetés</t>
  </si>
  <si>
    <t>A.</t>
  </si>
  <si>
    <t>B.</t>
  </si>
  <si>
    <t>C.</t>
  </si>
  <si>
    <t>D.</t>
  </si>
  <si>
    <t>F.</t>
  </si>
  <si>
    <t>G.</t>
  </si>
  <si>
    <t>H.</t>
  </si>
  <si>
    <t>I.</t>
  </si>
  <si>
    <t>SITKE KÖZSÉG ÖNKORMÁNYZATA</t>
  </si>
  <si>
    <t>1.helyiségek, eszközök hasznosításából származó bevételekből nyújtott kedvezmény mentesség összege</t>
  </si>
  <si>
    <t>havi kedvezmény                                   (Ft)</t>
  </si>
  <si>
    <t>havi kedvezmény                                        (Ft)</t>
  </si>
  <si>
    <t>4. egyéb nyújtott kedvezmény vagy kölcsön elengedésének összege</t>
  </si>
  <si>
    <t>összesen                        (e Ft)</t>
  </si>
  <si>
    <t>PÉNZESZKÖZÖK ALAKULÁSA</t>
  </si>
  <si>
    <t>megnevezés</t>
  </si>
  <si>
    <t>összeg</t>
  </si>
  <si>
    <t xml:space="preserve">   - költségvetési pénzforgalmi számlák</t>
  </si>
  <si>
    <t xml:space="preserve">   - devizabetétszámlák </t>
  </si>
  <si>
    <t xml:space="preserve">   - pénztárak</t>
  </si>
  <si>
    <t xml:space="preserve">   - valutapénztárak</t>
  </si>
  <si>
    <t>nyitó pénzkészlet összesen</t>
  </si>
  <si>
    <t>tárgyévi kiadások</t>
  </si>
  <si>
    <t>záró pénzkészlet összesen</t>
  </si>
  <si>
    <t>Gépek, berendezések, felszerelések</t>
  </si>
  <si>
    <t xml:space="preserve"> - ügyviteli és számítástechnikai eszközök</t>
  </si>
  <si>
    <t xml:space="preserve"> - egyéb gépek, berendezések, felszerelések</t>
  </si>
  <si>
    <t>MŰKÖDÉSI BEVÉTELEK</t>
  </si>
  <si>
    <t>a.</t>
  </si>
  <si>
    <t>b.</t>
  </si>
  <si>
    <t>talajterhelési díj</t>
  </si>
  <si>
    <t>c.</t>
  </si>
  <si>
    <t>d.</t>
  </si>
  <si>
    <t>KÖZHATALMI BEVÉTELEK ÖSSZESEN:</t>
  </si>
  <si>
    <t>ravatalozó használati díj</t>
  </si>
  <si>
    <t>földbérleti díjak</t>
  </si>
  <si>
    <t>M  e  g  n  e  v  e  z  é  s:</t>
  </si>
  <si>
    <t>vendégebéd térítési díja</t>
  </si>
  <si>
    <t>beruházások</t>
  </si>
  <si>
    <t>felújítások</t>
  </si>
  <si>
    <t>finanszírozási és egyéb kiadások</t>
  </si>
  <si>
    <t xml:space="preserve">  kiadások  összesen:</t>
  </si>
  <si>
    <t>teljes.</t>
  </si>
  <si>
    <t>sítés</t>
  </si>
  <si>
    <t>Sitke község önkormányzatának egészségre nevelő programja                       (TÁMOP-6.1.2-11/1-2012-1244)</t>
  </si>
  <si>
    <t>2013-2014.</t>
  </si>
  <si>
    <t>Közösségi közlekedés feltételrendszereinek fejlesztése Sárváron és a környező településeken                                               ( NYDOP-3.2.1/B-12-2013-0005)</t>
  </si>
  <si>
    <t>évközi változás</t>
  </si>
  <si>
    <t>szakfeladat megnevezése</t>
  </si>
  <si>
    <t>Saját bevétel és adósságot keletkeztető ügyletből eredő fizetési kötelezettség összegei</t>
  </si>
  <si>
    <t>helyi adók</t>
  </si>
  <si>
    <t>kezességvállalással kapcsolatos megtérülések</t>
  </si>
  <si>
    <t>önkormányzat saját bevételei:</t>
  </si>
  <si>
    <t>saját bevételek  50 %-a</t>
  </si>
  <si>
    <t>A. helyi adónál biztosított közvetett támogatások</t>
  </si>
  <si>
    <t xml:space="preserve"> - elengedés</t>
  </si>
  <si>
    <t>2. Gépjárműadó</t>
  </si>
  <si>
    <t>BEVÉTELEI FORRÁSONKÉNT</t>
  </si>
  <si>
    <t>változás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</si>
  <si>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</si>
  <si>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</si>
  <si>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</si>
  <si>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</si>
  <si>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</si>
  <si>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</si>
  <si>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</si>
  <si>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</si>
  <si>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</si>
  <si>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</si>
  <si>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</si>
  <si>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</si>
  <si>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</si>
  <si>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</si>
  <si>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</si>
  <si>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</si>
  <si>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</si>
  <si>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</si>
  <si>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</si>
  <si>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</si>
  <si>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</si>
  <si>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</si>
  <si>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Működési célú központosított előirányzatok összesen:</t>
  </si>
  <si>
    <t>Egyéb működési célú támogatások bevételei államháztartáson belülről</t>
  </si>
  <si>
    <t>BERUHÁZÁSI KIADÁSOK</t>
  </si>
  <si>
    <t>közfoglalkoztatás támogatása</t>
  </si>
  <si>
    <t>Gyermekek természetbeni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</si>
  <si>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</si>
  <si>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</si>
  <si>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</si>
  <si>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Egyéb felhalmozási célú támogatások bevételei államháztartáson belülről</t>
  </si>
  <si>
    <t>FELHALMOZÁSI CÉLÚ TÁMOGATÁSOK ÁLLAMHÁZ- TARTÁSON BELÜLRŐL ÖSSZESEN: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</si>
  <si>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</si>
  <si>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</si>
  <si>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</si>
  <si>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</si>
  <si>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</si>
  <si>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</si>
  <si>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</si>
  <si>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</si>
  <si>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</si>
  <si>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</si>
  <si>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</si>
  <si>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</si>
  <si>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</si>
  <si>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</si>
  <si>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</si>
  <si>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</si>
  <si>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</si>
  <si>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</si>
  <si>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</si>
  <si>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közterület-foglalási díjak</t>
  </si>
  <si>
    <t>Tulajdonosi bevételek</t>
  </si>
  <si>
    <t>szennyvízcsatorna-használati díj</t>
  </si>
  <si>
    <t>Ellátási díjak</t>
  </si>
  <si>
    <t>szociális étkeztetés térítési díja</t>
  </si>
  <si>
    <t>alkalmazottak térítési díja</t>
  </si>
  <si>
    <t>Kiszámlázott általános forgalmi adó</t>
  </si>
  <si>
    <t>Általános forgalmi adó visszatérítése</t>
  </si>
  <si>
    <t>Kamatbevételek</t>
  </si>
  <si>
    <t>MŰKÖDÉSI CÉLÚ ÁTVETT PÉNZESZKÖZÖK</t>
  </si>
  <si>
    <t>096015</t>
  </si>
  <si>
    <t>Gyermekétkeztetés köznevelési intézményben</t>
  </si>
  <si>
    <t>096025</t>
  </si>
  <si>
    <t>Munkahelyi étkezteté köznevelési intézményben</t>
  </si>
  <si>
    <t>Munkahelyi étkezteté köznevelési int. ( Vendég)</t>
  </si>
  <si>
    <t>Munkahelyi étkezteté köznevelési int. (Vendég)</t>
  </si>
  <si>
    <t>működési kiadások ( 4. melléklet)</t>
  </si>
  <si>
    <t>felhalmozási kiadások (5. melléklet)</t>
  </si>
  <si>
    <t>Települési lakásfenntartási támogatás</t>
  </si>
  <si>
    <t>Rendkívüli települési támogatás</t>
  </si>
  <si>
    <t>Újszülöttek támogatása</t>
  </si>
  <si>
    <t>lakott külterülettel kapcsolatos feladatok</t>
  </si>
  <si>
    <t>üdülőhelyi feladatok</t>
  </si>
  <si>
    <t>Egyes szociális feladatainak támogatása</t>
  </si>
  <si>
    <t>Működési célú költségvetési és kiegészítő támogatás</t>
  </si>
  <si>
    <t>Szociális célú tüzifa vásárlás támogatása</t>
  </si>
  <si>
    <t>Felhalmozási célú önkormányzati támogatások</t>
  </si>
  <si>
    <t>Felhalmozási célú önkormányzati támogatások összesen:</t>
  </si>
  <si>
    <t>Munkahelyi étkezteté köznevelési int.( Vendég)</t>
  </si>
  <si>
    <t>018030</t>
  </si>
  <si>
    <t>Támogatási célú finanszírozási műveletek</t>
  </si>
  <si>
    <t>Esküvő külső helyszínen</t>
  </si>
  <si>
    <t>Biztosító által fizetett kártérítés</t>
  </si>
  <si>
    <t>- szellemi termék</t>
  </si>
  <si>
    <t xml:space="preserve"> - ebből: 2015. december 31-i keletkezett fizetési kötelezettség</t>
  </si>
  <si>
    <t>Adómentesség</t>
  </si>
  <si>
    <t>Gjt. 5.§. A.-b. pont</t>
  </si>
  <si>
    <t>költségvetési szerv,társadalmi szervezet</t>
  </si>
  <si>
    <t>Összesen</t>
  </si>
  <si>
    <t>Időskorúak támogatása</t>
  </si>
  <si>
    <t>"1. melléklet  a  3/2016. (II.16.) önkormányzati rendelethez"</t>
  </si>
  <si>
    <t>BEVÉTELEINEK ÉS KIADÁSAINAK ALAKULÁSA</t>
  </si>
  <si>
    <t>2016. évre</t>
  </si>
  <si>
    <t>BEVÉTELEK:</t>
  </si>
  <si>
    <t>MŰKÖDÉSI TÁMOGATÁSOK ÁLLAMHÁZTARTÁSON BELÜLRŐL</t>
  </si>
  <si>
    <t xml:space="preserve"> Ft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</si>
  <si>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</si>
  <si>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</si>
  <si>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</si>
  <si>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</si>
  <si>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</si>
  <si>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</si>
  <si>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</si>
  <si>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</si>
  <si>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TÁRGYÉVI BEVÉTELEK ÖSSZESEN:</t>
  </si>
  <si>
    <t>KIADÁSOK:</t>
  </si>
  <si>
    <t>MŰKÖDÉSI KIADÁSOK</t>
  </si>
  <si>
    <t xml:space="preserve"> ebből: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</si>
  <si>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</si>
  <si>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</si>
  <si>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</si>
  <si>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</si>
  <si>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egyéb működési kiadások</t>
  </si>
  <si>
    <t>FELHALMOZÁSI KIADÁSOK</t>
  </si>
  <si>
    <t xml:space="preserve">       - Beruházások</t>
  </si>
  <si>
    <t xml:space="preserve">       - Felújítások</t>
  </si>
  <si>
    <t xml:space="preserve">       - egyéb felhalmozási kiadások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</si>
  <si>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</si>
  <si>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</si>
  <si>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</si>
  <si>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 xml:space="preserve">          Áht-n belüli megelőlegezések visszafizetése</t>
  </si>
  <si>
    <t>TÁRGYÉVI KIADÁSOK ÖSSZESEN:</t>
  </si>
  <si>
    <t>TÁRGYÉVI BEVÉTELEK ÉS KIADÁSOK EGYENLEGE:</t>
  </si>
  <si>
    <t>ELŐZŐ ÉVEK KÖLTSÉGVETÉSI MARADVÁNY IGÉNYBEVÉTELE:                                                                                   - 2015. ÉVRŐL ÁTHÚZÓDÓ FELADATOKRA</t>
  </si>
  <si>
    <t xml:space="preserve"> -TARTALÉKBA</t>
  </si>
  <si>
    <t>TÁRGYÉVI KÖLTSÉGVETÉSI HIÁNY:</t>
  </si>
  <si>
    <t>"4. melléklet  a 3/2016. (II.16.) önkormányzati rendelethez"</t>
  </si>
  <si>
    <t>( Ft-ban)</t>
  </si>
  <si>
    <t>kiadás        összesen:</t>
  </si>
  <si>
    <t>k   i   a   d   á   s   o   k   b   ó   l:</t>
  </si>
  <si>
    <t>létszám</t>
  </si>
  <si>
    <t>működési kiadások</t>
  </si>
  <si>
    <t>felhalmozási kiadások</t>
  </si>
  <si>
    <t>finanszírozási kiadások</t>
  </si>
  <si>
    <t>állandó</t>
  </si>
  <si>
    <t>személyi juttatások</t>
  </si>
  <si>
    <t>Munkál- tatót terhelő járulékok</t>
  </si>
  <si>
    <t>dologi kiadások</t>
  </si>
  <si>
    <t>működési kiadás összesen:</t>
  </si>
  <si>
    <t>felhalmozási kiadások összesen:</t>
  </si>
  <si>
    <t>Áht-n belüli megelőlegezések visszafizetése</t>
  </si>
  <si>
    <t>hitel- törlesztés</t>
  </si>
  <si>
    <t>részesedés vásárlása</t>
  </si>
  <si>
    <t>finanszírozá- si kiadások összesen:</t>
  </si>
  <si>
    <t>nyitó</t>
  </si>
  <si>
    <t>záró</t>
  </si>
  <si>
    <t>(fő)</t>
  </si>
  <si>
    <t>Közutak ,hidak, alagutak üzemeltetése, fenntartása</t>
  </si>
  <si>
    <t>Szennyvíz gyűjtése, tisztítása, elhelyezése</t>
  </si>
  <si>
    <t>082092</t>
  </si>
  <si>
    <t>Közművelődés - Hagyományos közösségi, kulturális értékek gondozása</t>
  </si>
  <si>
    <t>Közművelődés - egész életre kiterjedő tanulás</t>
  </si>
  <si>
    <t>Munkahelyi étkeztetés köznevelési intézményekben</t>
  </si>
  <si>
    <t>Munkahelyi étk.közn. Int.  (562920) ( Vendég)</t>
  </si>
  <si>
    <t>Gyermekvédelmi pénzbeni és természetbeni ellátások</t>
  </si>
  <si>
    <t>Szociális étkeztetés (889921)</t>
  </si>
  <si>
    <t>"5. melléklet  a 3/2016. (II.16.) önkormányzati rendelethez"</t>
  </si>
  <si>
    <t>2016. év</t>
  </si>
  <si>
    <t>Ft-ban</t>
  </si>
  <si>
    <t>Közutak,hidak,alagutak üzemeltetése,fenntartása</t>
  </si>
  <si>
    <t>Közművelődés -Hagyományos közösségi, kulturális értékek gondozása</t>
  </si>
  <si>
    <t>Közművelődés - amatőr művészetek</t>
  </si>
  <si>
    <t>Munkahelyi étkeztetés köznevelési int.(562920) (vendég)</t>
  </si>
  <si>
    <r>
      <rPr>
        <b/>
        <sz val="10"/>
        <rFont val="Arial CE"/>
        <family val="0"/>
      </rPr>
      <t>"</t>
    </r>
    <r>
      <rPr>
        <sz val="10"/>
        <rFont val="Arial CE"/>
        <family val="0"/>
      </rPr>
      <t>6. melléklet  a 3/2016. (II.16.) önkormányzati rendelethez"</t>
    </r>
  </si>
  <si>
    <t>Sitke község Önkormányzata</t>
  </si>
  <si>
    <t xml:space="preserve"> Egyéb működési és felhalmozási kiadásai</t>
  </si>
  <si>
    <t>2016.évre</t>
  </si>
  <si>
    <t>tervezett előirányzat</t>
  </si>
  <si>
    <t>EGYÉB MŰKÖDÉSI KIADÁSOK</t>
  </si>
  <si>
    <t>TÁMOGATÁSOK ÖSSZESEN:</t>
  </si>
  <si>
    <t>"10. melléklet a 3/2016. (II.16.) önkormányzati rendelethez"</t>
  </si>
  <si>
    <t>Költségvetési (működési és felhalmozási ) mérlege</t>
  </si>
  <si>
    <t>tervezett</t>
  </si>
  <si>
    <t xml:space="preserve"> - A helyi önkormányzatok előző évi elszámolásából származó kiadások</t>
  </si>
  <si>
    <t>2017. évi nettó előleg folyósítása</t>
  </si>
  <si>
    <t>Áht-n belüli megelőlegezések viszafizetése</t>
  </si>
  <si>
    <t>"11. melléklet a 3/2016. (II.16.)önkormányzati rendelethez"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</si>
  <si>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</si>
  <si>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</si>
  <si>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</si>
  <si>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</si>
  <si>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</si>
  <si>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</si>
  <si>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</si>
  <si>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</si>
  <si>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</si>
  <si>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</si>
  <si>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</si>
  <si>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</si>
  <si>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</si>
  <si>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</si>
  <si>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</si>
  <si>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</si>
  <si>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</si>
  <si>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</si>
  <si>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</si>
  <si>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</si>
  <si>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</si>
  <si>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</si>
  <si>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</si>
  <si>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</si>
  <si>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</si>
  <si>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</si>
  <si>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</si>
  <si>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</si>
  <si>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</si>
  <si>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</si>
  <si>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</si>
  <si>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</si>
  <si>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</si>
  <si>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>-Áht-n belüli megelőlegezések visszafizetése</t>
  </si>
  <si>
    <t xml:space="preserve"> - hosszú lejáratú hitel törlesztése</t>
  </si>
  <si>
    <t xml:space="preserve"> - részesedések vásárlása</t>
  </si>
  <si>
    <t>általános tartalék</t>
  </si>
  <si>
    <t>céltartalék</t>
  </si>
  <si>
    <t>Kiadások összesen</t>
  </si>
  <si>
    <t>bevételek és kiadások egyenlege</t>
  </si>
  <si>
    <t>ZÁRSZÁMADÁSI-RENDELET</t>
  </si>
  <si>
    <t>(Ft-ban)</t>
  </si>
  <si>
    <t>2016.  év</t>
  </si>
  <si>
    <t>2016.év</t>
  </si>
  <si>
    <t>(  Ft-ban)</t>
  </si>
  <si>
    <t>(  Ft-ban )</t>
  </si>
  <si>
    <t>BEFEKTETETT ESZKÖZVAGYONA ÖSSZETÉTELÉNEK 2016. DECEMBER 31-I ÁLLAPOTA</t>
  </si>
  <si>
    <t>2016. DECEMBER 31-I ÁLLOMÁNYA</t>
  </si>
  <si>
    <t>2016. ÉVI LÉTSZÁMADATAI</t>
  </si>
  <si>
    <t xml:space="preserve"> 2016. évi                       tervezett</t>
  </si>
  <si>
    <t xml:space="preserve"> 2016. évi                                     tényadatok</t>
  </si>
  <si>
    <t>2016. évi nyitó egyenleg</t>
  </si>
  <si>
    <t>2016. évi záró egyenleg</t>
  </si>
  <si>
    <t>17</t>
  </si>
  <si>
    <t>2016. évi engedélyezett nyitó létszám</t>
  </si>
  <si>
    <t>2016. évi engedélyezett záró létszám</t>
  </si>
  <si>
    <t>2016. évi átlagos statisztikai létszám</t>
  </si>
  <si>
    <t>2016.12.31-én</t>
  </si>
  <si>
    <t>Kezességvállalás összesen:</t>
  </si>
  <si>
    <t>J)</t>
  </si>
  <si>
    <t>J.</t>
  </si>
  <si>
    <t>Közművelődés - hagyományos köz.kultúrális értékek gondozása</t>
  </si>
  <si>
    <t>Sor-szám</t>
  </si>
  <si>
    <t>Sor-sz.</t>
  </si>
  <si>
    <t>Sárvár Város Önkormányzatának a házi segítségnyújtás feledat ellátására átadott támogatás</t>
  </si>
  <si>
    <t xml:space="preserve">072111 Háziorvosi szolgálat </t>
  </si>
  <si>
    <t>Egyéb épület felújítása</t>
  </si>
  <si>
    <t>Felújítási célú előzetesen felszámított le nem vonható általános forgalmi adóra</t>
  </si>
  <si>
    <t xml:space="preserve">Összesen: </t>
  </si>
  <si>
    <t>FELÚJÍTÁSOK ÖSSZESEN:</t>
  </si>
  <si>
    <t>045160 Közutak, hidak, alagutak üzemeltetési, fenntartása</t>
  </si>
  <si>
    <t>Egyéb építmény felújítása</t>
  </si>
  <si>
    <t>Kertészkert utca aszfatozására</t>
  </si>
  <si>
    <t>Orvosi rendelő felújítása</t>
  </si>
  <si>
    <t xml:space="preserve">2015.évi Önkományzatok feladatellátás fejlesztési támogatásából áthúzódó összeg  az önkormányzati önrésszel </t>
  </si>
  <si>
    <t xml:space="preserve"> 013350 Önkormányzati vagyonnal való gazdálkodás</t>
  </si>
  <si>
    <t>Közművesített telek vásárlása</t>
  </si>
  <si>
    <t>Beépítetlen terület (telek)</t>
  </si>
  <si>
    <t>Településrendezési terv módosítása</t>
  </si>
  <si>
    <t>066020 Városi és községgazdálkodási egyéb szolgáltatások</t>
  </si>
  <si>
    <t>052080 Szennyvízcsatorna építése,  fenntartása, üzemeltetése</t>
  </si>
  <si>
    <t>Mérőrendszer bővítése</t>
  </si>
  <si>
    <t>082044 Könyvtári szolgáltatások</t>
  </si>
  <si>
    <t>Könyvtári infrastruktúra fejlesztés támogatása, eszközbeszerzés</t>
  </si>
  <si>
    <t>072111 Házorvosi alapellátás</t>
  </si>
  <si>
    <t>096015 Gyermekétkeztetés köznevelési intézményben</t>
  </si>
  <si>
    <t>Konyhai eszközök pótlására</t>
  </si>
  <si>
    <t>096025 Munkahelyi étkeztetés köznevelési intézményekben</t>
  </si>
  <si>
    <t>096025Munkahelyi étkeztetés köznevelési int.(562920) (vendég)</t>
  </si>
  <si>
    <t>107051 Szociális étkeztetés (889921)</t>
  </si>
  <si>
    <t>BERUHÁZÁSOK ÖSSZESEN:</t>
  </si>
  <si>
    <t xml:space="preserve"> 011130 Önkormányzatok és önk. hivatalok jogalkotó és ált. igaztatási tevékenysége</t>
  </si>
  <si>
    <t>Egyéb kisértékű felszerelés beszerzése ( külső adattároló)</t>
  </si>
  <si>
    <t xml:space="preserve"> Eszközbeszerzés ( fűkaszák, ágvágó)</t>
  </si>
  <si>
    <t xml:space="preserve"> - egyéb elvonások, befizetések kiadásai</t>
  </si>
  <si>
    <t>Települési önkormányzatok szociális feleadatainak egyéb támogatása</t>
  </si>
  <si>
    <t>2016. évi  bérkompenzáció</t>
  </si>
  <si>
    <t>Adósságkonszolidációban nem részesült önkormányzatok támogatása</t>
  </si>
  <si>
    <t>Termőföld értékesítés</t>
  </si>
  <si>
    <t>Telkek értékesítése</t>
  </si>
  <si>
    <t>FELHALMOZÁSI BEVÉTELEK ÖSSZESEN:</t>
  </si>
  <si>
    <t>1. Nyári diákmunka támogatása</t>
  </si>
  <si>
    <t>Helyi önkormányzatok működésének általános támogatása</t>
  </si>
  <si>
    <t xml:space="preserve"> Az eszközök értékvesztésének alakulása</t>
  </si>
  <si>
    <t>adatok Ft-ban</t>
  </si>
  <si>
    <t>Sor -szám</t>
  </si>
  <si>
    <t>Nyitó adatok, bekerülési érték</t>
  </si>
  <si>
    <t>Nyitó adatok, értékvesztés</t>
  </si>
  <si>
    <t>Tárgyidőszakban elszámolt értékvesztés</t>
  </si>
  <si>
    <t>Tárgyidőszakban visszaírt értékvesztés</t>
  </si>
  <si>
    <t>Záró adatok, bekerülési érték</t>
  </si>
  <si>
    <t>Záró adatok, értékvesztés</t>
  </si>
  <si>
    <t>Kincstáron kívüli forintszámlák</t>
  </si>
  <si>
    <t>Követelések a követelés jellegű sajátos elszámolások kivételével</t>
  </si>
  <si>
    <t>Összesen (=01+…+10)</t>
  </si>
  <si>
    <t>01</t>
  </si>
  <si>
    <t>02</t>
  </si>
  <si>
    <t>06</t>
  </si>
  <si>
    <t>08</t>
  </si>
  <si>
    <t>11</t>
  </si>
  <si>
    <t>SITKE KÖZSÉG ÖNKORMÁNYZATA 2016. ÉVI ZÁRSZAMADÁSA KIEGÉSZÍTŐ MELLÉKLETE</t>
  </si>
  <si>
    <t xml:space="preserve"> Tájékoztató adatok</t>
  </si>
  <si>
    <t>sorsz.</t>
  </si>
  <si>
    <t>Összeg</t>
  </si>
  <si>
    <t>A költségvetési év január hónapban elszámolt, a megelőző év december hónapra járó bruttó személyi juttatás (az adó- és járuléklevonások január hónapot követően teljesített összegével együtt)</t>
  </si>
  <si>
    <t>12</t>
  </si>
  <si>
    <t>A költségvetési év január hónapban elszámolt, a megelőző év december hónapra járó bruttó személyi juttatás járulékai (a járulékok január hónapot követően teljesített összegével együtt)</t>
  </si>
  <si>
    <t>15</t>
  </si>
  <si>
    <t>A költségvetési évet követő év január hónapban elszámolt és január 15-ig pénzügyileg teljesült, a költségvetési év december hónapra járó bruttó személyi juttatás</t>
  </si>
  <si>
    <t>16</t>
  </si>
  <si>
    <t>A költségvetési évet követő év január hónapban elszámolt és január 15-ig pénzügyileg teljesült, a költségvetési év december hónapra járó bruttó személyi juttatás járulékai (a járulékok január hónapot követően teljesített összegével együtt)</t>
  </si>
  <si>
    <t>18 %-os kulcsú áfa-adóalap összege</t>
  </si>
  <si>
    <t>27 %-os kulcsú áfa-adóalap összege</t>
  </si>
  <si>
    <t>Betegszabadsággal összefüggő munkáltatói kifizetés</t>
  </si>
  <si>
    <t>Betegszabadsággal összefüggő kifizetésben részesülől száma</t>
  </si>
  <si>
    <t>5 %-os kulcsú áfa-adóalap összege</t>
  </si>
  <si>
    <t xml:space="preserve"> A helyi önkormányzatok visszafizetési kötelezettsége, pótlólagos támogatása (Ávr. 111. §), és a jogtalan igénybevétele után fizetendő ügyleti kamata (Ávr. 112. §)</t>
  </si>
  <si>
    <t>Sorsz.</t>
  </si>
  <si>
    <t>19</t>
  </si>
  <si>
    <t>Kamatalapba számító rendelkezésre bocsátott támogatások összege (a 11/C űrlap 2,6,7,8,9,10 és 11. sor 3. oszlop értékeinek összege csökkentve ezen űrlap 10. és 14. sor 3. oszlop szerinti összegekkel)</t>
  </si>
  <si>
    <t>29</t>
  </si>
  <si>
    <t>Kimutatás az immateriális javak, tárgyi eszközök koncesszióba, vagyonkezelésbe adott eszközök állományának alakulásáról</t>
  </si>
  <si>
    <t>Ingatlanok és kapcsolódó vagyoni értékű jogok</t>
  </si>
  <si>
    <t>Gépek, berendezések, felszerelések, járművek</t>
  </si>
  <si>
    <t>Beruházások és felújítások</t>
  </si>
  <si>
    <t>Összesen (=3+4+5+6+7+8)</t>
  </si>
  <si>
    <t>Tárgyévi nyitó állomány (előző évi záró állomány)</t>
  </si>
  <si>
    <t>Beruházásokból, felújításokból aktivált érték</t>
  </si>
  <si>
    <t>Összes növekedés  (=02+…+07)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</si>
  <si>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</si>
  <si>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</si>
  <si>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</si>
  <si>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</si>
  <si>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</si>
  <si>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</si>
  <si>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</si>
  <si>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Immateriális javak beszerzése,nem aktivált beruházások</t>
  </si>
  <si>
    <t>Értékesítés</t>
  </si>
  <si>
    <t>Összes csökkenés</t>
  </si>
  <si>
    <t>Ávr. 111. § a) szerinti valamennyi támogatás pótlólagos összege (11/C űrlap 12. sor 10. és 11. oszlopok figyelembe vétele mellett)</t>
  </si>
  <si>
    <t>Önkormányzatot megillető pótlólagos támogatás (=2)</t>
  </si>
  <si>
    <t>A költségvetési év január hónapban elszámolt, a megelőző év december havi szociális hozzájárulási adó összege (a szociális hozzájárulási adó január hónapot követően teljesített összegével együtt)</t>
  </si>
  <si>
    <t>A költségvetési év január hónapban elszámolt, a megelőző év december havi egészségügyi hozzájárulás összege (a szociális hozzájárulási adó január hónapot követően teljesített összegével együtt)</t>
  </si>
  <si>
    <t>EURÓPAI UNIÓS TÁMOGATÁSSAL FINANSZÍROZOTT PROJEKTEK ELSZÁMOLÁSA</t>
  </si>
  <si>
    <t>2015-2016. évre</t>
  </si>
  <si>
    <t>Központi költségvetéssel kapcsolatos elszámolása</t>
  </si>
  <si>
    <t>Lakáshozjutást segítő támogatás</t>
  </si>
  <si>
    <t>EGYÉB MŰKÖDÉSI ÉS FELHALMOZÁSI KIADÁSAI ÖSSZESEN:</t>
  </si>
  <si>
    <t>- MEGELŐLEGEZETT ÁLLAMI TÁMOGATÁS 2017.ÉVI</t>
  </si>
  <si>
    <t>felhalmozási célú támogatások államháztatáson belülről</t>
  </si>
  <si>
    <t>megelőlegezett állami támogatás 2017-re</t>
  </si>
  <si>
    <t>sor-sz.</t>
  </si>
  <si>
    <t>Eseti társadalom, szociálpolitikai és egyéb társadalombiztosítási juttatások</t>
  </si>
  <si>
    <t>Eseti társadalom, szociálpolitikai és egyéb társadalombiztosítási juttatások összesen:</t>
  </si>
  <si>
    <t>Működési célú szociális támogatás összesen:</t>
  </si>
  <si>
    <t>Bursa Hungarica ösztöndíjpályázat támogatása</t>
  </si>
  <si>
    <t xml:space="preserve">Tanévkezdési települési támogatás </t>
  </si>
  <si>
    <t>Egyéb felhalmozási kiadások államháztartáson kívülre</t>
  </si>
  <si>
    <t>Első lakáshoz jutók lakásépítésének és -vásárlásnak viszza nem térítendő támogatása</t>
  </si>
  <si>
    <t>Háztartásoknak felhalmozási célú visszatérítendő támogatás (kamatmentes kölcsön)</t>
  </si>
  <si>
    <t>Egyéb felhalmozási kiadások államháztartáson kívülre összesen:</t>
  </si>
  <si>
    <t>Társadalom-, szociálispolitikai és egyéb társadalom-</t>
  </si>
  <si>
    <t>biztosítási juttatások mindösszesen:</t>
  </si>
  <si>
    <t>Függönyök, egyéb felszerelések beszerzése</t>
  </si>
  <si>
    <t>Befektetett eszközök összesen:</t>
  </si>
  <si>
    <t>2015.évről áthúzódó bérkompenzáció támogatás</t>
  </si>
  <si>
    <t>a 7/2017. (IV.26.) zárszámadási rendelethez</t>
  </si>
  <si>
    <t>1. melléklet  a  7/2017. (IV.27.)  önkormányzati rendelethez</t>
  </si>
  <si>
    <t>2. melléklet  a  7/2017. (IV.27.) önkormányzati rendelethez</t>
  </si>
  <si>
    <t>3. melléklet a  7/2017. (IV.27.) zárszámadási rendelethez</t>
  </si>
  <si>
    <t>4. melléklet a 7/2017. (IV.27.)  zárszámadási rendelethez</t>
  </si>
  <si>
    <t>5. melléklet a 7/2017. (IV.27.)  zárszámadási rendelethez</t>
  </si>
  <si>
    <t>6. melléklet  a  7/2017. (IV.27.)  önkormányzati rendelethez</t>
  </si>
  <si>
    <t>7. melléklet  a 7/2017. (IV.27.)  önkormányzati rendelethez</t>
  </si>
  <si>
    <t>8. melléklet  a  7/2017. (IV.27.)  önkormányzati rendelethez</t>
  </si>
  <si>
    <t>9. melléklet  a 7/2017. (IV.27.) önkormányzati rendelethez</t>
  </si>
  <si>
    <t>10. melléklet  a 7/2017. (IV.27.)  önkormányzati rendelethez</t>
  </si>
  <si>
    <t>11. melléklet  a 7/2017. (IV.27.)  önkormányzati rendelethez</t>
  </si>
  <si>
    <t>12. melléklet  a  7/2017. (IV.27.)  önkormányzati rendelethez</t>
  </si>
  <si>
    <t>13. melléklet  a  7/2017. (IV.27.)  önkormányzati rendelethez</t>
  </si>
  <si>
    <t>14. melléklet  a 7/2017. (IV.27.)  önkormányzati rendelethez</t>
  </si>
  <si>
    <t>15. melléklet  a  7/2017. (IV.27.)  önkormányzati rendelethez</t>
  </si>
  <si>
    <t>16. melléklet  a  7/2017. (IV.27.)  önkormányzati rendelethez</t>
  </si>
  <si>
    <t>17. melléklet  a  7/2017. (IV.27.)  önkormányzati rendelethez</t>
  </si>
  <si>
    <t>18. melléklet  a 7/2017. (IV.27.)  önkormányzati rendelethez</t>
  </si>
  <si>
    <t>19. melléklet  a  7/2017. (IV.27.)  önkormányzati rendelethez</t>
  </si>
  <si>
    <t>20. melléklet  a 7/2017. (IV.27.)  önkormányzati rendelethez</t>
  </si>
  <si>
    <t>21. melléklet  a 7/2017. (IV.27.) önkormányzati rendelethez</t>
  </si>
  <si>
    <t>22. melléklet  a 7/2017. (IV.27.)  önkormányzati rendelethez</t>
  </si>
  <si>
    <t>23. melléklet  a  7/2017. (IV.27.)  önkormányzati rendelethez</t>
  </si>
  <si>
    <t>24. melléklet a 7/2017.(IV.27.) sz. önkormányzati rendelethez</t>
  </si>
  <si>
    <t>25. melléklet a 7/2017.(IV.27.) sz. önkormányzati rendelethez</t>
  </si>
  <si>
    <t>26. melléklet a 7/2017.(IV.27.) sz. önkormányzati rendelethez</t>
  </si>
  <si>
    <t>27. melléklet a7/2017.(IV.27.) sz. önkormányzati rendelethez</t>
  </si>
  <si>
    <t>28. melléklet  a  7/2017. (IV.27.) önkormányzati rendelethez</t>
  </si>
  <si>
    <t>29. melléklet  a 7/2017. (IV.27.) önkormányzati rendelethez</t>
  </si>
  <si>
    <t>30. melléklet  a 7/2017. (IV.27.) önkormányzati rendelethez</t>
  </si>
  <si>
    <t>31. melléklet  a 7/2017. (IV.27.) önkormányzati rendelethez</t>
  </si>
  <si>
    <t>32. melléklet a 7/2017. (IV.27.) önkormányzati rendelethez</t>
  </si>
  <si>
    <t>33. melléklet a7/2017. (IV.27.)önkormányzati rendelethez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</si>
</sst>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0.00000"/>
    <numFmt numFmtId="167" formatCode="0.0000"/>
    <numFmt numFmtId="168" formatCode="0.000000"/>
    <numFmt numFmtId="169" formatCode="0.0000000"/>
    <numFmt numFmtId="170" formatCode="0.00000000"/>
    <numFmt numFmtId="171" formatCode="0.000000000"/>
    <numFmt numFmtId="172" formatCode="_-* #,##0.0\ _F_t_-;\-* #,##0.0\ _F_t_-;_-* &quot;-&quot;??\ _F_t_-;_-@_-"/>
    <numFmt numFmtId="173" formatCode="_-* #,##0\ _F_t_-;\-* #,##0\ _F_t_-;_-* &quot;-&quot;??\ _F_t_-;_-@_-"/>
    <numFmt numFmtId="174" formatCode="0.0%"/>
    <numFmt numFmtId="175" formatCode="#,##0.0"/>
    <numFmt numFmtId="176" formatCode="_-* #,##0.0\ _F_t_-;\-* #,##0.0\ _F_t_-;_-* &quot;-&quot;\ _F_t_-;_-@_-"/>
    <numFmt numFmtId="177" formatCode="[$-40E]yyyy\.\ mmmm\ d\."/>
    <numFmt numFmtId="178" formatCode="_-* #,##0.0\ &quot;Ft&quot;_-;\-* #,##0.0\ &quot;Ft&quot;_-;_-* &quot;-&quot;??\ &quot;Ft&quot;_-;_-@_-"/>
    <numFmt numFmtId="179" formatCode="_-* #,##0\ &quot;Ft&quot;_-;\-* #,##0\ &quot;Ft&quot;_-;_-* &quot;-&quot;??\ &quot;Ft&quot;_-;_-@_-"/>
    <numFmt numFmtId="180" formatCode="#,##0_ ;\-#,##0\ "/>
    <numFmt numFmtId="181" formatCode="0_ ;\-0\ "/>
    <numFmt numFmtId="182" formatCode="#,##0.0_ ;\-#,##0.0\ "/>
  </numFmts>
  <fonts count="82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u val="singleAccounting"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Arial CE"/>
      <family val="0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"/>
      <family val="0"/>
    </font>
    <font>
      <b/>
      <sz val="12"/>
      <name val="Arial"/>
      <family val="2"/>
    </font>
    <font>
      <b/>
      <sz val="11"/>
      <name val="Arial"/>
      <family val="2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u val="single"/>
      <sz val="14"/>
      <name val="Times New Roman"/>
      <family val="1"/>
    </font>
    <font>
      <b/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2"/>
      <color indexed="8"/>
      <name val="Times"/>
      <family val="0"/>
    </font>
    <font>
      <sz val="12"/>
      <name val="Arial CE"/>
      <family val="0"/>
    </font>
    <font>
      <b/>
      <sz val="14"/>
      <name val="Arial CE"/>
      <family val="0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medium"/>
    </border>
    <border>
      <left style="double"/>
      <right style="thick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thick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double"/>
      <right style="thick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1" borderId="7" applyNumberFormat="0" applyFont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8" applyNumberFormat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29" borderId="1" applyNumberFormat="0" applyAlignment="0" applyProtection="0"/>
    <xf numFmtId="9" fontId="0" fillId="0" borderId="0" applyFont="0" applyFill="0" applyBorder="0" applyAlignment="0" applyProtection="0"/>
  </cellStyleXfs>
  <cellXfs count="1529">
    <xf numFmtId="0" fontId="0" fillId="0" borderId="0" xfId="0" applyAlignment="1">
      <alignment/>
    </xf>
    <xf numFmtId="0" fontId="5" fillId="0" borderId="0" xfId="63" applyFont="1">
      <alignment/>
      <protection/>
    </xf>
    <xf numFmtId="173" fontId="5" fillId="0" borderId="0" xfId="40" applyNumberFormat="1" applyFont="1" applyAlignment="1">
      <alignment/>
    </xf>
    <xf numFmtId="173" fontId="4" fillId="0" borderId="0" xfId="40" applyNumberFormat="1" applyFont="1" applyBorder="1" applyAlignment="1">
      <alignment horizontal="right"/>
    </xf>
    <xf numFmtId="0" fontId="4" fillId="0" borderId="0" xfId="64" applyFont="1" applyBorder="1">
      <alignment/>
      <protection/>
    </xf>
    <xf numFmtId="0" fontId="5" fillId="0" borderId="0" xfId="64" applyFont="1">
      <alignment/>
      <protection/>
    </xf>
    <xf numFmtId="0" fontId="9" fillId="0" borderId="0" xfId="59" applyFont="1">
      <alignment/>
      <protection/>
    </xf>
    <xf numFmtId="0" fontId="9" fillId="0" borderId="0" xfId="57" applyFont="1">
      <alignment/>
      <protection/>
    </xf>
    <xf numFmtId="0" fontId="9" fillId="0" borderId="0" xfId="57" applyFont="1" applyBorder="1">
      <alignment/>
      <protection/>
    </xf>
    <xf numFmtId="0" fontId="5" fillId="0" borderId="0" xfId="64" applyFont="1">
      <alignment/>
      <protection/>
    </xf>
    <xf numFmtId="0" fontId="11" fillId="0" borderId="0" xfId="0" applyFont="1" applyAlignment="1">
      <alignment/>
    </xf>
    <xf numFmtId="0" fontId="5" fillId="0" borderId="0" xfId="62" applyFont="1">
      <alignment/>
      <protection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59" applyFont="1">
      <alignment/>
      <protection/>
    </xf>
    <xf numFmtId="0" fontId="5" fillId="0" borderId="0" xfId="59" applyFont="1">
      <alignment/>
      <protection/>
    </xf>
    <xf numFmtId="0" fontId="4" fillId="0" borderId="0" xfId="62" applyFont="1" applyAlignment="1">
      <alignment horizontal="center"/>
      <protection/>
    </xf>
    <xf numFmtId="0" fontId="4" fillId="0" borderId="0" xfId="62" applyFont="1">
      <alignment/>
      <protection/>
    </xf>
    <xf numFmtId="165" fontId="4" fillId="0" borderId="0" xfId="62" applyNumberFormat="1" applyFont="1">
      <alignment/>
      <protection/>
    </xf>
    <xf numFmtId="173" fontId="5" fillId="0" borderId="0" xfId="40" applyNumberFormat="1" applyFont="1" applyAlignment="1">
      <alignment horizontal="center"/>
    </xf>
    <xf numFmtId="0" fontId="13" fillId="0" borderId="0" xfId="0" applyFont="1" applyAlignment="1">
      <alignment/>
    </xf>
    <xf numFmtId="173" fontId="14" fillId="0" borderId="0" xfId="40" applyNumberFormat="1" applyFont="1" applyAlignment="1">
      <alignment/>
    </xf>
    <xf numFmtId="0" fontId="15" fillId="0" borderId="0" xfId="0" applyFont="1" applyAlignment="1">
      <alignment/>
    </xf>
    <xf numFmtId="173" fontId="4" fillId="0" borderId="0" xfId="40" applyNumberFormat="1" applyFont="1" applyAlignment="1">
      <alignment/>
    </xf>
    <xf numFmtId="0" fontId="9" fillId="0" borderId="0" xfId="0" applyFont="1" applyAlignment="1">
      <alignment/>
    </xf>
    <xf numFmtId="0" fontId="4" fillId="0" borderId="0" xfId="59" applyFont="1">
      <alignment/>
      <protection/>
    </xf>
    <xf numFmtId="0" fontId="8" fillId="0" borderId="0" xfId="59" applyFont="1">
      <alignment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>
      <alignment/>
      <protection/>
    </xf>
    <xf numFmtId="0" fontId="9" fillId="0" borderId="10" xfId="57" applyFont="1" applyBorder="1" applyAlignment="1">
      <alignment horizontal="center"/>
      <protection/>
    </xf>
    <xf numFmtId="0" fontId="9" fillId="0" borderId="11" xfId="57" applyFont="1" applyBorder="1" applyAlignment="1">
      <alignment horizontal="center"/>
      <protection/>
    </xf>
    <xf numFmtId="0" fontId="9" fillId="0" borderId="12" xfId="57" applyFont="1" applyBorder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4" fillId="0" borderId="0" xfId="0" applyFont="1" applyAlignment="1">
      <alignment/>
    </xf>
    <xf numFmtId="0" fontId="9" fillId="0" borderId="0" xfId="63" applyFont="1">
      <alignment/>
      <protection/>
    </xf>
    <xf numFmtId="0" fontId="8" fillId="0" borderId="0" xfId="59" applyFont="1" applyAlignment="1">
      <alignment/>
      <protection/>
    </xf>
    <xf numFmtId="0" fontId="9" fillId="0" borderId="0" xfId="0" applyFont="1" applyAlignment="1">
      <alignment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65" fontId="9" fillId="0" borderId="13" xfId="57" applyNumberFormat="1" applyFont="1" applyBorder="1">
      <alignment/>
      <protection/>
    </xf>
    <xf numFmtId="165" fontId="9" fillId="0" borderId="14" xfId="57" applyNumberFormat="1" applyFont="1" applyBorder="1">
      <alignment/>
      <protection/>
    </xf>
    <xf numFmtId="0" fontId="17" fillId="0" borderId="0" xfId="62" applyFont="1">
      <alignment/>
      <protection/>
    </xf>
    <xf numFmtId="0" fontId="8" fillId="0" borderId="0" xfId="59" applyFont="1" applyBorder="1">
      <alignment/>
      <protection/>
    </xf>
    <xf numFmtId="14" fontId="5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173" fontId="9" fillId="0" borderId="0" xfId="40" applyNumberFormat="1" applyFont="1" applyAlignment="1">
      <alignment/>
    </xf>
    <xf numFmtId="173" fontId="8" fillId="0" borderId="15" xfId="40" applyNumberFormat="1" applyFont="1" applyBorder="1" applyAlignment="1">
      <alignment/>
    </xf>
    <xf numFmtId="173" fontId="9" fillId="0" borderId="15" xfId="40" applyNumberFormat="1" applyFont="1" applyBorder="1" applyAlignment="1">
      <alignment/>
    </xf>
    <xf numFmtId="173" fontId="9" fillId="0" borderId="15" xfId="40" applyNumberFormat="1" applyFont="1" applyBorder="1" applyAlignment="1">
      <alignment horizontal="center" vertical="center"/>
    </xf>
    <xf numFmtId="173" fontId="9" fillId="0" borderId="16" xfId="40" applyNumberFormat="1" applyFont="1" applyBorder="1" applyAlignment="1">
      <alignment/>
    </xf>
    <xf numFmtId="0" fontId="8" fillId="0" borderId="0" xfId="59" applyFont="1" applyAlignment="1">
      <alignment horizontal="center"/>
      <protection/>
    </xf>
    <xf numFmtId="0" fontId="9" fillId="0" borderId="0" xfId="63" applyFont="1">
      <alignment/>
      <protection/>
    </xf>
    <xf numFmtId="0" fontId="9" fillId="0" borderId="0" xfId="63" applyFont="1" applyBorder="1">
      <alignment/>
      <protection/>
    </xf>
    <xf numFmtId="173" fontId="21" fillId="0" borderId="0" xfId="40" applyNumberFormat="1" applyFont="1" applyAlignment="1">
      <alignment/>
    </xf>
    <xf numFmtId="173" fontId="9" fillId="0" borderId="0" xfId="40" applyNumberFormat="1" applyFont="1" applyAlignment="1">
      <alignment horizontal="center"/>
    </xf>
    <xf numFmtId="173" fontId="22" fillId="0" borderId="0" xfId="40" applyNumberFormat="1" applyFont="1" applyAlignment="1">
      <alignment horizontal="center"/>
    </xf>
    <xf numFmtId="173" fontId="8" fillId="0" borderId="0" xfId="40" applyNumberFormat="1" applyFont="1" applyAlignment="1">
      <alignment horizontal="center"/>
    </xf>
    <xf numFmtId="0" fontId="4" fillId="0" borderId="0" xfId="59" applyFont="1" applyAlignment="1">
      <alignment/>
      <protection/>
    </xf>
    <xf numFmtId="0" fontId="8" fillId="0" borderId="0" xfId="59" applyFont="1" applyAlignment="1">
      <alignment horizontal="centerContinuous"/>
      <protection/>
    </xf>
    <xf numFmtId="0" fontId="9" fillId="0" borderId="17" xfId="59" applyFont="1" applyBorder="1" applyAlignment="1">
      <alignment/>
      <protection/>
    </xf>
    <xf numFmtId="0" fontId="9" fillId="0" borderId="18" xfId="59" applyFont="1" applyBorder="1" applyAlignment="1">
      <alignment horizontal="center"/>
      <protection/>
    </xf>
    <xf numFmtId="0" fontId="9" fillId="0" borderId="0" xfId="59" applyFont="1">
      <alignment/>
      <protection/>
    </xf>
    <xf numFmtId="0" fontId="9" fillId="0" borderId="19" xfId="59" applyFont="1" applyBorder="1">
      <alignment/>
      <protection/>
    </xf>
    <xf numFmtId="0" fontId="9" fillId="0" borderId="20" xfId="59" applyFont="1" applyBorder="1" applyAlignment="1">
      <alignment horizontal="center"/>
      <protection/>
    </xf>
    <xf numFmtId="0" fontId="9" fillId="0" borderId="21" xfId="59" applyFont="1" applyBorder="1">
      <alignment/>
      <protection/>
    </xf>
    <xf numFmtId="0" fontId="9" fillId="0" borderId="22" xfId="59" applyFont="1" applyBorder="1" applyAlignment="1">
      <alignment horizontal="center"/>
      <protection/>
    </xf>
    <xf numFmtId="0" fontId="9" fillId="0" borderId="23" xfId="59" applyFont="1" applyBorder="1" applyAlignment="1">
      <alignment horizontal="left" vertical="center" wrapText="1"/>
      <protection/>
    </xf>
    <xf numFmtId="0" fontId="9" fillId="0" borderId="23" xfId="59" applyFont="1" applyBorder="1" applyAlignment="1">
      <alignment horizontal="left"/>
      <protection/>
    </xf>
    <xf numFmtId="0" fontId="9" fillId="0" borderId="24" xfId="59" applyFont="1" applyBorder="1">
      <alignment/>
      <protection/>
    </xf>
    <xf numFmtId="173" fontId="8" fillId="0" borderId="25" xfId="40" applyNumberFormat="1" applyFont="1" applyBorder="1" applyAlignment="1">
      <alignment horizontal="right"/>
    </xf>
    <xf numFmtId="173" fontId="8" fillId="0" borderId="26" xfId="40" applyNumberFormat="1" applyFont="1" applyBorder="1" applyAlignment="1">
      <alignment horizontal="right"/>
    </xf>
    <xf numFmtId="173" fontId="8" fillId="0" borderId="0" xfId="59" applyNumberFormat="1" applyFont="1">
      <alignment/>
      <protection/>
    </xf>
    <xf numFmtId="0" fontId="8" fillId="0" borderId="0" xfId="59" applyFont="1" applyBorder="1" applyAlignment="1">
      <alignment horizontal="center"/>
      <protection/>
    </xf>
    <xf numFmtId="173" fontId="8" fillId="0" borderId="0" xfId="40" applyNumberFormat="1" applyFont="1" applyBorder="1" applyAlignment="1">
      <alignment horizontal="center" vertical="center"/>
    </xf>
    <xf numFmtId="0" fontId="4" fillId="0" borderId="0" xfId="64" applyFont="1" applyBorder="1" applyAlignment="1">
      <alignment horizontal="center"/>
      <protection/>
    </xf>
    <xf numFmtId="0" fontId="8" fillId="0" borderId="27" xfId="63" applyFont="1" applyBorder="1">
      <alignment/>
      <protection/>
    </xf>
    <xf numFmtId="0" fontId="9" fillId="0" borderId="0" xfId="0" applyFont="1" applyAlignment="1">
      <alignment/>
    </xf>
    <xf numFmtId="173" fontId="5" fillId="0" borderId="0" xfId="0" applyNumberFormat="1" applyFont="1" applyAlignment="1">
      <alignment/>
    </xf>
    <xf numFmtId="165" fontId="9" fillId="0" borderId="0" xfId="57" applyNumberFormat="1" applyFont="1">
      <alignment/>
      <protection/>
    </xf>
    <xf numFmtId="0" fontId="5" fillId="0" borderId="0" xfId="58" applyFont="1">
      <alignment/>
      <protection/>
    </xf>
    <xf numFmtId="0" fontId="9" fillId="0" borderId="0" xfId="58" applyFont="1">
      <alignment/>
      <protection/>
    </xf>
    <xf numFmtId="0" fontId="8" fillId="0" borderId="28" xfId="0" applyFont="1" applyBorder="1" applyAlignment="1">
      <alignment/>
    </xf>
    <xf numFmtId="0" fontId="9" fillId="0" borderId="28" xfId="0" applyFont="1" applyBorder="1" applyAlignment="1">
      <alignment/>
    </xf>
    <xf numFmtId="173" fontId="9" fillId="0" borderId="29" xfId="40" applyNumberFormat="1" applyFont="1" applyBorder="1" applyAlignment="1">
      <alignment/>
    </xf>
    <xf numFmtId="0" fontId="8" fillId="0" borderId="30" xfId="63" applyFont="1" applyBorder="1" applyAlignment="1">
      <alignment wrapText="1"/>
      <protection/>
    </xf>
    <xf numFmtId="0" fontId="9" fillId="0" borderId="28" xfId="0" applyFont="1" applyBorder="1" applyAlignment="1">
      <alignment wrapText="1"/>
    </xf>
    <xf numFmtId="0" fontId="8" fillId="0" borderId="31" xfId="0" applyFont="1" applyBorder="1" applyAlignment="1">
      <alignment/>
    </xf>
    <xf numFmtId="173" fontId="8" fillId="0" borderId="31" xfId="40" applyNumberFormat="1" applyFont="1" applyBorder="1" applyAlignment="1">
      <alignment/>
    </xf>
    <xf numFmtId="0" fontId="11" fillId="0" borderId="0" xfId="59" applyFont="1" applyAlignment="1">
      <alignment horizontal="center"/>
      <protection/>
    </xf>
    <xf numFmtId="0" fontId="17" fillId="0" borderId="0" xfId="59" applyFont="1">
      <alignment/>
      <protection/>
    </xf>
    <xf numFmtId="0" fontId="11" fillId="0" borderId="0" xfId="59" applyFont="1">
      <alignment/>
      <protection/>
    </xf>
    <xf numFmtId="0" fontId="8" fillId="0" borderId="0" xfId="57" applyFont="1" applyAlignment="1">
      <alignment/>
      <protection/>
    </xf>
    <xf numFmtId="0" fontId="16" fillId="0" borderId="0" xfId="57" applyFont="1" applyAlignment="1">
      <alignment/>
      <protection/>
    </xf>
    <xf numFmtId="0" fontId="16" fillId="0" borderId="0" xfId="57" applyFont="1" applyAlignment="1">
      <alignment horizontal="left"/>
      <protection/>
    </xf>
    <xf numFmtId="0" fontId="9" fillId="0" borderId="0" xfId="56" applyFont="1">
      <alignment/>
      <protection/>
    </xf>
    <xf numFmtId="0" fontId="9" fillId="0" borderId="0" xfId="56" applyFont="1" applyBorder="1">
      <alignment/>
      <protection/>
    </xf>
    <xf numFmtId="0" fontId="9" fillId="0" borderId="10" xfId="56" applyFont="1" applyBorder="1" applyAlignment="1">
      <alignment horizontal="center"/>
      <protection/>
    </xf>
    <xf numFmtId="0" fontId="9" fillId="0" borderId="12" xfId="56" applyFont="1" applyBorder="1" applyAlignment="1">
      <alignment horizontal="center"/>
      <protection/>
    </xf>
    <xf numFmtId="165" fontId="9" fillId="0" borderId="32" xfId="56" applyNumberFormat="1" applyFont="1" applyBorder="1">
      <alignment/>
      <protection/>
    </xf>
    <xf numFmtId="0" fontId="8" fillId="0" borderId="0" xfId="56" applyFont="1" applyBorder="1">
      <alignment/>
      <protection/>
    </xf>
    <xf numFmtId="0" fontId="8" fillId="0" borderId="0" xfId="56" applyFont="1">
      <alignment/>
      <protection/>
    </xf>
    <xf numFmtId="0" fontId="16" fillId="0" borderId="0" xfId="56" applyFont="1" applyBorder="1">
      <alignment/>
      <protection/>
    </xf>
    <xf numFmtId="0" fontId="16" fillId="0" borderId="0" xfId="56" applyFont="1">
      <alignment/>
      <protection/>
    </xf>
    <xf numFmtId="165" fontId="9" fillId="0" borderId="0" xfId="56" applyNumberFormat="1" applyFont="1" applyBorder="1">
      <alignment/>
      <protection/>
    </xf>
    <xf numFmtId="0" fontId="17" fillId="0" borderId="0" xfId="0" applyFont="1" applyAlignment="1">
      <alignment/>
    </xf>
    <xf numFmtId="0" fontId="8" fillId="0" borderId="0" xfId="63" applyFont="1" applyBorder="1">
      <alignment/>
      <protection/>
    </xf>
    <xf numFmtId="0" fontId="8" fillId="0" borderId="0" xfId="0" applyFont="1" applyAlignment="1">
      <alignment/>
    </xf>
    <xf numFmtId="0" fontId="16" fillId="0" borderId="0" xfId="59" applyFont="1" applyAlignment="1">
      <alignment/>
      <protection/>
    </xf>
    <xf numFmtId="0" fontId="5" fillId="0" borderId="0" xfId="0" applyFont="1" applyBorder="1" applyAlignment="1">
      <alignment/>
    </xf>
    <xf numFmtId="0" fontId="5" fillId="0" borderId="0" xfId="58" applyFont="1" applyAlignment="1">
      <alignment horizontal="center"/>
      <protection/>
    </xf>
    <xf numFmtId="0" fontId="4" fillId="0" borderId="0" xfId="58" applyFont="1" applyAlignment="1">
      <alignment horizontal="centerContinuous"/>
      <protection/>
    </xf>
    <xf numFmtId="0" fontId="5" fillId="0" borderId="0" xfId="58" applyFont="1" applyAlignment="1">
      <alignment horizontal="centerContinuous"/>
      <protection/>
    </xf>
    <xf numFmtId="0" fontId="5" fillId="0" borderId="0" xfId="58" applyFont="1" applyBorder="1">
      <alignment/>
      <protection/>
    </xf>
    <xf numFmtId="41" fontId="5" fillId="0" borderId="0" xfId="58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58" applyFont="1" applyBorder="1" applyAlignment="1">
      <alignment horizontal="right"/>
      <protection/>
    </xf>
    <xf numFmtId="0" fontId="15" fillId="0" borderId="0" xfId="58" applyFont="1" applyBorder="1">
      <alignment/>
      <protection/>
    </xf>
    <xf numFmtId="0" fontId="0" fillId="0" borderId="0" xfId="61">
      <alignment/>
      <protection/>
    </xf>
    <xf numFmtId="0" fontId="5" fillId="0" borderId="0" xfId="61" applyFont="1">
      <alignment/>
      <protection/>
    </xf>
    <xf numFmtId="173" fontId="8" fillId="0" borderId="0" xfId="40" applyNumberFormat="1" applyFont="1" applyAlignment="1">
      <alignment horizontal="center"/>
    </xf>
    <xf numFmtId="173" fontId="9" fillId="0" borderId="0" xfId="40" applyNumberFormat="1" applyFont="1" applyBorder="1" applyAlignment="1">
      <alignment horizontal="center"/>
    </xf>
    <xf numFmtId="0" fontId="6" fillId="0" borderId="0" xfId="62" applyFont="1" applyAlignment="1">
      <alignment horizontal="left"/>
      <protection/>
    </xf>
    <xf numFmtId="173" fontId="26" fillId="0" borderId="33" xfId="40" applyNumberFormat="1" applyFont="1" applyBorder="1" applyAlignment="1">
      <alignment horizontal="center"/>
    </xf>
    <xf numFmtId="173" fontId="8" fillId="0" borderId="0" xfId="40" applyNumberFormat="1" applyFont="1" applyBorder="1" applyAlignment="1">
      <alignment horizontal="center"/>
    </xf>
    <xf numFmtId="173" fontId="11" fillId="0" borderId="0" xfId="40" applyNumberFormat="1" applyFont="1" applyBorder="1" applyAlignment="1">
      <alignment horizontal="center"/>
    </xf>
    <xf numFmtId="0" fontId="9" fillId="0" borderId="0" xfId="56" applyFont="1">
      <alignment/>
      <protection/>
    </xf>
    <xf numFmtId="0" fontId="9" fillId="0" borderId="0" xfId="56" applyFont="1" applyAlignment="1">
      <alignment horizontal="left"/>
      <protection/>
    </xf>
    <xf numFmtId="0" fontId="8" fillId="0" borderId="0" xfId="56" applyFont="1" applyAlignment="1">
      <alignment/>
      <protection/>
    </xf>
    <xf numFmtId="0" fontId="8" fillId="0" borderId="0" xfId="64" applyFont="1" applyBorder="1">
      <alignment/>
      <protection/>
    </xf>
    <xf numFmtId="0" fontId="9" fillId="0" borderId="0" xfId="64" applyFont="1">
      <alignment/>
      <protection/>
    </xf>
    <xf numFmtId="0" fontId="8" fillId="0" borderId="0" xfId="59" applyFont="1" applyAlignment="1">
      <alignment horizontal="center"/>
      <protection/>
    </xf>
    <xf numFmtId="0" fontId="9" fillId="0" borderId="0" xfId="59" applyFont="1" applyAlignment="1">
      <alignment/>
      <protection/>
    </xf>
    <xf numFmtId="0" fontId="9" fillId="0" borderId="0" xfId="59" applyFont="1" applyAlignment="1">
      <alignment horizontal="center"/>
      <protection/>
    </xf>
    <xf numFmtId="0" fontId="9" fillId="0" borderId="34" xfId="59" applyFont="1" applyBorder="1" applyAlignment="1">
      <alignment horizontal="right"/>
      <protection/>
    </xf>
    <xf numFmtId="0" fontId="9" fillId="0" borderId="10" xfId="59" applyFont="1" applyBorder="1" applyAlignment="1">
      <alignment horizontal="center"/>
      <protection/>
    </xf>
    <xf numFmtId="0" fontId="9" fillId="0" borderId="0" xfId="59" applyFont="1" applyBorder="1" applyAlignment="1">
      <alignment horizontal="center"/>
      <protection/>
    </xf>
    <xf numFmtId="0" fontId="9" fillId="0" borderId="11" xfId="59" applyFont="1" applyBorder="1" applyAlignment="1">
      <alignment horizontal="center"/>
      <protection/>
    </xf>
    <xf numFmtId="0" fontId="9" fillId="0" borderId="12" xfId="59" applyFont="1" applyBorder="1" applyAlignment="1">
      <alignment horizontal="center"/>
      <protection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173" fontId="8" fillId="0" borderId="0" xfId="40" applyNumberFormat="1" applyFont="1" applyAlignment="1">
      <alignment wrapText="1"/>
    </xf>
    <xf numFmtId="173" fontId="8" fillId="0" borderId="0" xfId="40" applyNumberFormat="1" applyFont="1" applyAlignment="1">
      <alignment/>
    </xf>
    <xf numFmtId="0" fontId="9" fillId="0" borderId="0" xfId="0" applyFont="1" applyAlignment="1">
      <alignment wrapText="1"/>
    </xf>
    <xf numFmtId="173" fontId="9" fillId="0" borderId="0" xfId="40" applyNumberFormat="1" applyFont="1" applyAlignment="1">
      <alignment wrapText="1"/>
    </xf>
    <xf numFmtId="165" fontId="9" fillId="0" borderId="0" xfId="0" applyNumberFormat="1" applyFont="1" applyAlignment="1">
      <alignment/>
    </xf>
    <xf numFmtId="173" fontId="9" fillId="0" borderId="0" xfId="59" applyNumberFormat="1" applyFont="1">
      <alignment/>
      <protection/>
    </xf>
    <xf numFmtId="0" fontId="16" fillId="0" borderId="0" xfId="59" applyFont="1">
      <alignment/>
      <protection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173" fontId="16" fillId="0" borderId="0" xfId="40" applyNumberFormat="1" applyFont="1" applyAlignment="1">
      <alignment wrapText="1"/>
    </xf>
    <xf numFmtId="173" fontId="16" fillId="0" borderId="0" xfId="40" applyNumberFormat="1" applyFont="1" applyAlignment="1">
      <alignment/>
    </xf>
    <xf numFmtId="1" fontId="9" fillId="0" borderId="0" xfId="59" applyNumberFormat="1" applyFont="1">
      <alignment/>
      <protection/>
    </xf>
    <xf numFmtId="0" fontId="9" fillId="0" borderId="0" xfId="59" applyFont="1" applyBorder="1" applyAlignment="1">
      <alignment horizontal="center" vertical="center"/>
      <protection/>
    </xf>
    <xf numFmtId="0" fontId="9" fillId="0" borderId="0" xfId="0" applyFont="1" applyAlignment="1">
      <alignment horizontal="left" wrapText="1"/>
    </xf>
    <xf numFmtId="0" fontId="8" fillId="0" borderId="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left" vertical="center"/>
      <protection/>
    </xf>
    <xf numFmtId="165" fontId="8" fillId="0" borderId="0" xfId="0" applyNumberFormat="1" applyFont="1" applyAlignment="1">
      <alignment/>
    </xf>
    <xf numFmtId="0" fontId="9" fillId="0" borderId="0" xfId="59" applyFont="1" applyAlignment="1">
      <alignment horizontal="left" wrapText="1"/>
      <protection/>
    </xf>
    <xf numFmtId="0" fontId="21" fillId="0" borderId="0" xfId="59" applyFont="1">
      <alignment/>
      <protection/>
    </xf>
    <xf numFmtId="173" fontId="9" fillId="0" borderId="0" xfId="0" applyNumberFormat="1" applyFont="1" applyAlignment="1">
      <alignment wrapText="1"/>
    </xf>
    <xf numFmtId="165" fontId="9" fillId="0" borderId="0" xfId="59" applyNumberFormat="1" applyFont="1">
      <alignment/>
      <protection/>
    </xf>
    <xf numFmtId="173" fontId="9" fillId="0" borderId="0" xfId="40" applyNumberFormat="1" applyFont="1" applyAlignment="1">
      <alignment horizontal="left" wrapText="1"/>
    </xf>
    <xf numFmtId="173" fontId="8" fillId="0" borderId="0" xfId="0" applyNumberFormat="1" applyFont="1" applyAlignment="1">
      <alignment/>
    </xf>
    <xf numFmtId="0" fontId="16" fillId="0" borderId="0" xfId="56" applyFont="1" applyAlignment="1">
      <alignment/>
      <protection/>
    </xf>
    <xf numFmtId="165" fontId="16" fillId="0" borderId="0" xfId="0" applyNumberFormat="1" applyFont="1" applyAlignment="1">
      <alignment/>
    </xf>
    <xf numFmtId="173" fontId="11" fillId="0" borderId="0" xfId="0" applyNumberFormat="1" applyFont="1" applyAlignment="1">
      <alignment wrapText="1"/>
    </xf>
    <xf numFmtId="165" fontId="11" fillId="0" borderId="0" xfId="0" applyNumberFormat="1" applyFont="1" applyAlignment="1">
      <alignment/>
    </xf>
    <xf numFmtId="0" fontId="17" fillId="0" borderId="0" xfId="59" applyFont="1" applyBorder="1" applyAlignment="1">
      <alignment horizontal="center" vertical="center"/>
      <protection/>
    </xf>
    <xf numFmtId="173" fontId="27" fillId="0" borderId="0" xfId="40" applyNumberFormat="1" applyFont="1" applyBorder="1" applyAlignment="1">
      <alignment horizontal="center"/>
    </xf>
    <xf numFmtId="1" fontId="11" fillId="0" borderId="0" xfId="4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3" fillId="0" borderId="0" xfId="59" applyFont="1">
      <alignment/>
      <protection/>
    </xf>
    <xf numFmtId="0" fontId="23" fillId="0" borderId="0" xfId="59" applyFont="1" applyAlignment="1">
      <alignment horizontal="center"/>
      <protection/>
    </xf>
    <xf numFmtId="173" fontId="23" fillId="0" borderId="0" xfId="40" applyNumberFormat="1" applyFont="1" applyAlignment="1">
      <alignment/>
    </xf>
    <xf numFmtId="173" fontId="11" fillId="0" borderId="0" xfId="40" applyNumberFormat="1" applyFont="1" applyAlignment="1">
      <alignment/>
    </xf>
    <xf numFmtId="0" fontId="26" fillId="0" borderId="0" xfId="59" applyFont="1" applyAlignment="1">
      <alignment horizontal="center"/>
      <protection/>
    </xf>
    <xf numFmtId="173" fontId="26" fillId="0" borderId="0" xfId="40" applyNumberFormat="1" applyFont="1" applyAlignment="1">
      <alignment horizontal="centerContinuous"/>
    </xf>
    <xf numFmtId="173" fontId="26" fillId="0" borderId="10" xfId="40" applyNumberFormat="1" applyFont="1" applyBorder="1" applyAlignment="1">
      <alignment horizontal="center"/>
    </xf>
    <xf numFmtId="173" fontId="26" fillId="0" borderId="10" xfId="40" applyNumberFormat="1" applyFont="1" applyBorder="1" applyAlignment="1">
      <alignment horizontal="center" wrapText="1"/>
    </xf>
    <xf numFmtId="0" fontId="17" fillId="0" borderId="35" xfId="62" applyFont="1" applyBorder="1" applyAlignment="1" quotePrefix="1">
      <alignment horizontal="center" vertical="center" wrapText="1"/>
      <protection/>
    </xf>
    <xf numFmtId="0" fontId="17" fillId="0" borderId="0" xfId="62" applyFont="1" applyBorder="1" applyAlignment="1">
      <alignment horizontal="left" wrapText="1"/>
      <protection/>
    </xf>
    <xf numFmtId="173" fontId="9" fillId="0" borderId="24" xfId="40" applyNumberFormat="1" applyFont="1" applyBorder="1" applyAlignment="1">
      <alignment/>
    </xf>
    <xf numFmtId="173" fontId="9" fillId="0" borderId="32" xfId="40" applyNumberFormat="1" applyFont="1" applyBorder="1" applyAlignment="1">
      <alignment/>
    </xf>
    <xf numFmtId="0" fontId="17" fillId="0" borderId="36" xfId="62" applyFont="1" applyBorder="1" applyAlignment="1" quotePrefix="1">
      <alignment horizontal="center" vertical="center" wrapText="1"/>
      <protection/>
    </xf>
    <xf numFmtId="0" fontId="17" fillId="0" borderId="37" xfId="62" applyFont="1" applyBorder="1" applyAlignment="1">
      <alignment horizontal="left" wrapText="1"/>
      <protection/>
    </xf>
    <xf numFmtId="0" fontId="17" fillId="0" borderId="36" xfId="62" applyFont="1" applyBorder="1" applyAlignment="1" quotePrefix="1">
      <alignment horizontal="center" vertical="center" wrapText="1"/>
      <protection/>
    </xf>
    <xf numFmtId="0" fontId="17" fillId="0" borderId="37" xfId="62" applyFont="1" applyBorder="1" applyAlignment="1">
      <alignment horizontal="left" wrapText="1"/>
      <protection/>
    </xf>
    <xf numFmtId="0" fontId="17" fillId="0" borderId="28" xfId="64" applyFont="1" applyBorder="1">
      <alignment/>
      <protection/>
    </xf>
    <xf numFmtId="0" fontId="17" fillId="0" borderId="38" xfId="64" applyFont="1" applyBorder="1">
      <alignment/>
      <protection/>
    </xf>
    <xf numFmtId="0" fontId="17" fillId="0" borderId="37" xfId="64" applyFont="1" applyBorder="1">
      <alignment/>
      <protection/>
    </xf>
    <xf numFmtId="0" fontId="11" fillId="0" borderId="27" xfId="64" applyFont="1" applyBorder="1">
      <alignment/>
      <protection/>
    </xf>
    <xf numFmtId="0" fontId="11" fillId="0" borderId="31" xfId="64" applyFont="1" applyBorder="1">
      <alignment/>
      <protection/>
    </xf>
    <xf numFmtId="173" fontId="9" fillId="0" borderId="31" xfId="40" applyNumberFormat="1" applyFont="1" applyBorder="1" applyAlignment="1">
      <alignment/>
    </xf>
    <xf numFmtId="0" fontId="17" fillId="0" borderId="39" xfId="62" applyFont="1" applyBorder="1" applyAlignment="1" quotePrefix="1">
      <alignment horizontal="center" vertical="center" wrapText="1"/>
      <protection/>
    </xf>
    <xf numFmtId="0" fontId="11" fillId="0" borderId="27" xfId="64" applyFont="1" applyBorder="1">
      <alignment/>
      <protection/>
    </xf>
    <xf numFmtId="0" fontId="11" fillId="0" borderId="31" xfId="64" applyFont="1" applyBorder="1">
      <alignment/>
      <protection/>
    </xf>
    <xf numFmtId="0" fontId="11" fillId="0" borderId="0" xfId="64" applyFont="1" applyAlignment="1">
      <alignment horizontal="center"/>
      <protection/>
    </xf>
    <xf numFmtId="0" fontId="17" fillId="0" borderId="0" xfId="64" applyFont="1">
      <alignment/>
      <protection/>
    </xf>
    <xf numFmtId="0" fontId="11" fillId="0" borderId="0" xfId="64" applyFont="1" applyAlignment="1">
      <alignment/>
      <protection/>
    </xf>
    <xf numFmtId="0" fontId="17" fillId="0" borderId="38" xfId="64" applyFont="1" applyBorder="1">
      <alignment/>
      <protection/>
    </xf>
    <xf numFmtId="0" fontId="17" fillId="0" borderId="35" xfId="62" applyFont="1" applyBorder="1" applyAlignment="1" quotePrefix="1">
      <alignment horizontal="center" vertical="center" wrapText="1"/>
      <protection/>
    </xf>
    <xf numFmtId="0" fontId="17" fillId="0" borderId="37" xfId="64" applyFont="1" applyBorder="1">
      <alignment/>
      <protection/>
    </xf>
    <xf numFmtId="0" fontId="11" fillId="0" borderId="0" xfId="64" applyFont="1" applyBorder="1">
      <alignment/>
      <protection/>
    </xf>
    <xf numFmtId="173" fontId="9" fillId="0" borderId="0" xfId="4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173" fontId="17" fillId="0" borderId="0" xfId="40" applyNumberFormat="1" applyFont="1" applyAlignment="1">
      <alignment/>
    </xf>
    <xf numFmtId="173" fontId="11" fillId="0" borderId="0" xfId="40" applyNumberFormat="1" applyFont="1" applyAlignment="1">
      <alignment/>
    </xf>
    <xf numFmtId="0" fontId="11" fillId="0" borderId="0" xfId="0" applyFont="1" applyAlignment="1">
      <alignment horizontal="center"/>
    </xf>
    <xf numFmtId="165" fontId="11" fillId="0" borderId="0" xfId="0" applyNumberFormat="1" applyFont="1" applyAlignment="1">
      <alignment horizontal="right"/>
    </xf>
    <xf numFmtId="0" fontId="9" fillId="0" borderId="0" xfId="64" applyFont="1" applyAlignment="1">
      <alignment horizontal="center"/>
      <protection/>
    </xf>
    <xf numFmtId="165" fontId="9" fillId="0" borderId="0" xfId="0" applyNumberFormat="1" applyFont="1" applyAlignment="1">
      <alignment horizontal="right"/>
    </xf>
    <xf numFmtId="0" fontId="9" fillId="0" borderId="0" xfId="62" applyFont="1">
      <alignment/>
      <protection/>
    </xf>
    <xf numFmtId="0" fontId="9" fillId="0" borderId="0" xfId="62" applyFont="1" applyBorder="1">
      <alignment/>
      <protection/>
    </xf>
    <xf numFmtId="173" fontId="9" fillId="0" borderId="0" xfId="40" applyNumberFormat="1" applyFont="1" applyAlignment="1">
      <alignment horizontal="right"/>
    </xf>
    <xf numFmtId="165" fontId="9" fillId="0" borderId="0" xfId="62" applyNumberFormat="1" applyFont="1">
      <alignment/>
      <protection/>
    </xf>
    <xf numFmtId="0" fontId="24" fillId="0" borderId="0" xfId="64" applyFont="1">
      <alignment/>
      <protection/>
    </xf>
    <xf numFmtId="0" fontId="8" fillId="0" borderId="0" xfId="64" applyFont="1" applyBorder="1" applyAlignment="1">
      <alignment horizontal="right"/>
      <protection/>
    </xf>
    <xf numFmtId="173" fontId="9" fillId="0" borderId="0" xfId="40" applyNumberFormat="1" applyFont="1" applyBorder="1" applyAlignment="1">
      <alignment horizontal="right"/>
    </xf>
    <xf numFmtId="44" fontId="9" fillId="0" borderId="0" xfId="66" applyFont="1" applyAlignment="1">
      <alignment wrapText="1"/>
    </xf>
    <xf numFmtId="0" fontId="9" fillId="0" borderId="0" xfId="64" applyFont="1" applyBorder="1">
      <alignment/>
      <protection/>
    </xf>
    <xf numFmtId="173" fontId="8" fillId="0" borderId="0" xfId="40" applyNumberFormat="1" applyFont="1" applyBorder="1" applyAlignment="1">
      <alignment horizontal="right"/>
    </xf>
    <xf numFmtId="172" fontId="9" fillId="0" borderId="0" xfId="40" applyNumberFormat="1" applyFont="1" applyAlignment="1">
      <alignment horizontal="right" wrapText="1"/>
    </xf>
    <xf numFmtId="172" fontId="8" fillId="0" borderId="0" xfId="40" applyNumberFormat="1" applyFont="1" applyAlignment="1">
      <alignment horizontal="right" wrapText="1"/>
    </xf>
    <xf numFmtId="172" fontId="4" fillId="0" borderId="0" xfId="40" applyNumberFormat="1" applyFont="1" applyAlignment="1">
      <alignment horizontal="right" wrapText="1"/>
    </xf>
    <xf numFmtId="0" fontId="8" fillId="0" borderId="0" xfId="59" applyFont="1">
      <alignment/>
      <protection/>
    </xf>
    <xf numFmtId="0" fontId="9" fillId="0" borderId="0" xfId="64" applyFont="1">
      <alignment/>
      <protection/>
    </xf>
    <xf numFmtId="0" fontId="16" fillId="0" borderId="0" xfId="0" applyFont="1" applyAlignment="1">
      <alignment/>
    </xf>
    <xf numFmtId="173" fontId="9" fillId="0" borderId="0" xfId="40" applyNumberFormat="1" applyFont="1" applyAlignment="1">
      <alignment/>
    </xf>
    <xf numFmtId="0" fontId="8" fillId="0" borderId="10" xfId="59" applyFont="1" applyBorder="1" applyAlignment="1">
      <alignment/>
      <protection/>
    </xf>
    <xf numFmtId="0" fontId="8" fillId="0" borderId="11" xfId="59" applyFont="1" applyBorder="1">
      <alignment/>
      <protection/>
    </xf>
    <xf numFmtId="0" fontId="8" fillId="0" borderId="12" xfId="59" applyFont="1" applyBorder="1">
      <alignment/>
      <protection/>
    </xf>
    <xf numFmtId="0" fontId="9" fillId="0" borderId="0" xfId="59" applyFont="1" applyBorder="1" applyAlignment="1">
      <alignment horizontal="right"/>
      <protection/>
    </xf>
    <xf numFmtId="0" fontId="9" fillId="0" borderId="0" xfId="59" applyFont="1" applyBorder="1" applyAlignment="1">
      <alignment/>
      <protection/>
    </xf>
    <xf numFmtId="173" fontId="9" fillId="0" borderId="0" xfId="40" applyNumberFormat="1" applyFont="1" applyBorder="1" applyAlignment="1">
      <alignment/>
    </xf>
    <xf numFmtId="0" fontId="9" fillId="0" borderId="0" xfId="59" applyFont="1" applyBorder="1" applyAlignment="1">
      <alignment wrapText="1"/>
      <protection/>
    </xf>
    <xf numFmtId="0" fontId="9" fillId="0" borderId="15" xfId="59" applyFont="1" applyBorder="1" applyAlignment="1">
      <alignment horizontal="right"/>
      <protection/>
    </xf>
    <xf numFmtId="0" fontId="9" fillId="0" borderId="15" xfId="59" applyFont="1" applyBorder="1" applyAlignment="1">
      <alignment/>
      <protection/>
    </xf>
    <xf numFmtId="173" fontId="9" fillId="0" borderId="15" xfId="40" applyNumberFormat="1" applyFont="1" applyBorder="1" applyAlignment="1">
      <alignment/>
    </xf>
    <xf numFmtId="0" fontId="9" fillId="0" borderId="0" xfId="59" applyFont="1" applyAlignment="1">
      <alignment horizontal="right"/>
      <protection/>
    </xf>
    <xf numFmtId="173" fontId="9" fillId="0" borderId="0" xfId="40" applyNumberFormat="1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173" fontId="9" fillId="0" borderId="0" xfId="40" applyNumberFormat="1" applyFont="1" applyAlignment="1">
      <alignment horizontal="right"/>
    </xf>
    <xf numFmtId="173" fontId="9" fillId="0" borderId="0" xfId="59" applyNumberFormat="1" applyFont="1">
      <alignment/>
      <protection/>
    </xf>
    <xf numFmtId="0" fontId="9" fillId="0" borderId="0" xfId="59" applyFont="1" applyAlignment="1">
      <alignment/>
      <protection/>
    </xf>
    <xf numFmtId="0" fontId="9" fillId="0" borderId="0" xfId="0" applyFont="1" applyAlignment="1">
      <alignment wrapText="1"/>
    </xf>
    <xf numFmtId="173" fontId="8" fillId="0" borderId="0" xfId="59" applyNumberFormat="1" applyFont="1">
      <alignment/>
      <protection/>
    </xf>
    <xf numFmtId="0" fontId="8" fillId="0" borderId="31" xfId="59" applyFont="1" applyBorder="1" applyAlignment="1">
      <alignment horizontal="right"/>
      <protection/>
    </xf>
    <xf numFmtId="0" fontId="8" fillId="0" borderId="31" xfId="59" applyFont="1" applyBorder="1">
      <alignment/>
      <protection/>
    </xf>
    <xf numFmtId="173" fontId="8" fillId="0" borderId="31" xfId="40" applyNumberFormat="1" applyFont="1" applyBorder="1" applyAlignment="1">
      <alignment/>
    </xf>
    <xf numFmtId="0" fontId="8" fillId="0" borderId="0" xfId="59" applyFont="1" applyBorder="1" applyAlignment="1">
      <alignment horizontal="right"/>
      <protection/>
    </xf>
    <xf numFmtId="0" fontId="8" fillId="0" borderId="0" xfId="59" applyFont="1" applyBorder="1">
      <alignment/>
      <protection/>
    </xf>
    <xf numFmtId="173" fontId="8" fillId="0" borderId="0" xfId="40" applyNumberFormat="1" applyFont="1" applyBorder="1" applyAlignment="1">
      <alignment/>
    </xf>
    <xf numFmtId="173" fontId="8" fillId="0" borderId="0" xfId="59" applyNumberFormat="1" applyFont="1" applyBorder="1">
      <alignment/>
      <protection/>
    </xf>
    <xf numFmtId="0" fontId="9" fillId="0" borderId="0" xfId="0" applyFont="1" applyBorder="1" applyAlignment="1">
      <alignment horizontal="left" wrapText="1"/>
    </xf>
    <xf numFmtId="0" fontId="9" fillId="0" borderId="0" xfId="59" applyFont="1" applyBorder="1">
      <alignment/>
      <protection/>
    </xf>
    <xf numFmtId="0" fontId="28" fillId="0" borderId="0" xfId="0" applyFont="1" applyBorder="1" applyAlignment="1">
      <alignment/>
    </xf>
    <xf numFmtId="0" fontId="9" fillId="0" borderId="16" xfId="59" applyFont="1" applyBorder="1" applyAlignment="1">
      <alignment horizontal="right"/>
      <protection/>
    </xf>
    <xf numFmtId="0" fontId="9" fillId="0" borderId="16" xfId="59" applyFont="1" applyBorder="1" applyAlignment="1">
      <alignment/>
      <protection/>
    </xf>
    <xf numFmtId="173" fontId="8" fillId="0" borderId="16" xfId="40" applyNumberFormat="1" applyFont="1" applyBorder="1" applyAlignment="1">
      <alignment/>
    </xf>
    <xf numFmtId="0" fontId="8" fillId="0" borderId="0" xfId="60" applyFont="1">
      <alignment/>
      <protection/>
    </xf>
    <xf numFmtId="0" fontId="8" fillId="0" borderId="31" xfId="60" applyFont="1" applyBorder="1" applyAlignment="1">
      <alignment horizontal="right"/>
      <protection/>
    </xf>
    <xf numFmtId="0" fontId="8" fillId="0" borderId="31" xfId="60" applyFont="1" applyBorder="1">
      <alignment/>
      <protection/>
    </xf>
    <xf numFmtId="173" fontId="8" fillId="0" borderId="15" xfId="40" applyNumberFormat="1" applyFont="1" applyBorder="1" applyAlignment="1">
      <alignment/>
    </xf>
    <xf numFmtId="165" fontId="9" fillId="0" borderId="0" xfId="59" applyNumberFormat="1" applyFont="1">
      <alignment/>
      <protection/>
    </xf>
    <xf numFmtId="165" fontId="9" fillId="0" borderId="15" xfId="59" applyNumberFormat="1" applyFont="1" applyBorder="1">
      <alignment/>
      <protection/>
    </xf>
    <xf numFmtId="165" fontId="9" fillId="0" borderId="16" xfId="59" applyNumberFormat="1" applyFont="1" applyBorder="1">
      <alignment/>
      <protection/>
    </xf>
    <xf numFmtId="165" fontId="8" fillId="0" borderId="31" xfId="59" applyNumberFormat="1" applyFont="1" applyBorder="1">
      <alignment/>
      <protection/>
    </xf>
    <xf numFmtId="165" fontId="8" fillId="0" borderId="12" xfId="59" applyNumberFormat="1" applyFont="1" applyBorder="1">
      <alignment/>
      <protection/>
    </xf>
    <xf numFmtId="0" fontId="11" fillId="0" borderId="0" xfId="0" applyFont="1" applyAlignment="1">
      <alignment horizontal="left" wrapText="1"/>
    </xf>
    <xf numFmtId="0" fontId="4" fillId="0" borderId="0" xfId="63" applyFont="1" applyAlignment="1">
      <alignment horizontal="center"/>
      <protection/>
    </xf>
    <xf numFmtId="165" fontId="9" fillId="0" borderId="0" xfId="63" applyNumberFormat="1" applyFont="1">
      <alignment/>
      <protection/>
    </xf>
    <xf numFmtId="0" fontId="9" fillId="0" borderId="0" xfId="63" applyFont="1" applyAlignment="1">
      <alignment horizontal="center"/>
      <protection/>
    </xf>
    <xf numFmtId="0" fontId="8" fillId="0" borderId="0" xfId="63" applyFont="1">
      <alignment/>
      <protection/>
    </xf>
    <xf numFmtId="173" fontId="8" fillId="0" borderId="31" xfId="40" applyNumberFormat="1" applyFont="1" applyBorder="1" applyAlignment="1">
      <alignment horizontal="right"/>
    </xf>
    <xf numFmtId="0" fontId="9" fillId="0" borderId="0" xfId="63" applyFont="1" applyBorder="1" applyAlignment="1">
      <alignment horizontal="left" wrapText="1"/>
      <protection/>
    </xf>
    <xf numFmtId="0" fontId="8" fillId="0" borderId="40" xfId="63" applyFont="1" applyBorder="1">
      <alignment/>
      <protection/>
    </xf>
    <xf numFmtId="0" fontId="8" fillId="0" borderId="40" xfId="63" applyFont="1" applyBorder="1" applyAlignment="1">
      <alignment horizontal="center"/>
      <protection/>
    </xf>
    <xf numFmtId="0" fontId="9" fillId="0" borderId="0" xfId="63" applyFont="1" applyAlignment="1">
      <alignment horizontal="right"/>
      <protection/>
    </xf>
    <xf numFmtId="0" fontId="8" fillId="0" borderId="0" xfId="63" applyFont="1" applyBorder="1" applyAlignment="1">
      <alignment horizontal="center"/>
      <protection/>
    </xf>
    <xf numFmtId="165" fontId="8" fillId="0" borderId="0" xfId="63" applyNumberFormat="1" applyFont="1">
      <alignment/>
      <protection/>
    </xf>
    <xf numFmtId="0" fontId="8" fillId="0" borderId="41" xfId="63" applyFont="1" applyBorder="1">
      <alignment/>
      <protection/>
    </xf>
    <xf numFmtId="0" fontId="4" fillId="0" borderId="3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9" fillId="0" borderId="0" xfId="63" applyNumberFormat="1" applyFont="1" applyBorder="1">
      <alignment/>
      <protection/>
    </xf>
    <xf numFmtId="0" fontId="9" fillId="0" borderId="0" xfId="63" applyFont="1" applyBorder="1" applyAlignment="1">
      <alignment wrapText="1"/>
      <protection/>
    </xf>
    <xf numFmtId="0" fontId="9" fillId="0" borderId="0" xfId="63" applyFont="1" applyBorder="1" applyAlignment="1">
      <alignment horizontal="center"/>
      <protection/>
    </xf>
    <xf numFmtId="0" fontId="9" fillId="0" borderId="0" xfId="63" applyFont="1" applyBorder="1" applyAlignment="1">
      <alignment horizontal="center" wrapText="1"/>
      <protection/>
    </xf>
    <xf numFmtId="173" fontId="9" fillId="0" borderId="0" xfId="63" applyNumberFormat="1" applyFont="1" applyBorder="1">
      <alignment/>
      <protection/>
    </xf>
    <xf numFmtId="0" fontId="8" fillId="0" borderId="0" xfId="63" applyFont="1" applyBorder="1" applyAlignment="1">
      <alignment vertical="center" wrapText="1"/>
      <protection/>
    </xf>
    <xf numFmtId="0" fontId="8" fillId="0" borderId="0" xfId="63" applyFont="1" applyBorder="1" applyAlignment="1">
      <alignment vertical="center"/>
      <protection/>
    </xf>
    <xf numFmtId="0" fontId="8" fillId="0" borderId="0" xfId="63" applyFont="1" applyBorder="1" applyAlignment="1">
      <alignment/>
      <protection/>
    </xf>
    <xf numFmtId="0" fontId="9" fillId="0" borderId="0" xfId="0" applyFont="1" applyBorder="1" applyAlignment="1">
      <alignment/>
    </xf>
    <xf numFmtId="0" fontId="9" fillId="0" borderId="0" xfId="63" applyFont="1" applyBorder="1" applyAlignment="1">
      <alignment horizontal="right"/>
      <protection/>
    </xf>
    <xf numFmtId="0" fontId="4" fillId="0" borderId="0" xfId="63" applyFont="1" applyAlignment="1">
      <alignment horizontal="right"/>
      <protection/>
    </xf>
    <xf numFmtId="0" fontId="9" fillId="0" borderId="0" xfId="63" applyFont="1" applyAlignment="1" quotePrefix="1">
      <alignment horizontal="right"/>
      <protection/>
    </xf>
    <xf numFmtId="0" fontId="4" fillId="0" borderId="31" xfId="63" applyFont="1" applyBorder="1" applyAlignment="1">
      <alignment horizontal="right"/>
      <protection/>
    </xf>
    <xf numFmtId="173" fontId="4" fillId="0" borderId="31" xfId="40" applyNumberFormat="1" applyFont="1" applyBorder="1" applyAlignment="1">
      <alignment horizontal="right"/>
    </xf>
    <xf numFmtId="165" fontId="4" fillId="0" borderId="0" xfId="63" applyNumberFormat="1" applyFont="1" applyBorder="1">
      <alignment/>
      <protection/>
    </xf>
    <xf numFmtId="173" fontId="4" fillId="0" borderId="0" xfId="63" applyNumberFormat="1" applyFont="1" applyBorder="1">
      <alignment/>
      <protection/>
    </xf>
    <xf numFmtId="0" fontId="4" fillId="0" borderId="0" xfId="63" applyFont="1" applyBorder="1">
      <alignment/>
      <protection/>
    </xf>
    <xf numFmtId="0" fontId="6" fillId="0" borderId="0" xfId="63" applyFont="1">
      <alignment/>
      <protection/>
    </xf>
    <xf numFmtId="165" fontId="6" fillId="0" borderId="0" xfId="63" applyNumberFormat="1" applyFont="1">
      <alignment/>
      <protection/>
    </xf>
    <xf numFmtId="0" fontId="9" fillId="0" borderId="30" xfId="63" applyFont="1" applyBorder="1" applyAlignment="1">
      <alignment wrapText="1"/>
      <protection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173" fontId="9" fillId="0" borderId="0" xfId="40" applyNumberFormat="1" applyFont="1" applyFill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173" fontId="9" fillId="0" borderId="0" xfId="40" applyNumberFormat="1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173" fontId="9" fillId="0" borderId="0" xfId="40" applyNumberFormat="1" applyFont="1" applyAlignment="1">
      <alignment vertical="top" wrapText="1"/>
    </xf>
    <xf numFmtId="0" fontId="21" fillId="0" borderId="27" xfId="0" applyFont="1" applyBorder="1" applyAlignment="1">
      <alignment horizontal="center" wrapText="1"/>
    </xf>
    <xf numFmtId="0" fontId="21" fillId="0" borderId="40" xfId="0" applyFont="1" applyBorder="1" applyAlignment="1">
      <alignment horizontal="center" wrapText="1"/>
    </xf>
    <xf numFmtId="0" fontId="21" fillId="0" borderId="40" xfId="0" applyFont="1" applyBorder="1" applyAlignment="1">
      <alignment horizontal="left" wrapText="1"/>
    </xf>
    <xf numFmtId="173" fontId="16" fillId="0" borderId="40" xfId="40" applyNumberFormat="1" applyFont="1" applyBorder="1" applyAlignment="1">
      <alignment wrapText="1"/>
    </xf>
    <xf numFmtId="0" fontId="21" fillId="0" borderId="0" xfId="0" applyFont="1" applyAlignment="1">
      <alignment/>
    </xf>
    <xf numFmtId="0" fontId="8" fillId="0" borderId="40" xfId="0" applyFont="1" applyBorder="1" applyAlignment="1">
      <alignment horizontal="left" wrapText="1"/>
    </xf>
    <xf numFmtId="173" fontId="9" fillId="0" borderId="0" xfId="40" applyNumberFormat="1" applyFont="1" applyAlignment="1">
      <alignment/>
    </xf>
    <xf numFmtId="0" fontId="8" fillId="0" borderId="0" xfId="63" applyFont="1" applyAlignment="1">
      <alignment/>
      <protection/>
    </xf>
    <xf numFmtId="0" fontId="4" fillId="0" borderId="0" xfId="63" applyFont="1" applyAlignment="1">
      <alignment/>
      <protection/>
    </xf>
    <xf numFmtId="173" fontId="9" fillId="0" borderId="0" xfId="40" applyNumberFormat="1" applyFont="1" applyFill="1" applyBorder="1" applyAlignment="1">
      <alignment horizontal="right" vertical="top" wrapText="1"/>
    </xf>
    <xf numFmtId="20" fontId="9" fillId="0" borderId="0" xfId="0" applyNumberFormat="1" applyFont="1" applyAlignment="1" quotePrefix="1">
      <alignment horizontal="center" vertical="top" wrapText="1"/>
    </xf>
    <xf numFmtId="173" fontId="9" fillId="0" borderId="0" xfId="40" applyNumberFormat="1" applyFont="1" applyAlignment="1">
      <alignment horizontal="center" vertical="top" wrapText="1"/>
    </xf>
    <xf numFmtId="173" fontId="8" fillId="0" borderId="41" xfId="40" applyNumberFormat="1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20" fontId="9" fillId="0" borderId="0" xfId="0" applyNumberFormat="1" applyFont="1" applyBorder="1" applyAlignment="1" quotePrefix="1">
      <alignment horizontal="center" vertical="top" wrapText="1"/>
    </xf>
    <xf numFmtId="0" fontId="8" fillId="0" borderId="27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21" fillId="0" borderId="40" xfId="0" applyFont="1" applyBorder="1" applyAlignment="1">
      <alignment horizontal="center" vertical="top" wrapText="1"/>
    </xf>
    <xf numFmtId="173" fontId="21" fillId="0" borderId="31" xfId="40" applyNumberFormat="1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40" xfId="0" applyFont="1" applyBorder="1" applyAlignment="1">
      <alignment horizontal="center" vertical="top" wrapText="1"/>
    </xf>
    <xf numFmtId="173" fontId="4" fillId="0" borderId="31" xfId="40" applyNumberFormat="1" applyFont="1" applyBorder="1" applyAlignment="1">
      <alignment horizontal="center" wrapText="1"/>
    </xf>
    <xf numFmtId="0" fontId="5" fillId="0" borderId="0" xfId="63" applyFont="1" applyAlignment="1">
      <alignment horizontal="center"/>
      <protection/>
    </xf>
    <xf numFmtId="0" fontId="30" fillId="0" borderId="0" xfId="0" applyFont="1" applyBorder="1" applyAlignment="1">
      <alignment horizontal="left" wrapText="1"/>
    </xf>
    <xf numFmtId="0" fontId="11" fillId="0" borderId="0" xfId="63" applyFont="1" applyBorder="1" applyAlignment="1">
      <alignment horizontal="left" wrapText="1"/>
      <protection/>
    </xf>
    <xf numFmtId="0" fontId="31" fillId="0" borderId="0" xfId="63" applyFont="1" applyBorder="1" applyAlignment="1">
      <alignment/>
      <protection/>
    </xf>
    <xf numFmtId="165" fontId="31" fillId="0" borderId="0" xfId="63" applyNumberFormat="1" applyFont="1" applyBorder="1" applyAlignment="1">
      <alignment/>
      <protection/>
    </xf>
    <xf numFmtId="0" fontId="11" fillId="0" borderId="0" xfId="63" applyFont="1" applyBorder="1" applyAlignment="1">
      <alignment horizontal="center" wrapText="1"/>
      <protection/>
    </xf>
    <xf numFmtId="0" fontId="30" fillId="0" borderId="0" xfId="0" applyFont="1" applyBorder="1" applyAlignment="1">
      <alignment horizontal="center" wrapText="1"/>
    </xf>
    <xf numFmtId="0" fontId="11" fillId="0" borderId="0" xfId="63" applyFont="1" applyBorder="1">
      <alignment/>
      <protection/>
    </xf>
    <xf numFmtId="0" fontId="8" fillId="0" borderId="0" xfId="63" applyFont="1" applyBorder="1" applyAlignment="1">
      <alignment horizontal="right"/>
      <protection/>
    </xf>
    <xf numFmtId="173" fontId="8" fillId="0" borderId="0" xfId="40" applyNumberFormat="1" applyFont="1" applyBorder="1" applyAlignment="1">
      <alignment/>
    </xf>
    <xf numFmtId="0" fontId="8" fillId="0" borderId="42" xfId="63" applyFont="1" applyBorder="1">
      <alignment/>
      <protection/>
    </xf>
    <xf numFmtId="0" fontId="8" fillId="0" borderId="42" xfId="63" applyFont="1" applyBorder="1" applyAlignment="1">
      <alignment horizontal="center"/>
      <protection/>
    </xf>
    <xf numFmtId="0" fontId="8" fillId="0" borderId="43" xfId="63" applyFont="1" applyBorder="1">
      <alignment/>
      <protection/>
    </xf>
    <xf numFmtId="0" fontId="8" fillId="0" borderId="33" xfId="63" applyFont="1" applyBorder="1">
      <alignment/>
      <protection/>
    </xf>
    <xf numFmtId="0" fontId="11" fillId="0" borderId="0" xfId="63" applyFont="1" applyBorder="1" applyAlignment="1">
      <alignment horizontal="right"/>
      <protection/>
    </xf>
    <xf numFmtId="0" fontId="11" fillId="0" borderId="0" xfId="63" applyFont="1" applyBorder="1" applyAlignment="1">
      <alignment horizontal="center"/>
      <protection/>
    </xf>
    <xf numFmtId="173" fontId="11" fillId="0" borderId="0" xfId="40" applyNumberFormat="1" applyFont="1" applyBorder="1" applyAlignment="1">
      <alignment horizontal="right"/>
    </xf>
    <xf numFmtId="165" fontId="11" fillId="0" borderId="0" xfId="63" applyNumberFormat="1" applyFont="1" applyBorder="1">
      <alignment/>
      <protection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0" fontId="9" fillId="0" borderId="0" xfId="58" applyFont="1" applyBorder="1" applyAlignment="1">
      <alignment/>
      <protection/>
    </xf>
    <xf numFmtId="0" fontId="21" fillId="0" borderId="0" xfId="58" applyFont="1" applyBorder="1" applyAlignment="1">
      <alignment/>
      <protection/>
    </xf>
    <xf numFmtId="0" fontId="28" fillId="0" borderId="0" xfId="0" applyFont="1" applyAlignment="1">
      <alignment horizontal="left" wrapText="1"/>
    </xf>
    <xf numFmtId="0" fontId="9" fillId="0" borderId="0" xfId="58" applyFont="1" applyBorder="1" applyAlignment="1">
      <alignment wrapText="1"/>
      <protection/>
    </xf>
    <xf numFmtId="0" fontId="21" fillId="0" borderId="0" xfId="58" applyFont="1" applyBorder="1" applyAlignment="1">
      <alignment wrapText="1"/>
      <protection/>
    </xf>
    <xf numFmtId="0" fontId="8" fillId="0" borderId="10" xfId="58" applyFont="1" applyBorder="1" applyAlignment="1">
      <alignment horizontal="centerContinuous"/>
      <protection/>
    </xf>
    <xf numFmtId="0" fontId="8" fillId="0" borderId="11" xfId="58" applyFont="1" applyBorder="1" applyAlignment="1">
      <alignment horizontal="centerContinuous"/>
      <protection/>
    </xf>
    <xf numFmtId="0" fontId="8" fillId="0" borderId="12" xfId="58" applyFont="1" applyBorder="1" applyAlignment="1">
      <alignment horizontal="centerContinuous"/>
      <protection/>
    </xf>
    <xf numFmtId="0" fontId="9" fillId="0" borderId="0" xfId="58" applyFont="1" applyAlignment="1">
      <alignment horizontal="center"/>
      <protection/>
    </xf>
    <xf numFmtId="41" fontId="9" fillId="0" borderId="0" xfId="58" applyNumberFormat="1" applyFont="1">
      <alignment/>
      <protection/>
    </xf>
    <xf numFmtId="41" fontId="9" fillId="0" borderId="0" xfId="58" applyNumberFormat="1" applyFont="1" applyBorder="1" applyAlignment="1">
      <alignment horizontal="center"/>
      <protection/>
    </xf>
    <xf numFmtId="41" fontId="9" fillId="0" borderId="0" xfId="58" applyNumberFormat="1" applyFont="1" applyBorder="1">
      <alignment/>
      <protection/>
    </xf>
    <xf numFmtId="0" fontId="9" fillId="0" borderId="0" xfId="0" applyFont="1" applyBorder="1" applyAlignment="1">
      <alignment/>
    </xf>
    <xf numFmtId="0" fontId="21" fillId="0" borderId="0" xfId="58" applyFont="1" applyBorder="1" applyAlignment="1">
      <alignment horizontal="center"/>
      <protection/>
    </xf>
    <xf numFmtId="41" fontId="21" fillId="0" borderId="0" xfId="58" applyNumberFormat="1" applyFont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8" fillId="0" borderId="0" xfId="5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9" fillId="0" borderId="0" xfId="58" applyFont="1" applyBorder="1" applyAlignment="1">
      <alignment horizontal="center"/>
      <protection/>
    </xf>
    <xf numFmtId="41" fontId="9" fillId="0" borderId="44" xfId="58" applyNumberFormat="1" applyFont="1" applyBorder="1">
      <alignment/>
      <protection/>
    </xf>
    <xf numFmtId="41" fontId="21" fillId="0" borderId="0" xfId="58" applyNumberFormat="1" applyFont="1" applyBorder="1">
      <alignment/>
      <protection/>
    </xf>
    <xf numFmtId="0" fontId="9" fillId="0" borderId="0" xfId="0" applyFont="1" applyBorder="1" applyAlignment="1">
      <alignment/>
    </xf>
    <xf numFmtId="0" fontId="21" fillId="0" borderId="0" xfId="58" applyFont="1" applyAlignment="1">
      <alignment horizontal="center"/>
      <protection/>
    </xf>
    <xf numFmtId="0" fontId="16" fillId="0" borderId="0" xfId="0" applyFont="1" applyBorder="1" applyAlignment="1">
      <alignment/>
    </xf>
    <xf numFmtId="41" fontId="9" fillId="0" borderId="44" xfId="58" applyNumberFormat="1" applyFont="1" applyBorder="1" applyAlignment="1">
      <alignment horizontal="centerContinuous"/>
      <protection/>
    </xf>
    <xf numFmtId="0" fontId="33" fillId="0" borderId="0" xfId="58" applyFont="1" applyBorder="1" applyAlignment="1">
      <alignment horizontal="center"/>
      <protection/>
    </xf>
    <xf numFmtId="0" fontId="11" fillId="0" borderId="0" xfId="58" applyFont="1" applyBorder="1" applyAlignment="1">
      <alignment/>
      <protection/>
    </xf>
    <xf numFmtId="41" fontId="11" fillId="0" borderId="0" xfId="58" applyNumberFormat="1" applyFont="1" applyBorder="1" applyAlignment="1">
      <alignment horizontal="center"/>
      <protection/>
    </xf>
    <xf numFmtId="0" fontId="33" fillId="0" borderId="0" xfId="0" applyFont="1" applyBorder="1" applyAlignment="1">
      <alignment/>
    </xf>
    <xf numFmtId="0" fontId="11" fillId="0" borderId="0" xfId="58" applyFont="1" applyBorder="1" applyAlignment="1">
      <alignment horizontal="center"/>
      <protection/>
    </xf>
    <xf numFmtId="0" fontId="11" fillId="0" borderId="0" xfId="58" applyFont="1" applyBorder="1" applyAlignment="1">
      <alignment wrapText="1"/>
      <protection/>
    </xf>
    <xf numFmtId="41" fontId="11" fillId="0" borderId="0" xfId="58" applyNumberFormat="1" applyFont="1" applyBorder="1">
      <alignment/>
      <protection/>
    </xf>
    <xf numFmtId="0" fontId="17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9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9" fillId="0" borderId="15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6" xfId="0" applyFont="1" applyBorder="1" applyAlignment="1">
      <alignment/>
    </xf>
    <xf numFmtId="0" fontId="21" fillId="0" borderId="31" xfId="0" applyFont="1" applyBorder="1" applyAlignment="1">
      <alignment horizontal="right"/>
    </xf>
    <xf numFmtId="0" fontId="4" fillId="0" borderId="31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31" xfId="63" applyFont="1" applyBorder="1" applyAlignment="1">
      <alignment horizontal="right"/>
      <protection/>
    </xf>
    <xf numFmtId="173" fontId="8" fillId="0" borderId="41" xfId="40" applyNumberFormat="1" applyFont="1" applyBorder="1" applyAlignment="1">
      <alignment horizontal="right"/>
    </xf>
    <xf numFmtId="173" fontId="8" fillId="0" borderId="41" xfId="40" applyNumberFormat="1" applyFont="1" applyBorder="1" applyAlignment="1">
      <alignment wrapText="1"/>
    </xf>
    <xf numFmtId="173" fontId="16" fillId="0" borderId="41" xfId="40" applyNumberFormat="1" applyFont="1" applyBorder="1" applyAlignment="1">
      <alignment wrapText="1"/>
    </xf>
    <xf numFmtId="0" fontId="16" fillId="0" borderId="0" xfId="63" applyFont="1" applyBorder="1" applyAlignment="1">
      <alignment/>
      <protection/>
    </xf>
    <xf numFmtId="165" fontId="16" fillId="0" borderId="0" xfId="63" applyNumberFormat="1" applyFont="1" applyBorder="1" applyAlignment="1">
      <alignment/>
      <protection/>
    </xf>
    <xf numFmtId="0" fontId="8" fillId="0" borderId="0" xfId="63" applyFont="1" applyBorder="1" applyAlignment="1">
      <alignment horizontal="center" wrapText="1"/>
      <protection/>
    </xf>
    <xf numFmtId="0" fontId="16" fillId="0" borderId="0" xfId="57" applyFont="1" applyAlignment="1">
      <alignment horizontal="left"/>
      <protection/>
    </xf>
    <xf numFmtId="173" fontId="9" fillId="0" borderId="0" xfId="40" applyNumberFormat="1" applyFont="1" applyAlignment="1">
      <alignment horizontal="center"/>
    </xf>
    <xf numFmtId="173" fontId="9" fillId="0" borderId="10" xfId="4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7" fillId="0" borderId="0" xfId="63" applyFont="1" applyBorder="1">
      <alignment/>
      <protection/>
    </xf>
    <xf numFmtId="0" fontId="8" fillId="0" borderId="0" xfId="0" applyFont="1" applyBorder="1" applyAlignment="1">
      <alignment horizontal="left" wrapText="1"/>
    </xf>
    <xf numFmtId="0" fontId="8" fillId="0" borderId="0" xfId="63" applyFont="1" applyBorder="1" applyAlignment="1">
      <alignment horizontal="left" wrapText="1"/>
      <protection/>
    </xf>
    <xf numFmtId="0" fontId="16" fillId="0" borderId="0" xfId="63" applyFont="1">
      <alignment/>
      <protection/>
    </xf>
    <xf numFmtId="0" fontId="16" fillId="0" borderId="0" xfId="63" applyFont="1" applyAlignment="1">
      <alignment horizontal="center"/>
      <protection/>
    </xf>
    <xf numFmtId="165" fontId="16" fillId="0" borderId="0" xfId="63" applyNumberFormat="1" applyFont="1">
      <alignment/>
      <protection/>
    </xf>
    <xf numFmtId="0" fontId="33" fillId="0" borderId="0" xfId="63" applyFont="1" applyBorder="1" applyAlignment="1">
      <alignment horizontal="center" wrapText="1"/>
      <protection/>
    </xf>
    <xf numFmtId="0" fontId="33" fillId="0" borderId="0" xfId="63" applyFont="1" applyBorder="1">
      <alignment/>
      <protection/>
    </xf>
    <xf numFmtId="0" fontId="33" fillId="0" borderId="0" xfId="63" applyFont="1" applyBorder="1" applyAlignment="1">
      <alignment horizontal="left" wrapText="1"/>
      <protection/>
    </xf>
    <xf numFmtId="173" fontId="33" fillId="0" borderId="0" xfId="63" applyNumberFormat="1" applyFont="1" applyBorder="1" applyAlignment="1">
      <alignment/>
      <protection/>
    </xf>
    <xf numFmtId="0" fontId="33" fillId="0" borderId="0" xfId="63" applyFont="1" applyBorder="1" applyAlignment="1">
      <alignment/>
      <protection/>
    </xf>
    <xf numFmtId="165" fontId="33" fillId="0" borderId="0" xfId="63" applyNumberFormat="1" applyFont="1" applyBorder="1" applyAlignment="1">
      <alignment/>
      <protection/>
    </xf>
    <xf numFmtId="0" fontId="6" fillId="0" borderId="0" xfId="63" applyFont="1" applyBorder="1" applyAlignment="1">
      <alignment/>
      <protection/>
    </xf>
    <xf numFmtId="165" fontId="6" fillId="0" borderId="0" xfId="63" applyNumberFormat="1" applyFont="1" applyBorder="1" applyAlignment="1">
      <alignment/>
      <protection/>
    </xf>
    <xf numFmtId="173" fontId="4" fillId="0" borderId="0" xfId="63" applyNumberFormat="1" applyFont="1" applyBorder="1" applyAlignment="1">
      <alignment/>
      <protection/>
    </xf>
    <xf numFmtId="0" fontId="16" fillId="0" borderId="0" xfId="63" applyFont="1" applyBorder="1" applyAlignment="1">
      <alignment horizontal="center"/>
      <protection/>
    </xf>
    <xf numFmtId="173" fontId="17" fillId="0" borderId="0" xfId="40" applyNumberFormat="1" applyFont="1" applyBorder="1" applyAlignment="1">
      <alignment horizontal="right"/>
    </xf>
    <xf numFmtId="0" fontId="17" fillId="0" borderId="0" xfId="63" applyFont="1" applyBorder="1" applyAlignment="1">
      <alignment horizontal="center"/>
      <protection/>
    </xf>
    <xf numFmtId="165" fontId="17" fillId="0" borderId="0" xfId="63" applyNumberFormat="1" applyFont="1" applyBorder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>
      <alignment/>
      <protection/>
    </xf>
    <xf numFmtId="165" fontId="17" fillId="0" borderId="0" xfId="63" applyNumberFormat="1" applyFont="1">
      <alignment/>
      <protection/>
    </xf>
    <xf numFmtId="173" fontId="17" fillId="0" borderId="0" xfId="40" applyNumberFormat="1" applyFont="1" applyAlignment="1">
      <alignment horizontal="right"/>
    </xf>
    <xf numFmtId="0" fontId="16" fillId="0" borderId="0" xfId="63" applyFont="1" applyBorder="1">
      <alignment/>
      <protection/>
    </xf>
    <xf numFmtId="173" fontId="16" fillId="0" borderId="0" xfId="40" applyNumberFormat="1" applyFont="1" applyBorder="1" applyAlignment="1">
      <alignment horizontal="right"/>
    </xf>
    <xf numFmtId="165" fontId="16" fillId="0" borderId="0" xfId="63" applyNumberFormat="1" applyFont="1" applyBorder="1">
      <alignment/>
      <protection/>
    </xf>
    <xf numFmtId="0" fontId="4" fillId="0" borderId="0" xfId="63" applyFont="1" applyAlignment="1">
      <alignment horizontal="left"/>
      <protection/>
    </xf>
    <xf numFmtId="0" fontId="11" fillId="0" borderId="0" xfId="63" applyFont="1">
      <alignment/>
      <protection/>
    </xf>
    <xf numFmtId="0" fontId="11" fillId="0" borderId="0" xfId="63" applyFont="1" applyAlignment="1">
      <alignment horizontal="left"/>
      <protection/>
    </xf>
    <xf numFmtId="0" fontId="11" fillId="0" borderId="0" xfId="63" applyFont="1" applyAlignment="1">
      <alignment horizontal="right"/>
      <protection/>
    </xf>
    <xf numFmtId="165" fontId="11" fillId="0" borderId="0" xfId="63" applyNumberFormat="1" applyFont="1">
      <alignment/>
      <protection/>
    </xf>
    <xf numFmtId="0" fontId="11" fillId="0" borderId="27" xfId="63" applyFont="1" applyBorder="1">
      <alignment/>
      <protection/>
    </xf>
    <xf numFmtId="0" fontId="11" fillId="0" borderId="40" xfId="63" applyFont="1" applyBorder="1" applyAlignment="1">
      <alignment horizontal="right"/>
      <protection/>
    </xf>
    <xf numFmtId="165" fontId="11" fillId="0" borderId="40" xfId="63" applyNumberFormat="1" applyFont="1" applyBorder="1">
      <alignment/>
      <protection/>
    </xf>
    <xf numFmtId="0" fontId="11" fillId="0" borderId="41" xfId="63" applyFont="1" applyBorder="1">
      <alignment/>
      <protection/>
    </xf>
    <xf numFmtId="173" fontId="11" fillId="0" borderId="41" xfId="63" applyNumberFormat="1" applyFont="1" applyBorder="1">
      <alignment/>
      <protection/>
    </xf>
    <xf numFmtId="173" fontId="11" fillId="0" borderId="33" xfId="40" applyNumberFormat="1" applyFont="1" applyBorder="1" applyAlignment="1">
      <alignment horizontal="center"/>
    </xf>
    <xf numFmtId="173" fontId="17" fillId="0" borderId="31" xfId="40" applyNumberFormat="1" applyFont="1" applyBorder="1" applyAlignment="1">
      <alignment/>
    </xf>
    <xf numFmtId="173" fontId="8" fillId="0" borderId="45" xfId="40" applyNumberFormat="1" applyFont="1" applyBorder="1" applyAlignment="1">
      <alignment/>
    </xf>
    <xf numFmtId="173" fontId="9" fillId="0" borderId="45" xfId="40" applyNumberFormat="1" applyFont="1" applyBorder="1" applyAlignment="1">
      <alignment/>
    </xf>
    <xf numFmtId="173" fontId="8" fillId="0" borderId="27" xfId="40" applyNumberFormat="1" applyFont="1" applyBorder="1" applyAlignment="1">
      <alignment/>
    </xf>
    <xf numFmtId="0" fontId="5" fillId="0" borderId="0" xfId="0" applyFont="1" applyAlignment="1">
      <alignment wrapText="1"/>
    </xf>
    <xf numFmtId="173" fontId="19" fillId="0" borderId="0" xfId="40" applyNumberFormat="1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 vertical="center"/>
    </xf>
    <xf numFmtId="165" fontId="17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73" fontId="11" fillId="0" borderId="0" xfId="40" applyNumberFormat="1" applyFont="1" applyAlignment="1">
      <alignment wrapText="1"/>
    </xf>
    <xf numFmtId="0" fontId="33" fillId="0" borderId="0" xfId="59" applyFont="1">
      <alignment/>
      <protection/>
    </xf>
    <xf numFmtId="173" fontId="17" fillId="0" borderId="0" xfId="40" applyNumberFormat="1" applyFont="1" applyAlignment="1">
      <alignment wrapText="1"/>
    </xf>
    <xf numFmtId="173" fontId="17" fillId="0" borderId="24" xfId="40" applyNumberFormat="1" applyFont="1" applyBorder="1" applyAlignment="1">
      <alignment/>
    </xf>
    <xf numFmtId="173" fontId="17" fillId="0" borderId="32" xfId="40" applyNumberFormat="1" applyFont="1" applyBorder="1" applyAlignment="1">
      <alignment/>
    </xf>
    <xf numFmtId="173" fontId="17" fillId="0" borderId="15" xfId="40" applyNumberFormat="1" applyFont="1" applyBorder="1" applyAlignment="1">
      <alignment/>
    </xf>
    <xf numFmtId="173" fontId="17" fillId="0" borderId="29" xfId="40" applyNumberFormat="1" applyFont="1" applyBorder="1" applyAlignment="1">
      <alignment/>
    </xf>
    <xf numFmtId="173" fontId="11" fillId="0" borderId="10" xfId="40" applyNumberFormat="1" applyFont="1" applyBorder="1" applyAlignment="1">
      <alignment horizontal="center"/>
    </xf>
    <xf numFmtId="173" fontId="11" fillId="0" borderId="10" xfId="40" applyNumberFormat="1" applyFont="1" applyBorder="1" applyAlignment="1">
      <alignment horizontal="center" wrapText="1"/>
    </xf>
    <xf numFmtId="0" fontId="9" fillId="0" borderId="31" xfId="56" applyFont="1" applyBorder="1" applyAlignment="1">
      <alignment horizontal="center"/>
      <protection/>
    </xf>
    <xf numFmtId="165" fontId="9" fillId="0" borderId="31" xfId="56" applyNumberFormat="1" applyFont="1" applyBorder="1">
      <alignment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>
      <alignment/>
      <protection/>
    </xf>
    <xf numFmtId="0" fontId="17" fillId="0" borderId="0" xfId="57" applyFont="1">
      <alignment/>
      <protection/>
    </xf>
    <xf numFmtId="165" fontId="9" fillId="0" borderId="32" xfId="57" applyNumberFormat="1" applyFont="1" applyBorder="1">
      <alignment/>
      <protection/>
    </xf>
    <xf numFmtId="0" fontId="17" fillId="0" borderId="28" xfId="62" applyFont="1" applyBorder="1" applyAlignment="1" quotePrefix="1">
      <alignment horizontal="center" vertical="center" wrapText="1"/>
      <protection/>
    </xf>
    <xf numFmtId="0" fontId="11" fillId="0" borderId="0" xfId="57" applyFont="1" applyAlignment="1">
      <alignment/>
      <protection/>
    </xf>
    <xf numFmtId="0" fontId="9" fillId="0" borderId="0" xfId="57" applyFont="1" applyAlignment="1">
      <alignment horizontal="right"/>
      <protection/>
    </xf>
    <xf numFmtId="0" fontId="9" fillId="0" borderId="0" xfId="57" applyFont="1" applyAlignment="1">
      <alignment horizontal="right"/>
      <protection/>
    </xf>
    <xf numFmtId="173" fontId="23" fillId="0" borderId="0" xfId="40" applyNumberFormat="1" applyFont="1" applyAlignment="1">
      <alignment horizontal="right"/>
    </xf>
    <xf numFmtId="0" fontId="9" fillId="0" borderId="0" xfId="62" applyFont="1" applyAlignment="1">
      <alignment horizontal="right"/>
      <protection/>
    </xf>
    <xf numFmtId="0" fontId="9" fillId="0" borderId="0" xfId="59" applyFont="1" applyAlignment="1">
      <alignment horizontal="right"/>
      <protection/>
    </xf>
    <xf numFmtId="173" fontId="9" fillId="0" borderId="0" xfId="40" applyNumberFormat="1" applyFont="1" applyBorder="1" applyAlignment="1">
      <alignment wrapText="1"/>
    </xf>
    <xf numFmtId="173" fontId="28" fillId="0" borderId="0" xfId="40" applyNumberFormat="1" applyFont="1" applyAlignment="1">
      <alignment/>
    </xf>
    <xf numFmtId="173" fontId="28" fillId="0" borderId="0" xfId="40" applyNumberFormat="1" applyFont="1" applyAlignment="1">
      <alignment/>
    </xf>
    <xf numFmtId="173" fontId="9" fillId="0" borderId="0" xfId="40" applyNumberFormat="1" applyFont="1" applyAlignment="1">
      <alignment wrapText="1"/>
    </xf>
    <xf numFmtId="173" fontId="8" fillId="0" borderId="0" xfId="40" applyNumberFormat="1" applyFont="1" applyBorder="1" applyAlignment="1">
      <alignment/>
    </xf>
    <xf numFmtId="173" fontId="9" fillId="0" borderId="0" xfId="40" applyNumberFormat="1" applyFont="1" applyBorder="1" applyAlignment="1">
      <alignment horizontal="left" wrapText="1"/>
    </xf>
    <xf numFmtId="173" fontId="9" fillId="0" borderId="0" xfId="40" applyNumberFormat="1" applyFont="1" applyBorder="1" applyAlignment="1">
      <alignment/>
    </xf>
    <xf numFmtId="173" fontId="28" fillId="0" borderId="0" xfId="40" applyNumberFormat="1" applyFont="1" applyBorder="1" applyAlignment="1">
      <alignment/>
    </xf>
    <xf numFmtId="173" fontId="8" fillId="0" borderId="31" xfId="40" applyNumberFormat="1" applyFont="1" applyBorder="1" applyAlignment="1">
      <alignment/>
    </xf>
    <xf numFmtId="0" fontId="9" fillId="0" borderId="0" xfId="63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8" fillId="0" borderId="0" xfId="63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wrapText="1"/>
    </xf>
    <xf numFmtId="165" fontId="8" fillId="0" borderId="29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165" fontId="8" fillId="0" borderId="32" xfId="0" applyNumberFormat="1" applyFont="1" applyBorder="1" applyAlignment="1">
      <alignment/>
    </xf>
    <xf numFmtId="173" fontId="9" fillId="0" borderId="0" xfId="40" applyNumberFormat="1" applyFont="1" applyBorder="1" applyAlignment="1">
      <alignment/>
    </xf>
    <xf numFmtId="0" fontId="8" fillId="0" borderId="46" xfId="0" applyFont="1" applyBorder="1" applyAlignment="1">
      <alignment/>
    </xf>
    <xf numFmtId="165" fontId="8" fillId="0" borderId="31" xfId="0" applyNumberFormat="1" applyFont="1" applyBorder="1" applyAlignment="1">
      <alignment/>
    </xf>
    <xf numFmtId="0" fontId="8" fillId="0" borderId="40" xfId="0" applyFont="1" applyBorder="1" applyAlignment="1">
      <alignment horizontal="center" wrapText="1"/>
    </xf>
    <xf numFmtId="173" fontId="9" fillId="0" borderId="41" xfId="40" applyNumberFormat="1" applyFont="1" applyBorder="1" applyAlignment="1">
      <alignment wrapText="1"/>
    </xf>
    <xf numFmtId="0" fontId="9" fillId="0" borderId="0" xfId="0" applyFont="1" applyAlignment="1">
      <alignment/>
    </xf>
    <xf numFmtId="0" fontId="9" fillId="0" borderId="16" xfId="0" applyFont="1" applyBorder="1" applyAlignment="1">
      <alignment wrapText="1"/>
    </xf>
    <xf numFmtId="1" fontId="9" fillId="0" borderId="0" xfId="56" applyNumberFormat="1" applyFont="1">
      <alignment/>
      <protection/>
    </xf>
    <xf numFmtId="165" fontId="9" fillId="0" borderId="0" xfId="56" applyNumberFormat="1" applyFont="1">
      <alignment/>
      <protection/>
    </xf>
    <xf numFmtId="173" fontId="9" fillId="0" borderId="0" xfId="56" applyNumberFormat="1" applyFont="1">
      <alignment/>
      <protection/>
    </xf>
    <xf numFmtId="172" fontId="9" fillId="0" borderId="0" xfId="56" applyNumberFormat="1" applyFont="1">
      <alignment/>
      <protection/>
    </xf>
    <xf numFmtId="43" fontId="9" fillId="0" borderId="0" xfId="56" applyNumberFormat="1" applyFont="1">
      <alignment/>
      <protection/>
    </xf>
    <xf numFmtId="164" fontId="11" fillId="0" borderId="0" xfId="59" applyNumberFormat="1" applyFont="1">
      <alignment/>
      <protection/>
    </xf>
    <xf numFmtId="165" fontId="8" fillId="0" borderId="0" xfId="63" applyNumberFormat="1" applyFont="1" applyBorder="1">
      <alignment/>
      <protection/>
    </xf>
    <xf numFmtId="173" fontId="9" fillId="0" borderId="0" xfId="0" applyNumberFormat="1" applyFont="1" applyAlignment="1">
      <alignment/>
    </xf>
    <xf numFmtId="180" fontId="9" fillId="0" borderId="0" xfId="40" applyNumberFormat="1" applyFont="1" applyAlignment="1">
      <alignment horizontal="center" vertical="center" wrapText="1"/>
    </xf>
    <xf numFmtId="180" fontId="8" fillId="0" borderId="0" xfId="4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64" applyFont="1" applyBorder="1">
      <alignment/>
      <protection/>
    </xf>
    <xf numFmtId="0" fontId="34" fillId="0" borderId="0" xfId="64" applyFont="1" applyBorder="1" quotePrefix="1">
      <alignment/>
      <protection/>
    </xf>
    <xf numFmtId="3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73" fontId="4" fillId="0" borderId="0" xfId="64" applyNumberFormat="1" applyFont="1" applyAlignment="1">
      <alignment horizontal="center"/>
      <protection/>
    </xf>
    <xf numFmtId="180" fontId="4" fillId="0" borderId="0" xfId="64" applyNumberFormat="1" applyFont="1" applyAlignment="1">
      <alignment horizontal="center"/>
      <protection/>
    </xf>
    <xf numFmtId="1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3" fontId="9" fillId="0" borderId="0" xfId="40" applyNumberFormat="1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9" fillId="0" borderId="28" xfId="0" applyFont="1" applyBorder="1" applyAlignment="1" quotePrefix="1">
      <alignment/>
    </xf>
    <xf numFmtId="1" fontId="5" fillId="0" borderId="0" xfId="64" applyNumberFormat="1" applyFont="1" applyAlignment="1">
      <alignment horizontal="right"/>
      <protection/>
    </xf>
    <xf numFmtId="165" fontId="5" fillId="0" borderId="0" xfId="64" applyNumberFormat="1" applyFont="1" applyAlignment="1">
      <alignment horizontal="right"/>
      <protection/>
    </xf>
    <xf numFmtId="165" fontId="5" fillId="0" borderId="0" xfId="64" applyNumberFormat="1" applyFont="1" applyAlignment="1">
      <alignment horizontal="right"/>
      <protection/>
    </xf>
    <xf numFmtId="3" fontId="5" fillId="0" borderId="0" xfId="64" applyNumberFormat="1" applyFont="1" applyAlignment="1">
      <alignment horizontal="right"/>
      <protection/>
    </xf>
    <xf numFmtId="3" fontId="4" fillId="0" borderId="0" xfId="40" applyNumberFormat="1" applyFont="1" applyBorder="1" applyAlignment="1">
      <alignment horizontal="right"/>
    </xf>
    <xf numFmtId="0" fontId="4" fillId="0" borderId="0" xfId="62" applyFont="1" applyBorder="1" applyAlignment="1">
      <alignment horizontal="left" wrapText="1"/>
      <protection/>
    </xf>
    <xf numFmtId="0" fontId="5" fillId="0" borderId="0" xfId="62" applyFont="1" applyBorder="1" applyAlignment="1">
      <alignment horizontal="left" wrapText="1"/>
      <protection/>
    </xf>
    <xf numFmtId="1" fontId="5" fillId="0" borderId="0" xfId="64" applyNumberFormat="1" applyFont="1">
      <alignment/>
      <protection/>
    </xf>
    <xf numFmtId="3" fontId="5" fillId="0" borderId="0" xfId="40" applyNumberFormat="1" applyFont="1" applyBorder="1" applyAlignment="1">
      <alignment horizontal="right"/>
    </xf>
    <xf numFmtId="0" fontId="4" fillId="0" borderId="0" xfId="64" applyFont="1">
      <alignment/>
      <protection/>
    </xf>
    <xf numFmtId="3" fontId="4" fillId="0" borderId="0" xfId="64" applyNumberFormat="1" applyFont="1" applyAlignment="1">
      <alignment horizontal="right"/>
      <protection/>
    </xf>
    <xf numFmtId="165" fontId="4" fillId="0" borderId="0" xfId="64" applyNumberFormat="1" applyFont="1" applyAlignment="1">
      <alignment horizontal="right"/>
      <protection/>
    </xf>
    <xf numFmtId="1" fontId="4" fillId="0" borderId="0" xfId="64" applyNumberFormat="1" applyFont="1" applyAlignment="1">
      <alignment horizontal="right"/>
      <protection/>
    </xf>
    <xf numFmtId="1" fontId="4" fillId="0" borderId="0" xfId="64" applyNumberFormat="1" applyFont="1">
      <alignment/>
      <protection/>
    </xf>
    <xf numFmtId="0" fontId="31" fillId="0" borderId="0" xfId="0" applyFont="1" applyAlignment="1">
      <alignment horizontal="left"/>
    </xf>
    <xf numFmtId="0" fontId="17" fillId="0" borderId="0" xfId="0" applyFont="1" applyAlignment="1">
      <alignment/>
    </xf>
    <xf numFmtId="173" fontId="17" fillId="0" borderId="0" xfId="40" applyNumberFormat="1" applyFont="1" applyAlignment="1">
      <alignment/>
    </xf>
    <xf numFmtId="0" fontId="37" fillId="0" borderId="0" xfId="0" applyFont="1" applyAlignment="1">
      <alignment/>
    </xf>
    <xf numFmtId="180" fontId="8" fillId="0" borderId="0" xfId="40" applyNumberFormat="1" applyFont="1" applyAlignment="1">
      <alignment/>
    </xf>
    <xf numFmtId="0" fontId="5" fillId="0" borderId="0" xfId="0" applyFont="1" applyAlignment="1">
      <alignment wrapText="1"/>
    </xf>
    <xf numFmtId="180" fontId="17" fillId="0" borderId="0" xfId="40" applyNumberFormat="1" applyFont="1" applyAlignment="1">
      <alignment/>
    </xf>
    <xf numFmtId="173" fontId="17" fillId="0" borderId="0" xfId="0" applyNumberFormat="1" applyFont="1" applyAlignment="1">
      <alignment/>
    </xf>
    <xf numFmtId="3" fontId="8" fillId="0" borderId="0" xfId="40" applyNumberFormat="1" applyFont="1" applyAlignment="1">
      <alignment/>
    </xf>
    <xf numFmtId="4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43" fontId="17" fillId="0" borderId="0" xfId="0" applyNumberFormat="1" applyFont="1" applyAlignment="1">
      <alignment/>
    </xf>
    <xf numFmtId="3" fontId="9" fillId="0" borderId="0" xfId="40" applyNumberFormat="1" applyFont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5" fillId="0" borderId="0" xfId="62" applyFont="1">
      <alignment/>
      <protection/>
    </xf>
    <xf numFmtId="3" fontId="9" fillId="0" borderId="0" xfId="40" applyNumberFormat="1" applyFont="1" applyAlignment="1">
      <alignment horizontal="right"/>
    </xf>
    <xf numFmtId="3" fontId="8" fillId="0" borderId="0" xfId="40" applyNumberFormat="1" applyFont="1" applyAlignment="1">
      <alignment horizontal="right"/>
    </xf>
    <xf numFmtId="3" fontId="11" fillId="0" borderId="0" xfId="40" applyNumberFormat="1" applyFont="1" applyAlignment="1">
      <alignment/>
    </xf>
    <xf numFmtId="0" fontId="4" fillId="0" borderId="0" xfId="0" applyFont="1" applyAlignment="1">
      <alignment horizontal="left" wrapText="1"/>
    </xf>
    <xf numFmtId="173" fontId="18" fillId="0" borderId="0" xfId="40" applyNumberFormat="1" applyFont="1" applyAlignment="1">
      <alignment/>
    </xf>
    <xf numFmtId="0" fontId="4" fillId="0" borderId="0" xfId="0" applyFont="1" applyAlignment="1" quotePrefix="1">
      <alignment/>
    </xf>
    <xf numFmtId="180" fontId="11" fillId="0" borderId="0" xfId="40" applyNumberFormat="1" applyFont="1" applyAlignment="1">
      <alignment/>
    </xf>
    <xf numFmtId="173" fontId="5" fillId="0" borderId="0" xfId="40" applyNumberFormat="1" applyFont="1" applyAlignment="1">
      <alignment/>
    </xf>
    <xf numFmtId="173" fontId="4" fillId="0" borderId="0" xfId="40" applyNumberFormat="1" applyFont="1" applyAlignment="1">
      <alignment/>
    </xf>
    <xf numFmtId="0" fontId="17" fillId="0" borderId="0" xfId="0" applyFont="1" applyAlignment="1">
      <alignment horizontal="right"/>
    </xf>
    <xf numFmtId="0" fontId="17" fillId="0" borderId="0" xfId="59" applyFont="1">
      <alignment/>
      <protection/>
    </xf>
    <xf numFmtId="0" fontId="26" fillId="0" borderId="31" xfId="59" applyFont="1" applyBorder="1" applyAlignment="1">
      <alignment horizontal="center"/>
      <protection/>
    </xf>
    <xf numFmtId="0" fontId="8" fillId="0" borderId="31" xfId="59" applyFont="1" applyBorder="1" applyAlignment="1">
      <alignment horizontal="center"/>
      <protection/>
    </xf>
    <xf numFmtId="3" fontId="17" fillId="0" borderId="47" xfId="62" applyNumberFormat="1" applyFont="1" applyBorder="1" applyAlignment="1">
      <alignment horizontal="right"/>
      <protection/>
    </xf>
    <xf numFmtId="3" fontId="17" fillId="0" borderId="28" xfId="62" applyNumberFormat="1" applyFont="1" applyBorder="1" applyAlignment="1">
      <alignment horizontal="right"/>
      <protection/>
    </xf>
    <xf numFmtId="3" fontId="17" fillId="0" borderId="15" xfId="62" applyNumberFormat="1" applyFont="1" applyBorder="1" applyAlignment="1">
      <alignment horizontal="right"/>
      <protection/>
    </xf>
    <xf numFmtId="3" fontId="31" fillId="0" borderId="15" xfId="62" applyNumberFormat="1" applyFont="1" applyBorder="1">
      <alignment/>
      <protection/>
    </xf>
    <xf numFmtId="3" fontId="17" fillId="0" borderId="15" xfId="62" applyNumberFormat="1" applyFont="1" applyBorder="1">
      <alignment/>
      <protection/>
    </xf>
    <xf numFmtId="3" fontId="31" fillId="0" borderId="45" xfId="62" applyNumberFormat="1" applyFont="1" applyBorder="1">
      <alignment/>
      <protection/>
    </xf>
    <xf numFmtId="3" fontId="17" fillId="0" borderId="45" xfId="62" applyNumberFormat="1" applyFont="1" applyBorder="1">
      <alignment/>
      <protection/>
    </xf>
    <xf numFmtId="3" fontId="17" fillId="0" borderId="29" xfId="62" applyNumberFormat="1" applyFont="1" applyBorder="1">
      <alignment/>
      <protection/>
    </xf>
    <xf numFmtId="0" fontId="17" fillId="0" borderId="47" xfId="64" applyFont="1" applyBorder="1">
      <alignment/>
      <protection/>
    </xf>
    <xf numFmtId="0" fontId="17" fillId="0" borderId="24" xfId="64" applyFont="1" applyBorder="1">
      <alignment/>
      <protection/>
    </xf>
    <xf numFmtId="0" fontId="17" fillId="0" borderId="48" xfId="64" applyFont="1" applyBorder="1">
      <alignment/>
      <protection/>
    </xf>
    <xf numFmtId="0" fontId="17" fillId="0" borderId="15" xfId="64" applyFont="1" applyBorder="1">
      <alignment/>
      <protection/>
    </xf>
    <xf numFmtId="0" fontId="17" fillId="0" borderId="45" xfId="64" applyFont="1" applyBorder="1">
      <alignment/>
      <protection/>
    </xf>
    <xf numFmtId="165" fontId="17" fillId="0" borderId="45" xfId="64" applyNumberFormat="1" applyFont="1" applyBorder="1">
      <alignment/>
      <protection/>
    </xf>
    <xf numFmtId="165" fontId="17" fillId="0" borderId="15" xfId="64" applyNumberFormat="1" applyFont="1" applyBorder="1">
      <alignment/>
      <protection/>
    </xf>
    <xf numFmtId="0" fontId="11" fillId="0" borderId="27" xfId="62" applyFont="1" applyBorder="1" applyAlignment="1">
      <alignment vertical="center"/>
      <protection/>
    </xf>
    <xf numFmtId="0" fontId="11" fillId="0" borderId="31" xfId="62" applyFont="1" applyBorder="1" applyAlignment="1">
      <alignment vertical="center"/>
      <protection/>
    </xf>
    <xf numFmtId="3" fontId="11" fillId="0" borderId="27" xfId="62" applyNumberFormat="1" applyFont="1" applyBorder="1" applyAlignment="1">
      <alignment horizontal="right" vertical="center"/>
      <protection/>
    </xf>
    <xf numFmtId="0" fontId="11" fillId="0" borderId="31" xfId="64" applyFont="1" applyBorder="1" applyAlignment="1">
      <alignment vertical="center"/>
      <protection/>
    </xf>
    <xf numFmtId="0" fontId="9" fillId="0" borderId="0" xfId="64" applyFont="1" applyAlignment="1">
      <alignment vertical="center"/>
      <protection/>
    </xf>
    <xf numFmtId="173" fontId="9" fillId="0" borderId="28" xfId="62" applyNumberFormat="1" applyFont="1" applyBorder="1" applyAlignment="1">
      <alignment/>
      <protection/>
    </xf>
    <xf numFmtId="0" fontId="17" fillId="0" borderId="15" xfId="62" applyFont="1" applyBorder="1" applyAlignment="1">
      <alignment horizontal="right"/>
      <protection/>
    </xf>
    <xf numFmtId="173" fontId="9" fillId="0" borderId="28" xfId="62" applyNumberFormat="1" applyFont="1" applyBorder="1" applyAlignment="1">
      <alignment horizontal="right"/>
      <protection/>
    </xf>
    <xf numFmtId="0" fontId="17" fillId="0" borderId="0" xfId="62" applyFont="1" applyBorder="1" applyAlignment="1">
      <alignment horizontal="right"/>
      <protection/>
    </xf>
    <xf numFmtId="0" fontId="31" fillId="0" borderId="0" xfId="62" applyFont="1" applyBorder="1">
      <alignment/>
      <protection/>
    </xf>
    <xf numFmtId="0" fontId="17" fillId="0" borderId="0" xfId="62" applyFont="1" applyBorder="1">
      <alignment/>
      <protection/>
    </xf>
    <xf numFmtId="0" fontId="4" fillId="0" borderId="0" xfId="59" applyFont="1" applyBorder="1" applyAlignment="1">
      <alignment horizontal="center"/>
      <protection/>
    </xf>
    <xf numFmtId="0" fontId="4" fillId="0" borderId="42" xfId="59" applyFont="1" applyBorder="1" applyAlignment="1">
      <alignment horizontal="center"/>
      <protection/>
    </xf>
    <xf numFmtId="173" fontId="4" fillId="0" borderId="10" xfId="40" applyNumberFormat="1" applyFont="1" applyBorder="1" applyAlignment="1">
      <alignment horizontal="center"/>
    </xf>
    <xf numFmtId="173" fontId="4" fillId="0" borderId="12" xfId="4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0" fontId="35" fillId="0" borderId="0" xfId="0" applyFont="1" applyAlignment="1">
      <alignment wrapText="1"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173" fontId="5" fillId="0" borderId="23" xfId="4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59" applyFont="1">
      <alignment/>
      <protection/>
    </xf>
    <xf numFmtId="173" fontId="6" fillId="0" borderId="0" xfId="40" applyNumberFormat="1" applyFont="1" applyAlignment="1">
      <alignment/>
    </xf>
    <xf numFmtId="0" fontId="11" fillId="0" borderId="0" xfId="59" applyFont="1" applyAlignment="1">
      <alignment/>
      <protection/>
    </xf>
    <xf numFmtId="173" fontId="5" fillId="0" borderId="0" xfId="40" applyNumberFormat="1" applyFont="1" applyAlignment="1">
      <alignment/>
    </xf>
    <xf numFmtId="0" fontId="4" fillId="0" borderId="10" xfId="59" applyFont="1" applyBorder="1" applyAlignment="1">
      <alignment/>
      <protection/>
    </xf>
    <xf numFmtId="0" fontId="4" fillId="0" borderId="10" xfId="59" applyFont="1" applyBorder="1" applyAlignment="1">
      <alignment horizontal="center"/>
      <protection/>
    </xf>
    <xf numFmtId="0" fontId="4" fillId="0" borderId="11" xfId="59" applyFont="1" applyBorder="1">
      <alignment/>
      <protection/>
    </xf>
    <xf numFmtId="0" fontId="4" fillId="0" borderId="11" xfId="59" applyFont="1" applyBorder="1" applyAlignment="1">
      <alignment horizontal="center"/>
      <protection/>
    </xf>
    <xf numFmtId="173" fontId="4" fillId="0" borderId="11" xfId="40" applyNumberFormat="1" applyFont="1" applyBorder="1" applyAlignment="1">
      <alignment horizontal="center"/>
    </xf>
    <xf numFmtId="0" fontId="4" fillId="0" borderId="12" xfId="59" applyFont="1" applyBorder="1">
      <alignment/>
      <protection/>
    </xf>
    <xf numFmtId="0" fontId="4" fillId="0" borderId="12" xfId="59" applyFont="1" applyBorder="1" applyAlignment="1">
      <alignment horizontal="center"/>
      <protection/>
    </xf>
    <xf numFmtId="0" fontId="5" fillId="0" borderId="20" xfId="59" applyFont="1" applyBorder="1">
      <alignment/>
      <protection/>
    </xf>
    <xf numFmtId="0" fontId="4" fillId="0" borderId="42" xfId="59" applyFont="1" applyBorder="1">
      <alignment/>
      <protection/>
    </xf>
    <xf numFmtId="173" fontId="4" fillId="0" borderId="0" xfId="40" applyNumberFormat="1" applyFont="1" applyBorder="1" applyAlignment="1">
      <alignment horizontal="center"/>
    </xf>
    <xf numFmtId="0" fontId="5" fillId="0" borderId="0" xfId="59" applyFont="1" applyBorder="1" applyAlignment="1">
      <alignment horizontal="right"/>
      <protection/>
    </xf>
    <xf numFmtId="0" fontId="5" fillId="0" borderId="0" xfId="59" applyFont="1" applyBorder="1" applyAlignment="1">
      <alignment/>
      <protection/>
    </xf>
    <xf numFmtId="173" fontId="5" fillId="0" borderId="0" xfId="40" applyNumberFormat="1" applyFont="1" applyBorder="1" applyAlignment="1">
      <alignment/>
    </xf>
    <xf numFmtId="180" fontId="5" fillId="0" borderId="0" xfId="40" applyNumberFormat="1" applyFont="1" applyBorder="1" applyAlignment="1">
      <alignment/>
    </xf>
    <xf numFmtId="0" fontId="4" fillId="0" borderId="0" xfId="0" applyFont="1" applyAlignment="1">
      <alignment wrapText="1"/>
    </xf>
    <xf numFmtId="0" fontId="5" fillId="0" borderId="0" xfId="59" applyFont="1" applyBorder="1" applyAlignment="1">
      <alignment wrapText="1"/>
      <protection/>
    </xf>
    <xf numFmtId="0" fontId="5" fillId="0" borderId="15" xfId="59" applyFont="1" applyBorder="1" applyAlignment="1">
      <alignment horizontal="right"/>
      <protection/>
    </xf>
    <xf numFmtId="0" fontId="5" fillId="0" borderId="15" xfId="59" applyFont="1" applyBorder="1" applyAlignment="1">
      <alignment/>
      <protection/>
    </xf>
    <xf numFmtId="180" fontId="5" fillId="0" borderId="15" xfId="40" applyNumberFormat="1" applyFont="1" applyBorder="1" applyAlignment="1">
      <alignment/>
    </xf>
    <xf numFmtId="0" fontId="5" fillId="0" borderId="0" xfId="59" applyFont="1" applyAlignment="1">
      <alignment horizontal="right"/>
      <protection/>
    </xf>
    <xf numFmtId="180" fontId="5" fillId="0" borderId="0" xfId="40" applyNumberFormat="1" applyFont="1" applyAlignment="1">
      <alignment/>
    </xf>
    <xf numFmtId="0" fontId="41" fillId="0" borderId="0" xfId="0" applyFont="1" applyAlignment="1">
      <alignment/>
    </xf>
    <xf numFmtId="180" fontId="5" fillId="0" borderId="0" xfId="40" applyNumberFormat="1" applyFont="1" applyAlignment="1">
      <alignment horizontal="right"/>
    </xf>
    <xf numFmtId="0" fontId="41" fillId="0" borderId="0" xfId="0" applyFont="1" applyAlignment="1">
      <alignment/>
    </xf>
    <xf numFmtId="180" fontId="5" fillId="0" borderId="0" xfId="40" applyNumberFormat="1" applyFont="1" applyAlignment="1">
      <alignment/>
    </xf>
    <xf numFmtId="173" fontId="5" fillId="0" borderId="0" xfId="59" applyNumberFormat="1" applyFont="1">
      <alignment/>
      <protection/>
    </xf>
    <xf numFmtId="0" fontId="5" fillId="0" borderId="0" xfId="59" applyFont="1" applyBorder="1" applyAlignment="1">
      <alignment horizontal="center"/>
      <protection/>
    </xf>
    <xf numFmtId="0" fontId="4" fillId="0" borderId="0" xfId="59" applyFont="1" applyBorder="1">
      <alignment/>
      <protection/>
    </xf>
    <xf numFmtId="0" fontId="5" fillId="0" borderId="0" xfId="59" applyFont="1" applyAlignment="1">
      <alignment/>
      <protection/>
    </xf>
    <xf numFmtId="173" fontId="4" fillId="0" borderId="0" xfId="59" applyNumberFormat="1" applyFont="1">
      <alignment/>
      <protection/>
    </xf>
    <xf numFmtId="0" fontId="4" fillId="0" borderId="31" xfId="59" applyFont="1" applyBorder="1" applyAlignment="1">
      <alignment horizontal="right"/>
      <protection/>
    </xf>
    <xf numFmtId="0" fontId="4" fillId="0" borderId="31" xfId="59" applyFont="1" applyBorder="1">
      <alignment/>
      <protection/>
    </xf>
    <xf numFmtId="180" fontId="4" fillId="0" borderId="31" xfId="40" applyNumberFormat="1" applyFont="1" applyBorder="1" applyAlignment="1">
      <alignment/>
    </xf>
    <xf numFmtId="0" fontId="4" fillId="0" borderId="0" xfId="59" applyFont="1" applyBorder="1" applyAlignment="1">
      <alignment horizontal="right"/>
      <protection/>
    </xf>
    <xf numFmtId="173" fontId="4" fillId="0" borderId="0" xfId="40" applyNumberFormat="1" applyFont="1" applyBorder="1" applyAlignment="1">
      <alignment/>
    </xf>
    <xf numFmtId="0" fontId="5" fillId="0" borderId="0" xfId="60" applyFont="1" applyBorder="1" applyAlignment="1">
      <alignment horizontal="center" vertical="center"/>
      <protection/>
    </xf>
    <xf numFmtId="0" fontId="5" fillId="0" borderId="0" xfId="60" applyFont="1">
      <alignment/>
      <protection/>
    </xf>
    <xf numFmtId="0" fontId="5" fillId="0" borderId="0" xfId="59" applyFont="1" applyBorder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  <xf numFmtId="0" fontId="41" fillId="0" borderId="15" xfId="0" applyFont="1" applyBorder="1" applyAlignment="1">
      <alignment/>
    </xf>
    <xf numFmtId="180" fontId="4" fillId="0" borderId="15" xfId="40" applyNumberFormat="1" applyFont="1" applyBorder="1" applyAlignment="1">
      <alignment/>
    </xf>
    <xf numFmtId="0" fontId="4" fillId="0" borderId="0" xfId="60" applyFont="1">
      <alignment/>
      <protection/>
    </xf>
    <xf numFmtId="0" fontId="4" fillId="0" borderId="31" xfId="60" applyFont="1" applyBorder="1" applyAlignment="1">
      <alignment horizontal="right"/>
      <protection/>
    </xf>
    <xf numFmtId="0" fontId="4" fillId="0" borderId="31" xfId="60" applyFont="1" applyBorder="1">
      <alignment/>
      <protection/>
    </xf>
    <xf numFmtId="180" fontId="4" fillId="0" borderId="31" xfId="60" applyNumberFormat="1" applyFont="1" applyBorder="1" applyAlignment="1">
      <alignment/>
      <protection/>
    </xf>
    <xf numFmtId="173" fontId="4" fillId="0" borderId="0" xfId="60" applyNumberFormat="1" applyFont="1">
      <alignment/>
      <protection/>
    </xf>
    <xf numFmtId="0" fontId="6" fillId="0" borderId="0" xfId="0" applyFont="1" applyAlignment="1">
      <alignment/>
    </xf>
    <xf numFmtId="173" fontId="6" fillId="0" borderId="0" xfId="40" applyNumberFormat="1" applyFont="1" applyAlignment="1">
      <alignment/>
    </xf>
    <xf numFmtId="173" fontId="4" fillId="0" borderId="0" xfId="40" applyNumberFormat="1" applyFont="1" applyBorder="1" applyAlignment="1">
      <alignment/>
    </xf>
    <xf numFmtId="173" fontId="5" fillId="0" borderId="0" xfId="40" applyNumberFormat="1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43" xfId="0" applyFont="1" applyBorder="1" applyAlignment="1">
      <alignment/>
    </xf>
    <xf numFmtId="173" fontId="4" fillId="0" borderId="10" xfId="40" applyNumberFormat="1" applyFont="1" applyBorder="1" applyAlignment="1">
      <alignment/>
    </xf>
    <xf numFmtId="173" fontId="4" fillId="0" borderId="49" xfId="40" applyNumberFormat="1" applyFont="1" applyBorder="1" applyAlignment="1">
      <alignment/>
    </xf>
    <xf numFmtId="173" fontId="4" fillId="0" borderId="50" xfId="40" applyNumberFormat="1" applyFont="1" applyBorder="1" applyAlignment="1">
      <alignment/>
    </xf>
    <xf numFmtId="173" fontId="4" fillId="0" borderId="51" xfId="40" applyNumberFormat="1" applyFont="1" applyBorder="1" applyAlignment="1">
      <alignment/>
    </xf>
    <xf numFmtId="173" fontId="5" fillId="0" borderId="51" xfId="40" applyNumberFormat="1" applyFont="1" applyBorder="1" applyAlignment="1">
      <alignment/>
    </xf>
    <xf numFmtId="173" fontId="5" fillId="0" borderId="50" xfId="40" applyNumberFormat="1" applyFont="1" applyBorder="1" applyAlignment="1">
      <alignment/>
    </xf>
    <xf numFmtId="173" fontId="5" fillId="0" borderId="10" xfId="4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0" xfId="0" applyFont="1" applyBorder="1" applyAlignment="1">
      <alignment horizontal="center"/>
    </xf>
    <xf numFmtId="173" fontId="5" fillId="0" borderId="11" xfId="40" applyNumberFormat="1" applyFont="1" applyBorder="1" applyAlignment="1">
      <alignment horizontal="center"/>
    </xf>
    <xf numFmtId="173" fontId="5" fillId="0" borderId="52" xfId="40" applyNumberFormat="1" applyFont="1" applyBorder="1" applyAlignment="1">
      <alignment horizontal="center"/>
    </xf>
    <xf numFmtId="173" fontId="5" fillId="0" borderId="53" xfId="4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2" xfId="0" applyFont="1" applyBorder="1" applyAlignment="1">
      <alignment/>
    </xf>
    <xf numFmtId="173" fontId="5" fillId="0" borderId="12" xfId="40" applyNumberFormat="1" applyFont="1" applyBorder="1" applyAlignment="1">
      <alignment/>
    </xf>
    <xf numFmtId="173" fontId="5" fillId="0" borderId="54" xfId="40" applyNumberFormat="1" applyFont="1" applyBorder="1" applyAlignment="1">
      <alignment/>
    </xf>
    <xf numFmtId="173" fontId="5" fillId="0" borderId="55" xfId="40" applyNumberFormat="1" applyFont="1" applyBorder="1" applyAlignment="1">
      <alignment/>
    </xf>
    <xf numFmtId="173" fontId="5" fillId="0" borderId="56" xfId="40" applyNumberFormat="1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15" xfId="0" applyFont="1" applyBorder="1" applyAlignment="1">
      <alignment wrapText="1"/>
    </xf>
    <xf numFmtId="173" fontId="5" fillId="0" borderId="15" xfId="40" applyNumberFormat="1" applyFont="1" applyBorder="1" applyAlignment="1">
      <alignment/>
    </xf>
    <xf numFmtId="173" fontId="5" fillId="0" borderId="29" xfId="40" applyNumberFormat="1" applyFont="1" applyBorder="1" applyAlignment="1">
      <alignment/>
    </xf>
    <xf numFmtId="173" fontId="5" fillId="0" borderId="0" xfId="0" applyNumberFormat="1" applyFont="1" applyAlignment="1">
      <alignment/>
    </xf>
    <xf numFmtId="0" fontId="5" fillId="0" borderId="15" xfId="0" applyFont="1" applyBorder="1" applyAlignment="1">
      <alignment/>
    </xf>
    <xf numFmtId="173" fontId="5" fillId="0" borderId="15" xfId="40" applyNumberFormat="1" applyFont="1" applyBorder="1" applyAlignment="1">
      <alignment/>
    </xf>
    <xf numFmtId="173" fontId="42" fillId="0" borderId="15" xfId="40" applyNumberFormat="1" applyFont="1" applyFill="1" applyBorder="1" applyAlignment="1">
      <alignment/>
    </xf>
    <xf numFmtId="173" fontId="42" fillId="0" borderId="45" xfId="40" applyNumberFormat="1" applyFont="1" applyFill="1" applyBorder="1" applyAlignment="1">
      <alignment/>
    </xf>
    <xf numFmtId="173" fontId="5" fillId="0" borderId="15" xfId="40" applyNumberFormat="1" applyFont="1" applyFill="1" applyBorder="1" applyAlignment="1">
      <alignment/>
    </xf>
    <xf numFmtId="173" fontId="5" fillId="0" borderId="45" xfId="40" applyNumberFormat="1" applyFont="1" applyFill="1" applyBorder="1" applyAlignment="1">
      <alignment/>
    </xf>
    <xf numFmtId="0" fontId="5" fillId="0" borderId="15" xfId="0" applyFont="1" applyBorder="1" applyAlignment="1">
      <alignment horizontal="left" wrapText="1"/>
    </xf>
    <xf numFmtId="0" fontId="5" fillId="0" borderId="57" xfId="0" applyFont="1" applyBorder="1" applyAlignment="1">
      <alignment horizontal="center"/>
    </xf>
    <xf numFmtId="0" fontId="5" fillId="0" borderId="16" xfId="0" applyFont="1" applyBorder="1" applyAlignment="1">
      <alignment/>
    </xf>
    <xf numFmtId="173" fontId="4" fillId="0" borderId="58" xfId="40" applyNumberFormat="1" applyFont="1" applyBorder="1" applyAlignment="1">
      <alignment/>
    </xf>
    <xf numFmtId="173" fontId="4" fillId="0" borderId="31" xfId="4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5" fillId="0" borderId="59" xfId="0" applyFont="1" applyBorder="1" applyAlignment="1">
      <alignment horizontal="center"/>
    </xf>
    <xf numFmtId="0" fontId="4" fillId="0" borderId="24" xfId="0" applyFont="1" applyBorder="1" applyAlignment="1">
      <alignment/>
    </xf>
    <xf numFmtId="173" fontId="5" fillId="0" borderId="60" xfId="40" applyNumberFormat="1" applyFont="1" applyBorder="1" applyAlignment="1">
      <alignment/>
    </xf>
    <xf numFmtId="0" fontId="5" fillId="0" borderId="15" xfId="0" applyFont="1" applyBorder="1" applyAlignment="1" quotePrefix="1">
      <alignment/>
    </xf>
    <xf numFmtId="1" fontId="4" fillId="0" borderId="0" xfId="0" applyNumberFormat="1" applyFont="1" applyAlignment="1">
      <alignment/>
    </xf>
    <xf numFmtId="0" fontId="5" fillId="0" borderId="31" xfId="0" applyFont="1" applyBorder="1" applyAlignment="1">
      <alignment/>
    </xf>
    <xf numFmtId="0" fontId="4" fillId="0" borderId="27" xfId="0" applyFont="1" applyBorder="1" applyAlignment="1">
      <alignment/>
    </xf>
    <xf numFmtId="173" fontId="5" fillId="0" borderId="61" xfId="40" applyNumberFormat="1" applyFont="1" applyBorder="1" applyAlignment="1">
      <alignment/>
    </xf>
    <xf numFmtId="173" fontId="5" fillId="0" borderId="62" xfId="40" applyNumberFormat="1" applyFont="1" applyBorder="1" applyAlignment="1">
      <alignment/>
    </xf>
    <xf numFmtId="172" fontId="5" fillId="0" borderId="0" xfId="40" applyNumberFormat="1" applyFont="1" applyAlignment="1">
      <alignment/>
    </xf>
    <xf numFmtId="175" fontId="9" fillId="0" borderId="16" xfId="0" applyNumberFormat="1" applyFont="1" applyBorder="1" applyAlignment="1">
      <alignment/>
    </xf>
    <xf numFmtId="4" fontId="21" fillId="0" borderId="31" xfId="0" applyNumberFormat="1" applyFont="1" applyBorder="1" applyAlignment="1">
      <alignment horizontal="right"/>
    </xf>
    <xf numFmtId="0" fontId="8" fillId="0" borderId="63" xfId="59" applyFont="1" applyBorder="1" applyAlignment="1">
      <alignment horizontal="center" vertical="center"/>
      <protection/>
    </xf>
    <xf numFmtId="0" fontId="8" fillId="0" borderId="25" xfId="59" applyFont="1" applyBorder="1" applyAlignment="1">
      <alignment horizontal="left" vertical="center"/>
      <protection/>
    </xf>
    <xf numFmtId="3" fontId="9" fillId="0" borderId="0" xfId="63" applyNumberFormat="1" applyFont="1">
      <alignment/>
      <protection/>
    </xf>
    <xf numFmtId="41" fontId="9" fillId="0" borderId="0" xfId="63" applyNumberFormat="1" applyFont="1">
      <alignment/>
      <protection/>
    </xf>
    <xf numFmtId="41" fontId="9" fillId="0" borderId="0" xfId="40" applyNumberFormat="1" applyFont="1" applyBorder="1" applyAlignment="1">
      <alignment horizontal="right"/>
    </xf>
    <xf numFmtId="41" fontId="9" fillId="0" borderId="0" xfId="63" applyNumberFormat="1" applyFont="1" applyAlignment="1">
      <alignment horizontal="center"/>
      <protection/>
    </xf>
    <xf numFmtId="3" fontId="9" fillId="0" borderId="15" xfId="57" applyNumberFormat="1" applyFont="1" applyBorder="1">
      <alignment/>
      <protection/>
    </xf>
    <xf numFmtId="3" fontId="9" fillId="0" borderId="64" xfId="57" applyNumberFormat="1" applyFont="1" applyBorder="1">
      <alignment/>
      <protection/>
    </xf>
    <xf numFmtId="3" fontId="9" fillId="0" borderId="38" xfId="57" applyNumberFormat="1" applyFont="1" applyBorder="1">
      <alignment/>
      <protection/>
    </xf>
    <xf numFmtId="3" fontId="9" fillId="0" borderId="28" xfId="57" applyNumberFormat="1" applyFont="1" applyBorder="1">
      <alignment/>
      <protection/>
    </xf>
    <xf numFmtId="3" fontId="9" fillId="0" borderId="24" xfId="57" applyNumberFormat="1" applyFont="1" applyBorder="1">
      <alignment/>
      <protection/>
    </xf>
    <xf numFmtId="3" fontId="9" fillId="0" borderId="65" xfId="57" applyNumberFormat="1" applyFont="1" applyBorder="1">
      <alignment/>
      <protection/>
    </xf>
    <xf numFmtId="3" fontId="9" fillId="0" borderId="30" xfId="57" applyNumberFormat="1" applyFont="1" applyBorder="1">
      <alignment/>
      <protection/>
    </xf>
    <xf numFmtId="0" fontId="17" fillId="0" borderId="37" xfId="64" applyFont="1" applyBorder="1" applyAlignment="1">
      <alignment wrapText="1"/>
      <protection/>
    </xf>
    <xf numFmtId="3" fontId="8" fillId="0" borderId="31" xfId="57" applyNumberFormat="1" applyFont="1" applyBorder="1">
      <alignment/>
      <protection/>
    </xf>
    <xf numFmtId="165" fontId="8" fillId="0" borderId="66" xfId="57" applyNumberFormat="1" applyFont="1" applyBorder="1">
      <alignment/>
      <protection/>
    </xf>
    <xf numFmtId="3" fontId="9" fillId="0" borderId="0" xfId="57" applyNumberFormat="1" applyFont="1">
      <alignment/>
      <protection/>
    </xf>
    <xf numFmtId="0" fontId="17" fillId="0" borderId="67" xfId="62" applyFont="1" applyBorder="1" applyAlignment="1" quotePrefix="1">
      <alignment horizontal="center" vertical="center" wrapText="1"/>
      <protection/>
    </xf>
    <xf numFmtId="0" fontId="17" fillId="0" borderId="68" xfId="62" applyFont="1" applyBorder="1" applyAlignment="1" quotePrefix="1">
      <alignment horizontal="center" vertical="center" wrapText="1"/>
      <protection/>
    </xf>
    <xf numFmtId="0" fontId="17" fillId="0" borderId="68" xfId="62" applyFont="1" applyBorder="1" applyAlignment="1" quotePrefix="1">
      <alignment horizontal="center" vertical="center" wrapText="1"/>
      <protection/>
    </xf>
    <xf numFmtId="0" fontId="17" fillId="0" borderId="64" xfId="62" applyFont="1" applyBorder="1" applyAlignment="1" quotePrefix="1">
      <alignment horizontal="center" vertical="center" wrapText="1"/>
      <protection/>
    </xf>
    <xf numFmtId="0" fontId="17" fillId="0" borderId="69" xfId="62" applyFont="1" applyBorder="1" applyAlignment="1" quotePrefix="1">
      <alignment horizontal="center" vertical="center" wrapText="1"/>
      <protection/>
    </xf>
    <xf numFmtId="0" fontId="11" fillId="0" borderId="40" xfId="64" applyFont="1" applyBorder="1">
      <alignment/>
      <protection/>
    </xf>
    <xf numFmtId="0" fontId="9" fillId="0" borderId="27" xfId="57" applyFont="1" applyBorder="1" applyAlignment="1" quotePrefix="1">
      <alignment horizontal="left" vertical="center"/>
      <protection/>
    </xf>
    <xf numFmtId="0" fontId="9" fillId="0" borderId="40" xfId="57" applyFont="1" applyBorder="1" applyAlignment="1">
      <alignment vertical="center"/>
      <protection/>
    </xf>
    <xf numFmtId="0" fontId="9" fillId="0" borderId="35" xfId="57" applyFont="1" applyBorder="1">
      <alignment/>
      <protection/>
    </xf>
    <xf numFmtId="0" fontId="9" fillId="0" borderId="36" xfId="57" applyFont="1" applyBorder="1">
      <alignment/>
      <protection/>
    </xf>
    <xf numFmtId="0" fontId="9" fillId="0" borderId="35" xfId="57" applyFont="1" applyBorder="1" applyAlignment="1">
      <alignment horizontal="right"/>
      <protection/>
    </xf>
    <xf numFmtId="0" fontId="9" fillId="0" borderId="36" xfId="57" applyFont="1" applyBorder="1" applyAlignment="1">
      <alignment horizontal="right"/>
      <protection/>
    </xf>
    <xf numFmtId="0" fontId="9" fillId="0" borderId="70" xfId="57" applyFont="1" applyBorder="1" applyAlignment="1">
      <alignment horizontal="right"/>
      <protection/>
    </xf>
    <xf numFmtId="0" fontId="9" fillId="0" borderId="31" xfId="57" applyFont="1" applyBorder="1" applyAlignment="1">
      <alignment horizontal="right"/>
      <protection/>
    </xf>
    <xf numFmtId="0" fontId="9" fillId="0" borderId="70" xfId="57" applyFont="1" applyBorder="1">
      <alignment/>
      <protection/>
    </xf>
    <xf numFmtId="0" fontId="8" fillId="0" borderId="31" xfId="57" applyFont="1" applyBorder="1">
      <alignment/>
      <protection/>
    </xf>
    <xf numFmtId="3" fontId="9" fillId="0" borderId="31" xfId="57" applyNumberFormat="1" applyFont="1" applyBorder="1">
      <alignment/>
      <protection/>
    </xf>
    <xf numFmtId="165" fontId="9" fillId="0" borderId="66" xfId="57" applyNumberFormat="1" applyFont="1" applyBorder="1">
      <alignment/>
      <protection/>
    </xf>
    <xf numFmtId="0" fontId="9" fillId="0" borderId="36" xfId="56" applyFont="1" applyBorder="1">
      <alignment/>
      <protection/>
    </xf>
    <xf numFmtId="0" fontId="9" fillId="0" borderId="36" xfId="56" applyFont="1" applyBorder="1">
      <alignment/>
      <protection/>
    </xf>
    <xf numFmtId="0" fontId="9" fillId="0" borderId="35" xfId="56" applyFont="1" applyBorder="1">
      <alignment/>
      <protection/>
    </xf>
    <xf numFmtId="0" fontId="9" fillId="0" borderId="70" xfId="56" applyFont="1" applyBorder="1">
      <alignment/>
      <protection/>
    </xf>
    <xf numFmtId="0" fontId="8" fillId="0" borderId="31" xfId="56" applyFont="1" applyBorder="1">
      <alignment/>
      <protection/>
    </xf>
    <xf numFmtId="3" fontId="9" fillId="0" borderId="28" xfId="56" applyNumberFormat="1" applyFont="1" applyBorder="1">
      <alignment/>
      <protection/>
    </xf>
    <xf numFmtId="3" fontId="9" fillId="0" borderId="15" xfId="56" applyNumberFormat="1" applyFont="1" applyBorder="1">
      <alignment/>
      <protection/>
    </xf>
    <xf numFmtId="3" fontId="9" fillId="0" borderId="29" xfId="56" applyNumberFormat="1" applyFont="1" applyBorder="1">
      <alignment/>
      <protection/>
    </xf>
    <xf numFmtId="3" fontId="9" fillId="0" borderId="65" xfId="56" applyNumberFormat="1" applyFont="1" applyBorder="1">
      <alignment/>
      <protection/>
    </xf>
    <xf numFmtId="3" fontId="9" fillId="0" borderId="31" xfId="56" applyNumberFormat="1" applyFont="1" applyBorder="1">
      <alignment/>
      <protection/>
    </xf>
    <xf numFmtId="0" fontId="17" fillId="0" borderId="69" xfId="62" applyFont="1" applyBorder="1" applyAlignment="1" quotePrefix="1">
      <alignment horizontal="center" vertical="center" wrapText="1"/>
      <protection/>
    </xf>
    <xf numFmtId="0" fontId="11" fillId="0" borderId="40" xfId="64" applyFont="1" applyBorder="1">
      <alignment/>
      <protection/>
    </xf>
    <xf numFmtId="0" fontId="9" fillId="0" borderId="36" xfId="0" applyFont="1" applyBorder="1" applyAlignment="1">
      <alignment/>
    </xf>
    <xf numFmtId="0" fontId="8" fillId="0" borderId="31" xfId="57" applyFont="1" applyBorder="1" applyAlignment="1">
      <alignment horizontal="right"/>
      <protection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180" fontId="9" fillId="0" borderId="0" xfId="4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40" xfId="63" applyFont="1" applyBorder="1" applyAlignment="1">
      <alignment horizontal="left" wrapText="1"/>
      <protection/>
    </xf>
    <xf numFmtId="0" fontId="8" fillId="0" borderId="41" xfId="63" applyFont="1" applyBorder="1" applyAlignment="1">
      <alignment horizontal="left" wrapText="1"/>
      <protection/>
    </xf>
    <xf numFmtId="3" fontId="9" fillId="0" borderId="0" xfId="64" applyNumberFormat="1" applyFont="1">
      <alignment/>
      <protection/>
    </xf>
    <xf numFmtId="3" fontId="8" fillId="0" borderId="0" xfId="64" applyNumberFormat="1" applyFont="1" applyBorder="1" applyAlignment="1">
      <alignment horizontal="center"/>
      <protection/>
    </xf>
    <xf numFmtId="0" fontId="17" fillId="0" borderId="0" xfId="64" applyFont="1" applyBorder="1" applyAlignment="1">
      <alignment wrapText="1"/>
      <protection/>
    </xf>
    <xf numFmtId="0" fontId="17" fillId="0" borderId="0" xfId="64" applyFont="1" quotePrefix="1">
      <alignment/>
      <protection/>
    </xf>
    <xf numFmtId="3" fontId="9" fillId="0" borderId="44" xfId="64" applyNumberFormat="1" applyFont="1" applyBorder="1" applyAlignment="1">
      <alignment horizontal="center"/>
      <protection/>
    </xf>
    <xf numFmtId="3" fontId="9" fillId="0" borderId="44" xfId="64" applyNumberFormat="1" applyFont="1" applyBorder="1">
      <alignment/>
      <protection/>
    </xf>
    <xf numFmtId="0" fontId="9" fillId="0" borderId="44" xfId="64" applyFont="1" applyBorder="1">
      <alignment/>
      <protection/>
    </xf>
    <xf numFmtId="44" fontId="11" fillId="0" borderId="0" xfId="66" applyFont="1" applyAlignment="1">
      <alignment horizontal="left" wrapText="1"/>
    </xf>
    <xf numFmtId="0" fontId="17" fillId="0" borderId="0" xfId="64" applyFont="1" applyBorder="1">
      <alignment/>
      <protection/>
    </xf>
    <xf numFmtId="3" fontId="9" fillId="0" borderId="0" xfId="64" applyNumberFormat="1" applyFont="1" applyAlignment="1">
      <alignment horizontal="right"/>
      <protection/>
    </xf>
    <xf numFmtId="3" fontId="11" fillId="0" borderId="0" xfId="0" applyNumberFormat="1" applyFont="1" applyAlignment="1">
      <alignment horizontal="center"/>
    </xf>
    <xf numFmtId="0" fontId="8" fillId="0" borderId="0" xfId="63" applyFont="1" applyBorder="1" applyAlignment="1">
      <alignment horizontal="center" vertical="center" wrapText="1"/>
      <protection/>
    </xf>
    <xf numFmtId="0" fontId="8" fillId="0" borderId="0" xfId="63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center"/>
      <protection/>
    </xf>
    <xf numFmtId="3" fontId="5" fillId="0" borderId="0" xfId="64" applyNumberFormat="1" applyFont="1">
      <alignment/>
      <protection/>
    </xf>
    <xf numFmtId="0" fontId="13" fillId="0" borderId="0" xfId="64" applyFont="1" applyBorder="1" applyAlignment="1">
      <alignment wrapText="1"/>
      <protection/>
    </xf>
    <xf numFmtId="3" fontId="5" fillId="0" borderId="44" xfId="64" applyNumberFormat="1" applyFont="1" applyBorder="1">
      <alignment/>
      <protection/>
    </xf>
    <xf numFmtId="44" fontId="5" fillId="0" borderId="0" xfId="66" applyFont="1" applyAlignment="1">
      <alignment horizontal="left" wrapText="1"/>
    </xf>
    <xf numFmtId="0" fontId="13" fillId="0" borderId="0" xfId="62" applyFont="1" applyBorder="1" applyAlignment="1">
      <alignment horizontal="left" wrapText="1"/>
      <protection/>
    </xf>
    <xf numFmtId="0" fontId="13" fillId="0" borderId="0" xfId="64" applyFont="1" applyBorder="1">
      <alignment/>
      <protection/>
    </xf>
    <xf numFmtId="3" fontId="5" fillId="0" borderId="44" xfId="64" applyNumberFormat="1" applyFont="1" applyBorder="1" applyAlignment="1">
      <alignment horizontal="right"/>
      <protection/>
    </xf>
    <xf numFmtId="3" fontId="4" fillId="0" borderId="44" xfId="64" applyNumberFormat="1" applyFont="1" applyBorder="1" applyAlignment="1">
      <alignment horizontal="right"/>
      <protection/>
    </xf>
    <xf numFmtId="0" fontId="11" fillId="0" borderId="0" xfId="62" applyFont="1" applyBorder="1" applyAlignment="1">
      <alignment horizontal="left" wrapText="1"/>
      <protection/>
    </xf>
    <xf numFmtId="0" fontId="5" fillId="0" borderId="44" xfId="64" applyFont="1" applyBorder="1">
      <alignment/>
      <protection/>
    </xf>
    <xf numFmtId="0" fontId="0" fillId="0" borderId="0" xfId="0" applyFont="1" applyAlignment="1">
      <alignment horizontal="left" wrapText="1"/>
    </xf>
    <xf numFmtId="0" fontId="9" fillId="0" borderId="12" xfId="59" applyFont="1" applyBorder="1" applyAlignment="1">
      <alignment horizontal="center" vertical="center"/>
      <protection/>
    </xf>
    <xf numFmtId="0" fontId="4" fillId="0" borderId="0" xfId="64" applyFont="1" applyAlignment="1">
      <alignment horizontal="center"/>
      <protection/>
    </xf>
    <xf numFmtId="180" fontId="5" fillId="0" borderId="44" xfId="40" applyNumberFormat="1" applyFont="1" applyBorder="1" applyAlignment="1">
      <alignment horizontal="right"/>
    </xf>
    <xf numFmtId="180" fontId="5" fillId="0" borderId="0" xfId="40" applyNumberFormat="1" applyFont="1" applyAlignment="1">
      <alignment horizontal="right" wrapText="1"/>
    </xf>
    <xf numFmtId="3" fontId="5" fillId="0" borderId="0" xfId="64" applyNumberFormat="1" applyFont="1" applyBorder="1" applyAlignment="1">
      <alignment horizontal="right"/>
      <protection/>
    </xf>
    <xf numFmtId="3" fontId="4" fillId="0" borderId="44" xfId="40" applyNumberFormat="1" applyFont="1" applyBorder="1" applyAlignment="1">
      <alignment horizontal="right"/>
    </xf>
    <xf numFmtId="4" fontId="5" fillId="0" borderId="0" xfId="64" applyNumberFormat="1" applyFont="1" applyAlignment="1">
      <alignment horizontal="right"/>
      <protection/>
    </xf>
    <xf numFmtId="4" fontId="5" fillId="0" borderId="44" xfId="64" applyNumberFormat="1" applyFont="1" applyBorder="1" applyAlignment="1">
      <alignment horizontal="right"/>
      <protection/>
    </xf>
    <xf numFmtId="4" fontId="4" fillId="0" borderId="0" xfId="64" applyNumberFormat="1" applyFont="1" applyAlignment="1">
      <alignment horizontal="right"/>
      <protection/>
    </xf>
    <xf numFmtId="3" fontId="5" fillId="0" borderId="44" xfId="40" applyNumberFormat="1" applyFont="1" applyBorder="1" applyAlignment="1">
      <alignment horizontal="right"/>
    </xf>
    <xf numFmtId="0" fontId="13" fillId="0" borderId="0" xfId="64" applyFont="1">
      <alignment/>
      <protection/>
    </xf>
    <xf numFmtId="0" fontId="8" fillId="0" borderId="0" xfId="64" applyFont="1">
      <alignment/>
      <protection/>
    </xf>
    <xf numFmtId="0" fontId="5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182" fontId="5" fillId="0" borderId="0" xfId="40" applyNumberFormat="1" applyFont="1" applyAlignment="1">
      <alignment horizontal="right" wrapText="1"/>
    </xf>
    <xf numFmtId="182" fontId="4" fillId="0" borderId="0" xfId="40" applyNumberFormat="1" applyFont="1" applyAlignment="1">
      <alignment horizontal="right" wrapText="1"/>
    </xf>
    <xf numFmtId="182" fontId="5" fillId="0" borderId="44" xfId="40" applyNumberFormat="1" applyFont="1" applyBorder="1" applyAlignment="1">
      <alignment horizontal="right" wrapText="1"/>
    </xf>
    <xf numFmtId="0" fontId="9" fillId="0" borderId="0" xfId="64" applyFont="1" applyAlignment="1">
      <alignment vertical="center"/>
      <protection/>
    </xf>
    <xf numFmtId="0" fontId="9" fillId="0" borderId="0" xfId="64" applyFont="1" quotePrefix="1">
      <alignment/>
      <protection/>
    </xf>
    <xf numFmtId="0" fontId="17" fillId="0" borderId="0" xfId="0" applyFont="1" applyAlignment="1">
      <alignment horizontal="left" vertical="center" wrapText="1"/>
    </xf>
    <xf numFmtId="3" fontId="11" fillId="0" borderId="0" xfId="4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3" fontId="17" fillId="0" borderId="0" xfId="0" applyNumberFormat="1" applyFont="1" applyAlignment="1">
      <alignment horizontal="center" wrapText="1"/>
    </xf>
    <xf numFmtId="0" fontId="4" fillId="0" borderId="0" xfId="59" applyFont="1" applyAlignment="1">
      <alignment horizontal="center"/>
      <protection/>
    </xf>
    <xf numFmtId="0" fontId="4" fillId="0" borderId="0" xfId="63" applyFont="1" applyBorder="1" applyAlignment="1">
      <alignment horizontal="left" wrapText="1"/>
      <protection/>
    </xf>
    <xf numFmtId="0" fontId="4" fillId="0" borderId="0" xfId="0" applyFont="1" applyBorder="1" applyAlignment="1">
      <alignment horizontal="left" vertical="top" wrapText="1"/>
    </xf>
    <xf numFmtId="0" fontId="17" fillId="0" borderId="36" xfId="0" applyFont="1" applyBorder="1" applyAlignment="1" quotePrefix="1">
      <alignment/>
    </xf>
    <xf numFmtId="0" fontId="17" fillId="0" borderId="36" xfId="0" applyFont="1" applyBorder="1" applyAlignment="1">
      <alignment/>
    </xf>
    <xf numFmtId="0" fontId="9" fillId="0" borderId="35" xfId="0" applyFont="1" applyBorder="1" applyAlignment="1">
      <alignment/>
    </xf>
    <xf numFmtId="0" fontId="17" fillId="0" borderId="70" xfId="0" applyFont="1" applyBorder="1" applyAlignment="1">
      <alignment/>
    </xf>
    <xf numFmtId="0" fontId="11" fillId="0" borderId="31" xfId="0" applyFont="1" applyBorder="1" applyAlignment="1">
      <alignment/>
    </xf>
    <xf numFmtId="165" fontId="9" fillId="0" borderId="0" xfId="59" applyNumberFormat="1" applyFont="1" applyBorder="1">
      <alignment/>
      <protection/>
    </xf>
    <xf numFmtId="173" fontId="11" fillId="0" borderId="0" xfId="40" applyNumberFormat="1" applyFont="1" applyAlignment="1">
      <alignment horizontal="right"/>
    </xf>
    <xf numFmtId="3" fontId="17" fillId="0" borderId="0" xfId="63" applyNumberFormat="1" applyFont="1">
      <alignment/>
      <protection/>
    </xf>
    <xf numFmtId="3" fontId="17" fillId="0" borderId="0" xfId="40" applyNumberFormat="1" applyFont="1" applyAlignment="1">
      <alignment/>
    </xf>
    <xf numFmtId="0" fontId="4" fillId="0" borderId="0" xfId="63" applyFont="1" applyBorder="1" applyAlignment="1">
      <alignment horizontal="left"/>
      <protection/>
    </xf>
    <xf numFmtId="0" fontId="0" fillId="0" borderId="0" xfId="0" applyAlignment="1">
      <alignment horizontal="right"/>
    </xf>
    <xf numFmtId="0" fontId="42" fillId="0" borderId="0" xfId="0" applyFont="1" applyAlignment="1">
      <alignment horizontal="center"/>
    </xf>
    <xf numFmtId="0" fontId="45" fillId="32" borderId="31" xfId="0" applyFont="1" applyFill="1" applyBorder="1" applyAlignment="1">
      <alignment horizontal="center" vertical="center" wrapText="1"/>
    </xf>
    <xf numFmtId="0" fontId="45" fillId="32" borderId="31" xfId="0" applyFont="1" applyFill="1" applyBorder="1" applyAlignment="1">
      <alignment horizontal="center" vertical="top" wrapText="1"/>
    </xf>
    <xf numFmtId="0" fontId="46" fillId="0" borderId="71" xfId="0" applyFont="1" applyBorder="1" applyAlignment="1">
      <alignment horizontal="center" vertical="top" wrapText="1"/>
    </xf>
    <xf numFmtId="0" fontId="46" fillId="0" borderId="72" xfId="0" applyFont="1" applyBorder="1" applyAlignment="1">
      <alignment horizontal="left" vertical="top" wrapText="1"/>
    </xf>
    <xf numFmtId="3" fontId="46" fillId="0" borderId="72" xfId="0" applyNumberFormat="1" applyFont="1" applyBorder="1" applyAlignment="1">
      <alignment horizontal="right" vertical="top" wrapText="1"/>
    </xf>
    <xf numFmtId="3" fontId="46" fillId="0" borderId="73" xfId="0" applyNumberFormat="1" applyFont="1" applyBorder="1" applyAlignment="1">
      <alignment horizontal="right" vertical="top" wrapText="1"/>
    </xf>
    <xf numFmtId="0" fontId="46" fillId="0" borderId="28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left" vertical="top" wrapText="1"/>
    </xf>
    <xf numFmtId="3" fontId="46" fillId="0" borderId="15" xfId="0" applyNumberFormat="1" applyFont="1" applyBorder="1" applyAlignment="1">
      <alignment horizontal="right" vertical="top" wrapText="1"/>
    </xf>
    <xf numFmtId="3" fontId="46" fillId="0" borderId="29" xfId="0" applyNumberFormat="1" applyFont="1" applyBorder="1" applyAlignment="1">
      <alignment horizontal="right" vertical="top" wrapText="1"/>
    </xf>
    <xf numFmtId="0" fontId="46" fillId="0" borderId="57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left" vertical="top" wrapText="1"/>
    </xf>
    <xf numFmtId="3" fontId="46" fillId="0" borderId="16" xfId="0" applyNumberFormat="1" applyFont="1" applyBorder="1" applyAlignment="1">
      <alignment horizontal="right" vertical="top" wrapText="1"/>
    </xf>
    <xf numFmtId="3" fontId="46" fillId="0" borderId="46" xfId="0" applyNumberFormat="1" applyFont="1" applyBorder="1" applyAlignment="1">
      <alignment horizontal="right" vertical="top" wrapText="1"/>
    </xf>
    <xf numFmtId="0" fontId="47" fillId="0" borderId="31" xfId="0" applyFont="1" applyBorder="1" applyAlignment="1">
      <alignment horizontal="center" vertical="top" wrapText="1"/>
    </xf>
    <xf numFmtId="0" fontId="47" fillId="0" borderId="31" xfId="0" applyFont="1" applyBorder="1" applyAlignment="1">
      <alignment horizontal="left" vertical="top" wrapText="1"/>
    </xf>
    <xf numFmtId="3" fontId="47" fillId="0" borderId="31" xfId="0" applyNumberFormat="1" applyFont="1" applyBorder="1" applyAlignment="1">
      <alignment horizontal="right" vertical="top" wrapText="1"/>
    </xf>
    <xf numFmtId="0" fontId="45" fillId="32" borderId="0" xfId="0" applyFont="1" applyFill="1" applyAlignment="1">
      <alignment horizontal="center" vertical="top" wrapText="1"/>
    </xf>
    <xf numFmtId="0" fontId="0" fillId="32" borderId="0" xfId="0" applyFill="1" applyAlignment="1">
      <alignment/>
    </xf>
    <xf numFmtId="0" fontId="45" fillId="32" borderId="71" xfId="0" applyFont="1" applyFill="1" applyBorder="1" applyAlignment="1">
      <alignment horizontal="center" vertical="top" wrapText="1"/>
    </xf>
    <xf numFmtId="0" fontId="45" fillId="32" borderId="72" xfId="0" applyFont="1" applyFill="1" applyBorder="1" applyAlignment="1">
      <alignment horizontal="center" vertical="top" wrapText="1"/>
    </xf>
    <xf numFmtId="0" fontId="45" fillId="32" borderId="73" xfId="0" applyFont="1" applyFill="1" applyBorder="1" applyAlignment="1">
      <alignment horizontal="center" vertical="top" wrapText="1"/>
    </xf>
    <xf numFmtId="0" fontId="45" fillId="32" borderId="74" xfId="0" applyFont="1" applyFill="1" applyBorder="1" applyAlignment="1">
      <alignment horizontal="center" vertical="top" wrapText="1"/>
    </xf>
    <xf numFmtId="0" fontId="45" fillId="32" borderId="75" xfId="0" applyFont="1" applyFill="1" applyBorder="1" applyAlignment="1">
      <alignment horizontal="center" vertical="top" wrapText="1"/>
    </xf>
    <xf numFmtId="0" fontId="45" fillId="32" borderId="76" xfId="0" applyFont="1" applyFill="1" applyBorder="1" applyAlignment="1">
      <alignment horizontal="center" vertical="top" wrapText="1"/>
    </xf>
    <xf numFmtId="0" fontId="46" fillId="0" borderId="28" xfId="0" applyFont="1" applyFill="1" applyBorder="1" applyAlignment="1">
      <alignment horizontal="center" vertical="top" wrapText="1"/>
    </xf>
    <xf numFmtId="0" fontId="46" fillId="0" borderId="15" xfId="0" applyFont="1" applyFill="1" applyBorder="1" applyAlignment="1">
      <alignment horizontal="left" vertical="top" wrapText="1"/>
    </xf>
    <xf numFmtId="3" fontId="46" fillId="0" borderId="29" xfId="0" applyNumberFormat="1" applyFont="1" applyFill="1" applyBorder="1" applyAlignment="1">
      <alignment horizontal="right" vertical="top" wrapText="1"/>
    </xf>
    <xf numFmtId="3" fontId="46" fillId="0" borderId="76" xfId="0" applyNumberFormat="1" applyFont="1" applyFill="1" applyBorder="1" applyAlignment="1">
      <alignment horizontal="right" vertical="top" wrapText="1"/>
    </xf>
    <xf numFmtId="0" fontId="46" fillId="32" borderId="71" xfId="0" applyFont="1" applyFill="1" applyBorder="1" applyAlignment="1">
      <alignment horizontal="center" vertical="top" wrapText="1"/>
    </xf>
    <xf numFmtId="0" fontId="46" fillId="32" borderId="72" xfId="0" applyFont="1" applyFill="1" applyBorder="1" applyAlignment="1">
      <alignment horizontal="left" vertical="top" wrapText="1"/>
    </xf>
    <xf numFmtId="3" fontId="46" fillId="32" borderId="73" xfId="0" applyNumberFormat="1" applyFont="1" applyFill="1" applyBorder="1" applyAlignment="1">
      <alignment horizontal="right" vertical="top" wrapText="1"/>
    </xf>
    <xf numFmtId="0" fontId="46" fillId="32" borderId="77" xfId="0" applyFont="1" applyFill="1" applyBorder="1" applyAlignment="1">
      <alignment horizontal="center" vertical="top" wrapText="1"/>
    </xf>
    <xf numFmtId="0" fontId="46" fillId="32" borderId="78" xfId="0" applyFont="1" applyFill="1" applyBorder="1" applyAlignment="1">
      <alignment horizontal="right" vertical="top" wrapText="1"/>
    </xf>
    <xf numFmtId="3" fontId="46" fillId="0" borderId="46" xfId="0" applyNumberFormat="1" applyFont="1" applyFill="1" applyBorder="1" applyAlignment="1">
      <alignment horizontal="right" vertical="top" wrapText="1"/>
    </xf>
    <xf numFmtId="0" fontId="46" fillId="0" borderId="56" xfId="0" applyFont="1" applyFill="1" applyBorder="1" applyAlignment="1">
      <alignment horizontal="left" vertical="top" wrapText="1"/>
    </xf>
    <xf numFmtId="0" fontId="46" fillId="0" borderId="79" xfId="0" applyFont="1" applyFill="1" applyBorder="1" applyAlignment="1">
      <alignment horizontal="center" vertical="top" wrapText="1"/>
    </xf>
    <xf numFmtId="0" fontId="46" fillId="0" borderId="24" xfId="0" applyFont="1" applyFill="1" applyBorder="1" applyAlignment="1">
      <alignment horizontal="left" vertical="top" wrapText="1"/>
    </xf>
    <xf numFmtId="0" fontId="46" fillId="0" borderId="15" xfId="0" applyFont="1" applyFill="1" applyBorder="1" applyAlignment="1">
      <alignment horizontal="left" vertical="top" wrapText="1"/>
    </xf>
    <xf numFmtId="0" fontId="46" fillId="0" borderId="28" xfId="0" applyFont="1" applyFill="1" applyBorder="1" applyAlignment="1">
      <alignment horizontal="center" vertical="top" wrapText="1"/>
    </xf>
    <xf numFmtId="0" fontId="46" fillId="0" borderId="77" xfId="0" applyFont="1" applyFill="1" applyBorder="1" applyAlignment="1">
      <alignment horizontal="center" vertical="top" wrapText="1"/>
    </xf>
    <xf numFmtId="0" fontId="29" fillId="32" borderId="0" xfId="0" applyFont="1" applyFill="1" applyAlignment="1">
      <alignment horizontal="center" vertical="top" wrapText="1"/>
    </xf>
    <xf numFmtId="0" fontId="35" fillId="32" borderId="0" xfId="0" applyFont="1" applyFill="1" applyAlignment="1">
      <alignment wrapText="1"/>
    </xf>
    <xf numFmtId="0" fontId="46" fillId="0" borderId="39" xfId="0" applyFont="1" applyBorder="1" applyAlignment="1" quotePrefix="1">
      <alignment horizontal="center" vertical="center" wrapText="1"/>
    </xf>
    <xf numFmtId="0" fontId="46" fillId="0" borderId="39" xfId="0" applyFont="1" applyBorder="1" applyAlignment="1">
      <alignment horizontal="left" vertical="top" wrapText="1"/>
    </xf>
    <xf numFmtId="3" fontId="46" fillId="0" borderId="67" xfId="0" applyNumberFormat="1" applyFont="1" applyBorder="1" applyAlignment="1">
      <alignment horizontal="right" vertical="center" wrapText="1"/>
    </xf>
    <xf numFmtId="0" fontId="46" fillId="0" borderId="70" xfId="0" applyFont="1" applyBorder="1" applyAlignment="1">
      <alignment horizontal="left" vertical="top" wrapText="1"/>
    </xf>
    <xf numFmtId="0" fontId="46" fillId="0" borderId="70" xfId="0" applyFont="1" applyBorder="1" applyAlignment="1">
      <alignment horizontal="center" vertical="center" wrapText="1"/>
    </xf>
    <xf numFmtId="3" fontId="46" fillId="0" borderId="80" xfId="0" applyNumberFormat="1" applyFont="1" applyBorder="1" applyAlignment="1">
      <alignment horizontal="right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left" vertical="center" wrapText="1"/>
    </xf>
    <xf numFmtId="3" fontId="47" fillId="0" borderId="41" xfId="0" applyNumberFormat="1" applyFont="1" applyBorder="1" applyAlignment="1">
      <alignment horizontal="right" vertical="center" wrapText="1"/>
    </xf>
    <xf numFmtId="0" fontId="0" fillId="0" borderId="71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5" fillId="0" borderId="71" xfId="0" applyFont="1" applyBorder="1" applyAlignment="1">
      <alignment horizontal="center"/>
    </xf>
    <xf numFmtId="0" fontId="35" fillId="0" borderId="72" xfId="0" applyFont="1" applyBorder="1" applyAlignment="1">
      <alignment wrapText="1"/>
    </xf>
    <xf numFmtId="3" fontId="35" fillId="0" borderId="72" xfId="0" applyNumberFormat="1" applyFont="1" applyBorder="1" applyAlignment="1">
      <alignment/>
    </xf>
    <xf numFmtId="0" fontId="35" fillId="0" borderId="72" xfId="0" applyFont="1" applyBorder="1" applyAlignment="1">
      <alignment/>
    </xf>
    <xf numFmtId="3" fontId="35" fillId="0" borderId="73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35" fillId="0" borderId="57" xfId="0" applyFont="1" applyBorder="1" applyAlignment="1">
      <alignment horizontal="center"/>
    </xf>
    <xf numFmtId="0" fontId="35" fillId="0" borderId="16" xfId="0" applyFont="1" applyBorder="1" applyAlignment="1">
      <alignment wrapText="1"/>
    </xf>
    <xf numFmtId="3" fontId="35" fillId="0" borderId="16" xfId="0" applyNumberFormat="1" applyFont="1" applyBorder="1" applyAlignment="1">
      <alignment/>
    </xf>
    <xf numFmtId="0" fontId="35" fillId="0" borderId="58" xfId="0" applyFont="1" applyBorder="1" applyAlignment="1">
      <alignment horizontal="center"/>
    </xf>
    <xf numFmtId="0" fontId="35" fillId="0" borderId="61" xfId="0" applyFont="1" applyBorder="1" applyAlignment="1">
      <alignment wrapText="1"/>
    </xf>
    <xf numFmtId="3" fontId="35" fillId="0" borderId="61" xfId="0" applyNumberFormat="1" applyFont="1" applyBorder="1" applyAlignment="1">
      <alignment/>
    </xf>
    <xf numFmtId="0" fontId="35" fillId="0" borderId="61" xfId="0" applyFont="1" applyBorder="1" applyAlignment="1">
      <alignment/>
    </xf>
    <xf numFmtId="3" fontId="35" fillId="0" borderId="66" xfId="0" applyNumberFormat="1" applyFont="1" applyBorder="1" applyAlignment="1">
      <alignment/>
    </xf>
    <xf numFmtId="0" fontId="35" fillId="0" borderId="28" xfId="0" applyFont="1" applyBorder="1" applyAlignment="1">
      <alignment horizontal="center"/>
    </xf>
    <xf numFmtId="0" fontId="35" fillId="0" borderId="15" xfId="0" applyFont="1" applyBorder="1" applyAlignment="1">
      <alignment wrapText="1"/>
    </xf>
    <xf numFmtId="3" fontId="35" fillId="0" borderId="15" xfId="0" applyNumberFormat="1" applyFont="1" applyBorder="1" applyAlignment="1">
      <alignment/>
    </xf>
    <xf numFmtId="0" fontId="0" fillId="0" borderId="77" xfId="0" applyBorder="1" applyAlignment="1">
      <alignment horizontal="center"/>
    </xf>
    <xf numFmtId="0" fontId="0" fillId="0" borderId="56" xfId="0" applyBorder="1" applyAlignment="1">
      <alignment wrapText="1"/>
    </xf>
    <xf numFmtId="3" fontId="0" fillId="0" borderId="56" xfId="0" applyNumberFormat="1" applyBorder="1" applyAlignment="1">
      <alignment/>
    </xf>
    <xf numFmtId="0" fontId="0" fillId="0" borderId="56" xfId="0" applyBorder="1" applyAlignment="1">
      <alignment/>
    </xf>
    <xf numFmtId="3" fontId="0" fillId="0" borderId="78" xfId="0" applyNumberFormat="1" applyBorder="1" applyAlignment="1">
      <alignment/>
    </xf>
    <xf numFmtId="0" fontId="0" fillId="0" borderId="79" xfId="0" applyFont="1" applyBorder="1" applyAlignment="1">
      <alignment horizontal="center"/>
    </xf>
    <xf numFmtId="0" fontId="0" fillId="0" borderId="24" xfId="0" applyFont="1" applyBorder="1" applyAlignment="1">
      <alignment wrapText="1"/>
    </xf>
    <xf numFmtId="3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57" xfId="0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59" xfId="0" applyFont="1" applyBorder="1" applyAlignment="1">
      <alignment horizontal="center"/>
    </xf>
    <xf numFmtId="0" fontId="0" fillId="0" borderId="23" xfId="0" applyFont="1" applyBorder="1" applyAlignment="1">
      <alignment wrapText="1"/>
    </xf>
    <xf numFmtId="3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46" fillId="0" borderId="0" xfId="0" applyFont="1" applyAlignment="1">
      <alignment horizontal="left" vertical="top" wrapText="1"/>
    </xf>
    <xf numFmtId="180" fontId="8" fillId="0" borderId="0" xfId="40" applyNumberFormat="1" applyFont="1" applyAlignment="1">
      <alignment/>
    </xf>
    <xf numFmtId="3" fontId="9" fillId="0" borderId="0" xfId="4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11" fillId="0" borderId="0" xfId="40" applyNumberFormat="1" applyFont="1" applyAlignment="1">
      <alignment horizontal="right"/>
    </xf>
    <xf numFmtId="0" fontId="4" fillId="0" borderId="0" xfId="0" applyFont="1" applyAlignment="1">
      <alignment horizontal="left"/>
    </xf>
    <xf numFmtId="173" fontId="4" fillId="0" borderId="0" xfId="0" applyNumberFormat="1" applyFont="1" applyAlignment="1">
      <alignment horizontal="left"/>
    </xf>
    <xf numFmtId="0" fontId="18" fillId="0" borderId="0" xfId="59" applyFont="1" applyBorder="1" applyAlignment="1">
      <alignment horizontal="center"/>
      <protection/>
    </xf>
    <xf numFmtId="0" fontId="5" fillId="0" borderId="0" xfId="62" applyFont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0" fontId="4" fillId="0" borderId="0" xfId="62" applyFont="1" applyAlignment="1">
      <alignment wrapText="1"/>
      <protection/>
    </xf>
    <xf numFmtId="165" fontId="5" fillId="0" borderId="0" xfId="62" applyNumberFormat="1" applyFont="1">
      <alignment/>
      <protection/>
    </xf>
    <xf numFmtId="0" fontId="5" fillId="0" borderId="0" xfId="62" applyFont="1" applyAlignment="1">
      <alignment wrapText="1"/>
      <protection/>
    </xf>
    <xf numFmtId="41" fontId="5" fillId="0" borderId="0" xfId="62" applyNumberFormat="1" applyFont="1">
      <alignment/>
      <protection/>
    </xf>
    <xf numFmtId="41" fontId="4" fillId="0" borderId="0" xfId="62" applyNumberFormat="1" applyFont="1">
      <alignment/>
      <protection/>
    </xf>
    <xf numFmtId="0" fontId="9" fillId="0" borderId="0" xfId="62" applyFont="1" applyAlignment="1">
      <alignment horizontal="center"/>
      <protection/>
    </xf>
    <xf numFmtId="0" fontId="11" fillId="0" borderId="0" xfId="62" applyFont="1" applyAlignment="1">
      <alignment horizontal="center"/>
      <protection/>
    </xf>
    <xf numFmtId="0" fontId="17" fillId="0" borderId="0" xfId="62" applyFont="1" applyAlignment="1">
      <alignment horizontal="center"/>
      <protection/>
    </xf>
    <xf numFmtId="0" fontId="31" fillId="0" borderId="0" xfId="59" applyFont="1">
      <alignment/>
      <protection/>
    </xf>
    <xf numFmtId="0" fontId="18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7" fillId="0" borderId="0" xfId="59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9" fillId="0" borderId="0" xfId="59" applyFont="1" applyBorder="1" applyAlignment="1">
      <alignment horizontal="left" vertical="center"/>
      <protection/>
    </xf>
    <xf numFmtId="0" fontId="8" fillId="0" borderId="0" xfId="56" applyFont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10" xfId="59" applyFont="1" applyBorder="1" applyAlignment="1">
      <alignment horizontal="center" vertical="center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43" xfId="59" applyFont="1" applyBorder="1" applyAlignment="1">
      <alignment horizontal="center"/>
      <protection/>
    </xf>
    <xf numFmtId="0" fontId="9" fillId="0" borderId="42" xfId="59" applyFont="1" applyBorder="1" applyAlignment="1">
      <alignment horizontal="center"/>
      <protection/>
    </xf>
    <xf numFmtId="0" fontId="9" fillId="0" borderId="33" xfId="59" applyFont="1" applyBorder="1" applyAlignment="1">
      <alignment horizontal="center"/>
      <protection/>
    </xf>
    <xf numFmtId="0" fontId="9" fillId="0" borderId="20" xfId="59" applyFont="1" applyBorder="1" applyAlignment="1">
      <alignment horizontal="center"/>
      <protection/>
    </xf>
    <xf numFmtId="0" fontId="9" fillId="0" borderId="0" xfId="59" applyFont="1" applyBorder="1" applyAlignment="1">
      <alignment horizontal="center"/>
      <protection/>
    </xf>
    <xf numFmtId="0" fontId="9" fillId="0" borderId="81" xfId="59" applyFont="1" applyBorder="1" applyAlignment="1">
      <alignment horizontal="center"/>
      <protection/>
    </xf>
    <xf numFmtId="0" fontId="9" fillId="0" borderId="22" xfId="59" applyFont="1" applyBorder="1" applyAlignment="1">
      <alignment horizontal="center"/>
      <protection/>
    </xf>
    <xf numFmtId="0" fontId="9" fillId="0" borderId="34" xfId="59" applyFont="1" applyBorder="1" applyAlignment="1">
      <alignment horizontal="center"/>
      <protection/>
    </xf>
    <xf numFmtId="0" fontId="9" fillId="0" borderId="82" xfId="59" applyFont="1" applyBorder="1" applyAlignment="1">
      <alignment horizontal="center"/>
      <protection/>
    </xf>
    <xf numFmtId="0" fontId="9" fillId="0" borderId="43" xfId="59" applyFont="1" applyBorder="1" applyAlignment="1">
      <alignment horizontal="center" vertical="center"/>
      <protection/>
    </xf>
    <xf numFmtId="0" fontId="9" fillId="0" borderId="33" xfId="59" applyFont="1" applyBorder="1" applyAlignment="1">
      <alignment horizontal="center" vertical="center"/>
      <protection/>
    </xf>
    <xf numFmtId="0" fontId="9" fillId="0" borderId="22" xfId="59" applyFont="1" applyBorder="1" applyAlignment="1">
      <alignment horizontal="center" vertical="center"/>
      <protection/>
    </xf>
    <xf numFmtId="0" fontId="9" fillId="0" borderId="82" xfId="59" applyFont="1" applyBorder="1" applyAlignment="1">
      <alignment horizontal="center" vertical="center"/>
      <protection/>
    </xf>
    <xf numFmtId="0" fontId="17" fillId="0" borderId="10" xfId="62" applyFont="1" applyBorder="1" applyAlignment="1">
      <alignment horizontal="center" vertical="center"/>
      <protection/>
    </xf>
    <xf numFmtId="0" fontId="17" fillId="0" borderId="11" xfId="62" applyFont="1" applyBorder="1" applyAlignment="1">
      <alignment horizontal="center" vertical="center"/>
      <protection/>
    </xf>
    <xf numFmtId="0" fontId="17" fillId="0" borderId="12" xfId="62" applyFont="1" applyBorder="1" applyAlignment="1">
      <alignment horizontal="center" vertical="center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2" xfId="59" applyFont="1" applyBorder="1" applyAlignment="1">
      <alignment horizontal="center" vertical="center" wrapText="1"/>
      <protection/>
    </xf>
    <xf numFmtId="173" fontId="11" fillId="0" borderId="40" xfId="40" applyNumberFormat="1" applyFont="1" applyBorder="1" applyAlignment="1">
      <alignment horizontal="center"/>
    </xf>
    <xf numFmtId="173" fontId="11" fillId="0" borderId="41" xfId="40" applyNumberFormat="1" applyFont="1" applyBorder="1" applyAlignment="1">
      <alignment horizontal="center"/>
    </xf>
    <xf numFmtId="173" fontId="11" fillId="0" borderId="43" xfId="40" applyNumberFormat="1" applyFont="1" applyBorder="1" applyAlignment="1">
      <alignment horizontal="center"/>
    </xf>
    <xf numFmtId="173" fontId="11" fillId="0" borderId="42" xfId="40" applyNumberFormat="1" applyFont="1" applyBorder="1" applyAlignment="1">
      <alignment horizontal="center"/>
    </xf>
    <xf numFmtId="173" fontId="11" fillId="0" borderId="33" xfId="40" applyNumberFormat="1" applyFont="1" applyBorder="1" applyAlignment="1">
      <alignment horizontal="center"/>
    </xf>
    <xf numFmtId="173" fontId="11" fillId="0" borderId="20" xfId="40" applyNumberFormat="1" applyFont="1" applyBorder="1" applyAlignment="1">
      <alignment horizontal="center"/>
    </xf>
    <xf numFmtId="173" fontId="11" fillId="0" borderId="0" xfId="40" applyNumberFormat="1" applyFont="1" applyBorder="1" applyAlignment="1">
      <alignment horizontal="center"/>
    </xf>
    <xf numFmtId="173" fontId="11" fillId="0" borderId="81" xfId="40" applyNumberFormat="1" applyFont="1" applyBorder="1" applyAlignment="1">
      <alignment horizontal="center"/>
    </xf>
    <xf numFmtId="173" fontId="11" fillId="0" borderId="22" xfId="40" applyNumberFormat="1" applyFont="1" applyBorder="1" applyAlignment="1">
      <alignment horizontal="center"/>
    </xf>
    <xf numFmtId="173" fontId="11" fillId="0" borderId="34" xfId="40" applyNumberFormat="1" applyFont="1" applyBorder="1" applyAlignment="1">
      <alignment horizontal="center"/>
    </xf>
    <xf numFmtId="173" fontId="11" fillId="0" borderId="82" xfId="4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1" fillId="0" borderId="0" xfId="59" applyFont="1" applyAlignment="1">
      <alignment horizontal="center"/>
      <protection/>
    </xf>
    <xf numFmtId="0" fontId="11" fillId="0" borderId="0" xfId="59" applyFont="1" applyAlignment="1">
      <alignment horizontal="center" wrapText="1"/>
      <protection/>
    </xf>
    <xf numFmtId="0" fontId="23" fillId="0" borderId="39" xfId="59" applyFont="1" applyBorder="1" applyAlignment="1">
      <alignment vertical="center" wrapText="1"/>
      <protection/>
    </xf>
    <xf numFmtId="0" fontId="0" fillId="0" borderId="36" xfId="0" applyBorder="1" applyAlignment="1">
      <alignment vertical="center" wrapText="1"/>
    </xf>
    <xf numFmtId="0" fontId="0" fillId="0" borderId="83" xfId="0" applyBorder="1" applyAlignment="1">
      <alignment vertical="center" wrapText="1"/>
    </xf>
    <xf numFmtId="0" fontId="17" fillId="0" borderId="10" xfId="62" applyFont="1" applyBorder="1" applyAlignment="1">
      <alignment horizontal="center" vertical="center" wrapText="1"/>
      <protection/>
    </xf>
    <xf numFmtId="0" fontId="17" fillId="0" borderId="11" xfId="62" applyFont="1" applyBorder="1" applyAlignment="1">
      <alignment horizontal="center" vertical="center" wrapText="1"/>
      <protection/>
    </xf>
    <xf numFmtId="0" fontId="17" fillId="0" borderId="12" xfId="62" applyFont="1" applyBorder="1" applyAlignment="1">
      <alignment horizontal="center" vertical="center" wrapText="1"/>
      <protection/>
    </xf>
    <xf numFmtId="0" fontId="11" fillId="0" borderId="0" xfId="57" applyFont="1" applyAlignment="1">
      <alignment horizontal="center"/>
      <protection/>
    </xf>
    <xf numFmtId="0" fontId="9" fillId="0" borderId="39" xfId="56" applyFont="1" applyBorder="1" applyAlignment="1">
      <alignment vertical="center" wrapText="1"/>
      <protection/>
    </xf>
    <xf numFmtId="0" fontId="8" fillId="0" borderId="0" xfId="57" applyFont="1" applyAlignment="1">
      <alignment horizontal="center"/>
      <protection/>
    </xf>
    <xf numFmtId="0" fontId="11" fillId="0" borderId="0" xfId="64" applyFont="1" applyAlignment="1">
      <alignment horizontal="center"/>
      <protection/>
    </xf>
    <xf numFmtId="0" fontId="9" fillId="0" borderId="40" xfId="56" applyFont="1" applyBorder="1" applyAlignment="1">
      <alignment horizontal="center" vertical="center" wrapText="1"/>
      <protection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27" xfId="56" applyFont="1" applyBorder="1" applyAlignment="1">
      <alignment horizontal="center" vertical="center" wrapText="1"/>
      <protection/>
    </xf>
    <xf numFmtId="0" fontId="9" fillId="0" borderId="27" xfId="56" applyFont="1" applyBorder="1" applyAlignment="1">
      <alignment horizontal="center" vertical="center"/>
      <protection/>
    </xf>
    <xf numFmtId="0" fontId="9" fillId="0" borderId="40" xfId="56" applyFont="1" applyBorder="1" applyAlignment="1">
      <alignment horizontal="center" vertical="center"/>
      <protection/>
    </xf>
    <xf numFmtId="0" fontId="9" fillId="0" borderId="41" xfId="56" applyFont="1" applyBorder="1" applyAlignment="1">
      <alignment horizontal="center" vertical="center"/>
      <protection/>
    </xf>
    <xf numFmtId="0" fontId="9" fillId="0" borderId="43" xfId="56" applyFont="1" applyBorder="1" applyAlignment="1">
      <alignment horizontal="center" vertical="center"/>
      <protection/>
    </xf>
    <xf numFmtId="0" fontId="9" fillId="0" borderId="33" xfId="56" applyFont="1" applyBorder="1" applyAlignment="1">
      <alignment horizontal="center" vertical="center"/>
      <protection/>
    </xf>
    <xf numFmtId="0" fontId="9" fillId="0" borderId="20" xfId="56" applyFont="1" applyBorder="1" applyAlignment="1">
      <alignment horizontal="center" vertical="center"/>
      <protection/>
    </xf>
    <xf numFmtId="0" fontId="9" fillId="0" borderId="81" xfId="56" applyFont="1" applyBorder="1" applyAlignment="1">
      <alignment horizontal="center" vertical="center"/>
      <protection/>
    </xf>
    <xf numFmtId="0" fontId="9" fillId="0" borderId="22" xfId="56" applyFont="1" applyBorder="1" applyAlignment="1">
      <alignment horizontal="center" vertical="center"/>
      <protection/>
    </xf>
    <xf numFmtId="0" fontId="9" fillId="0" borderId="82" xfId="56" applyFont="1" applyBorder="1" applyAlignment="1">
      <alignment horizontal="center" vertical="center"/>
      <protection/>
    </xf>
    <xf numFmtId="0" fontId="9" fillId="0" borderId="27" xfId="56" applyFont="1" applyBorder="1" applyAlignment="1">
      <alignment horizontal="center"/>
      <protection/>
    </xf>
    <xf numFmtId="0" fontId="9" fillId="0" borderId="41" xfId="56" applyFont="1" applyBorder="1" applyAlignment="1">
      <alignment horizontal="center"/>
      <protection/>
    </xf>
    <xf numFmtId="0" fontId="9" fillId="0" borderId="11" xfId="57" applyFont="1" applyBorder="1" applyAlignment="1">
      <alignment horizontal="center" wrapText="1"/>
      <protection/>
    </xf>
    <xf numFmtId="0" fontId="9" fillId="0" borderId="12" xfId="57" applyFont="1" applyBorder="1" applyAlignment="1">
      <alignment horizontal="center" wrapText="1"/>
      <protection/>
    </xf>
    <xf numFmtId="0" fontId="16" fillId="0" borderId="0" xfId="57" applyFont="1" applyAlignment="1">
      <alignment horizontal="left"/>
      <protection/>
    </xf>
    <xf numFmtId="0" fontId="9" fillId="0" borderId="27" xfId="57" applyFont="1" applyBorder="1" applyAlignment="1">
      <alignment horizontal="center" vertical="center" wrapText="1"/>
      <protection/>
    </xf>
    <xf numFmtId="0" fontId="9" fillId="0" borderId="40" xfId="57" applyFont="1" applyBorder="1" applyAlignment="1" quotePrefix="1">
      <alignment horizontal="center" vertical="center" wrapText="1"/>
      <protection/>
    </xf>
    <xf numFmtId="0" fontId="9" fillId="0" borderId="41" xfId="57" applyFont="1" applyBorder="1" applyAlignment="1" quotePrefix="1">
      <alignment horizontal="center" vertical="center" wrapText="1"/>
      <protection/>
    </xf>
    <xf numFmtId="0" fontId="9" fillId="0" borderId="27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0" xfId="64" applyFont="1" applyBorder="1" applyAlignment="1">
      <alignment horizontal="center" wrapText="1"/>
      <protection/>
    </xf>
    <xf numFmtId="0" fontId="9" fillId="0" borderId="11" xfId="64" applyFont="1" applyBorder="1" applyAlignment="1">
      <alignment horizontal="center" wrapText="1"/>
      <protection/>
    </xf>
    <xf numFmtId="0" fontId="9" fillId="0" borderId="12" xfId="64" applyFont="1" applyBorder="1" applyAlignment="1">
      <alignment horizontal="center" wrapText="1"/>
      <protection/>
    </xf>
    <xf numFmtId="0" fontId="9" fillId="0" borderId="10" xfId="64" applyFont="1" applyBorder="1" applyAlignment="1">
      <alignment horizontal="center" vertical="center"/>
      <protection/>
    </xf>
    <xf numFmtId="0" fontId="9" fillId="0" borderId="11" xfId="64" applyFont="1" applyBorder="1" applyAlignment="1">
      <alignment horizontal="center" vertical="center"/>
      <protection/>
    </xf>
    <xf numFmtId="0" fontId="9" fillId="0" borderId="12" xfId="64" applyFont="1" applyBorder="1" applyAlignment="1">
      <alignment horizontal="center" vertical="center"/>
      <protection/>
    </xf>
    <xf numFmtId="0" fontId="9" fillId="0" borderId="27" xfId="57" applyFont="1" applyBorder="1" applyAlignment="1" quotePrefix="1">
      <alignment horizontal="center" vertical="center"/>
      <protection/>
    </xf>
    <xf numFmtId="0" fontId="9" fillId="0" borderId="40" xfId="57" applyFont="1" applyBorder="1" applyAlignment="1" quotePrefix="1">
      <alignment horizontal="center" vertical="center"/>
      <protection/>
    </xf>
    <xf numFmtId="0" fontId="9" fillId="0" borderId="41" xfId="57" applyFont="1" applyBorder="1" applyAlignment="1" quotePrefix="1">
      <alignment horizontal="center" vertical="center"/>
      <protection/>
    </xf>
    <xf numFmtId="0" fontId="9" fillId="0" borderId="39" xfId="57" applyFont="1" applyBorder="1" applyAlignment="1">
      <alignment vertical="center" wrapText="1"/>
      <protection/>
    </xf>
    <xf numFmtId="0" fontId="9" fillId="0" borderId="27" xfId="57" applyFont="1" applyBorder="1" applyAlignment="1">
      <alignment horizontal="center" vertical="center"/>
      <protection/>
    </xf>
    <xf numFmtId="0" fontId="9" fillId="0" borderId="40" xfId="57" applyFont="1" applyBorder="1" applyAlignment="1">
      <alignment horizontal="center" vertical="center"/>
      <protection/>
    </xf>
    <xf numFmtId="0" fontId="9" fillId="0" borderId="41" xfId="57" applyFont="1" applyBorder="1" applyAlignment="1">
      <alignment horizontal="center" vertical="center"/>
      <protection/>
    </xf>
    <xf numFmtId="0" fontId="9" fillId="0" borderId="43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33" xfId="64" applyFont="1" applyBorder="1" applyAlignment="1">
      <alignment horizontal="center" wrapText="1"/>
      <protection/>
    </xf>
    <xf numFmtId="0" fontId="9" fillId="0" borderId="81" xfId="64" applyFont="1" applyBorder="1" applyAlignment="1">
      <alignment horizontal="center" wrapText="1"/>
      <protection/>
    </xf>
    <xf numFmtId="0" fontId="9" fillId="0" borderId="82" xfId="64" applyFont="1" applyBorder="1" applyAlignment="1">
      <alignment horizontal="center" wrapText="1"/>
      <protection/>
    </xf>
    <xf numFmtId="173" fontId="26" fillId="0" borderId="40" xfId="40" applyNumberFormat="1" applyFont="1" applyBorder="1" applyAlignment="1">
      <alignment horizontal="center"/>
    </xf>
    <xf numFmtId="173" fontId="26" fillId="0" borderId="41" xfId="40" applyNumberFormat="1" applyFont="1" applyBorder="1" applyAlignment="1">
      <alignment horizontal="center"/>
    </xf>
    <xf numFmtId="173" fontId="26" fillId="0" borderId="43" xfId="40" applyNumberFormat="1" applyFont="1" applyBorder="1" applyAlignment="1">
      <alignment horizontal="center"/>
    </xf>
    <xf numFmtId="173" fontId="26" fillId="0" borderId="42" xfId="40" applyNumberFormat="1" applyFont="1" applyBorder="1" applyAlignment="1">
      <alignment horizontal="center"/>
    </xf>
    <xf numFmtId="173" fontId="26" fillId="0" borderId="33" xfId="40" applyNumberFormat="1" applyFont="1" applyBorder="1" applyAlignment="1">
      <alignment horizontal="center"/>
    </xf>
    <xf numFmtId="173" fontId="26" fillId="0" borderId="20" xfId="40" applyNumberFormat="1" applyFont="1" applyBorder="1" applyAlignment="1">
      <alignment horizontal="center"/>
    </xf>
    <xf numFmtId="173" fontId="26" fillId="0" borderId="0" xfId="40" applyNumberFormat="1" applyFont="1" applyBorder="1" applyAlignment="1">
      <alignment horizontal="center"/>
    </xf>
    <xf numFmtId="173" fontId="26" fillId="0" borderId="81" xfId="40" applyNumberFormat="1" applyFont="1" applyBorder="1" applyAlignment="1">
      <alignment horizontal="center"/>
    </xf>
    <xf numFmtId="173" fontId="26" fillId="0" borderId="22" xfId="40" applyNumberFormat="1" applyFont="1" applyBorder="1" applyAlignment="1">
      <alignment horizontal="center"/>
    </xf>
    <xf numFmtId="173" fontId="26" fillId="0" borderId="34" xfId="40" applyNumberFormat="1" applyFont="1" applyBorder="1" applyAlignment="1">
      <alignment horizontal="center"/>
    </xf>
    <xf numFmtId="173" fontId="26" fillId="0" borderId="82" xfId="4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33" xfId="62" applyFont="1" applyBorder="1" applyAlignment="1">
      <alignment horizontal="center" vertical="center" wrapText="1"/>
      <protection/>
    </xf>
    <xf numFmtId="0" fontId="17" fillId="0" borderId="81" xfId="62" applyFont="1" applyBorder="1" applyAlignment="1">
      <alignment horizontal="center" vertical="center" wrapText="1"/>
      <protection/>
    </xf>
    <xf numFmtId="0" fontId="17" fillId="0" borderId="82" xfId="62" applyFont="1" applyBorder="1" applyAlignment="1">
      <alignment horizontal="center" vertical="center" wrapText="1"/>
      <protection/>
    </xf>
    <xf numFmtId="0" fontId="26" fillId="0" borderId="10" xfId="59" applyFont="1" applyBorder="1" applyAlignment="1">
      <alignment horizontal="center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26" fillId="0" borderId="12" xfId="59" applyFont="1" applyBorder="1" applyAlignment="1">
      <alignment horizontal="center" vertical="center" wrapText="1"/>
      <protection/>
    </xf>
    <xf numFmtId="0" fontId="9" fillId="0" borderId="42" xfId="59" applyFont="1" applyBorder="1" applyAlignment="1">
      <alignment horizontal="center" vertical="center"/>
      <protection/>
    </xf>
    <xf numFmtId="0" fontId="9" fillId="0" borderId="2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center" vertical="center"/>
      <protection/>
    </xf>
    <xf numFmtId="0" fontId="9" fillId="0" borderId="81" xfId="59" applyFont="1" applyBorder="1" applyAlignment="1">
      <alignment horizontal="center" vertical="center"/>
      <protection/>
    </xf>
    <xf numFmtId="0" fontId="9" fillId="0" borderId="34" xfId="59" applyFont="1" applyBorder="1" applyAlignment="1">
      <alignment horizontal="center" vertical="center"/>
      <protection/>
    </xf>
    <xf numFmtId="0" fontId="4" fillId="0" borderId="0" xfId="0" applyFont="1" applyAlignment="1">
      <alignment horizontal="left" wrapText="1"/>
    </xf>
    <xf numFmtId="0" fontId="9" fillId="0" borderId="0" xfId="62" applyFont="1" applyAlignment="1">
      <alignment horizontal="left" wrapText="1"/>
      <protection/>
    </xf>
    <xf numFmtId="0" fontId="17" fillId="0" borderId="0" xfId="0" applyFont="1" applyAlignment="1">
      <alignment wrapText="1"/>
    </xf>
    <xf numFmtId="0" fontId="8" fillId="0" borderId="0" xfId="62" applyFont="1" applyAlignment="1">
      <alignment horizontal="center"/>
      <protection/>
    </xf>
    <xf numFmtId="0" fontId="35" fillId="0" borderId="0" xfId="0" applyFont="1" applyAlignment="1">
      <alignment horizontal="center"/>
    </xf>
    <xf numFmtId="0" fontId="9" fillId="0" borderId="10" xfId="59" applyFont="1" applyBorder="1" applyAlignment="1">
      <alignment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59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9" fillId="0" borderId="0" xfId="64" applyFont="1" applyAlignment="1">
      <alignment horizontal="center"/>
      <protection/>
    </xf>
    <xf numFmtId="0" fontId="4" fillId="0" borderId="0" xfId="64" applyFont="1" applyAlignment="1">
      <alignment horizontal="center"/>
      <protection/>
    </xf>
    <xf numFmtId="0" fontId="9" fillId="0" borderId="10" xfId="59" applyFont="1" applyBorder="1" applyAlignment="1">
      <alignment vertical="center" wrapText="1"/>
      <protection/>
    </xf>
    <xf numFmtId="0" fontId="4" fillId="0" borderId="0" xfId="59" applyFont="1" applyBorder="1" applyAlignment="1">
      <alignment horizontal="center"/>
      <protection/>
    </xf>
    <xf numFmtId="0" fontId="4" fillId="0" borderId="42" xfId="59" applyFont="1" applyBorder="1" applyAlignment="1">
      <alignment horizontal="center"/>
      <protection/>
    </xf>
    <xf numFmtId="173" fontId="9" fillId="0" borderId="10" xfId="40" applyNumberFormat="1" applyFont="1" applyBorder="1" applyAlignment="1">
      <alignment horizontal="center" vertical="center"/>
    </xf>
    <xf numFmtId="173" fontId="9" fillId="0" borderId="11" xfId="40" applyNumberFormat="1" applyFont="1" applyBorder="1" applyAlignment="1">
      <alignment horizontal="center" vertical="center"/>
    </xf>
    <xf numFmtId="173" fontId="9" fillId="0" borderId="12" xfId="40" applyNumberFormat="1" applyFont="1" applyBorder="1" applyAlignment="1">
      <alignment horizontal="center" vertical="center"/>
    </xf>
    <xf numFmtId="173" fontId="9" fillId="0" borderId="43" xfId="40" applyNumberFormat="1" applyFont="1" applyBorder="1" applyAlignment="1">
      <alignment horizontal="center" vertical="center"/>
    </xf>
    <xf numFmtId="173" fontId="9" fillId="0" borderId="33" xfId="40" applyNumberFormat="1" applyFont="1" applyBorder="1" applyAlignment="1">
      <alignment horizontal="center" vertical="center"/>
    </xf>
    <xf numFmtId="173" fontId="9" fillId="0" borderId="22" xfId="40" applyNumberFormat="1" applyFont="1" applyBorder="1" applyAlignment="1">
      <alignment horizontal="center" vertical="center"/>
    </xf>
    <xf numFmtId="173" fontId="9" fillId="0" borderId="82" xfId="40" applyNumberFormat="1" applyFont="1" applyBorder="1" applyAlignment="1">
      <alignment horizontal="center" vertical="center"/>
    </xf>
    <xf numFmtId="0" fontId="9" fillId="0" borderId="10" xfId="59" applyFont="1" applyBorder="1" applyAlignment="1">
      <alignment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1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0" xfId="63" applyFont="1" applyBorder="1" applyAlignment="1">
      <alignment horizontal="left" wrapText="1"/>
      <protection/>
    </xf>
    <xf numFmtId="0" fontId="8" fillId="0" borderId="10" xfId="63" applyFont="1" applyBorder="1" applyAlignment="1">
      <alignment horizontal="center"/>
      <protection/>
    </xf>
    <xf numFmtId="0" fontId="8" fillId="0" borderId="12" xfId="63" applyFont="1" applyBorder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8" fillId="0" borderId="40" xfId="63" applyFont="1" applyBorder="1" applyAlignment="1">
      <alignment horizontal="left" wrapText="1"/>
      <protection/>
    </xf>
    <xf numFmtId="0" fontId="8" fillId="0" borderId="41" xfId="63" applyFont="1" applyBorder="1" applyAlignment="1">
      <alignment horizontal="left" wrapText="1"/>
      <protection/>
    </xf>
    <xf numFmtId="0" fontId="11" fillId="0" borderId="0" xfId="63" applyFont="1" applyBorder="1" applyAlignment="1">
      <alignment horizontal="left" wrapText="1"/>
      <protection/>
    </xf>
    <xf numFmtId="0" fontId="8" fillId="0" borderId="43" xfId="63" applyFont="1" applyBorder="1" applyAlignment="1">
      <alignment horizontal="center"/>
      <protection/>
    </xf>
    <xf numFmtId="0" fontId="8" fillId="0" borderId="22" xfId="63" applyFont="1" applyBorder="1" applyAlignment="1">
      <alignment horizontal="center"/>
      <protection/>
    </xf>
    <xf numFmtId="0" fontId="9" fillId="0" borderId="0" xfId="63" applyFont="1" applyAlignment="1">
      <alignment horizontal="left" wrapText="1"/>
      <protection/>
    </xf>
    <xf numFmtId="0" fontId="29" fillId="0" borderId="42" xfId="0" applyFont="1" applyBorder="1" applyAlignment="1">
      <alignment horizontal="left" vertical="top" wrapText="1"/>
    </xf>
    <xf numFmtId="0" fontId="8" fillId="0" borderId="43" xfId="63" applyFont="1" applyBorder="1" applyAlignment="1">
      <alignment horizontal="center" vertical="center" wrapText="1"/>
      <protection/>
    </xf>
    <xf numFmtId="0" fontId="8" fillId="0" borderId="42" xfId="63" applyFont="1" applyBorder="1" applyAlignment="1">
      <alignment horizontal="center" vertical="center" wrapText="1"/>
      <protection/>
    </xf>
    <xf numFmtId="0" fontId="8" fillId="0" borderId="33" xfId="63" applyFont="1" applyBorder="1" applyAlignment="1">
      <alignment horizontal="center" vertical="center" wrapText="1"/>
      <protection/>
    </xf>
    <xf numFmtId="0" fontId="8" fillId="0" borderId="22" xfId="63" applyFont="1" applyBorder="1" applyAlignment="1">
      <alignment horizontal="center" vertical="center" wrapText="1"/>
      <protection/>
    </xf>
    <xf numFmtId="0" fontId="8" fillId="0" borderId="34" xfId="63" applyFont="1" applyBorder="1" applyAlignment="1">
      <alignment horizontal="center" vertical="center" wrapText="1"/>
      <protection/>
    </xf>
    <xf numFmtId="0" fontId="8" fillId="0" borderId="82" xfId="63" applyFont="1" applyBorder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4" fillId="0" borderId="0" xfId="63" applyFont="1" applyAlignment="1">
      <alignment horizontal="center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8" fillId="0" borderId="42" xfId="63" applyFont="1" applyBorder="1" applyAlignment="1">
      <alignment horizontal="center" vertical="center"/>
      <protection/>
    </xf>
    <xf numFmtId="0" fontId="8" fillId="0" borderId="33" xfId="63" applyFont="1" applyBorder="1" applyAlignment="1">
      <alignment horizontal="center" vertical="center"/>
      <protection/>
    </xf>
    <xf numFmtId="0" fontId="8" fillId="0" borderId="34" xfId="63" applyFont="1" applyBorder="1" applyAlignment="1">
      <alignment horizontal="center" vertical="center"/>
      <protection/>
    </xf>
    <xf numFmtId="0" fontId="8" fillId="0" borderId="82" xfId="63" applyFont="1" applyBorder="1" applyAlignment="1">
      <alignment horizontal="center" vertical="center"/>
      <protection/>
    </xf>
    <xf numFmtId="0" fontId="4" fillId="0" borderId="27" xfId="63" applyFont="1" applyBorder="1" applyAlignment="1">
      <alignment horizontal="left"/>
      <protection/>
    </xf>
    <xf numFmtId="0" fontId="4" fillId="0" borderId="40" xfId="63" applyFont="1" applyBorder="1" applyAlignment="1">
      <alignment horizontal="left"/>
      <protection/>
    </xf>
    <xf numFmtId="0" fontId="4" fillId="0" borderId="41" xfId="63" applyFont="1" applyBorder="1" applyAlignment="1">
      <alignment horizontal="left"/>
      <protection/>
    </xf>
    <xf numFmtId="0" fontId="8" fillId="0" borderId="10" xfId="63" applyFont="1" applyBorder="1" applyAlignment="1">
      <alignment horizontal="center"/>
      <protection/>
    </xf>
    <xf numFmtId="0" fontId="8" fillId="0" borderId="12" xfId="63" applyFont="1" applyBorder="1" applyAlignment="1">
      <alignment horizontal="center"/>
      <protection/>
    </xf>
    <xf numFmtId="0" fontId="17" fillId="0" borderId="0" xfId="63" applyFont="1" applyBorder="1" applyAlignment="1">
      <alignment horizontal="left" wrapText="1"/>
      <protection/>
    </xf>
    <xf numFmtId="0" fontId="17" fillId="0" borderId="27" xfId="63" applyFont="1" applyBorder="1" applyAlignment="1">
      <alignment horizontal="left"/>
      <protection/>
    </xf>
    <xf numFmtId="0" fontId="17" fillId="0" borderId="40" xfId="63" applyFont="1" applyBorder="1" applyAlignment="1">
      <alignment horizontal="left"/>
      <protection/>
    </xf>
    <xf numFmtId="0" fontId="17" fillId="0" borderId="41" xfId="63" applyFont="1" applyBorder="1" applyAlignment="1">
      <alignment horizontal="left"/>
      <protection/>
    </xf>
    <xf numFmtId="0" fontId="11" fillId="0" borderId="0" xfId="63" applyFont="1" applyAlignment="1">
      <alignment horizontal="left" wrapText="1"/>
      <protection/>
    </xf>
    <xf numFmtId="0" fontId="8" fillId="0" borderId="43" xfId="63" applyFont="1" applyBorder="1" applyAlignment="1">
      <alignment horizontal="center" vertical="center"/>
      <protection/>
    </xf>
    <xf numFmtId="0" fontId="8" fillId="0" borderId="42" xfId="63" applyFont="1" applyBorder="1" applyAlignment="1">
      <alignment horizontal="center" vertical="center"/>
      <protection/>
    </xf>
    <xf numFmtId="0" fontId="8" fillId="0" borderId="33" xfId="63" applyFont="1" applyBorder="1" applyAlignment="1">
      <alignment horizontal="center" vertical="center"/>
      <protection/>
    </xf>
    <xf numFmtId="0" fontId="8" fillId="0" borderId="22" xfId="63" applyFont="1" applyBorder="1" applyAlignment="1">
      <alignment horizontal="center" vertical="center"/>
      <protection/>
    </xf>
    <xf numFmtId="0" fontId="8" fillId="0" borderId="34" xfId="63" applyFont="1" applyBorder="1" applyAlignment="1">
      <alignment horizontal="center" vertical="center"/>
      <protection/>
    </xf>
    <xf numFmtId="0" fontId="8" fillId="0" borderId="82" xfId="63" applyFont="1" applyBorder="1" applyAlignment="1">
      <alignment horizontal="center" vertical="center"/>
      <protection/>
    </xf>
    <xf numFmtId="0" fontId="17" fillId="0" borderId="0" xfId="63" applyFont="1" applyBorder="1" applyAlignment="1">
      <alignment horizontal="left"/>
      <protection/>
    </xf>
    <xf numFmtId="0" fontId="4" fillId="0" borderId="0" xfId="63" applyFont="1" applyBorder="1" applyAlignment="1">
      <alignment horizontal="left" wrapText="1"/>
      <protection/>
    </xf>
    <xf numFmtId="0" fontId="4" fillId="0" borderId="0" xfId="0" applyFont="1" applyBorder="1" applyAlignment="1">
      <alignment horizontal="left" vertical="top" wrapText="1"/>
    </xf>
    <xf numFmtId="0" fontId="8" fillId="0" borderId="43" xfId="63" applyFont="1" applyBorder="1" applyAlignment="1">
      <alignment horizontal="center"/>
      <protection/>
    </xf>
    <xf numFmtId="0" fontId="8" fillId="0" borderId="22" xfId="63" applyFont="1" applyBorder="1" applyAlignment="1">
      <alignment horizontal="center"/>
      <protection/>
    </xf>
    <xf numFmtId="0" fontId="4" fillId="0" borderId="4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3" fontId="9" fillId="0" borderId="27" xfId="40" applyNumberFormat="1" applyFont="1" applyBorder="1" applyAlignment="1">
      <alignment horizontal="center"/>
    </xf>
    <xf numFmtId="173" fontId="9" fillId="0" borderId="40" xfId="40" applyNumberFormat="1" applyFont="1" applyBorder="1" applyAlignment="1">
      <alignment horizontal="center"/>
    </xf>
    <xf numFmtId="173" fontId="9" fillId="0" borderId="41" xfId="40" applyNumberFormat="1" applyFont="1" applyBorder="1" applyAlignment="1">
      <alignment horizontal="center"/>
    </xf>
    <xf numFmtId="173" fontId="9" fillId="0" borderId="42" xfId="40" applyNumberFormat="1" applyFont="1" applyBorder="1" applyAlignment="1">
      <alignment horizontal="center"/>
    </xf>
    <xf numFmtId="173" fontId="9" fillId="0" borderId="33" xfId="40" applyNumberFormat="1" applyFont="1" applyBorder="1" applyAlignment="1">
      <alignment horizontal="center"/>
    </xf>
    <xf numFmtId="173" fontId="9" fillId="0" borderId="34" xfId="40" applyNumberFormat="1" applyFont="1" applyBorder="1" applyAlignment="1">
      <alignment horizontal="center"/>
    </xf>
    <xf numFmtId="173" fontId="9" fillId="0" borderId="82" xfId="40" applyNumberFormat="1" applyFont="1" applyBorder="1" applyAlignment="1">
      <alignment horizontal="center"/>
    </xf>
    <xf numFmtId="173" fontId="9" fillId="0" borderId="43" xfId="40" applyNumberFormat="1" applyFont="1" applyBorder="1" applyAlignment="1">
      <alignment horizontal="center"/>
    </xf>
    <xf numFmtId="173" fontId="9" fillId="0" borderId="22" xfId="40" applyNumberFormat="1" applyFont="1" applyBorder="1" applyAlignment="1">
      <alignment horizontal="center"/>
    </xf>
    <xf numFmtId="173" fontId="9" fillId="0" borderId="10" xfId="40" applyNumberFormat="1" applyFont="1" applyBorder="1" applyAlignment="1">
      <alignment horizontal="center" wrapText="1"/>
    </xf>
    <xf numFmtId="173" fontId="9" fillId="0" borderId="12" xfId="40" applyNumberFormat="1" applyFont="1" applyBorder="1" applyAlignment="1">
      <alignment horizontal="center" wrapText="1"/>
    </xf>
    <xf numFmtId="173" fontId="9" fillId="0" borderId="10" xfId="40" applyNumberFormat="1" applyFont="1" applyBorder="1" applyAlignment="1">
      <alignment horizontal="center"/>
    </xf>
    <xf numFmtId="173" fontId="9" fillId="0" borderId="12" xfId="40" applyNumberFormat="1" applyFont="1" applyBorder="1" applyAlignment="1">
      <alignment horizontal="center"/>
    </xf>
    <xf numFmtId="173" fontId="9" fillId="0" borderId="20" xfId="40" applyNumberFormat="1" applyFont="1" applyBorder="1" applyAlignment="1">
      <alignment horizontal="center"/>
    </xf>
    <xf numFmtId="173" fontId="9" fillId="0" borderId="0" xfId="40" applyNumberFormat="1" applyFont="1" applyBorder="1" applyAlignment="1">
      <alignment horizontal="center"/>
    </xf>
    <xf numFmtId="173" fontId="9" fillId="0" borderId="81" xfId="40" applyNumberFormat="1" applyFont="1" applyBorder="1" applyAlignment="1">
      <alignment horizontal="center"/>
    </xf>
    <xf numFmtId="173" fontId="4" fillId="0" borderId="0" xfId="40" applyNumberFormat="1" applyFont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173" fontId="8" fillId="0" borderId="10" xfId="40" applyNumberFormat="1" applyFont="1" applyFill="1" applyBorder="1" applyAlignment="1">
      <alignment horizontal="center" vertical="center" wrapText="1"/>
    </xf>
    <xf numFmtId="173" fontId="8" fillId="0" borderId="11" xfId="40" applyNumberFormat="1" applyFont="1" applyFill="1" applyBorder="1" applyAlignment="1">
      <alignment horizontal="center" vertical="center" wrapText="1"/>
    </xf>
    <xf numFmtId="173" fontId="8" fillId="0" borderId="12" xfId="40" applyNumberFormat="1" applyFont="1" applyFill="1" applyBorder="1" applyAlignment="1">
      <alignment horizontal="center" vertical="center" wrapText="1"/>
    </xf>
    <xf numFmtId="0" fontId="4" fillId="0" borderId="0" xfId="63" applyFont="1" applyAlignment="1">
      <alignment horizontal="center" wrapText="1"/>
      <protection/>
    </xf>
    <xf numFmtId="0" fontId="8" fillId="0" borderId="4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21" fillId="0" borderId="40" xfId="0" applyFont="1" applyBorder="1" applyAlignment="1">
      <alignment horizontal="left" wrapText="1"/>
    </xf>
    <xf numFmtId="0" fontId="21" fillId="0" borderId="41" xfId="0" applyFont="1" applyBorder="1" applyAlignment="1">
      <alignment horizontal="left" wrapText="1"/>
    </xf>
    <xf numFmtId="0" fontId="21" fillId="0" borderId="58" xfId="0" applyFont="1" applyBorder="1" applyAlignment="1">
      <alignment horizontal="left"/>
    </xf>
    <xf numFmtId="0" fontId="21" fillId="0" borderId="61" xfId="0" applyFont="1" applyBorder="1" applyAlignment="1">
      <alignment horizontal="left"/>
    </xf>
    <xf numFmtId="0" fontId="21" fillId="0" borderId="8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17" fillId="0" borderId="45" xfId="62" applyFont="1" applyBorder="1" applyAlignment="1">
      <alignment horizontal="left" wrapText="1"/>
      <protection/>
    </xf>
    <xf numFmtId="0" fontId="17" fillId="0" borderId="85" xfId="62" applyFont="1" applyBorder="1" applyAlignment="1">
      <alignment horizontal="left" wrapText="1"/>
      <protection/>
    </xf>
    <xf numFmtId="0" fontId="17" fillId="0" borderId="64" xfId="62" applyFont="1" applyBorder="1" applyAlignment="1">
      <alignment horizontal="left" wrapText="1"/>
      <protection/>
    </xf>
    <xf numFmtId="0" fontId="9" fillId="0" borderId="47" xfId="64" applyFont="1" applyBorder="1" applyAlignment="1">
      <alignment horizontal="left"/>
      <protection/>
    </xf>
    <xf numFmtId="0" fontId="9" fillId="0" borderId="44" xfId="64" applyFont="1" applyBorder="1" applyAlignment="1">
      <alignment horizontal="left"/>
      <protection/>
    </xf>
    <xf numFmtId="0" fontId="9" fillId="0" borderId="65" xfId="64" applyFont="1" applyBorder="1" applyAlignment="1">
      <alignment horizontal="left"/>
      <protection/>
    </xf>
    <xf numFmtId="0" fontId="9" fillId="0" borderId="16" xfId="62" applyFont="1" applyBorder="1" applyAlignment="1">
      <alignment horizontal="left" wrapText="1"/>
      <protection/>
    </xf>
    <xf numFmtId="0" fontId="9" fillId="0" borderId="15" xfId="62" applyFont="1" applyBorder="1" applyAlignment="1">
      <alignment horizontal="left" wrapText="1"/>
      <protection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7" fillId="0" borderId="48" xfId="62" applyFont="1" applyBorder="1" applyAlignment="1">
      <alignment horizontal="left" wrapText="1"/>
      <protection/>
    </xf>
    <xf numFmtId="0" fontId="17" fillId="0" borderId="37" xfId="62" applyFont="1" applyBorder="1" applyAlignment="1">
      <alignment horizontal="left" wrapText="1"/>
      <protection/>
    </xf>
    <xf numFmtId="0" fontId="17" fillId="0" borderId="86" xfId="62" applyFont="1" applyBorder="1" applyAlignment="1">
      <alignment horizontal="left" wrapText="1"/>
      <protection/>
    </xf>
    <xf numFmtId="0" fontId="8" fillId="0" borderId="43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73" fontId="5" fillId="0" borderId="16" xfId="4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173" fontId="5" fillId="0" borderId="23" xfId="40" applyNumberFormat="1" applyFont="1" applyBorder="1" applyAlignment="1">
      <alignment horizontal="center"/>
    </xf>
    <xf numFmtId="173" fontId="4" fillId="0" borderId="43" xfId="40" applyNumberFormat="1" applyFont="1" applyBorder="1" applyAlignment="1">
      <alignment horizontal="center"/>
    </xf>
    <xf numFmtId="173" fontId="4" fillId="0" borderId="33" xfId="40" applyNumberFormat="1" applyFont="1" applyBorder="1" applyAlignment="1">
      <alignment horizontal="center"/>
    </xf>
    <xf numFmtId="173" fontId="4" fillId="0" borderId="22" xfId="40" applyNumberFormat="1" applyFont="1" applyBorder="1" applyAlignment="1">
      <alignment horizontal="center"/>
    </xf>
    <xf numFmtId="173" fontId="4" fillId="0" borderId="82" xfId="40" applyNumberFormat="1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173" fontId="5" fillId="0" borderId="43" xfId="40" applyNumberFormat="1" applyFont="1" applyBorder="1" applyAlignment="1">
      <alignment horizontal="center"/>
    </xf>
    <xf numFmtId="173" fontId="5" fillId="0" borderId="33" xfId="40" applyNumberFormat="1" applyFont="1" applyBorder="1" applyAlignment="1">
      <alignment horizontal="center"/>
    </xf>
    <xf numFmtId="173" fontId="5" fillId="0" borderId="22" xfId="40" applyNumberFormat="1" applyFont="1" applyBorder="1" applyAlignment="1">
      <alignment horizontal="center"/>
    </xf>
    <xf numFmtId="173" fontId="5" fillId="0" borderId="82" xfId="40" applyNumberFormat="1" applyFont="1" applyBorder="1" applyAlignment="1">
      <alignment horizontal="center"/>
    </xf>
    <xf numFmtId="173" fontId="5" fillId="0" borderId="84" xfId="40" applyNumberFormat="1" applyFont="1" applyBorder="1" applyAlignment="1">
      <alignment horizontal="center"/>
    </xf>
    <xf numFmtId="173" fontId="5" fillId="0" borderId="87" xfId="4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4" fillId="0" borderId="10" xfId="40" applyNumberFormat="1" applyFont="1" applyBorder="1" applyAlignment="1">
      <alignment horizontal="center"/>
    </xf>
    <xf numFmtId="173" fontId="4" fillId="0" borderId="12" xfId="4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73" fontId="5" fillId="0" borderId="15" xfId="40" applyNumberFormat="1" applyFont="1" applyBorder="1" applyAlignment="1">
      <alignment horizontal="center"/>
    </xf>
    <xf numFmtId="173" fontId="5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173" fontId="5" fillId="0" borderId="24" xfId="4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9" fillId="0" borderId="48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8" fillId="0" borderId="0" xfId="59" applyFont="1" applyAlignment="1">
      <alignment horizontal="center"/>
      <protection/>
    </xf>
    <xf numFmtId="0" fontId="5" fillId="0" borderId="88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86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65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9" fillId="0" borderId="51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" fontId="5" fillId="0" borderId="51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56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9" fillId="0" borderId="89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90" xfId="59" applyFont="1" applyBorder="1" applyAlignment="1">
      <alignment horizontal="center" vertical="center"/>
      <protection/>
    </xf>
    <xf numFmtId="0" fontId="9" fillId="0" borderId="91" xfId="59" applyFont="1" applyBorder="1" applyAlignment="1">
      <alignment horizontal="center" vertical="center"/>
      <protection/>
    </xf>
    <xf numFmtId="0" fontId="9" fillId="0" borderId="92" xfId="59" applyFont="1" applyBorder="1" applyAlignment="1">
      <alignment horizontal="center" vertical="center"/>
      <protection/>
    </xf>
    <xf numFmtId="0" fontId="4" fillId="0" borderId="0" xfId="59" applyFont="1" applyAlignment="1">
      <alignment horizontal="center"/>
      <protection/>
    </xf>
    <xf numFmtId="0" fontId="8" fillId="0" borderId="0" xfId="0" applyFont="1" applyAlignment="1">
      <alignment horizontal="center"/>
    </xf>
    <xf numFmtId="173" fontId="9" fillId="0" borderId="51" xfId="40" applyNumberFormat="1" applyFont="1" applyBorder="1" applyAlignment="1">
      <alignment horizontal="center" vertical="center"/>
    </xf>
    <xf numFmtId="173" fontId="9" fillId="0" borderId="23" xfId="40" applyNumberFormat="1" applyFont="1" applyBorder="1" applyAlignment="1">
      <alignment horizontal="center" vertical="center"/>
    </xf>
    <xf numFmtId="0" fontId="9" fillId="0" borderId="93" xfId="59" applyFont="1" applyBorder="1" applyAlignment="1">
      <alignment horizontal="center" vertical="center"/>
      <protection/>
    </xf>
    <xf numFmtId="0" fontId="9" fillId="0" borderId="94" xfId="59" applyFont="1" applyBorder="1" applyAlignment="1">
      <alignment horizontal="center" vertical="center"/>
      <protection/>
    </xf>
    <xf numFmtId="0" fontId="9" fillId="0" borderId="95" xfId="59" applyFont="1" applyBorder="1" applyAlignment="1">
      <alignment horizontal="center" vertical="center"/>
      <protection/>
    </xf>
    <xf numFmtId="0" fontId="9" fillId="0" borderId="51" xfId="59" applyFont="1" applyBorder="1" applyAlignment="1">
      <alignment horizontal="left" vertical="center" wrapText="1"/>
      <protection/>
    </xf>
    <xf numFmtId="0" fontId="9" fillId="0" borderId="23" xfId="59" applyFont="1" applyBorder="1" applyAlignment="1">
      <alignment horizontal="left" vertical="center" wrapText="1"/>
      <protection/>
    </xf>
    <xf numFmtId="173" fontId="9" fillId="0" borderId="96" xfId="40" applyNumberFormat="1" applyFont="1" applyBorder="1" applyAlignment="1">
      <alignment horizontal="center" vertical="center"/>
    </xf>
    <xf numFmtId="173" fontId="9" fillId="0" borderId="91" xfId="4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73" fontId="9" fillId="0" borderId="97" xfId="40" applyNumberFormat="1" applyFont="1" applyBorder="1" applyAlignment="1">
      <alignment horizontal="center" vertical="center"/>
    </xf>
    <xf numFmtId="173" fontId="9" fillId="0" borderId="98" xfId="40" applyNumberFormat="1" applyFont="1" applyBorder="1" applyAlignment="1">
      <alignment horizontal="center" vertical="center"/>
    </xf>
    <xf numFmtId="173" fontId="9" fillId="0" borderId="78" xfId="4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51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9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43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43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82" xfId="0" applyFont="1" applyBorder="1" applyAlignment="1">
      <alignment horizontal="center"/>
    </xf>
    <xf numFmtId="0" fontId="9" fillId="0" borderId="59" xfId="0" applyFont="1" applyBorder="1" applyAlignment="1">
      <alignment horizontal="left" vertical="center" wrapText="1"/>
    </xf>
    <xf numFmtId="0" fontId="9" fillId="0" borderId="77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/>
    </xf>
    <xf numFmtId="173" fontId="9" fillId="0" borderId="99" xfId="4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10" xfId="58" applyFont="1" applyBorder="1" applyAlignment="1">
      <alignment horizontal="center" vertical="center"/>
      <protection/>
    </xf>
    <xf numFmtId="0" fontId="8" fillId="0" borderId="11" xfId="58" applyFont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9" fillId="0" borderId="43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82" xfId="0" applyFont="1" applyBorder="1" applyAlignment="1">
      <alignment horizontal="center" wrapText="1"/>
    </xf>
    <xf numFmtId="0" fontId="8" fillId="0" borderId="43" xfId="58" applyFont="1" applyBorder="1" applyAlignment="1">
      <alignment horizontal="center" wrapText="1"/>
      <protection/>
    </xf>
    <xf numFmtId="0" fontId="8" fillId="0" borderId="22" xfId="58" applyFont="1" applyBorder="1" applyAlignment="1">
      <alignment horizontal="center" wrapText="1"/>
      <protection/>
    </xf>
    <xf numFmtId="0" fontId="8" fillId="0" borderId="10" xfId="58" applyFont="1" applyBorder="1" applyAlignment="1">
      <alignment horizontal="center" wrapText="1"/>
      <protection/>
    </xf>
    <xf numFmtId="0" fontId="8" fillId="0" borderId="12" xfId="58" applyFont="1" applyBorder="1" applyAlignment="1">
      <alignment horizontal="center" wrapText="1"/>
      <protection/>
    </xf>
    <xf numFmtId="0" fontId="4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8" fillId="0" borderId="0" xfId="58" applyFont="1" applyAlignment="1">
      <alignment horizontal="center"/>
      <protection/>
    </xf>
    <xf numFmtId="0" fontId="0" fillId="0" borderId="0" xfId="0" applyAlignment="1">
      <alignment horizontal="right"/>
    </xf>
    <xf numFmtId="0" fontId="38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9" fillId="32" borderId="0" xfId="0" applyFont="1" applyFill="1" applyAlignment="1">
      <alignment horizontal="center" wrapText="1"/>
    </xf>
    <xf numFmtId="0" fontId="35" fillId="32" borderId="0" xfId="0" applyFont="1" applyFill="1" applyAlignment="1">
      <alignment/>
    </xf>
    <xf numFmtId="0" fontId="44" fillId="32" borderId="34" xfId="0" applyFont="1" applyFill="1" applyBorder="1" applyAlignment="1">
      <alignment horizontal="right" vertical="top" wrapText="1"/>
    </xf>
    <xf numFmtId="0" fontId="39" fillId="32" borderId="34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32" borderId="0" xfId="0" applyFont="1" applyFill="1" applyAlignment="1">
      <alignment horizontal="center" vertical="top" wrapText="1"/>
    </xf>
    <xf numFmtId="0" fontId="35" fillId="32" borderId="0" xfId="0" applyFont="1" applyFill="1" applyAlignment="1">
      <alignment/>
    </xf>
    <xf numFmtId="0" fontId="47" fillId="32" borderId="34" xfId="0" applyFont="1" applyFill="1" applyBorder="1" applyAlignment="1">
      <alignment horizontal="right" vertical="top" wrapText="1"/>
    </xf>
    <xf numFmtId="0" fontId="35" fillId="0" borderId="34" xfId="0" applyFont="1" applyBorder="1" applyAlignment="1">
      <alignment horizontal="right"/>
    </xf>
    <xf numFmtId="0" fontId="29" fillId="32" borderId="0" xfId="0" applyFont="1" applyFill="1" applyAlignment="1">
      <alignment horizontal="center" vertical="top" wrapText="1"/>
    </xf>
    <xf numFmtId="0" fontId="35" fillId="32" borderId="0" xfId="0" applyFont="1" applyFill="1" applyAlignment="1">
      <alignment wrapText="1"/>
    </xf>
    <xf numFmtId="0" fontId="47" fillId="32" borderId="34" xfId="0" applyFont="1" applyFill="1" applyBorder="1" applyAlignment="1">
      <alignment horizontal="right" vertical="top"/>
    </xf>
    <xf numFmtId="0" fontId="0" fillId="0" borderId="34" xfId="0" applyFont="1" applyBorder="1" applyAlignment="1">
      <alignment horizontal="right"/>
    </xf>
    <xf numFmtId="0" fontId="35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10" xfId="59" applyFont="1" applyBorder="1" applyAlignment="1">
      <alignment vertical="center" wrapText="1"/>
      <protection/>
    </xf>
    <xf numFmtId="0" fontId="17" fillId="0" borderId="10" xfId="59" applyFont="1" applyBorder="1" applyAlignment="1">
      <alignment horizontal="center" vertical="center" wrapText="1"/>
      <protection/>
    </xf>
    <xf numFmtId="0" fontId="17" fillId="0" borderId="11" xfId="59" applyFont="1" applyBorder="1" applyAlignment="1">
      <alignment horizontal="center" vertical="center" wrapText="1"/>
      <protection/>
    </xf>
    <xf numFmtId="0" fontId="17" fillId="0" borderId="12" xfId="59" applyFont="1" applyBorder="1" applyAlignment="1">
      <alignment horizontal="center" vertical="center" wrapText="1"/>
      <protection/>
    </xf>
    <xf numFmtId="0" fontId="16" fillId="0" borderId="10" xfId="59" applyFont="1" applyBorder="1" applyAlignment="1">
      <alignment horizontal="center" vertical="center" wrapText="1"/>
      <protection/>
    </xf>
    <xf numFmtId="0" fontId="16" fillId="0" borderId="11" xfId="59" applyFont="1" applyBorder="1" applyAlignment="1">
      <alignment horizontal="center" vertical="center" wrapText="1"/>
      <protection/>
    </xf>
    <xf numFmtId="0" fontId="16" fillId="0" borderId="12" xfId="59" applyFont="1" applyBorder="1" applyAlignment="1">
      <alignment horizontal="center" vertical="center" wrapText="1"/>
      <protection/>
    </xf>
    <xf numFmtId="0" fontId="8" fillId="0" borderId="20" xfId="59" applyFont="1" applyBorder="1" applyAlignment="1">
      <alignment horizontal="center"/>
      <protection/>
    </xf>
    <xf numFmtId="0" fontId="8" fillId="0" borderId="81" xfId="59" applyFont="1" applyBorder="1" applyAlignment="1">
      <alignment horizontal="center"/>
      <protection/>
    </xf>
    <xf numFmtId="0" fontId="8" fillId="0" borderId="22" xfId="59" applyFont="1" applyBorder="1" applyAlignment="1">
      <alignment horizontal="center"/>
      <protection/>
    </xf>
    <xf numFmtId="0" fontId="8" fillId="0" borderId="82" xfId="59" applyFont="1" applyBorder="1" applyAlignment="1">
      <alignment horizontal="center"/>
      <protection/>
    </xf>
    <xf numFmtId="0" fontId="17" fillId="0" borderId="10" xfId="59" applyFont="1" applyBorder="1" applyAlignment="1">
      <alignment horizontal="center" vertical="center"/>
      <protection/>
    </xf>
    <xf numFmtId="0" fontId="17" fillId="0" borderId="11" xfId="59" applyFont="1" applyBorder="1" applyAlignment="1">
      <alignment horizontal="center" vertical="center"/>
      <protection/>
    </xf>
    <xf numFmtId="0" fontId="17" fillId="0" borderId="12" xfId="59" applyFont="1" applyBorder="1" applyAlignment="1">
      <alignment horizontal="center" vertical="center"/>
      <protection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34" xfId="64" applyFont="1" applyBorder="1" applyAlignment="1">
      <alignment horizontal="right"/>
      <protection/>
    </xf>
    <xf numFmtId="0" fontId="17" fillId="0" borderId="10" xfId="62" applyFont="1" applyBorder="1" applyAlignment="1">
      <alignment horizontal="center" vertical="center" wrapText="1"/>
      <protection/>
    </xf>
    <xf numFmtId="0" fontId="17" fillId="0" borderId="11" xfId="62" applyFont="1" applyBorder="1" applyAlignment="1">
      <alignment horizontal="center" vertical="center" wrapText="1"/>
      <protection/>
    </xf>
    <xf numFmtId="0" fontId="17" fillId="0" borderId="12" xfId="62" applyFont="1" applyBorder="1" applyAlignment="1">
      <alignment horizontal="center" vertical="center" wrapText="1"/>
      <protection/>
    </xf>
    <xf numFmtId="0" fontId="17" fillId="0" borderId="10" xfId="62" applyFont="1" applyBorder="1" applyAlignment="1">
      <alignment horizontal="center" vertical="center"/>
      <protection/>
    </xf>
    <xf numFmtId="0" fontId="17" fillId="0" borderId="11" xfId="62" applyFont="1" applyBorder="1" applyAlignment="1">
      <alignment horizontal="center" vertical="center"/>
      <protection/>
    </xf>
    <xf numFmtId="0" fontId="17" fillId="0" borderId="12" xfId="62" applyFont="1" applyBorder="1" applyAlignment="1">
      <alignment horizontal="center" vertical="center"/>
      <protection/>
    </xf>
    <xf numFmtId="0" fontId="17" fillId="0" borderId="27" xfId="59" applyFont="1" applyBorder="1" applyAlignment="1">
      <alignment horizontal="center"/>
      <protection/>
    </xf>
    <xf numFmtId="0" fontId="17" fillId="0" borderId="40" xfId="59" applyFont="1" applyBorder="1" applyAlignment="1">
      <alignment horizontal="center"/>
      <protection/>
    </xf>
    <xf numFmtId="0" fontId="17" fillId="0" borderId="41" xfId="59" applyFont="1" applyBorder="1" applyAlignment="1">
      <alignment horizontal="center"/>
      <protection/>
    </xf>
    <xf numFmtId="0" fontId="8" fillId="0" borderId="27" xfId="59" applyFont="1" applyBorder="1" applyAlignment="1">
      <alignment horizontal="center"/>
      <protection/>
    </xf>
    <xf numFmtId="0" fontId="8" fillId="0" borderId="41" xfId="59" applyFont="1" applyBorder="1" applyAlignment="1">
      <alignment horizontal="center"/>
      <protection/>
    </xf>
    <xf numFmtId="44" fontId="17" fillId="0" borderId="27" xfId="66" applyFont="1" applyBorder="1" applyAlignment="1">
      <alignment horizontal="center"/>
    </xf>
    <xf numFmtId="44" fontId="17" fillId="0" borderId="40" xfId="66" applyFont="1" applyBorder="1" applyAlignment="1">
      <alignment horizontal="center"/>
    </xf>
    <xf numFmtId="44" fontId="17" fillId="0" borderId="41" xfId="66" applyFont="1" applyBorder="1" applyAlignment="1">
      <alignment horizontal="center"/>
    </xf>
    <xf numFmtId="0" fontId="17" fillId="0" borderId="27" xfId="59" applyFont="1" applyBorder="1" applyAlignment="1">
      <alignment horizontal="center" wrapText="1"/>
      <protection/>
    </xf>
    <xf numFmtId="0" fontId="17" fillId="0" borderId="40" xfId="59" applyFont="1" applyBorder="1" applyAlignment="1">
      <alignment horizontal="center" wrapText="1"/>
      <protection/>
    </xf>
    <xf numFmtId="0" fontId="17" fillId="0" borderId="41" xfId="59" applyFont="1" applyBorder="1" applyAlignment="1">
      <alignment horizontal="center" wrapText="1"/>
      <protection/>
    </xf>
    <xf numFmtId="0" fontId="17" fillId="0" borderId="0" xfId="0" applyFont="1" applyAlignment="1">
      <alignment horizontal="right"/>
    </xf>
    <xf numFmtId="0" fontId="9" fillId="0" borderId="0" xfId="64" applyFont="1" applyAlignment="1">
      <alignment horizontal="left"/>
      <protection/>
    </xf>
    <xf numFmtId="0" fontId="35" fillId="0" borderId="0" xfId="0" applyFont="1" applyAlignment="1">
      <alignment wrapText="1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5" fillId="0" borderId="0" xfId="59" applyFont="1" applyBorder="1" applyAlignment="1">
      <alignment horizontal="center"/>
      <protection/>
    </xf>
    <xf numFmtId="0" fontId="18" fillId="0" borderId="0" xfId="59" applyFont="1" applyBorder="1" applyAlignment="1">
      <alignment horizontal="center"/>
      <protection/>
    </xf>
    <xf numFmtId="0" fontId="5" fillId="0" borderId="0" xfId="59" applyFont="1" applyBorder="1" applyAlignment="1">
      <alignment horizont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0" fontId="40" fillId="0" borderId="0" xfId="0" applyFont="1" applyAlignment="1">
      <alignment horizontal="center"/>
    </xf>
    <xf numFmtId="0" fontId="18" fillId="0" borderId="0" xfId="59" applyFont="1" applyBorder="1" applyAlignment="1">
      <alignment horizontal="center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bevétel" xfId="56"/>
    <cellStyle name="Normál_kiadás" xfId="57"/>
    <cellStyle name="Normál_KONEPC99" xfId="58"/>
    <cellStyle name="Normál_KTGV99" xfId="59"/>
    <cellStyle name="Normál_mérleg" xfId="60"/>
    <cellStyle name="Normál_Munka1" xfId="61"/>
    <cellStyle name="Normál_PHKV99" xfId="62"/>
    <cellStyle name="Normál_SÁB98" xfId="63"/>
    <cellStyle name="Normál_SIKONC99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TKE%20test&#252;leti\2016\2016.Rendeletm&#243;dos&#237;t&#225;s\2016.IV.sz.m&#243;dos&#237;t&#225;s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."/>
      <sheetName val="1.mell. -mérleg"/>
      <sheetName val="2.mell - bevétel"/>
      <sheetName val="3.mell. - bevét.Köá"/>
      <sheetName val="4.mell. - kiadás"/>
      <sheetName val="5.mell. - kiadás.köá."/>
      <sheetName val="6.sz.mell.támogatások"/>
      <sheetName val="7.mell. - ellátottak jutt."/>
      <sheetName val="8.mell. - beruházások"/>
      <sheetName val="9.mell. - közgazd.mérleg"/>
      <sheetName val="10.mell. -ei.felh.ütemt."/>
      <sheetName val="Munka1"/>
      <sheetName val="Munka2"/>
    </sheetNames>
    <sheetDataSet>
      <sheetData sheetId="2">
        <row r="68">
          <cell r="H68">
            <v>29416624</v>
          </cell>
        </row>
        <row r="74">
          <cell r="H74">
            <v>2035985</v>
          </cell>
        </row>
        <row r="86">
          <cell r="H86">
            <v>10000000</v>
          </cell>
        </row>
        <row r="113">
          <cell r="H113">
            <v>7813000</v>
          </cell>
        </row>
        <row r="137">
          <cell r="H137">
            <v>10908000</v>
          </cell>
        </row>
        <row r="144">
          <cell r="H144">
            <v>62000</v>
          </cell>
        </row>
      </sheetData>
      <sheetData sheetId="4">
        <row r="43">
          <cell r="D43">
            <v>19942600</v>
          </cell>
          <cell r="E43">
            <v>4882695</v>
          </cell>
          <cell r="F43">
            <v>21553968</v>
          </cell>
          <cell r="G43">
            <v>3411000</v>
          </cell>
          <cell r="H43">
            <v>36055777</v>
          </cell>
          <cell r="J43">
            <v>8644810</v>
          </cell>
          <cell r="K43">
            <v>33630000</v>
          </cell>
          <cell r="L43">
            <v>1200000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3:U43"/>
  <sheetViews>
    <sheetView zoomScalePageLayoutView="0" workbookViewId="0" topLeftCell="E25">
      <selection activeCell="N41" sqref="N41:R41"/>
    </sheetView>
  </sheetViews>
  <sheetFormatPr defaultColWidth="9.00390625" defaultRowHeight="12.75"/>
  <cols>
    <col min="1" max="1" width="9.125" style="14" customWidth="1"/>
    <col min="2" max="2" width="11.25390625" style="14" bestFit="1" customWidth="1"/>
    <col min="3" max="11" width="9.125" style="14" customWidth="1"/>
    <col min="12" max="12" width="14.375" style="14" customWidth="1"/>
    <col min="13" max="16384" width="9.125" style="14" customWidth="1"/>
  </cols>
  <sheetData>
    <row r="23" spans="6:9" ht="15.75">
      <c r="F23" s="15"/>
      <c r="G23" s="15"/>
      <c r="H23" s="15"/>
      <c r="I23" s="12"/>
    </row>
    <row r="24" spans="6:9" ht="15.75">
      <c r="F24" s="12"/>
      <c r="G24" s="12"/>
      <c r="H24" s="12"/>
      <c r="I24" s="12"/>
    </row>
    <row r="25" spans="6:9" ht="15.75">
      <c r="F25" s="15"/>
      <c r="G25" s="15"/>
      <c r="H25" s="15"/>
      <c r="I25" s="12"/>
    </row>
    <row r="26" spans="6:9" ht="15.75">
      <c r="F26" s="12"/>
      <c r="G26" s="12"/>
      <c r="H26" s="12"/>
      <c r="I26" s="12"/>
    </row>
    <row r="27" spans="6:9" ht="15.75">
      <c r="F27" s="986"/>
      <c r="G27" s="986"/>
      <c r="H27" s="986"/>
      <c r="I27" s="12"/>
    </row>
    <row r="28" spans="6:9" ht="15.75">
      <c r="F28" s="12"/>
      <c r="G28" s="12"/>
      <c r="H28" s="12"/>
      <c r="I28" s="12"/>
    </row>
    <row r="34" spans="12:21" ht="25.5">
      <c r="L34" s="984" t="s">
        <v>689</v>
      </c>
      <c r="M34" s="984"/>
      <c r="N34" s="984"/>
      <c r="O34" s="984"/>
      <c r="P34" s="984"/>
      <c r="Q34" s="984"/>
      <c r="R34" s="984"/>
      <c r="S34" s="984"/>
      <c r="T34" s="984"/>
      <c r="U34" s="984"/>
    </row>
    <row r="35" spans="12:21" ht="7.5" customHeight="1"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2:21" ht="31.5" customHeight="1">
      <c r="L36" s="984" t="s">
        <v>692</v>
      </c>
      <c r="M36" s="984"/>
      <c r="N36" s="984"/>
      <c r="O36" s="984"/>
      <c r="P36" s="984"/>
      <c r="Q36" s="984"/>
      <c r="R36" s="984"/>
      <c r="S36" s="984"/>
      <c r="T36" s="984"/>
      <c r="U36" s="984"/>
    </row>
    <row r="37" spans="12:21" ht="6.75" customHeight="1"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2:21" ht="20.25">
      <c r="L38" s="985" t="s">
        <v>950</v>
      </c>
      <c r="M38" s="985"/>
      <c r="N38" s="985"/>
      <c r="O38" s="985"/>
      <c r="P38" s="985"/>
      <c r="Q38" s="985"/>
      <c r="R38" s="985"/>
      <c r="S38" s="985"/>
      <c r="T38" s="985"/>
      <c r="U38" s="985"/>
    </row>
    <row r="40" spans="14:18" ht="18.75">
      <c r="N40" s="982" t="s">
        <v>1010</v>
      </c>
      <c r="O40" s="983"/>
      <c r="P40" s="983"/>
      <c r="Q40" s="983"/>
      <c r="R40" s="983"/>
    </row>
    <row r="41" spans="14:18" ht="24" customHeight="1">
      <c r="N41" s="982"/>
      <c r="O41" s="983"/>
      <c r="P41" s="983"/>
      <c r="Q41" s="983"/>
      <c r="R41" s="983"/>
    </row>
    <row r="43" ht="15.75">
      <c r="B43" s="47"/>
    </row>
  </sheetData>
  <sheetProtection/>
  <mergeCells count="6">
    <mergeCell ref="N41:R41"/>
    <mergeCell ref="L36:U36"/>
    <mergeCell ref="L38:U38"/>
    <mergeCell ref="F27:H27"/>
    <mergeCell ref="L34:U34"/>
    <mergeCell ref="N40:R40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G91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5.25390625" style="9" customWidth="1"/>
    <col min="2" max="2" width="63.75390625" style="9" customWidth="1"/>
    <col min="3" max="4" width="12.125" style="9" customWidth="1"/>
    <col min="5" max="5" width="12.375" style="9" customWidth="1"/>
    <col min="6" max="6" width="9.75390625" style="9" customWidth="1"/>
    <col min="7" max="7" width="9.125" style="9" customWidth="1"/>
    <col min="8" max="8" width="12.625" style="9" bestFit="1" customWidth="1"/>
    <col min="9" max="16384" width="9.125" style="9" customWidth="1"/>
  </cols>
  <sheetData>
    <row r="2" spans="2:6" ht="15.75">
      <c r="B2" s="1133"/>
      <c r="C2" s="1134"/>
      <c r="D2" s="1134"/>
      <c r="E2" s="1134"/>
      <c r="F2" s="1134"/>
    </row>
    <row r="3" spans="1:7" s="177" customFormat="1" ht="15.75">
      <c r="A3" s="1037" t="s">
        <v>1165</v>
      </c>
      <c r="B3" s="1038"/>
      <c r="D3" s="178"/>
      <c r="E3" s="179"/>
      <c r="F3" s="179"/>
      <c r="G3" s="179"/>
    </row>
    <row r="5" spans="2:6" s="223" customFormat="1" ht="18.75">
      <c r="B5" s="1135" t="s">
        <v>438</v>
      </c>
      <c r="C5" s="1135"/>
      <c r="D5" s="1135"/>
      <c r="E5" s="1135"/>
      <c r="F5" s="1135"/>
    </row>
    <row r="6" spans="2:6" s="223" customFormat="1" ht="18.75">
      <c r="B6" s="1132" t="s">
        <v>816</v>
      </c>
      <c r="C6" s="1132"/>
      <c r="D6" s="1132"/>
      <c r="E6" s="1132"/>
      <c r="F6" s="1132"/>
    </row>
    <row r="7" spans="2:6" s="223" customFormat="1" ht="18.75">
      <c r="B7" s="1132" t="s">
        <v>950</v>
      </c>
      <c r="C7" s="1132"/>
      <c r="D7" s="1132"/>
      <c r="E7" s="1132"/>
      <c r="F7" s="1132"/>
    </row>
    <row r="8" s="5" customFormat="1" ht="16.5" thickBot="1">
      <c r="F8" s="501" t="s">
        <v>920</v>
      </c>
    </row>
    <row r="9" spans="1:6" s="67" customFormat="1" ht="13.5" thickBot="1">
      <c r="A9" s="1129" t="s">
        <v>1033</v>
      </c>
      <c r="B9" s="1007" t="s">
        <v>769</v>
      </c>
      <c r="C9" s="140" t="s">
        <v>693</v>
      </c>
      <c r="D9" s="140" t="s">
        <v>483</v>
      </c>
      <c r="E9" s="1004" t="s">
        <v>694</v>
      </c>
      <c r="F9" s="140" t="s">
        <v>791</v>
      </c>
    </row>
    <row r="10" spans="1:6" s="67" customFormat="1" ht="12.75">
      <c r="A10" s="1130"/>
      <c r="B10" s="1010"/>
      <c r="C10" s="1016" t="s">
        <v>649</v>
      </c>
      <c r="D10" s="1017"/>
      <c r="E10" s="1005"/>
      <c r="F10" s="142"/>
    </row>
    <row r="11" spans="1:6" s="67" customFormat="1" ht="13.5" thickBot="1">
      <c r="A11" s="1131"/>
      <c r="B11" s="1013"/>
      <c r="C11" s="1018"/>
      <c r="D11" s="1019"/>
      <c r="E11" s="1006"/>
      <c r="F11" s="143" t="s">
        <v>698</v>
      </c>
    </row>
    <row r="12" spans="1:6" s="67" customFormat="1" ht="12.75">
      <c r="A12" s="631"/>
      <c r="B12" s="141"/>
      <c r="C12" s="158"/>
      <c r="D12" s="158"/>
      <c r="E12" s="158"/>
      <c r="F12" s="141"/>
    </row>
    <row r="13" spans="1:4" s="135" customFormat="1" ht="30.75" customHeight="1">
      <c r="A13" s="841" t="s">
        <v>342</v>
      </c>
      <c r="B13" s="818" t="s">
        <v>1061</v>
      </c>
      <c r="D13" s="228"/>
    </row>
    <row r="14" spans="1:6" s="135" customFormat="1" ht="15.75">
      <c r="A14" s="217" t="s">
        <v>343</v>
      </c>
      <c r="B14" s="539" t="s">
        <v>1062</v>
      </c>
      <c r="C14" s="817">
        <v>80000</v>
      </c>
      <c r="D14" s="817">
        <v>30010</v>
      </c>
      <c r="E14" s="831">
        <v>19606</v>
      </c>
      <c r="F14" s="842">
        <f>E14/D14*100</f>
        <v>65.33155614795069</v>
      </c>
    </row>
    <row r="15" spans="1:6" s="135" customFormat="1" ht="15.75">
      <c r="A15" s="217" t="s">
        <v>344</v>
      </c>
      <c r="B15" s="539" t="s">
        <v>680</v>
      </c>
      <c r="C15" s="819">
        <v>22000</v>
      </c>
      <c r="D15" s="819">
        <v>9842</v>
      </c>
      <c r="E15" s="830">
        <v>5294</v>
      </c>
      <c r="F15" s="844">
        <f>E15/D15*100</f>
        <v>53.789880105669575</v>
      </c>
    </row>
    <row r="16" spans="1:6" s="135" customFormat="1" ht="15.75">
      <c r="A16" s="217" t="s">
        <v>345</v>
      </c>
      <c r="B16" s="539" t="s">
        <v>705</v>
      </c>
      <c r="C16" s="564">
        <f>C14+C15</f>
        <v>102000</v>
      </c>
      <c r="D16" s="564">
        <f>D14+D15</f>
        <v>39852</v>
      </c>
      <c r="E16" s="564">
        <f>E14+E15</f>
        <v>24900</v>
      </c>
      <c r="F16" s="843">
        <f>E16/D16*100</f>
        <v>62.48118036735922</v>
      </c>
    </row>
    <row r="17" spans="1:6" s="135" customFormat="1" ht="15.75">
      <c r="A17" s="217"/>
      <c r="B17" s="539"/>
      <c r="C17" s="564"/>
      <c r="D17" s="564"/>
      <c r="E17" s="564"/>
      <c r="F17" s="842"/>
    </row>
    <row r="18" spans="1:6" s="135" customFormat="1" ht="15.75">
      <c r="A18" s="217"/>
      <c r="B18" s="539"/>
      <c r="C18" s="554"/>
      <c r="D18" s="554"/>
      <c r="E18" s="554"/>
      <c r="F18" s="842"/>
    </row>
    <row r="19" spans="1:6" s="135" customFormat="1" ht="15.75">
      <c r="A19" s="841" t="s">
        <v>346</v>
      </c>
      <c r="B19" s="821" t="s">
        <v>1045</v>
      </c>
      <c r="C19" s="554"/>
      <c r="D19" s="554"/>
      <c r="E19" s="566"/>
      <c r="F19" s="842"/>
    </row>
    <row r="20" spans="1:6" s="135" customFormat="1" ht="15.75">
      <c r="A20" s="217" t="s">
        <v>368</v>
      </c>
      <c r="B20" s="539" t="s">
        <v>1046</v>
      </c>
      <c r="C20" s="832">
        <v>2000000</v>
      </c>
      <c r="D20" s="832">
        <v>2000000</v>
      </c>
      <c r="E20" s="832">
        <v>1504900</v>
      </c>
      <c r="F20" s="842">
        <f>E20/D20*100</f>
        <v>75.24499999999999</v>
      </c>
    </row>
    <row r="21" spans="1:6" s="135" customFormat="1" ht="13.5" customHeight="1">
      <c r="A21" s="217" t="s">
        <v>369</v>
      </c>
      <c r="B21" s="560" t="s">
        <v>1047</v>
      </c>
      <c r="C21" s="823"/>
      <c r="D21" s="823">
        <v>2596200</v>
      </c>
      <c r="E21" s="833"/>
      <c r="F21" s="844"/>
    </row>
    <row r="22" spans="1:6" s="135" customFormat="1" ht="15.75">
      <c r="A22" s="841" t="s">
        <v>370</v>
      </c>
      <c r="B22" s="4" t="s">
        <v>705</v>
      </c>
      <c r="C22" s="564">
        <f>C20+C21</f>
        <v>2000000</v>
      </c>
      <c r="D22" s="564">
        <f>D20+D21</f>
        <v>4596200</v>
      </c>
      <c r="E22" s="564">
        <f>E20+E21</f>
        <v>1504900</v>
      </c>
      <c r="F22" s="843">
        <f>E22/D22*100</f>
        <v>32.742265349636654</v>
      </c>
    </row>
    <row r="23" spans="1:6" s="135" customFormat="1" ht="8.25" customHeight="1">
      <c r="A23" s="217"/>
      <c r="B23" s="539"/>
      <c r="C23" s="554"/>
      <c r="D23" s="554"/>
      <c r="E23" s="554"/>
      <c r="F23" s="842"/>
    </row>
    <row r="24" spans="1:6" s="135" customFormat="1" ht="15.75">
      <c r="A24" s="217" t="s">
        <v>371</v>
      </c>
      <c r="B24" s="539" t="s">
        <v>1048</v>
      </c>
      <c r="C24" s="834"/>
      <c r="D24" s="557">
        <v>300000</v>
      </c>
      <c r="E24" s="557">
        <v>250000</v>
      </c>
      <c r="F24" s="842">
        <f>E24/D24*100</f>
        <v>83.33333333333334</v>
      </c>
    </row>
    <row r="25" spans="1:7" s="135" customFormat="1" ht="15.75">
      <c r="A25" s="217" t="s">
        <v>668</v>
      </c>
      <c r="B25" s="820" t="s">
        <v>680</v>
      </c>
      <c r="C25" s="835"/>
      <c r="D25" s="823">
        <v>81000</v>
      </c>
      <c r="E25" s="837">
        <v>67500</v>
      </c>
      <c r="F25" s="844">
        <f>E25/D25*100</f>
        <v>83.33333333333334</v>
      </c>
      <c r="G25" s="226"/>
    </row>
    <row r="26" spans="1:6" s="135" customFormat="1" ht="15.75">
      <c r="A26" s="841" t="s">
        <v>669</v>
      </c>
      <c r="B26" s="4" t="s">
        <v>705</v>
      </c>
      <c r="C26" s="836"/>
      <c r="D26" s="564">
        <f>D24+D25</f>
        <v>381000</v>
      </c>
      <c r="E26" s="564">
        <f>E24+E25</f>
        <v>317500</v>
      </c>
      <c r="F26" s="843">
        <f>E26/D26*100</f>
        <v>83.33333333333334</v>
      </c>
    </row>
    <row r="27" spans="1:6" s="135" customFormat="1" ht="15.75">
      <c r="A27" s="217"/>
      <c r="B27" s="559"/>
      <c r="C27" s="554"/>
      <c r="D27" s="554"/>
      <c r="E27" s="554"/>
      <c r="F27" s="842"/>
    </row>
    <row r="28" spans="1:6" s="135" customFormat="1" ht="15" customHeight="1">
      <c r="A28" s="841" t="s">
        <v>700</v>
      </c>
      <c r="B28" s="822" t="s">
        <v>1049</v>
      </c>
      <c r="C28" s="554"/>
      <c r="D28" s="554"/>
      <c r="E28" s="554"/>
      <c r="F28" s="842"/>
    </row>
    <row r="29" spans="1:6" s="135" customFormat="1" ht="15.75">
      <c r="A29" s="217" t="s">
        <v>670</v>
      </c>
      <c r="B29" s="539" t="s">
        <v>1063</v>
      </c>
      <c r="C29" s="562">
        <v>366000</v>
      </c>
      <c r="D29" s="562">
        <f>216457+158976+118031+4960+1</f>
        <v>498425</v>
      </c>
      <c r="E29" s="562">
        <f>216457+158976+118031+4960</f>
        <v>498424</v>
      </c>
      <c r="F29" s="842">
        <f>E29/D29*100</f>
        <v>99.99979936800923</v>
      </c>
    </row>
    <row r="30" spans="1:6" s="135" customFormat="1" ht="15.75">
      <c r="A30" s="217" t="s">
        <v>671</v>
      </c>
      <c r="B30" s="539" t="s">
        <v>680</v>
      </c>
      <c r="C30" s="837">
        <v>99000</v>
      </c>
      <c r="D30" s="837">
        <f>133235+1340</f>
        <v>134575</v>
      </c>
      <c r="E30" s="837">
        <v>134575</v>
      </c>
      <c r="F30" s="844">
        <f>E30/D30*100</f>
        <v>100</v>
      </c>
    </row>
    <row r="31" spans="1:6" s="135" customFormat="1" ht="15.75">
      <c r="A31" s="841" t="s">
        <v>672</v>
      </c>
      <c r="B31" s="563" t="s">
        <v>705</v>
      </c>
      <c r="C31" s="564">
        <f>C29+C30</f>
        <v>465000</v>
      </c>
      <c r="D31" s="564">
        <f>D29+D30</f>
        <v>633000</v>
      </c>
      <c r="E31" s="564">
        <f>E29+E30</f>
        <v>632999</v>
      </c>
      <c r="F31" s="843">
        <f>E31/D31*100</f>
        <v>99.99984202211691</v>
      </c>
    </row>
    <row r="32" spans="1:6" s="135" customFormat="1" ht="15.75">
      <c r="A32" s="841"/>
      <c r="B32" s="563"/>
      <c r="C32" s="564"/>
      <c r="D32" s="564"/>
      <c r="E32" s="564"/>
      <c r="F32" s="843"/>
    </row>
    <row r="33" spans="1:6" s="135" customFormat="1" ht="14.25" customHeight="1">
      <c r="A33" s="217"/>
      <c r="B33" s="4"/>
      <c r="C33" s="3"/>
      <c r="D33" s="3"/>
      <c r="E33" s="3"/>
      <c r="F33" s="842"/>
    </row>
    <row r="34" spans="1:6" s="135" customFormat="1" ht="15.75">
      <c r="A34" s="841" t="s">
        <v>674</v>
      </c>
      <c r="B34" s="822" t="s">
        <v>1050</v>
      </c>
      <c r="C34" s="5"/>
      <c r="D34" s="5"/>
      <c r="E34" s="5"/>
      <c r="F34" s="842"/>
    </row>
    <row r="35" spans="1:6" s="5" customFormat="1" ht="15.75">
      <c r="A35" s="840" t="s">
        <v>675</v>
      </c>
      <c r="B35" s="5" t="s">
        <v>1051</v>
      </c>
      <c r="C35" s="817"/>
      <c r="D35" s="817">
        <v>2000000</v>
      </c>
      <c r="E35" s="557">
        <v>1593200</v>
      </c>
      <c r="F35" s="842">
        <f>E35/D35*100</f>
        <v>79.66</v>
      </c>
    </row>
    <row r="36" spans="1:6" s="5" customFormat="1" ht="15.75">
      <c r="A36" s="840" t="s">
        <v>676</v>
      </c>
      <c r="B36" s="539" t="s">
        <v>680</v>
      </c>
      <c r="C36" s="819"/>
      <c r="D36" s="819">
        <v>540000</v>
      </c>
      <c r="E36" s="823">
        <v>430164</v>
      </c>
      <c r="F36" s="844">
        <f>E36/D36*100</f>
        <v>79.66</v>
      </c>
    </row>
    <row r="37" spans="1:6" s="5" customFormat="1" ht="13.5" customHeight="1">
      <c r="A37" s="829" t="s">
        <v>677</v>
      </c>
      <c r="B37" s="4" t="s">
        <v>705</v>
      </c>
      <c r="C37" s="564"/>
      <c r="D37" s="564">
        <f>D35+D36</f>
        <v>2540000</v>
      </c>
      <c r="E37" s="564">
        <f>E35+E36</f>
        <v>2023364</v>
      </c>
      <c r="F37" s="843">
        <f>E37/D37*100</f>
        <v>79.66</v>
      </c>
    </row>
    <row r="38" spans="1:6" s="5" customFormat="1" ht="13.5" customHeight="1">
      <c r="A38" s="829"/>
      <c r="B38" s="4"/>
      <c r="C38" s="564"/>
      <c r="D38" s="564"/>
      <c r="E38" s="564"/>
      <c r="F38" s="843"/>
    </row>
    <row r="39" spans="1:6" s="135" customFormat="1" ht="14.25" customHeight="1">
      <c r="A39" s="217"/>
      <c r="B39" s="4"/>
      <c r="C39" s="5"/>
      <c r="D39" s="5"/>
      <c r="E39" s="557"/>
      <c r="F39" s="842"/>
    </row>
    <row r="40" spans="1:6" s="135" customFormat="1" ht="15.75">
      <c r="A40" s="841" t="s">
        <v>678</v>
      </c>
      <c r="B40" s="822" t="s">
        <v>1052</v>
      </c>
      <c r="C40" s="5"/>
      <c r="D40" s="5"/>
      <c r="E40" s="557"/>
      <c r="F40" s="842"/>
    </row>
    <row r="41" spans="1:6" s="135" customFormat="1" ht="15.75">
      <c r="A41" s="217" t="s">
        <v>679</v>
      </c>
      <c r="B41" s="539" t="s">
        <v>1053</v>
      </c>
      <c r="C41" s="817">
        <v>142000</v>
      </c>
      <c r="D41" s="817">
        <v>142000</v>
      </c>
      <c r="E41" s="557"/>
      <c r="F41" s="842"/>
    </row>
    <row r="42" spans="1:6" s="135" customFormat="1" ht="15.75">
      <c r="A42" s="217" t="s">
        <v>347</v>
      </c>
      <c r="B42" s="539" t="s">
        <v>680</v>
      </c>
      <c r="C42" s="819">
        <v>38000</v>
      </c>
      <c r="D42" s="819">
        <v>6660</v>
      </c>
      <c r="E42" s="824"/>
      <c r="F42" s="842"/>
    </row>
    <row r="43" spans="1:6" s="135" customFormat="1" ht="15.75">
      <c r="A43" s="841" t="s">
        <v>348</v>
      </c>
      <c r="B43" s="4" t="s">
        <v>705</v>
      </c>
      <c r="C43" s="564">
        <f>C41+C42</f>
        <v>180000</v>
      </c>
      <c r="D43" s="564">
        <f>D41+D42</f>
        <v>148660</v>
      </c>
      <c r="E43" s="564"/>
      <c r="F43" s="842"/>
    </row>
    <row r="44" spans="1:6" s="135" customFormat="1" ht="15.75">
      <c r="A44" s="841"/>
      <c r="B44" s="4"/>
      <c r="C44" s="564"/>
      <c r="D44" s="564"/>
      <c r="E44" s="564"/>
      <c r="F44" s="842"/>
    </row>
    <row r="45" spans="1:6" s="135" customFormat="1" ht="15.75">
      <c r="A45" s="217"/>
      <c r="B45" s="227"/>
      <c r="C45" s="5"/>
      <c r="D45" s="5"/>
      <c r="E45" s="557"/>
      <c r="F45" s="842"/>
    </row>
    <row r="46" spans="1:6" s="135" customFormat="1" ht="15.75">
      <c r="A46" s="841" t="s">
        <v>349</v>
      </c>
      <c r="B46" s="822" t="s">
        <v>1054</v>
      </c>
      <c r="C46" s="5"/>
      <c r="D46" s="5"/>
      <c r="E46" s="557"/>
      <c r="F46" s="842"/>
    </row>
    <row r="47" spans="1:6" s="5" customFormat="1" ht="13.5" customHeight="1">
      <c r="A47" s="217" t="s">
        <v>350</v>
      </c>
      <c r="B47" s="539" t="s">
        <v>1153</v>
      </c>
      <c r="C47" s="817"/>
      <c r="D47" s="817">
        <v>137873</v>
      </c>
      <c r="E47" s="557">
        <v>137873</v>
      </c>
      <c r="F47" s="842">
        <f>E47/D47*100</f>
        <v>100</v>
      </c>
    </row>
    <row r="48" spans="1:6" s="135" customFormat="1" ht="14.25" customHeight="1">
      <c r="A48" s="217" t="s">
        <v>351</v>
      </c>
      <c r="B48" s="560" t="s">
        <v>680</v>
      </c>
      <c r="C48" s="819"/>
      <c r="D48" s="819">
        <v>37225</v>
      </c>
      <c r="E48" s="826">
        <v>37225</v>
      </c>
      <c r="F48" s="844">
        <f>E48/D48*100</f>
        <v>100</v>
      </c>
    </row>
    <row r="49" spans="1:6" s="135" customFormat="1" ht="14.25" customHeight="1">
      <c r="A49" s="841" t="s">
        <v>352</v>
      </c>
      <c r="B49" s="825" t="s">
        <v>705</v>
      </c>
      <c r="C49" s="564"/>
      <c r="D49" s="564">
        <f>D47+D48</f>
        <v>175098</v>
      </c>
      <c r="E49" s="564">
        <f>E47+E48</f>
        <v>175098</v>
      </c>
      <c r="F49" s="843">
        <f>E49/D49*100</f>
        <v>100</v>
      </c>
    </row>
    <row r="50" spans="1:6" s="135" customFormat="1" ht="14.25" customHeight="1">
      <c r="A50" s="841"/>
      <c r="B50" s="825"/>
      <c r="C50" s="564"/>
      <c r="D50" s="564"/>
      <c r="E50" s="564"/>
      <c r="F50" s="842"/>
    </row>
    <row r="51" spans="1:6" s="135" customFormat="1" ht="14.25" customHeight="1">
      <c r="A51" s="841"/>
      <c r="B51" s="560"/>
      <c r="C51" s="5"/>
      <c r="D51" s="5"/>
      <c r="E51" s="561"/>
      <c r="F51" s="842"/>
    </row>
    <row r="52" spans="1:6" s="5" customFormat="1" ht="13.5" customHeight="1">
      <c r="A52" s="841" t="s">
        <v>353</v>
      </c>
      <c r="B52" s="822" t="s">
        <v>1055</v>
      </c>
      <c r="E52" s="567"/>
      <c r="F52" s="842"/>
    </row>
    <row r="53" spans="1:6" s="5" customFormat="1" ht="15.75">
      <c r="A53" s="217" t="s">
        <v>354</v>
      </c>
      <c r="B53" s="5" t="s">
        <v>1056</v>
      </c>
      <c r="C53" s="817">
        <v>41000</v>
      </c>
      <c r="D53" s="817">
        <v>41000</v>
      </c>
      <c r="E53" s="831">
        <v>7492</v>
      </c>
      <c r="F53" s="842">
        <f>E53/D53*100</f>
        <v>18.273170731707317</v>
      </c>
    </row>
    <row r="54" spans="1:6" s="5" customFormat="1" ht="15.75">
      <c r="A54" s="217" t="s">
        <v>355</v>
      </c>
      <c r="B54" s="539" t="s">
        <v>680</v>
      </c>
      <c r="C54" s="819">
        <v>11000</v>
      </c>
      <c r="D54" s="819">
        <v>11000</v>
      </c>
      <c r="E54" s="830">
        <v>2023</v>
      </c>
      <c r="F54" s="844">
        <f>E54/D54*100</f>
        <v>18.39090909090909</v>
      </c>
    </row>
    <row r="55" spans="1:6" s="5" customFormat="1" ht="15.75">
      <c r="A55" s="841" t="s">
        <v>356</v>
      </c>
      <c r="B55" s="4" t="s">
        <v>705</v>
      </c>
      <c r="C55" s="564">
        <f>C53+C54</f>
        <v>52000</v>
      </c>
      <c r="D55" s="564">
        <f>D53+D54</f>
        <v>52000</v>
      </c>
      <c r="E55" s="564">
        <f>E53+E54</f>
        <v>9515</v>
      </c>
      <c r="F55" s="843">
        <f>E55/D55*100</f>
        <v>18.298076923076923</v>
      </c>
    </row>
    <row r="56" spans="2:6" s="5" customFormat="1" ht="13.5" customHeight="1">
      <c r="B56" s="539"/>
      <c r="C56" s="557"/>
      <c r="D56" s="557"/>
      <c r="E56" s="557"/>
      <c r="F56" s="842"/>
    </row>
    <row r="57" spans="2:6" s="5" customFormat="1" ht="15.75">
      <c r="B57" s="4"/>
      <c r="C57" s="558"/>
      <c r="D57" s="558"/>
      <c r="E57" s="558"/>
      <c r="F57" s="842"/>
    </row>
    <row r="58" spans="1:6" ht="15.75">
      <c r="A58" s="841" t="s">
        <v>357</v>
      </c>
      <c r="B58" s="838" t="s">
        <v>1057</v>
      </c>
      <c r="C58" s="557"/>
      <c r="D58" s="557"/>
      <c r="E58" s="557"/>
      <c r="F58" s="842"/>
    </row>
    <row r="59" spans="1:6" ht="15.75">
      <c r="A59" s="217" t="s">
        <v>358</v>
      </c>
      <c r="B59" s="539" t="s">
        <v>1056</v>
      </c>
      <c r="C59" s="557">
        <v>7000</v>
      </c>
      <c r="D59" s="557">
        <v>7000</v>
      </c>
      <c r="E59" s="557">
        <v>2789</v>
      </c>
      <c r="F59" s="842">
        <f>E59/D59*100</f>
        <v>39.84285714285714</v>
      </c>
    </row>
    <row r="60" spans="1:6" ht="15.75">
      <c r="A60" s="217" t="s">
        <v>359</v>
      </c>
      <c r="B60" s="539" t="s">
        <v>680</v>
      </c>
      <c r="C60" s="823">
        <v>2000</v>
      </c>
      <c r="D60" s="823">
        <v>2000</v>
      </c>
      <c r="E60" s="823">
        <v>753</v>
      </c>
      <c r="F60" s="844">
        <f>E60/D60*100</f>
        <v>37.65</v>
      </c>
    </row>
    <row r="61" spans="1:6" ht="15.75">
      <c r="A61" s="841" t="s">
        <v>360</v>
      </c>
      <c r="B61" s="4" t="s">
        <v>705</v>
      </c>
      <c r="C61" s="564">
        <f>C59+C60</f>
        <v>9000</v>
      </c>
      <c r="D61" s="564">
        <f>D59+D60</f>
        <v>9000</v>
      </c>
      <c r="E61" s="564">
        <f>E59+E60</f>
        <v>3542</v>
      </c>
      <c r="F61" s="843">
        <f>E61/D61*100</f>
        <v>39.355555555555554</v>
      </c>
    </row>
    <row r="62" spans="1:6" ht="15.75">
      <c r="A62" s="217"/>
      <c r="B62" s="4"/>
      <c r="C62" s="558"/>
      <c r="D62" s="558"/>
      <c r="E62" s="558"/>
      <c r="F62" s="842"/>
    </row>
    <row r="63" spans="1:6" ht="15.75">
      <c r="A63" s="217"/>
      <c r="B63" s="4"/>
      <c r="C63" s="558"/>
      <c r="D63" s="558"/>
      <c r="E63" s="558"/>
      <c r="F63" s="842"/>
    </row>
    <row r="64" spans="1:6" ht="15.75">
      <c r="A64" s="217"/>
      <c r="B64" s="4"/>
      <c r="C64" s="558"/>
      <c r="D64" s="558"/>
      <c r="E64" s="558"/>
      <c r="F64" s="842"/>
    </row>
    <row r="65" spans="1:6" ht="15.75">
      <c r="A65" s="217"/>
      <c r="B65" s="4"/>
      <c r="C65" s="558"/>
      <c r="D65" s="558"/>
      <c r="E65" s="558"/>
      <c r="F65" s="842"/>
    </row>
    <row r="66" spans="1:6" ht="15.75">
      <c r="A66" s="217"/>
      <c r="B66" s="4"/>
      <c r="C66" s="558"/>
      <c r="D66" s="558"/>
      <c r="E66" s="558"/>
      <c r="F66" s="842"/>
    </row>
    <row r="67" spans="1:6" ht="15.75">
      <c r="A67" s="841" t="s">
        <v>361</v>
      </c>
      <c r="B67" s="822" t="s">
        <v>1058</v>
      </c>
      <c r="C67" s="558"/>
      <c r="D67" s="558"/>
      <c r="E67" s="562"/>
      <c r="F67" s="842"/>
    </row>
    <row r="68" spans="1:6" ht="15.75">
      <c r="A68" s="217" t="s">
        <v>362</v>
      </c>
      <c r="B68" s="539" t="s">
        <v>1056</v>
      </c>
      <c r="C68" s="562">
        <v>10000</v>
      </c>
      <c r="D68" s="562">
        <v>10000</v>
      </c>
      <c r="E68" s="562">
        <v>2332</v>
      </c>
      <c r="F68" s="842">
        <f>E68/D68*100</f>
        <v>23.32</v>
      </c>
    </row>
    <row r="69" spans="1:6" ht="15.75">
      <c r="A69" s="217" t="s">
        <v>32</v>
      </c>
      <c r="B69" s="560" t="s">
        <v>680</v>
      </c>
      <c r="C69" s="823">
        <v>3000</v>
      </c>
      <c r="D69" s="823">
        <v>3000</v>
      </c>
      <c r="E69" s="823">
        <v>630</v>
      </c>
      <c r="F69" s="844">
        <f>E69/D69*100</f>
        <v>21</v>
      </c>
    </row>
    <row r="70" spans="1:6" ht="15.75">
      <c r="A70" s="841" t="s">
        <v>33</v>
      </c>
      <c r="B70" s="559" t="s">
        <v>705</v>
      </c>
      <c r="C70" s="564">
        <f>C68+C69</f>
        <v>13000</v>
      </c>
      <c r="D70" s="564">
        <f>D68+D69</f>
        <v>13000</v>
      </c>
      <c r="E70" s="564">
        <f>E68+E69</f>
        <v>2962</v>
      </c>
      <c r="F70" s="843">
        <f>E70/D70*100</f>
        <v>22.784615384615385</v>
      </c>
    </row>
    <row r="71" spans="1:6" ht="15.75">
      <c r="A71" s="841"/>
      <c r="B71" s="559"/>
      <c r="C71" s="564"/>
      <c r="D71" s="564"/>
      <c r="E71" s="564"/>
      <c r="F71" s="843"/>
    </row>
    <row r="72" spans="1:6" ht="15.75">
      <c r="A72" s="217"/>
      <c r="B72" s="563"/>
      <c r="C72" s="557"/>
      <c r="D72" s="557"/>
      <c r="E72" s="557"/>
      <c r="F72" s="842"/>
    </row>
    <row r="73" spans="1:6" ht="15.75">
      <c r="A73" s="841" t="s">
        <v>34</v>
      </c>
      <c r="B73" s="838" t="s">
        <v>1059</v>
      </c>
      <c r="C73" s="557"/>
      <c r="D73" s="557"/>
      <c r="E73" s="557"/>
      <c r="F73" s="842"/>
    </row>
    <row r="74" spans="1:6" ht="15.75">
      <c r="A74" s="217" t="s">
        <v>35</v>
      </c>
      <c r="B74" s="5" t="s">
        <v>1056</v>
      </c>
      <c r="C74" s="557">
        <v>21000</v>
      </c>
      <c r="D74" s="557">
        <v>21000</v>
      </c>
      <c r="E74" s="557">
        <v>10231</v>
      </c>
      <c r="F74" s="842">
        <f>E74/D74*100</f>
        <v>48.719047619047615</v>
      </c>
    </row>
    <row r="75" spans="1:6" ht="15.75">
      <c r="A75" s="217" t="s">
        <v>36</v>
      </c>
      <c r="B75" s="5" t="s">
        <v>680</v>
      </c>
      <c r="C75" s="823">
        <v>6000</v>
      </c>
      <c r="D75" s="823">
        <v>6000</v>
      </c>
      <c r="E75" s="823">
        <v>2762</v>
      </c>
      <c r="F75" s="844">
        <f>E75/D75*100</f>
        <v>46.03333333333333</v>
      </c>
    </row>
    <row r="76" spans="1:6" ht="15.75">
      <c r="A76" s="841" t="s">
        <v>37</v>
      </c>
      <c r="B76" s="563" t="s">
        <v>705</v>
      </c>
      <c r="C76" s="564">
        <f>C74+C75</f>
        <v>27000</v>
      </c>
      <c r="D76" s="564">
        <f>D74+D75</f>
        <v>27000</v>
      </c>
      <c r="E76" s="564">
        <f>E74+E75</f>
        <v>12993</v>
      </c>
      <c r="F76" s="843">
        <f>E76/D76*100</f>
        <v>48.12222222222222</v>
      </c>
    </row>
    <row r="77" spans="1:6" ht="15.75">
      <c r="A77" s="841"/>
      <c r="B77" s="563"/>
      <c r="C77" s="564"/>
      <c r="D77" s="564"/>
      <c r="E77" s="564"/>
      <c r="F77" s="843"/>
    </row>
    <row r="78" spans="1:6" ht="15.75">
      <c r="A78" s="217"/>
      <c r="B78" s="5"/>
      <c r="C78" s="557"/>
      <c r="D78" s="557"/>
      <c r="E78" s="557"/>
      <c r="F78" s="842"/>
    </row>
    <row r="79" spans="1:6" ht="15.75">
      <c r="A79" s="841" t="s">
        <v>38</v>
      </c>
      <c r="B79" s="563" t="s">
        <v>1060</v>
      </c>
      <c r="C79" s="564">
        <f>C76+C70+C61+C55+C49+C43+C37+C31+C26+C22+C16</f>
        <v>2848000</v>
      </c>
      <c r="D79" s="564">
        <f>D76+D70+D61+D55+D49+D43+D37+D31+D26+D22+D16</f>
        <v>8614810</v>
      </c>
      <c r="E79" s="564">
        <f>E76+E70+E61+E55+E49+E43+E37+E31+E26+E22+E16</f>
        <v>4707773</v>
      </c>
      <c r="F79" s="843">
        <f>E79/D79*100</f>
        <v>54.64743853898113</v>
      </c>
    </row>
    <row r="80" spans="2:6" ht="15.75">
      <c r="B80" s="5"/>
      <c r="C80" s="557"/>
      <c r="D80" s="557"/>
      <c r="E80" s="557"/>
      <c r="F80" s="555"/>
    </row>
    <row r="81" spans="2:6" ht="15.75">
      <c r="B81" s="563"/>
      <c r="C81" s="564"/>
      <c r="D81" s="564"/>
      <c r="E81" s="564"/>
      <c r="F81" s="565"/>
    </row>
    <row r="82" spans="2:6" ht="15.75">
      <c r="B82" s="5"/>
      <c r="C82" s="557"/>
      <c r="D82" s="557"/>
      <c r="E82" s="557"/>
      <c r="F82" s="555"/>
    </row>
    <row r="83" spans="2:6" ht="15.75">
      <c r="B83" s="5"/>
      <c r="C83" s="557"/>
      <c r="D83" s="557"/>
      <c r="E83" s="557"/>
      <c r="F83" s="555"/>
    </row>
    <row r="84" spans="2:6" ht="15.75">
      <c r="B84" s="5"/>
      <c r="C84" s="557"/>
      <c r="D84" s="557"/>
      <c r="E84" s="557"/>
      <c r="F84" s="555"/>
    </row>
    <row r="85" spans="2:6" ht="15.75">
      <c r="B85" s="563"/>
      <c r="C85" s="564"/>
      <c r="D85" s="564"/>
      <c r="E85" s="564"/>
      <c r="F85" s="565"/>
    </row>
    <row r="86" spans="2:6" ht="15.75">
      <c r="B86" s="5"/>
      <c r="C86" s="557"/>
      <c r="D86" s="557"/>
      <c r="E86" s="557"/>
      <c r="F86" s="555"/>
    </row>
    <row r="87" spans="2:6" ht="15.75">
      <c r="B87" s="563"/>
      <c r="C87" s="564"/>
      <c r="D87" s="564"/>
      <c r="E87" s="564"/>
      <c r="F87" s="565"/>
    </row>
    <row r="88" ht="15.75">
      <c r="F88" s="556"/>
    </row>
    <row r="89" ht="15.75">
      <c r="F89" s="556"/>
    </row>
    <row r="90" ht="15.75">
      <c r="F90" s="556"/>
    </row>
    <row r="91" ht="15.75">
      <c r="F91" s="556"/>
    </row>
  </sheetData>
  <sheetProtection/>
  <mergeCells count="9">
    <mergeCell ref="A9:A11"/>
    <mergeCell ref="A3:B3"/>
    <mergeCell ref="B6:F6"/>
    <mergeCell ref="B7:F7"/>
    <mergeCell ref="B2:F2"/>
    <mergeCell ref="B5:F5"/>
    <mergeCell ref="B9:B11"/>
    <mergeCell ref="E9:E11"/>
    <mergeCell ref="C10:D11"/>
  </mergeCells>
  <printOptions horizontalCentered="1"/>
  <pageMargins left="0" right="0" top="0" bottom="0" header="0.5118110236220472" footer="0.5118110236220472"/>
  <pageSetup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G57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375" style="0" customWidth="1"/>
    <col min="2" max="2" width="56.25390625" style="0" customWidth="1"/>
    <col min="3" max="3" width="11.375" style="0" customWidth="1"/>
    <col min="4" max="4" width="14.375" style="0" bestFit="1" customWidth="1"/>
    <col min="5" max="5" width="11.25390625" style="0" bestFit="1" customWidth="1"/>
  </cols>
  <sheetData>
    <row r="2" spans="2:6" s="9" customFormat="1" ht="15.75">
      <c r="B2" s="1133"/>
      <c r="C2" s="1134"/>
      <c r="D2" s="1134"/>
      <c r="E2" s="1134"/>
      <c r="F2" s="1134"/>
    </row>
    <row r="3" spans="2:7" s="177" customFormat="1" ht="15.75">
      <c r="B3" s="176" t="s">
        <v>1166</v>
      </c>
      <c r="D3" s="178"/>
      <c r="E3" s="179"/>
      <c r="F3" s="179"/>
      <c r="G3" s="179"/>
    </row>
    <row r="6" spans="2:6" s="223" customFormat="1" ht="18.75">
      <c r="B6" s="1135" t="s">
        <v>438</v>
      </c>
      <c r="C6" s="1135"/>
      <c r="D6" s="1135"/>
      <c r="E6" s="1135"/>
      <c r="F6" s="1135"/>
    </row>
    <row r="7" spans="2:6" s="223" customFormat="1" ht="18.75">
      <c r="B7" s="1132" t="s">
        <v>439</v>
      </c>
      <c r="C7" s="1132"/>
      <c r="D7" s="1132"/>
      <c r="E7" s="1132"/>
      <c r="F7" s="1132"/>
    </row>
    <row r="8" spans="2:6" s="223" customFormat="1" ht="18.75">
      <c r="B8" s="1132" t="s">
        <v>950</v>
      </c>
      <c r="C8" s="1132"/>
      <c r="D8" s="1132"/>
      <c r="E8" s="1132"/>
      <c r="F8" s="1132"/>
    </row>
    <row r="9" s="5" customFormat="1" ht="16.5" thickBot="1">
      <c r="F9" s="501" t="s">
        <v>1011</v>
      </c>
    </row>
    <row r="10" spans="1:6" s="67" customFormat="1" ht="13.5" thickBot="1">
      <c r="A10" s="1136" t="s">
        <v>1033</v>
      </c>
      <c r="B10" s="1004" t="s">
        <v>769</v>
      </c>
      <c r="C10" s="140" t="s">
        <v>693</v>
      </c>
      <c r="D10" s="140" t="s">
        <v>483</v>
      </c>
      <c r="E10" s="1004" t="s">
        <v>694</v>
      </c>
      <c r="F10" s="140" t="s">
        <v>791</v>
      </c>
    </row>
    <row r="11" spans="1:6" s="67" customFormat="1" ht="12.75">
      <c r="A11" s="1090"/>
      <c r="B11" s="1005"/>
      <c r="C11" s="1016" t="s">
        <v>649</v>
      </c>
      <c r="D11" s="1017"/>
      <c r="E11" s="1005"/>
      <c r="F11" s="142"/>
    </row>
    <row r="12" spans="1:6" s="67" customFormat="1" ht="13.5" thickBot="1">
      <c r="A12" s="1091"/>
      <c r="B12" s="1006"/>
      <c r="C12" s="1018"/>
      <c r="D12" s="1019"/>
      <c r="E12" s="1006"/>
      <c r="F12" s="143" t="s">
        <v>698</v>
      </c>
    </row>
    <row r="13" spans="2:4" s="5" customFormat="1" ht="15.75">
      <c r="B13" s="4"/>
      <c r="D13" s="80"/>
    </row>
    <row r="14" spans="1:4" s="135" customFormat="1" ht="14.25">
      <c r="A14" s="839" t="s">
        <v>342</v>
      </c>
      <c r="B14" s="540" t="s">
        <v>1035</v>
      </c>
      <c r="D14" s="224"/>
    </row>
    <row r="15" spans="2:4" s="135" customFormat="1" ht="13.5" customHeight="1">
      <c r="B15" s="134"/>
      <c r="D15" s="225"/>
    </row>
    <row r="16" spans="1:7" s="135" customFormat="1" ht="21" customHeight="1">
      <c r="A16" s="839" t="s">
        <v>343</v>
      </c>
      <c r="B16" s="810" t="s">
        <v>1036</v>
      </c>
      <c r="D16" s="536"/>
      <c r="E16" s="536"/>
      <c r="F16" s="229"/>
      <c r="G16" s="226"/>
    </row>
    <row r="17" spans="1:6" s="135" customFormat="1" ht="30.75" customHeight="1">
      <c r="A17" s="135" t="s">
        <v>344</v>
      </c>
      <c r="B17" s="805" t="s">
        <v>1044</v>
      </c>
      <c r="D17" s="798"/>
      <c r="E17" s="798"/>
      <c r="F17" s="229"/>
    </row>
    <row r="18" spans="2:6" s="135" customFormat="1" ht="14.25">
      <c r="B18" s="208"/>
      <c r="D18" s="537"/>
      <c r="E18" s="537"/>
      <c r="F18" s="230"/>
    </row>
    <row r="19" spans="1:6" s="135" customFormat="1" ht="15">
      <c r="A19" s="846" t="s">
        <v>345</v>
      </c>
      <c r="B19" s="806" t="s">
        <v>1043</v>
      </c>
      <c r="C19" s="803">
        <v>18272000</v>
      </c>
      <c r="D19" s="803">
        <v>18697000</v>
      </c>
      <c r="E19" s="803">
        <v>18317315</v>
      </c>
      <c r="F19" s="135">
        <v>49.9</v>
      </c>
    </row>
    <row r="20" spans="1:6" s="135" customFormat="1" ht="34.5" customHeight="1">
      <c r="A20" s="845" t="s">
        <v>346</v>
      </c>
      <c r="B20" s="805" t="s">
        <v>1037</v>
      </c>
      <c r="C20" s="807">
        <v>4933000</v>
      </c>
      <c r="D20" s="808">
        <v>4933000</v>
      </c>
      <c r="E20" s="808">
        <v>4837675</v>
      </c>
      <c r="F20" s="809">
        <v>48.9</v>
      </c>
    </row>
    <row r="21" spans="1:6" s="135" customFormat="1" ht="20.25" customHeight="1">
      <c r="A21" s="839" t="s">
        <v>346</v>
      </c>
      <c r="B21" s="208" t="s">
        <v>1038</v>
      </c>
      <c r="C21" s="803">
        <f>C19+C20</f>
        <v>23205000</v>
      </c>
      <c r="D21" s="803">
        <f>D19+D20</f>
        <v>23630000</v>
      </c>
      <c r="E21" s="803">
        <f>E19+E20</f>
        <v>23154990</v>
      </c>
      <c r="F21" s="135">
        <v>49.7</v>
      </c>
    </row>
    <row r="22" spans="2:5" s="135" customFormat="1" ht="20.25" customHeight="1">
      <c r="B22" s="208"/>
      <c r="C22" s="804"/>
      <c r="D22" s="803"/>
      <c r="E22" s="803"/>
    </row>
    <row r="23" spans="1:5" s="135" customFormat="1" ht="20.25" customHeight="1">
      <c r="A23" s="839" t="s">
        <v>368</v>
      </c>
      <c r="B23" s="540" t="s">
        <v>1040</v>
      </c>
      <c r="C23" s="804"/>
      <c r="D23" s="803"/>
      <c r="E23" s="803"/>
    </row>
    <row r="24" spans="2:5" s="135" customFormat="1" ht="12.75" customHeight="1">
      <c r="B24" s="208"/>
      <c r="C24" s="804"/>
      <c r="D24" s="803"/>
      <c r="E24" s="803"/>
    </row>
    <row r="25" spans="1:5" s="135" customFormat="1" ht="20.25" customHeight="1">
      <c r="A25" s="839" t="s">
        <v>369</v>
      </c>
      <c r="B25" s="208" t="s">
        <v>1041</v>
      </c>
      <c r="C25" s="804"/>
      <c r="D25" s="803"/>
      <c r="E25" s="803"/>
    </row>
    <row r="26" spans="1:5" s="135" customFormat="1" ht="20.25" customHeight="1">
      <c r="A26" s="135" t="s">
        <v>370</v>
      </c>
      <c r="B26" s="811" t="s">
        <v>1042</v>
      </c>
      <c r="C26" s="804"/>
      <c r="D26" s="803">
        <v>7874016</v>
      </c>
      <c r="E26" s="803"/>
    </row>
    <row r="27" spans="1:5" s="135" customFormat="1" ht="20.25" customHeight="1">
      <c r="A27" s="135" t="s">
        <v>371</v>
      </c>
      <c r="B27" s="811" t="s">
        <v>680</v>
      </c>
      <c r="C27" s="804"/>
      <c r="D27" s="808">
        <v>2125984</v>
      </c>
      <c r="E27" s="803"/>
    </row>
    <row r="28" spans="1:4" s="5" customFormat="1" ht="20.25" customHeight="1">
      <c r="A28" s="839" t="s">
        <v>668</v>
      </c>
      <c r="B28" s="4" t="s">
        <v>705</v>
      </c>
      <c r="C28" s="80"/>
      <c r="D28" s="812">
        <f>D26+D27</f>
        <v>10000000</v>
      </c>
    </row>
    <row r="29" ht="12.75">
      <c r="D29" s="799"/>
    </row>
    <row r="30" spans="2:4" ht="12.75">
      <c r="B30" s="543"/>
      <c r="D30" s="541"/>
    </row>
    <row r="31" spans="1:6" ht="18.75" customHeight="1">
      <c r="A31" s="543" t="s">
        <v>669</v>
      </c>
      <c r="B31" s="10" t="s">
        <v>1039</v>
      </c>
      <c r="C31" s="813">
        <f>C21+C28</f>
        <v>23205000</v>
      </c>
      <c r="D31" s="813">
        <f>D21+D28</f>
        <v>33630000</v>
      </c>
      <c r="E31" s="813">
        <f>E21+E28</f>
        <v>23154990</v>
      </c>
      <c r="F31" s="10">
        <v>49.7</v>
      </c>
    </row>
    <row r="32" ht="12.75">
      <c r="D32" s="538"/>
    </row>
    <row r="33" ht="12.75">
      <c r="D33" s="800"/>
    </row>
    <row r="34" spans="2:4" ht="12.75">
      <c r="B34" s="543"/>
      <c r="D34" s="542"/>
    </row>
    <row r="35" spans="2:4" ht="12.75">
      <c r="B35" s="543"/>
      <c r="D35" s="542"/>
    </row>
    <row r="36" spans="2:4" ht="14.25">
      <c r="B36" s="208"/>
      <c r="D36" s="541"/>
    </row>
    <row r="38" spans="2:4" ht="12.75">
      <c r="B38" s="544"/>
      <c r="D38" s="547"/>
    </row>
    <row r="40" spans="4:6" ht="12.75">
      <c r="D40" s="800"/>
      <c r="E40" s="800"/>
      <c r="F40" s="229"/>
    </row>
    <row r="41" spans="2:6" ht="12.75">
      <c r="B41" s="543"/>
      <c r="D41" s="542"/>
      <c r="E41" s="542"/>
      <c r="F41" s="230"/>
    </row>
    <row r="43" spans="2:6" ht="15.75">
      <c r="B43" s="4"/>
      <c r="C43" s="3"/>
      <c r="D43" s="546"/>
      <c r="E43" s="545"/>
      <c r="F43" s="231"/>
    </row>
    <row r="51" spans="3:5" ht="12.75">
      <c r="C51" s="635"/>
      <c r="D51" s="635"/>
      <c r="E51" s="635"/>
    </row>
    <row r="52" spans="3:5" ht="12.75">
      <c r="C52" s="635"/>
      <c r="D52" s="635"/>
      <c r="E52" s="635"/>
    </row>
    <row r="53" spans="3:5" ht="12.75">
      <c r="C53" s="635"/>
      <c r="D53" s="635"/>
      <c r="E53" s="635"/>
    </row>
    <row r="57" spans="3:5" ht="12.75">
      <c r="C57" s="635"/>
      <c r="D57" s="635"/>
      <c r="E57" s="635"/>
    </row>
  </sheetData>
  <sheetProtection/>
  <mergeCells count="8">
    <mergeCell ref="A10:A12"/>
    <mergeCell ref="B2:F2"/>
    <mergeCell ref="B10:B12"/>
    <mergeCell ref="E10:E12"/>
    <mergeCell ref="C11:D12"/>
    <mergeCell ref="B6:F6"/>
    <mergeCell ref="B7:F7"/>
    <mergeCell ref="B8:F8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2:G7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75390625" style="67" customWidth="1"/>
    <col min="2" max="2" width="48.625" style="67" customWidth="1"/>
    <col min="3" max="3" width="13.375" style="51" customWidth="1"/>
    <col min="4" max="4" width="14.75390625" style="329" customWidth="1"/>
    <col min="5" max="5" width="13.875" style="329" customWidth="1"/>
    <col min="6" max="6" width="10.875" style="137" customWidth="1"/>
    <col min="7" max="7" width="9.625" style="67" customWidth="1"/>
    <col min="8" max="16384" width="9.125" style="67" customWidth="1"/>
  </cols>
  <sheetData>
    <row r="2" spans="1:6" s="233" customFormat="1" ht="12.75">
      <c r="A2" s="1133"/>
      <c r="B2" s="1133"/>
      <c r="C2" s="1133"/>
      <c r="D2" s="1133"/>
      <c r="E2" s="1133"/>
      <c r="F2" s="1133"/>
    </row>
    <row r="3" spans="1:6" ht="12.75">
      <c r="A3" s="234" t="s">
        <v>1167</v>
      </c>
      <c r="C3" s="431"/>
      <c r="D3" s="51"/>
      <c r="E3" s="51"/>
      <c r="F3" s="51"/>
    </row>
    <row r="4" spans="1:6" ht="12.75">
      <c r="A4" s="234"/>
      <c r="C4" s="431"/>
      <c r="D4" s="51"/>
      <c r="E4" s="51"/>
      <c r="F4" s="51"/>
    </row>
    <row r="6" spans="1:6" s="17" customFormat="1" ht="15.75">
      <c r="A6" s="1132" t="s">
        <v>741</v>
      </c>
      <c r="B6" s="1132"/>
      <c r="C6" s="1132"/>
      <c r="D6" s="1132"/>
      <c r="E6" s="1132"/>
      <c r="F6" s="1132"/>
    </row>
    <row r="7" spans="1:6" s="17" customFormat="1" ht="15.75">
      <c r="A7" s="1132" t="s">
        <v>450</v>
      </c>
      <c r="B7" s="1132"/>
      <c r="C7" s="1132"/>
      <c r="D7" s="1132"/>
      <c r="E7" s="1132"/>
      <c r="F7" s="1132"/>
    </row>
    <row r="8" spans="1:6" s="17" customFormat="1" ht="15.75">
      <c r="A8" s="1132" t="s">
        <v>482</v>
      </c>
      <c r="B8" s="1132"/>
      <c r="C8" s="1132"/>
      <c r="D8" s="1132"/>
      <c r="E8" s="1132"/>
      <c r="F8" s="1132"/>
    </row>
    <row r="9" spans="1:6" s="17" customFormat="1" ht="15.75">
      <c r="A9" s="1132" t="s">
        <v>950</v>
      </c>
      <c r="B9" s="1132"/>
      <c r="C9" s="1132"/>
      <c r="D9" s="1132"/>
      <c r="E9" s="1132"/>
      <c r="F9" s="1132"/>
    </row>
    <row r="10" spans="1:6" s="17" customFormat="1" ht="15.75">
      <c r="A10" s="851"/>
      <c r="B10" s="851"/>
      <c r="C10" s="851"/>
      <c r="D10" s="851"/>
      <c r="E10" s="851"/>
      <c r="F10" s="851"/>
    </row>
    <row r="11" spans="3:6" s="6" customFormat="1" ht="13.5" thickBot="1">
      <c r="C11" s="247"/>
      <c r="D11" s="235"/>
      <c r="E11" s="247"/>
      <c r="F11" s="502" t="s">
        <v>1014</v>
      </c>
    </row>
    <row r="12" spans="1:6" s="6" customFormat="1" ht="13.5" thickBot="1">
      <c r="A12" s="1146" t="s">
        <v>1032</v>
      </c>
      <c r="B12" s="1004" t="s">
        <v>769</v>
      </c>
      <c r="C12" s="432" t="s">
        <v>693</v>
      </c>
      <c r="D12" s="432" t="s">
        <v>483</v>
      </c>
      <c r="E12" s="1139" t="s">
        <v>694</v>
      </c>
      <c r="F12" s="140" t="s">
        <v>791</v>
      </c>
    </row>
    <row r="13" spans="1:6" s="6" customFormat="1" ht="12.75">
      <c r="A13" s="1147"/>
      <c r="B13" s="1005"/>
      <c r="C13" s="1142" t="s">
        <v>649</v>
      </c>
      <c r="D13" s="1143"/>
      <c r="E13" s="1140"/>
      <c r="F13" s="142"/>
    </row>
    <row r="14" spans="1:6" s="6" customFormat="1" ht="34.5" customHeight="1" thickBot="1">
      <c r="A14" s="1148"/>
      <c r="B14" s="1006"/>
      <c r="C14" s="1144"/>
      <c r="D14" s="1145"/>
      <c r="E14" s="1141"/>
      <c r="F14" s="828" t="s">
        <v>698</v>
      </c>
    </row>
    <row r="15" spans="1:6" s="6" customFormat="1" ht="20.25" customHeight="1">
      <c r="A15" s="1138" t="s">
        <v>451</v>
      </c>
      <c r="B15" s="1138"/>
      <c r="C15" s="1138"/>
      <c r="D15" s="1138"/>
      <c r="E15" s="1138"/>
      <c r="F15" s="1138"/>
    </row>
    <row r="16" spans="1:5" s="6" customFormat="1" ht="20.25" customHeight="1">
      <c r="A16" s="239" t="s">
        <v>658</v>
      </c>
      <c r="B16" s="240" t="s">
        <v>452</v>
      </c>
      <c r="C16" s="241"/>
      <c r="D16" s="241"/>
      <c r="E16" s="247"/>
    </row>
    <row r="17" spans="1:6" s="6" customFormat="1" ht="20.25" customHeight="1">
      <c r="A17" s="239" t="s">
        <v>659</v>
      </c>
      <c r="B17" s="27" t="s">
        <v>453</v>
      </c>
      <c r="C17" s="51">
        <v>28514021</v>
      </c>
      <c r="D17" s="241">
        <v>29416624</v>
      </c>
      <c r="E17" s="241">
        <v>29416624</v>
      </c>
      <c r="F17" s="272">
        <f>E17/D17*100</f>
        <v>100</v>
      </c>
    </row>
    <row r="18" spans="1:6" s="6" customFormat="1" ht="25.5">
      <c r="A18" s="239" t="s">
        <v>660</v>
      </c>
      <c r="B18" s="148" t="s">
        <v>454</v>
      </c>
      <c r="C18" s="149">
        <v>46000</v>
      </c>
      <c r="D18" s="241">
        <v>2035985</v>
      </c>
      <c r="E18" s="241">
        <v>2013185</v>
      </c>
      <c r="F18" s="272">
        <f aca="true" t="shared" si="0" ref="F18:F35">E18/D18*100</f>
        <v>98.88014892054706</v>
      </c>
    </row>
    <row r="19" spans="1:6" s="6" customFormat="1" ht="20.25" customHeight="1">
      <c r="A19" s="239" t="s">
        <v>661</v>
      </c>
      <c r="B19" s="240" t="s">
        <v>455</v>
      </c>
      <c r="C19" s="241">
        <v>7813000</v>
      </c>
      <c r="D19" s="241">
        <v>7813000</v>
      </c>
      <c r="E19" s="241">
        <v>9268098</v>
      </c>
      <c r="F19" s="272">
        <f t="shared" si="0"/>
        <v>118.62406246000256</v>
      </c>
    </row>
    <row r="20" spans="1:6" s="6" customFormat="1" ht="20.25" customHeight="1">
      <c r="A20" s="239" t="s">
        <v>662</v>
      </c>
      <c r="B20" s="240" t="s">
        <v>456</v>
      </c>
      <c r="C20" s="241">
        <v>10908000</v>
      </c>
      <c r="D20" s="241">
        <v>10908000</v>
      </c>
      <c r="E20" s="241">
        <v>7558293</v>
      </c>
      <c r="F20" s="272">
        <f t="shared" si="0"/>
        <v>69.29128162816282</v>
      </c>
    </row>
    <row r="21" spans="1:6" s="6" customFormat="1" ht="20.25" customHeight="1">
      <c r="A21" s="239" t="s">
        <v>699</v>
      </c>
      <c r="B21" s="242" t="s">
        <v>457</v>
      </c>
      <c r="C21" s="503"/>
      <c r="D21" s="241"/>
      <c r="E21" s="241">
        <v>20000</v>
      </c>
      <c r="F21" s="272"/>
    </row>
    <row r="22" spans="1:6" s="6" customFormat="1" ht="36" customHeight="1">
      <c r="A22" s="239" t="s">
        <v>663</v>
      </c>
      <c r="B22" s="148" t="s">
        <v>458</v>
      </c>
      <c r="C22" s="149"/>
      <c r="D22" s="241"/>
      <c r="E22" s="241"/>
      <c r="F22" s="272"/>
    </row>
    <row r="23" spans="1:5" s="6" customFormat="1" ht="20.25" customHeight="1">
      <c r="A23" s="239" t="s">
        <v>664</v>
      </c>
      <c r="B23" s="27" t="s">
        <v>459</v>
      </c>
      <c r="C23" s="51"/>
      <c r="D23" s="241"/>
      <c r="E23" s="247"/>
    </row>
    <row r="24" spans="1:6" s="6" customFormat="1" ht="36" customHeight="1">
      <c r="A24" s="243" t="s">
        <v>666</v>
      </c>
      <c r="B24" s="244" t="s">
        <v>665</v>
      </c>
      <c r="C24" s="245">
        <f>SUM(C17:C23)</f>
        <v>47281021</v>
      </c>
      <c r="D24" s="245">
        <f>SUM(D17:D23)</f>
        <v>50173609</v>
      </c>
      <c r="E24" s="245">
        <f>SUM(E17:E23)</f>
        <v>48276200</v>
      </c>
      <c r="F24" s="273">
        <f t="shared" si="0"/>
        <v>96.21831269901274</v>
      </c>
    </row>
    <row r="25" spans="1:6" s="6" customFormat="1" ht="19.5" customHeight="1">
      <c r="A25" s="239"/>
      <c r="B25" s="240"/>
      <c r="C25" s="241"/>
      <c r="D25" s="241"/>
      <c r="E25" s="241"/>
      <c r="F25" s="859"/>
    </row>
    <row r="26" spans="1:6" s="6" customFormat="1" ht="21" customHeight="1">
      <c r="A26" s="246" t="s">
        <v>668</v>
      </c>
      <c r="B26" s="240" t="s">
        <v>667</v>
      </c>
      <c r="C26" s="241">
        <v>16287000</v>
      </c>
      <c r="D26" s="247">
        <v>19942600</v>
      </c>
      <c r="E26" s="247">
        <v>18122849</v>
      </c>
      <c r="F26" s="272">
        <f t="shared" si="0"/>
        <v>90.87505641190215</v>
      </c>
    </row>
    <row r="27" spans="1:6" s="6" customFormat="1" ht="18.75" customHeight="1">
      <c r="A27" s="246" t="s">
        <v>669</v>
      </c>
      <c r="B27" s="148" t="s">
        <v>460</v>
      </c>
      <c r="C27" s="241">
        <v>4524000</v>
      </c>
      <c r="D27" s="247">
        <v>4882695</v>
      </c>
      <c r="E27" s="247">
        <v>4727499</v>
      </c>
      <c r="F27" s="272">
        <f t="shared" si="0"/>
        <v>96.82150943280298</v>
      </c>
    </row>
    <row r="28" spans="1:6" s="6" customFormat="1" ht="21" customHeight="1">
      <c r="A28" s="246" t="s">
        <v>700</v>
      </c>
      <c r="B28" s="248" t="s">
        <v>461</v>
      </c>
      <c r="C28" s="504">
        <v>22513021</v>
      </c>
      <c r="D28" s="247">
        <v>20913968</v>
      </c>
      <c r="E28" s="247">
        <v>15006875</v>
      </c>
      <c r="F28" s="272">
        <f t="shared" si="0"/>
        <v>71.75527379596258</v>
      </c>
    </row>
    <row r="29" spans="1:6" s="6" customFormat="1" ht="23.25" customHeight="1">
      <c r="A29" s="246" t="s">
        <v>670</v>
      </c>
      <c r="B29" s="248" t="s">
        <v>462</v>
      </c>
      <c r="C29" s="504">
        <v>3361000</v>
      </c>
      <c r="D29" s="247">
        <v>3411000</v>
      </c>
      <c r="E29" s="247">
        <v>2201500</v>
      </c>
      <c r="F29" s="272">
        <f t="shared" si="0"/>
        <v>64.54119026678393</v>
      </c>
    </row>
    <row r="30" spans="1:6" s="6" customFormat="1" ht="24" customHeight="1">
      <c r="A30" s="246" t="s">
        <v>671</v>
      </c>
      <c r="B30" s="248" t="s">
        <v>463</v>
      </c>
      <c r="C30" s="504"/>
      <c r="D30" s="247"/>
      <c r="E30" s="247"/>
      <c r="F30" s="272"/>
    </row>
    <row r="31" spans="1:6" s="6" customFormat="1" ht="17.25" customHeight="1">
      <c r="A31" s="246" t="s">
        <v>672</v>
      </c>
      <c r="B31" s="148" t="s">
        <v>464</v>
      </c>
      <c r="C31" s="505">
        <v>50000</v>
      </c>
      <c r="D31" s="247">
        <v>640000</v>
      </c>
      <c r="E31" s="247">
        <v>640000</v>
      </c>
      <c r="F31" s="272">
        <f>E31/D31*100</f>
        <v>100</v>
      </c>
    </row>
    <row r="32" spans="1:6" s="6" customFormat="1" ht="25.5" customHeight="1">
      <c r="A32" s="246" t="s">
        <v>674</v>
      </c>
      <c r="B32" s="148" t="s">
        <v>1064</v>
      </c>
      <c r="C32" s="149"/>
      <c r="D32" s="250">
        <v>918299</v>
      </c>
      <c r="E32" s="247">
        <v>918299</v>
      </c>
      <c r="F32" s="272">
        <f>E32/D32*100</f>
        <v>100</v>
      </c>
    </row>
    <row r="33" spans="1:6" s="6" customFormat="1" ht="22.5" customHeight="1">
      <c r="A33" s="246" t="s">
        <v>675</v>
      </c>
      <c r="B33" s="148" t="s">
        <v>465</v>
      </c>
      <c r="C33" s="505">
        <v>1077000</v>
      </c>
      <c r="D33" s="250">
        <v>1293030</v>
      </c>
      <c r="E33" s="247">
        <v>1292900</v>
      </c>
      <c r="F33" s="272">
        <f>E33/D33*100</f>
        <v>99.98994609560489</v>
      </c>
    </row>
    <row r="34" spans="1:6" s="6" customFormat="1" ht="24.75" customHeight="1">
      <c r="A34" s="246" t="s">
        <v>676</v>
      </c>
      <c r="B34" s="249" t="s">
        <v>466</v>
      </c>
      <c r="C34" s="505"/>
      <c r="D34" s="235">
        <v>33844448</v>
      </c>
      <c r="E34" s="247"/>
      <c r="F34" s="272"/>
    </row>
    <row r="35" spans="1:7" s="6" customFormat="1" ht="33.75" customHeight="1">
      <c r="A35" s="243" t="s">
        <v>677</v>
      </c>
      <c r="B35" s="244" t="s">
        <v>673</v>
      </c>
      <c r="C35" s="245">
        <f>SUM(C26:C34)</f>
        <v>47812021</v>
      </c>
      <c r="D35" s="245">
        <f>SUM(D26:D34)</f>
        <v>85846040</v>
      </c>
      <c r="E35" s="245">
        <f>SUM(E26:E34)</f>
        <v>42909922</v>
      </c>
      <c r="F35" s="273">
        <f t="shared" si="0"/>
        <v>49.984742452884255</v>
      </c>
      <c r="G35" s="251"/>
    </row>
    <row r="36" spans="1:7" s="6" customFormat="1" ht="33.75" customHeight="1">
      <c r="A36" s="239"/>
      <c r="B36" s="240"/>
      <c r="C36" s="241"/>
      <c r="D36" s="241"/>
      <c r="E36" s="241"/>
      <c r="F36" s="241"/>
      <c r="G36" s="251"/>
    </row>
    <row r="37" spans="1:7" s="6" customFormat="1" ht="33.75" customHeight="1">
      <c r="A37" s="239"/>
      <c r="B37" s="240"/>
      <c r="C37" s="241"/>
      <c r="D37" s="241"/>
      <c r="E37" s="241"/>
      <c r="F37" s="241"/>
      <c r="G37" s="251"/>
    </row>
    <row r="38" spans="1:7" s="6" customFormat="1" ht="33.75" customHeight="1">
      <c r="A38" s="239"/>
      <c r="B38" s="240"/>
      <c r="C38" s="241"/>
      <c r="D38" s="241"/>
      <c r="E38" s="241"/>
      <c r="F38" s="241"/>
      <c r="G38" s="251"/>
    </row>
    <row r="39" spans="1:7" s="6" customFormat="1" ht="33.75" customHeight="1">
      <c r="A39" s="239"/>
      <c r="B39" s="240"/>
      <c r="C39" s="241"/>
      <c r="D39" s="241"/>
      <c r="E39" s="241"/>
      <c r="F39" s="241"/>
      <c r="G39" s="251"/>
    </row>
    <row r="40" spans="1:7" s="6" customFormat="1" ht="33.75" customHeight="1">
      <c r="A40" s="239"/>
      <c r="B40" s="240"/>
      <c r="C40" s="241"/>
      <c r="D40" s="241"/>
      <c r="E40" s="241"/>
      <c r="F40" s="241"/>
      <c r="G40" s="251"/>
    </row>
    <row r="41" spans="1:7" s="6" customFormat="1" ht="13.5" thickBot="1">
      <c r="A41" s="239"/>
      <c r="B41" s="240"/>
      <c r="C41" s="241"/>
      <c r="D41" s="241"/>
      <c r="E41" s="241"/>
      <c r="F41" s="241"/>
      <c r="G41" s="251"/>
    </row>
    <row r="42" spans="1:6" s="6" customFormat="1" ht="13.5" thickBot="1">
      <c r="A42" s="236" t="s">
        <v>657</v>
      </c>
      <c r="B42" s="1007" t="s">
        <v>769</v>
      </c>
      <c r="C42" s="432" t="s">
        <v>693</v>
      </c>
      <c r="D42" s="432" t="s">
        <v>483</v>
      </c>
      <c r="E42" s="1139" t="s">
        <v>694</v>
      </c>
      <c r="F42" s="140" t="s">
        <v>791</v>
      </c>
    </row>
    <row r="43" spans="1:6" s="6" customFormat="1" ht="12.75">
      <c r="A43" s="237"/>
      <c r="B43" s="1010"/>
      <c r="C43" s="1142" t="s">
        <v>649</v>
      </c>
      <c r="D43" s="1143"/>
      <c r="E43" s="1140"/>
      <c r="F43" s="142"/>
    </row>
    <row r="44" spans="1:6" s="6" customFormat="1" ht="34.5" customHeight="1" thickBot="1">
      <c r="A44" s="238" t="s">
        <v>655</v>
      </c>
      <c r="B44" s="1013"/>
      <c r="C44" s="1144"/>
      <c r="D44" s="1145"/>
      <c r="E44" s="1141"/>
      <c r="F44" s="143" t="s">
        <v>698</v>
      </c>
    </row>
    <row r="45" spans="1:6" s="18" customFormat="1" ht="21" customHeight="1">
      <c r="A45" s="1138" t="s">
        <v>467</v>
      </c>
      <c r="B45" s="1138"/>
      <c r="C45" s="1138"/>
      <c r="D45" s="1138"/>
      <c r="E45" s="1138"/>
      <c r="F45" s="1138"/>
    </row>
    <row r="46" spans="1:6" s="6" customFormat="1" ht="21" customHeight="1">
      <c r="A46" s="246" t="s">
        <v>678</v>
      </c>
      <c r="B46" s="252" t="s">
        <v>468</v>
      </c>
      <c r="C46" s="235"/>
      <c r="D46" s="235">
        <v>10000000</v>
      </c>
      <c r="E46" s="247">
        <v>10000000</v>
      </c>
      <c r="F46" s="272">
        <f aca="true" t="shared" si="1" ref="F46:F58">E46/D46*100</f>
        <v>100</v>
      </c>
    </row>
    <row r="47" spans="1:6" s="6" customFormat="1" ht="21" customHeight="1">
      <c r="A47" s="246" t="s">
        <v>679</v>
      </c>
      <c r="B47" s="252" t="s">
        <v>469</v>
      </c>
      <c r="C47" s="235"/>
      <c r="D47" s="235"/>
      <c r="E47" s="247">
        <v>4878390</v>
      </c>
      <c r="F47" s="272"/>
    </row>
    <row r="48" spans="1:6" s="6" customFormat="1" ht="21" customHeight="1">
      <c r="A48" s="246" t="s">
        <v>347</v>
      </c>
      <c r="B48" s="242" t="s">
        <v>470</v>
      </c>
      <c r="C48" s="503"/>
      <c r="D48" s="235"/>
      <c r="E48" s="247"/>
      <c r="F48" s="272"/>
    </row>
    <row r="49" spans="1:6" s="6" customFormat="1" ht="31.5" customHeight="1">
      <c r="A49" s="246" t="s">
        <v>348</v>
      </c>
      <c r="B49" s="253" t="s">
        <v>471</v>
      </c>
      <c r="C49" s="506">
        <v>62000</v>
      </c>
      <c r="D49" s="235">
        <v>62000</v>
      </c>
      <c r="E49" s="247">
        <v>45300</v>
      </c>
      <c r="F49" s="272">
        <f t="shared" si="1"/>
        <v>73.06451612903226</v>
      </c>
    </row>
    <row r="50" spans="1:6" s="6" customFormat="1" ht="21" customHeight="1">
      <c r="A50" s="246" t="s">
        <v>349</v>
      </c>
      <c r="B50" s="39" t="s">
        <v>472</v>
      </c>
      <c r="C50" s="247"/>
      <c r="D50" s="235"/>
      <c r="E50" s="247"/>
      <c r="F50" s="272"/>
    </row>
    <row r="51" spans="1:6" s="6" customFormat="1" ht="34.5" customHeight="1">
      <c r="A51" s="243" t="s">
        <v>350</v>
      </c>
      <c r="B51" s="244" t="s">
        <v>701</v>
      </c>
      <c r="C51" s="245">
        <f>SUM(C46:C50)</f>
        <v>62000</v>
      </c>
      <c r="D51" s="245">
        <f>SUM(D46:D50)</f>
        <v>10062000</v>
      </c>
      <c r="E51" s="245">
        <f>SUM(E46:E50)</f>
        <v>14923690</v>
      </c>
      <c r="F51" s="273">
        <f t="shared" si="1"/>
        <v>148.31733253826278</v>
      </c>
    </row>
    <row r="52" spans="1:6" s="6" customFormat="1" ht="21" customHeight="1">
      <c r="A52" s="246" t="s">
        <v>351</v>
      </c>
      <c r="B52" s="252" t="s">
        <v>726</v>
      </c>
      <c r="C52" s="235">
        <v>2848000</v>
      </c>
      <c r="D52" s="235">
        <v>8644810</v>
      </c>
      <c r="E52" s="247">
        <v>4707773</v>
      </c>
      <c r="F52" s="272">
        <f t="shared" si="1"/>
        <v>54.45779606492219</v>
      </c>
    </row>
    <row r="53" spans="1:6" s="6" customFormat="1" ht="21" customHeight="1">
      <c r="A53" s="246" t="s">
        <v>352</v>
      </c>
      <c r="B53" s="252" t="s">
        <v>473</v>
      </c>
      <c r="C53" s="235">
        <v>23205000</v>
      </c>
      <c r="D53" s="235">
        <v>33630000</v>
      </c>
      <c r="E53" s="247">
        <v>23154990</v>
      </c>
      <c r="F53" s="272">
        <f t="shared" si="1"/>
        <v>68.8521855486173</v>
      </c>
    </row>
    <row r="54" spans="1:6" s="6" customFormat="1" ht="21" customHeight="1">
      <c r="A54" s="246" t="s">
        <v>353</v>
      </c>
      <c r="B54" s="242" t="s">
        <v>474</v>
      </c>
      <c r="C54" s="503"/>
      <c r="D54" s="235"/>
      <c r="E54" s="247"/>
      <c r="F54" s="272"/>
    </row>
    <row r="55" spans="1:6" s="6" customFormat="1" ht="21" customHeight="1">
      <c r="A55" s="246" t="s">
        <v>354</v>
      </c>
      <c r="B55" s="249" t="s">
        <v>475</v>
      </c>
      <c r="C55" s="505">
        <v>600000</v>
      </c>
      <c r="D55" s="235">
        <v>1200000</v>
      </c>
      <c r="E55" s="247">
        <v>600000</v>
      </c>
      <c r="F55" s="272">
        <f t="shared" si="1"/>
        <v>50</v>
      </c>
    </row>
    <row r="56" spans="1:7" s="232" customFormat="1" ht="33" customHeight="1" thickBot="1">
      <c r="A56" s="243" t="s">
        <v>355</v>
      </c>
      <c r="B56" s="244" t="s">
        <v>704</v>
      </c>
      <c r="C56" s="245">
        <f>SUM(C52:C55)</f>
        <v>26653000</v>
      </c>
      <c r="D56" s="245">
        <f>SUM(D52:D55)</f>
        <v>43474810</v>
      </c>
      <c r="E56" s="245">
        <f>SUM(E52:E55)</f>
        <v>28462763</v>
      </c>
      <c r="F56" s="274">
        <f t="shared" si="1"/>
        <v>65.4695512182802</v>
      </c>
      <c r="G56" s="254"/>
    </row>
    <row r="57" spans="1:6" s="232" customFormat="1" ht="33" customHeight="1" thickBot="1">
      <c r="A57" s="255" t="s">
        <v>356</v>
      </c>
      <c r="B57" s="256" t="s">
        <v>702</v>
      </c>
      <c r="C57" s="257">
        <f>C24+C51</f>
        <v>47343021</v>
      </c>
      <c r="D57" s="257">
        <f>D24+D51</f>
        <v>60235609</v>
      </c>
      <c r="E57" s="257">
        <f>E24+E51</f>
        <v>63199890</v>
      </c>
      <c r="F57" s="275">
        <f t="shared" si="1"/>
        <v>104.92114390343426</v>
      </c>
    </row>
    <row r="58" spans="1:7" s="232" customFormat="1" ht="33" customHeight="1" thickBot="1">
      <c r="A58" s="255" t="s">
        <v>357</v>
      </c>
      <c r="B58" s="256" t="s">
        <v>703</v>
      </c>
      <c r="C58" s="257">
        <f>C35+C56</f>
        <v>74465021</v>
      </c>
      <c r="D58" s="257">
        <f>D35+D56</f>
        <v>129320850</v>
      </c>
      <c r="E58" s="257">
        <f>E35+E56</f>
        <v>71372685</v>
      </c>
      <c r="F58" s="276">
        <f t="shared" si="1"/>
        <v>55.19039273249441</v>
      </c>
      <c r="G58" s="254"/>
    </row>
    <row r="59" spans="1:7" s="232" customFormat="1" ht="12.75">
      <c r="A59" s="258"/>
      <c r="B59" s="259"/>
      <c r="C59" s="507"/>
      <c r="D59" s="260"/>
      <c r="E59" s="260"/>
      <c r="F59" s="260"/>
      <c r="G59" s="261"/>
    </row>
    <row r="60" spans="1:6" s="18" customFormat="1" ht="20.25" customHeight="1">
      <c r="A60" s="1137" t="s">
        <v>708</v>
      </c>
      <c r="B60" s="1137"/>
      <c r="C60" s="1137"/>
      <c r="D60" s="1137"/>
      <c r="E60" s="1137"/>
      <c r="F60" s="1137"/>
    </row>
    <row r="61" spans="1:6" s="6" customFormat="1" ht="12.75">
      <c r="A61" s="239" t="s">
        <v>358</v>
      </c>
      <c r="B61" s="262" t="s">
        <v>8</v>
      </c>
      <c r="C61" s="508"/>
      <c r="D61" s="241"/>
      <c r="E61" s="509"/>
      <c r="F61" s="272"/>
    </row>
    <row r="62" spans="1:6" s="6" customFormat="1" ht="20.25" customHeight="1">
      <c r="A62" s="239" t="s">
        <v>359</v>
      </c>
      <c r="B62" s="264" t="s">
        <v>476</v>
      </c>
      <c r="C62" s="510">
        <v>28261077</v>
      </c>
      <c r="D62" s="241">
        <v>70404000</v>
      </c>
      <c r="E62" s="509">
        <v>70404000</v>
      </c>
      <c r="F62" s="272">
        <f>E62/D62*100</f>
        <v>100</v>
      </c>
    </row>
    <row r="63" spans="1:6" s="6" customFormat="1" ht="20.25" customHeight="1">
      <c r="A63" s="239" t="s">
        <v>350</v>
      </c>
      <c r="B63" s="264" t="s">
        <v>11</v>
      </c>
      <c r="C63" s="510"/>
      <c r="D63" s="241">
        <v>1121209</v>
      </c>
      <c r="E63" s="509">
        <v>1121209</v>
      </c>
      <c r="F63" s="272">
        <f>E63/D63*100</f>
        <v>100</v>
      </c>
    </row>
    <row r="64" spans="1:6" s="268" customFormat="1" ht="32.25" customHeight="1">
      <c r="A64" s="243" t="s">
        <v>361</v>
      </c>
      <c r="B64" s="244" t="s">
        <v>484</v>
      </c>
      <c r="C64" s="245">
        <f>SUM(C61:C63)</f>
        <v>28261077</v>
      </c>
      <c r="D64" s="271">
        <f>SUM(D61:D63)</f>
        <v>71525209</v>
      </c>
      <c r="E64" s="271">
        <f>SUM(E61:E63)</f>
        <v>71525209</v>
      </c>
      <c r="F64" s="273">
        <f>E64/D64*100</f>
        <v>100</v>
      </c>
    </row>
    <row r="65" spans="1:6" s="6" customFormat="1" ht="12.75">
      <c r="A65" s="239" t="s">
        <v>362</v>
      </c>
      <c r="B65" s="264" t="s">
        <v>477</v>
      </c>
      <c r="C65" s="510"/>
      <c r="D65" s="241"/>
      <c r="E65" s="509"/>
      <c r="F65" s="263"/>
    </row>
    <row r="66" spans="1:6" s="6" customFormat="1" ht="12.75">
      <c r="A66" s="239" t="s">
        <v>32</v>
      </c>
      <c r="B66" s="264" t="s">
        <v>478</v>
      </c>
      <c r="C66" s="510"/>
      <c r="D66" s="241"/>
      <c r="E66" s="509"/>
      <c r="F66" s="263"/>
    </row>
    <row r="67" spans="1:6" s="6" customFormat="1" ht="12.75">
      <c r="A67" s="246" t="s">
        <v>33</v>
      </c>
      <c r="B67" s="264" t="s">
        <v>479</v>
      </c>
      <c r="C67" s="510">
        <v>1139077</v>
      </c>
      <c r="D67" s="241">
        <v>2439968</v>
      </c>
      <c r="E67" s="509">
        <v>1318759</v>
      </c>
      <c r="F67" s="272">
        <f>E67/D67*100</f>
        <v>54.04820882896825</v>
      </c>
    </row>
    <row r="68" spans="1:6" s="268" customFormat="1" ht="32.25" customHeight="1" thickBot="1">
      <c r="A68" s="265" t="s">
        <v>34</v>
      </c>
      <c r="B68" s="266" t="s">
        <v>485</v>
      </c>
      <c r="C68" s="267">
        <f>SUM(C65:C67)</f>
        <v>1139077</v>
      </c>
      <c r="D68" s="267">
        <f>SUM(D65:D67)</f>
        <v>2439968</v>
      </c>
      <c r="E68" s="267">
        <f>SUM(E65:E67)</f>
        <v>1318759</v>
      </c>
      <c r="F68" s="273">
        <f>E68/D68*100</f>
        <v>54.04820882896825</v>
      </c>
    </row>
    <row r="69" spans="1:6" s="268" customFormat="1" ht="32.25" customHeight="1" thickBot="1">
      <c r="A69" s="269" t="s">
        <v>35</v>
      </c>
      <c r="B69" s="270" t="s">
        <v>486</v>
      </c>
      <c r="C69" s="511">
        <f>C57+C64</f>
        <v>75604098</v>
      </c>
      <c r="D69" s="511">
        <f>D57+D64</f>
        <v>131760818</v>
      </c>
      <c r="E69" s="511">
        <f>E57+E64</f>
        <v>134725099</v>
      </c>
      <c r="F69" s="276">
        <f>E69/D69*100</f>
        <v>102.24974392614958</v>
      </c>
    </row>
    <row r="70" spans="1:6" s="6" customFormat="1" ht="32.25" customHeight="1" thickBot="1">
      <c r="A70" s="269" t="s">
        <v>36</v>
      </c>
      <c r="B70" s="270" t="s">
        <v>487</v>
      </c>
      <c r="C70" s="511">
        <f>C58+C68</f>
        <v>75604098</v>
      </c>
      <c r="D70" s="511">
        <f>D58+D68</f>
        <v>131760818</v>
      </c>
      <c r="E70" s="511">
        <f>E58+E68</f>
        <v>72691444</v>
      </c>
      <c r="F70" s="276">
        <f>E70/D70*100</f>
        <v>55.16924158743459</v>
      </c>
    </row>
  </sheetData>
  <sheetProtection/>
  <mergeCells count="15">
    <mergeCell ref="B12:B14"/>
    <mergeCell ref="C13:D14"/>
    <mergeCell ref="B42:B44"/>
    <mergeCell ref="A12:A14"/>
    <mergeCell ref="C43:D44"/>
    <mergeCell ref="A8:F8"/>
    <mergeCell ref="A6:F6"/>
    <mergeCell ref="A7:F7"/>
    <mergeCell ref="A2:F2"/>
    <mergeCell ref="A60:F60"/>
    <mergeCell ref="A45:F45"/>
    <mergeCell ref="A15:F15"/>
    <mergeCell ref="A9:F9"/>
    <mergeCell ref="E42:E44"/>
    <mergeCell ref="E12:E14"/>
  </mergeCells>
  <printOptions horizontalCentered="1"/>
  <pageMargins left="0" right="0" top="0.5905511811023623" bottom="0.5905511811023623" header="0.5118110236220472" footer="0.5118110236220472"/>
  <pageSetup horizontalDpi="200" verticalDpi="2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2:G38"/>
  <sheetViews>
    <sheetView zoomScalePageLayoutView="0" workbookViewId="0" topLeftCell="A1">
      <selection activeCell="A4" sqref="A4:B4"/>
    </sheetView>
  </sheetViews>
  <sheetFormatPr defaultColWidth="9.00390625" defaultRowHeight="12.75"/>
  <cols>
    <col min="1" max="1" width="4.75390625" style="14" customWidth="1"/>
    <col min="2" max="2" width="72.00390625" style="14" customWidth="1"/>
    <col min="3" max="3" width="27.125" style="14" customWidth="1"/>
    <col min="4" max="4" width="15.375" style="14" bestFit="1" customWidth="1"/>
    <col min="5" max="5" width="11.375" style="14" bestFit="1" customWidth="1"/>
    <col min="6" max="16384" width="9.125" style="14" customWidth="1"/>
  </cols>
  <sheetData>
    <row r="2" spans="2:3" ht="15.75">
      <c r="B2" s="1106"/>
      <c r="C2" s="1106"/>
    </row>
    <row r="4" spans="1:7" s="67" customFormat="1" ht="12.75">
      <c r="A4" s="1150" t="s">
        <v>1168</v>
      </c>
      <c r="B4" s="1038"/>
      <c r="D4" s="138"/>
      <c r="E4" s="51"/>
      <c r="F4" s="51"/>
      <c r="G4" s="51"/>
    </row>
    <row r="6" spans="2:3" ht="15.75">
      <c r="B6" s="986" t="s">
        <v>741</v>
      </c>
      <c r="C6" s="986"/>
    </row>
    <row r="7" spans="2:3" ht="15.75">
      <c r="B7" s="986" t="s">
        <v>747</v>
      </c>
      <c r="C7" s="986"/>
    </row>
    <row r="8" spans="2:3" ht="15.75">
      <c r="B8" s="986" t="s">
        <v>950</v>
      </c>
      <c r="C8" s="986"/>
    </row>
    <row r="10" ht="16.5" thickBot="1">
      <c r="C10" s="433" t="s">
        <v>1014</v>
      </c>
    </row>
    <row r="11" spans="1:3" ht="15.75">
      <c r="A11" s="1149" t="s">
        <v>1033</v>
      </c>
      <c r="B11" s="1151" t="s">
        <v>748</v>
      </c>
      <c r="C11" s="1151" t="s">
        <v>749</v>
      </c>
    </row>
    <row r="12" spans="1:3" ht="15.75">
      <c r="A12" s="1124"/>
      <c r="B12" s="1152"/>
      <c r="C12" s="1152"/>
    </row>
    <row r="13" spans="1:3" ht="15.75">
      <c r="A13" s="1124"/>
      <c r="B13" s="1152"/>
      <c r="C13" s="1152"/>
    </row>
    <row r="14" spans="1:3" ht="16.5" thickBot="1">
      <c r="A14" s="1125"/>
      <c r="B14" s="1153"/>
      <c r="C14" s="1153"/>
    </row>
    <row r="15" spans="1:3" ht="15.75">
      <c r="A15" s="794"/>
      <c r="B15" s="795"/>
      <c r="C15" s="795"/>
    </row>
    <row r="16" spans="1:2" ht="15.75">
      <c r="A16" s="212" t="s">
        <v>342</v>
      </c>
      <c r="B16" s="12" t="s">
        <v>1021</v>
      </c>
    </row>
    <row r="17" spans="1:4" ht="15.75">
      <c r="A17" s="212" t="s">
        <v>343</v>
      </c>
      <c r="B17" s="14" t="s">
        <v>750</v>
      </c>
      <c r="C17" s="2">
        <v>56977861</v>
      </c>
      <c r="D17" s="2"/>
    </row>
    <row r="18" spans="1:4" ht="15.75">
      <c r="A18" s="212" t="s">
        <v>344</v>
      </c>
      <c r="B18" s="14" t="s">
        <v>751</v>
      </c>
      <c r="C18" s="2"/>
      <c r="D18" s="2"/>
    </row>
    <row r="19" spans="1:4" ht="15.75">
      <c r="A19" s="212" t="s">
        <v>345</v>
      </c>
      <c r="B19" s="14" t="s">
        <v>752</v>
      </c>
      <c r="C19" s="2">
        <v>325895</v>
      </c>
      <c r="D19" s="2"/>
    </row>
    <row r="20" spans="1:4" ht="15.75">
      <c r="A20" s="212" t="s">
        <v>346</v>
      </c>
      <c r="B20" s="14" t="s">
        <v>753</v>
      </c>
      <c r="C20" s="2"/>
      <c r="D20" s="2"/>
    </row>
    <row r="21" spans="1:4" s="12" customFormat="1" ht="15.75">
      <c r="A21" s="796" t="s">
        <v>368</v>
      </c>
      <c r="B21" s="12" t="s">
        <v>754</v>
      </c>
      <c r="C21" s="26">
        <f>SUM(C17:C20)</f>
        <v>57303756</v>
      </c>
      <c r="D21" s="26"/>
    </row>
    <row r="22" spans="1:4" s="12" customFormat="1" ht="15.75">
      <c r="A22" s="796"/>
      <c r="C22" s="26"/>
      <c r="D22" s="26"/>
    </row>
    <row r="23" spans="1:4" s="12" customFormat="1" ht="15.75">
      <c r="A23" s="796" t="s">
        <v>369</v>
      </c>
      <c r="B23" s="12" t="s">
        <v>300</v>
      </c>
      <c r="C23" s="26"/>
      <c r="D23" s="26"/>
    </row>
    <row r="24" spans="1:4" ht="15.75">
      <c r="A24" s="212" t="s">
        <v>370</v>
      </c>
      <c r="B24" s="14" t="s">
        <v>301</v>
      </c>
      <c r="C24" s="2">
        <v>134725099</v>
      </c>
      <c r="D24" s="2"/>
    </row>
    <row r="25" spans="1:4" ht="15.75">
      <c r="A25" s="212" t="s">
        <v>371</v>
      </c>
      <c r="B25" s="14" t="s">
        <v>312</v>
      </c>
      <c r="C25" s="2">
        <v>-70404000</v>
      </c>
      <c r="D25" s="2"/>
    </row>
    <row r="26" spans="1:4" ht="15.75">
      <c r="A26" s="212" t="s">
        <v>668</v>
      </c>
      <c r="B26" s="477" t="s">
        <v>302</v>
      </c>
      <c r="C26" s="476">
        <f>C24+C25</f>
        <v>64321099</v>
      </c>
      <c r="D26" s="2"/>
    </row>
    <row r="27" spans="1:4" ht="15.75">
      <c r="A27" s="796" t="s">
        <v>669</v>
      </c>
      <c r="B27" s="12" t="s">
        <v>303</v>
      </c>
      <c r="C27" s="26"/>
      <c r="D27" s="2"/>
    </row>
    <row r="28" spans="1:4" ht="15.75">
      <c r="A28" s="212" t="s">
        <v>700</v>
      </c>
      <c r="B28" s="14" t="s">
        <v>304</v>
      </c>
      <c r="C28" s="2">
        <v>72691444</v>
      </c>
      <c r="D28" s="2"/>
    </row>
    <row r="29" spans="1:4" ht="31.5">
      <c r="A29" s="212" t="s">
        <v>670</v>
      </c>
      <c r="B29" s="475" t="s">
        <v>305</v>
      </c>
      <c r="C29" s="2">
        <v>1098160</v>
      </c>
      <c r="D29" s="2"/>
    </row>
    <row r="30" spans="1:5" ht="15.75">
      <c r="A30" s="796" t="s">
        <v>671</v>
      </c>
      <c r="B30" s="477" t="s">
        <v>755</v>
      </c>
      <c r="C30" s="476">
        <f>C28-C29</f>
        <v>71593284</v>
      </c>
      <c r="D30" s="2"/>
      <c r="E30" s="83"/>
    </row>
    <row r="31" spans="1:5" ht="15.75">
      <c r="A31" s="212"/>
      <c r="B31" s="477"/>
      <c r="C31" s="476"/>
      <c r="D31" s="2"/>
      <c r="E31" s="83"/>
    </row>
    <row r="32" spans="1:4" s="12" customFormat="1" ht="15.75">
      <c r="A32" s="796" t="s">
        <v>672</v>
      </c>
      <c r="B32" s="12" t="s">
        <v>1022</v>
      </c>
      <c r="C32" s="26"/>
      <c r="D32" s="26"/>
    </row>
    <row r="33" spans="1:4" ht="15.75">
      <c r="A33" s="212" t="s">
        <v>674</v>
      </c>
      <c r="B33" s="14" t="s">
        <v>750</v>
      </c>
      <c r="C33" s="2">
        <v>49852311</v>
      </c>
      <c r="D33" s="2"/>
    </row>
    <row r="34" spans="1:4" ht="15.75">
      <c r="A34" s="212" t="s">
        <v>675</v>
      </c>
      <c r="B34" s="14" t="s">
        <v>751</v>
      </c>
      <c r="C34" s="2"/>
      <c r="D34" s="2"/>
    </row>
    <row r="35" spans="1:5" ht="15.75">
      <c r="A35" s="212" t="s">
        <v>676</v>
      </c>
      <c r="B35" s="14" t="s">
        <v>752</v>
      </c>
      <c r="C35" s="2">
        <v>179260</v>
      </c>
      <c r="D35" s="2"/>
      <c r="E35" s="83"/>
    </row>
    <row r="36" spans="1:4" ht="15.75">
      <c r="A36" s="212" t="s">
        <v>677</v>
      </c>
      <c r="B36" s="14" t="s">
        <v>753</v>
      </c>
      <c r="C36" s="2"/>
      <c r="D36" s="2"/>
    </row>
    <row r="37" spans="1:4" s="12" customFormat="1" ht="15.75">
      <c r="A37" s="796" t="s">
        <v>678</v>
      </c>
      <c r="B37" s="12" t="s">
        <v>756</v>
      </c>
      <c r="C37" s="26">
        <f>C21+C26-C30</f>
        <v>50031571</v>
      </c>
      <c r="D37" s="26"/>
    </row>
    <row r="38" ht="15.75">
      <c r="C38" s="2"/>
    </row>
  </sheetData>
  <sheetProtection/>
  <mergeCells count="8">
    <mergeCell ref="A11:A14"/>
    <mergeCell ref="A4:B4"/>
    <mergeCell ref="B11:B14"/>
    <mergeCell ref="C11:C14"/>
    <mergeCell ref="B2:C2"/>
    <mergeCell ref="B6:C6"/>
    <mergeCell ref="B7:C7"/>
    <mergeCell ref="B8:C8"/>
  </mergeCells>
  <printOptions horizontalCentered="1"/>
  <pageMargins left="0.07874015748031496" right="0.11811023622047245" top="0" bottom="0" header="0.5118110236220472" footer="0.5118110236220472"/>
  <pageSetup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2:M30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625" style="286" customWidth="1"/>
    <col min="2" max="2" width="3.25390625" style="57" customWidth="1"/>
    <col min="3" max="3" width="3.875" style="57" customWidth="1"/>
    <col min="4" max="4" width="3.625" style="57" customWidth="1"/>
    <col min="5" max="5" width="2.625" style="57" customWidth="1"/>
    <col min="6" max="6" width="3.625" style="279" customWidth="1"/>
    <col min="7" max="7" width="42.625" style="57" customWidth="1"/>
    <col min="8" max="8" width="16.875" style="57" customWidth="1"/>
    <col min="9" max="9" width="10.625" style="57" customWidth="1"/>
    <col min="10" max="10" width="17.375" style="57" customWidth="1"/>
    <col min="11" max="12" width="9.125" style="57" customWidth="1"/>
    <col min="13" max="13" width="11.25390625" style="57" bestFit="1" customWidth="1"/>
    <col min="14" max="16384" width="9.125" style="57" customWidth="1"/>
  </cols>
  <sheetData>
    <row r="2" spans="1:10" ht="12.75">
      <c r="A2" s="1157"/>
      <c r="B2" s="1157"/>
      <c r="C2" s="1157"/>
      <c r="D2" s="1157"/>
      <c r="E2" s="1157"/>
      <c r="F2" s="1157"/>
      <c r="G2" s="1157"/>
      <c r="H2" s="1157"/>
      <c r="I2" s="1157"/>
      <c r="J2" s="1157"/>
    </row>
    <row r="3" spans="1:10" ht="12.75">
      <c r="A3" s="1157"/>
      <c r="B3" s="1157"/>
      <c r="C3" s="1157"/>
      <c r="D3" s="1157"/>
      <c r="E3" s="1157"/>
      <c r="F3" s="1157"/>
      <c r="G3" s="1157"/>
      <c r="H3" s="1157"/>
      <c r="I3" s="1157"/>
      <c r="J3" s="1157"/>
    </row>
    <row r="4" spans="1:6" s="67" customFormat="1" ht="12.75">
      <c r="A4" s="234" t="s">
        <v>1169</v>
      </c>
      <c r="C4" s="138"/>
      <c r="D4" s="51"/>
      <c r="E4" s="51"/>
      <c r="F4" s="51"/>
    </row>
    <row r="6" spans="1:10" s="1" customFormat="1" ht="15.75">
      <c r="A6" s="1173" t="s">
        <v>568</v>
      </c>
      <c r="B6" s="1173"/>
      <c r="C6" s="1173"/>
      <c r="D6" s="1173"/>
      <c r="E6" s="1173"/>
      <c r="F6" s="1173"/>
      <c r="G6" s="1173"/>
      <c r="H6" s="1173"/>
      <c r="I6" s="1173"/>
      <c r="J6" s="1173"/>
    </row>
    <row r="7" spans="1:10" s="1" customFormat="1" ht="15.75">
      <c r="A7" s="1173" t="s">
        <v>313</v>
      </c>
      <c r="B7" s="1173"/>
      <c r="C7" s="1173"/>
      <c r="D7" s="1173"/>
      <c r="E7" s="1173"/>
      <c r="F7" s="1173"/>
      <c r="G7" s="1173"/>
      <c r="H7" s="1173"/>
      <c r="I7" s="1173"/>
      <c r="J7" s="1173"/>
    </row>
    <row r="8" spans="1:10" s="1" customFormat="1" ht="15.75">
      <c r="A8" s="1173" t="s">
        <v>950</v>
      </c>
      <c r="B8" s="1173"/>
      <c r="C8" s="1173"/>
      <c r="D8" s="1173"/>
      <c r="E8" s="1173"/>
      <c r="F8" s="1173"/>
      <c r="G8" s="1173"/>
      <c r="H8" s="1173"/>
      <c r="I8" s="1173"/>
      <c r="J8" s="1173"/>
    </row>
    <row r="9" spans="1:10" s="1" customFormat="1" ht="15.75">
      <c r="A9" s="302"/>
      <c r="B9" s="278"/>
      <c r="C9" s="278"/>
      <c r="D9" s="278"/>
      <c r="E9" s="278"/>
      <c r="F9" s="278"/>
      <c r="G9" s="278"/>
      <c r="H9" s="278"/>
      <c r="I9" s="278"/>
      <c r="J9" s="278"/>
    </row>
    <row r="10" ht="14.25" customHeight="1" thickBot="1">
      <c r="J10" s="280" t="s">
        <v>1015</v>
      </c>
    </row>
    <row r="11" spans="1:10" s="37" customFormat="1" ht="15" customHeight="1">
      <c r="A11" s="1174" t="s">
        <v>567</v>
      </c>
      <c r="B11" s="1176" t="s">
        <v>653</v>
      </c>
      <c r="C11" s="1176"/>
      <c r="D11" s="1176"/>
      <c r="E11" s="1176"/>
      <c r="F11" s="1176"/>
      <c r="G11" s="1177"/>
      <c r="H11" s="1161" t="s">
        <v>363</v>
      </c>
      <c r="I11" s="1161" t="s">
        <v>364</v>
      </c>
      <c r="J11" s="1155" t="s">
        <v>365</v>
      </c>
    </row>
    <row r="12" spans="1:10" s="37" customFormat="1" ht="13.5" thickBot="1">
      <c r="A12" s="1175"/>
      <c r="B12" s="1178"/>
      <c r="C12" s="1178"/>
      <c r="D12" s="1178"/>
      <c r="E12" s="1178"/>
      <c r="F12" s="1178"/>
      <c r="G12" s="1179"/>
      <c r="H12" s="1162"/>
      <c r="I12" s="1162"/>
      <c r="J12" s="1156"/>
    </row>
    <row r="13" spans="1:11" s="309" customFormat="1" ht="15.75">
      <c r="A13" s="1164" t="s">
        <v>340</v>
      </c>
      <c r="B13" s="1164"/>
      <c r="C13" s="1164"/>
      <c r="D13" s="1164"/>
      <c r="E13" s="1164"/>
      <c r="F13" s="1164"/>
      <c r="G13" s="1164"/>
      <c r="K13" s="310"/>
    </row>
    <row r="14" spans="1:11" s="350" customFormat="1" ht="32.25" customHeight="1">
      <c r="A14" s="348"/>
      <c r="B14" s="353" t="s">
        <v>381</v>
      </c>
      <c r="C14" s="1160" t="s">
        <v>603</v>
      </c>
      <c r="D14" s="1160"/>
      <c r="E14" s="1160"/>
      <c r="F14" s="1160"/>
      <c r="G14" s="1160"/>
      <c r="K14" s="351"/>
    </row>
    <row r="15" spans="1:11" s="350" customFormat="1" ht="15">
      <c r="A15" s="348"/>
      <c r="B15" s="348"/>
      <c r="C15" s="352" t="s">
        <v>740</v>
      </c>
      <c r="D15" s="354" t="s">
        <v>366</v>
      </c>
      <c r="E15" s="349"/>
      <c r="F15" s="349"/>
      <c r="G15" s="349"/>
      <c r="K15" s="351"/>
    </row>
    <row r="16" spans="1:11" ht="12.75">
      <c r="A16" s="286" t="s">
        <v>342</v>
      </c>
      <c r="B16" s="57" t="s">
        <v>733</v>
      </c>
      <c r="C16" s="280" t="s">
        <v>740</v>
      </c>
      <c r="D16" s="280" t="s">
        <v>658</v>
      </c>
      <c r="E16" s="280"/>
      <c r="F16" s="57" t="s">
        <v>497</v>
      </c>
      <c r="H16" s="51"/>
      <c r="I16" s="51"/>
      <c r="J16" s="51"/>
      <c r="K16" s="279"/>
    </row>
    <row r="17" spans="1:11" ht="12.75">
      <c r="A17" s="286" t="s">
        <v>343</v>
      </c>
      <c r="B17" s="57" t="s">
        <v>733</v>
      </c>
      <c r="C17" s="280" t="s">
        <v>740</v>
      </c>
      <c r="D17" s="280" t="s">
        <v>659</v>
      </c>
      <c r="E17" s="280"/>
      <c r="F17" s="57" t="s">
        <v>498</v>
      </c>
      <c r="H17" s="51">
        <v>98108</v>
      </c>
      <c r="I17" s="51"/>
      <c r="J17" s="51">
        <v>296642</v>
      </c>
      <c r="K17" s="279"/>
    </row>
    <row r="18" spans="1:11" ht="13.5" thickBot="1">
      <c r="A18" s="286" t="s">
        <v>344</v>
      </c>
      <c r="B18" s="57" t="s">
        <v>733</v>
      </c>
      <c r="C18" s="280" t="s">
        <v>740</v>
      </c>
      <c r="D18" s="280" t="s">
        <v>660</v>
      </c>
      <c r="E18" s="280"/>
      <c r="F18" s="57" t="s">
        <v>499</v>
      </c>
      <c r="H18" s="221"/>
      <c r="I18" s="221"/>
      <c r="J18" s="221"/>
      <c r="K18" s="279"/>
    </row>
    <row r="19" spans="1:11" s="281" customFormat="1" ht="13.5" thickBot="1">
      <c r="A19" s="423" t="s">
        <v>345</v>
      </c>
      <c r="B19" s="81" t="s">
        <v>733</v>
      </c>
      <c r="C19" s="285" t="s">
        <v>740</v>
      </c>
      <c r="D19" s="285"/>
      <c r="E19" s="285"/>
      <c r="F19" s="284" t="s">
        <v>366</v>
      </c>
      <c r="G19" s="289"/>
      <c r="H19" s="93">
        <f>SUM(H16:H18)</f>
        <v>98108</v>
      </c>
      <c r="I19" s="93"/>
      <c r="J19" s="93">
        <f>J17</f>
        <v>296642</v>
      </c>
      <c r="K19" s="288"/>
    </row>
    <row r="20" spans="1:11" s="350" customFormat="1" ht="15">
      <c r="A20" s="348"/>
      <c r="B20" s="348"/>
      <c r="C20" s="352" t="s">
        <v>500</v>
      </c>
      <c r="D20" s="354" t="s">
        <v>372</v>
      </c>
      <c r="E20" s="349"/>
      <c r="F20" s="349"/>
      <c r="G20" s="349"/>
      <c r="K20" s="351"/>
    </row>
    <row r="21" spans="1:11" ht="12.75">
      <c r="A21" s="286" t="s">
        <v>346</v>
      </c>
      <c r="B21" s="57" t="s">
        <v>733</v>
      </c>
      <c r="C21" s="280" t="s">
        <v>500</v>
      </c>
      <c r="D21" s="280" t="s">
        <v>658</v>
      </c>
      <c r="E21" s="280"/>
      <c r="F21" s="57" t="s">
        <v>501</v>
      </c>
      <c r="H21" s="51">
        <v>575109218</v>
      </c>
      <c r="I21" s="51"/>
      <c r="J21" s="221">
        <v>575781179</v>
      </c>
      <c r="K21" s="279"/>
    </row>
    <row r="22" spans="1:11" ht="12.75">
      <c r="A22" s="286" t="s">
        <v>368</v>
      </c>
      <c r="B22" s="57" t="s">
        <v>733</v>
      </c>
      <c r="C22" s="280" t="s">
        <v>500</v>
      </c>
      <c r="D22" s="280" t="s">
        <v>659</v>
      </c>
      <c r="E22" s="280"/>
      <c r="F22" s="57" t="s">
        <v>367</v>
      </c>
      <c r="H22" s="51">
        <v>7810720</v>
      </c>
      <c r="I22" s="51"/>
      <c r="J22" s="221">
        <v>5978379</v>
      </c>
      <c r="K22" s="279"/>
    </row>
    <row r="23" spans="1:11" ht="12.75">
      <c r="A23" s="303" t="s">
        <v>369</v>
      </c>
      <c r="B23" s="57" t="s">
        <v>733</v>
      </c>
      <c r="C23" s="280" t="s">
        <v>500</v>
      </c>
      <c r="D23" s="280" t="s">
        <v>660</v>
      </c>
      <c r="E23" s="280"/>
      <c r="F23" s="57" t="s">
        <v>502</v>
      </c>
      <c r="H23" s="51"/>
      <c r="I23" s="51"/>
      <c r="J23" s="221"/>
      <c r="K23" s="279"/>
    </row>
    <row r="24" spans="1:11" ht="12.75">
      <c r="A24" s="303" t="s">
        <v>370</v>
      </c>
      <c r="B24" s="57" t="s">
        <v>733</v>
      </c>
      <c r="C24" s="280" t="s">
        <v>500</v>
      </c>
      <c r="D24" s="280" t="s">
        <v>661</v>
      </c>
      <c r="E24" s="280"/>
      <c r="F24" s="57" t="s">
        <v>503</v>
      </c>
      <c r="H24" s="51">
        <v>4175800</v>
      </c>
      <c r="I24" s="51"/>
      <c r="J24" s="221">
        <v>4175800</v>
      </c>
      <c r="K24" s="279"/>
    </row>
    <row r="25" spans="1:11" ht="13.5" thickBot="1">
      <c r="A25" s="286" t="s">
        <v>371</v>
      </c>
      <c r="B25" s="57" t="s">
        <v>733</v>
      </c>
      <c r="C25" s="280" t="s">
        <v>500</v>
      </c>
      <c r="D25" s="280" t="s">
        <v>662</v>
      </c>
      <c r="E25" s="280"/>
      <c r="F25" s="57" t="s">
        <v>504</v>
      </c>
      <c r="H25" s="51"/>
      <c r="I25" s="51"/>
      <c r="J25" s="221"/>
      <c r="K25" s="279"/>
    </row>
    <row r="26" spans="1:11" s="281" customFormat="1" ht="13.5" thickBot="1">
      <c r="A26" s="423" t="s">
        <v>668</v>
      </c>
      <c r="B26" s="81" t="s">
        <v>733</v>
      </c>
      <c r="C26" s="285" t="s">
        <v>500</v>
      </c>
      <c r="D26" s="285"/>
      <c r="E26" s="285"/>
      <c r="F26" s="284" t="s">
        <v>372</v>
      </c>
      <c r="G26" s="289"/>
      <c r="H26" s="93">
        <f>SUM(H21:H25)</f>
        <v>587095738</v>
      </c>
      <c r="I26" s="93"/>
      <c r="J26" s="93">
        <f>SUM(J21:J25)</f>
        <v>585935358</v>
      </c>
      <c r="K26" s="288"/>
    </row>
    <row r="27" spans="1:11" s="350" customFormat="1" ht="19.5" customHeight="1">
      <c r="A27" s="348"/>
      <c r="B27" s="348"/>
      <c r="C27" s="352" t="s">
        <v>505</v>
      </c>
      <c r="D27" s="354" t="s">
        <v>506</v>
      </c>
      <c r="E27" s="349"/>
      <c r="F27" s="349"/>
      <c r="G27" s="349"/>
      <c r="K27" s="351"/>
    </row>
    <row r="28" spans="1:11" ht="12.75">
      <c r="A28" s="286" t="s">
        <v>669</v>
      </c>
      <c r="B28" s="280" t="s">
        <v>733</v>
      </c>
      <c r="C28" s="280" t="s">
        <v>505</v>
      </c>
      <c r="D28" s="280" t="s">
        <v>658</v>
      </c>
      <c r="F28" s="57" t="s">
        <v>373</v>
      </c>
      <c r="H28" s="51">
        <v>1845000</v>
      </c>
      <c r="I28" s="51"/>
      <c r="J28" s="221">
        <v>1845000</v>
      </c>
      <c r="K28" s="279"/>
    </row>
    <row r="29" spans="1:11" ht="12.75">
      <c r="A29" s="286" t="s">
        <v>700</v>
      </c>
      <c r="B29" s="57" t="s">
        <v>733</v>
      </c>
      <c r="C29" s="280" t="s">
        <v>505</v>
      </c>
      <c r="D29" s="280" t="s">
        <v>658</v>
      </c>
      <c r="E29" s="280" t="s">
        <v>761</v>
      </c>
      <c r="F29" s="57" t="s">
        <v>634</v>
      </c>
      <c r="G29" s="57" t="s">
        <v>374</v>
      </c>
      <c r="H29" s="221"/>
      <c r="I29" s="221"/>
      <c r="J29" s="221"/>
      <c r="K29" s="279"/>
    </row>
    <row r="30" spans="1:11" ht="12.75">
      <c r="A30" s="286" t="s">
        <v>670</v>
      </c>
      <c r="B30" s="57" t="s">
        <v>733</v>
      </c>
      <c r="C30" s="280" t="s">
        <v>505</v>
      </c>
      <c r="D30" s="280" t="s">
        <v>658</v>
      </c>
      <c r="E30" s="280" t="s">
        <v>762</v>
      </c>
      <c r="F30" s="57"/>
      <c r="G30" s="57" t="s">
        <v>375</v>
      </c>
      <c r="H30" s="221"/>
      <c r="I30" s="221"/>
      <c r="J30" s="221"/>
      <c r="K30" s="279"/>
    </row>
    <row r="31" spans="1:11" ht="12.75">
      <c r="A31" s="286" t="s">
        <v>671</v>
      </c>
      <c r="B31" s="57" t="s">
        <v>733</v>
      </c>
      <c r="C31" s="280" t="s">
        <v>505</v>
      </c>
      <c r="D31" s="280" t="s">
        <v>659</v>
      </c>
      <c r="E31" s="280"/>
      <c r="F31" s="57" t="s">
        <v>376</v>
      </c>
      <c r="H31" s="221"/>
      <c r="I31" s="221"/>
      <c r="J31" s="221"/>
      <c r="K31" s="279"/>
    </row>
    <row r="32" spans="1:11" ht="12.75">
      <c r="A32" s="286" t="s">
        <v>672</v>
      </c>
      <c r="B32" s="57" t="s">
        <v>733</v>
      </c>
      <c r="C32" s="280" t="s">
        <v>505</v>
      </c>
      <c r="D32" s="280" t="s">
        <v>659</v>
      </c>
      <c r="E32" s="280" t="s">
        <v>761</v>
      </c>
      <c r="F32" s="57"/>
      <c r="G32" s="57" t="s">
        <v>377</v>
      </c>
      <c r="H32" s="221"/>
      <c r="I32" s="221"/>
      <c r="J32" s="221"/>
      <c r="K32" s="279"/>
    </row>
    <row r="33" spans="1:11" ht="12.75">
      <c r="A33" s="286" t="s">
        <v>674</v>
      </c>
      <c r="B33" s="57" t="s">
        <v>733</v>
      </c>
      <c r="C33" s="280" t="s">
        <v>505</v>
      </c>
      <c r="D33" s="280" t="s">
        <v>659</v>
      </c>
      <c r="E33" s="280" t="s">
        <v>762</v>
      </c>
      <c r="F33" s="57"/>
      <c r="G33" s="57" t="s">
        <v>378</v>
      </c>
      <c r="H33" s="221"/>
      <c r="I33" s="221"/>
      <c r="J33" s="221"/>
      <c r="K33" s="279"/>
    </row>
    <row r="34" spans="1:11" ht="13.5" thickBot="1">
      <c r="A34" s="286" t="s">
        <v>675</v>
      </c>
      <c r="B34" s="57" t="s">
        <v>733</v>
      </c>
      <c r="C34" s="280" t="s">
        <v>505</v>
      </c>
      <c r="D34" s="280" t="s">
        <v>660</v>
      </c>
      <c r="E34" s="280"/>
      <c r="F34" s="57" t="s">
        <v>507</v>
      </c>
      <c r="H34" s="221"/>
      <c r="I34" s="221"/>
      <c r="J34" s="221"/>
      <c r="K34" s="279"/>
    </row>
    <row r="35" spans="1:11" s="281" customFormat="1" ht="13.5" thickBot="1">
      <c r="A35" s="423" t="s">
        <v>676</v>
      </c>
      <c r="B35" s="81" t="s">
        <v>733</v>
      </c>
      <c r="C35" s="285" t="s">
        <v>505</v>
      </c>
      <c r="D35" s="285"/>
      <c r="E35" s="285"/>
      <c r="F35" s="284" t="s">
        <v>506</v>
      </c>
      <c r="G35" s="289"/>
      <c r="H35" s="93">
        <f>SUM(H28+H31+H34)</f>
        <v>1845000</v>
      </c>
      <c r="I35" s="93"/>
      <c r="J35" s="93">
        <f>SUM(J28+J31+J34)</f>
        <v>1845000</v>
      </c>
      <c r="K35" s="288"/>
    </row>
    <row r="36" spans="1:11" s="350" customFormat="1" ht="19.5" customHeight="1">
      <c r="A36" s="348"/>
      <c r="B36" s="348"/>
      <c r="C36" s="352" t="s">
        <v>508</v>
      </c>
      <c r="D36" s="354" t="s">
        <v>379</v>
      </c>
      <c r="E36" s="349"/>
      <c r="F36" s="349"/>
      <c r="G36" s="349"/>
      <c r="K36" s="351"/>
    </row>
    <row r="37" spans="1:11" ht="12.75">
      <c r="A37" s="286" t="s">
        <v>677</v>
      </c>
      <c r="B37" s="57" t="s">
        <v>733</v>
      </c>
      <c r="C37" s="280" t="s">
        <v>508</v>
      </c>
      <c r="D37" s="280" t="s">
        <v>658</v>
      </c>
      <c r="E37" s="280"/>
      <c r="F37" s="57" t="s">
        <v>379</v>
      </c>
      <c r="H37" s="221"/>
      <c r="I37" s="221"/>
      <c r="J37" s="221"/>
      <c r="K37" s="279"/>
    </row>
    <row r="38" spans="1:11" ht="24.75" customHeight="1" thickBot="1">
      <c r="A38" s="286" t="s">
        <v>678</v>
      </c>
      <c r="B38" s="57" t="s">
        <v>733</v>
      </c>
      <c r="C38" s="280" t="s">
        <v>508</v>
      </c>
      <c r="D38" s="280" t="s">
        <v>659</v>
      </c>
      <c r="E38" s="280"/>
      <c r="F38" s="1163" t="s">
        <v>380</v>
      </c>
      <c r="G38" s="1163"/>
      <c r="H38" s="221"/>
      <c r="I38" s="221"/>
      <c r="J38" s="221"/>
      <c r="K38" s="279"/>
    </row>
    <row r="39" spans="1:11" s="281" customFormat="1" ht="13.5" thickBot="1">
      <c r="A39" s="423" t="s">
        <v>679</v>
      </c>
      <c r="B39" s="359" t="s">
        <v>733</v>
      </c>
      <c r="C39" s="358" t="s">
        <v>508</v>
      </c>
      <c r="D39" s="358"/>
      <c r="E39" s="358"/>
      <c r="F39" s="357" t="s">
        <v>379</v>
      </c>
      <c r="G39" s="360"/>
      <c r="H39" s="93"/>
      <c r="I39" s="93"/>
      <c r="J39" s="93"/>
      <c r="K39" s="288"/>
    </row>
    <row r="40" spans="1:11" s="281" customFormat="1" ht="25.5" customHeight="1" thickBot="1">
      <c r="A40" s="423" t="s">
        <v>347</v>
      </c>
      <c r="B40" s="81" t="s">
        <v>381</v>
      </c>
      <c r="C40" s="285"/>
      <c r="D40" s="285"/>
      <c r="E40" s="285"/>
      <c r="F40" s="1158" t="s">
        <v>603</v>
      </c>
      <c r="G40" s="1159"/>
      <c r="H40" s="424">
        <f>H19+H26+H35</f>
        <v>589038846</v>
      </c>
      <c r="I40" s="282"/>
      <c r="J40" s="282">
        <f>J19+J26+J35</f>
        <v>588077000</v>
      </c>
      <c r="K40" s="288"/>
    </row>
    <row r="41" spans="1:11" s="350" customFormat="1" ht="15">
      <c r="A41" s="348"/>
      <c r="B41" s="353" t="s">
        <v>30</v>
      </c>
      <c r="C41" s="1160" t="s">
        <v>31</v>
      </c>
      <c r="D41" s="1160"/>
      <c r="E41" s="1160"/>
      <c r="F41" s="1160"/>
      <c r="G41" s="1160"/>
      <c r="K41" s="351"/>
    </row>
    <row r="42" spans="1:11" s="354" customFormat="1" ht="17.25" customHeight="1">
      <c r="A42" s="361"/>
      <c r="C42" s="362" t="s">
        <v>740</v>
      </c>
      <c r="D42" s="354" t="s">
        <v>509</v>
      </c>
      <c r="E42" s="362"/>
      <c r="F42" s="349"/>
      <c r="G42" s="349"/>
      <c r="H42" s="363"/>
      <c r="I42" s="363"/>
      <c r="J42" s="363"/>
      <c r="K42" s="364"/>
    </row>
    <row r="43" spans="1:11" ht="12.75">
      <c r="A43" s="286" t="s">
        <v>348</v>
      </c>
      <c r="B43" s="57" t="s">
        <v>734</v>
      </c>
      <c r="C43" s="280" t="s">
        <v>740</v>
      </c>
      <c r="D43" s="280" t="s">
        <v>658</v>
      </c>
      <c r="E43" s="280"/>
      <c r="F43" s="57" t="s">
        <v>382</v>
      </c>
      <c r="H43" s="221">
        <v>116122</v>
      </c>
      <c r="I43" s="221"/>
      <c r="J43" s="221">
        <v>136074</v>
      </c>
      <c r="K43" s="279"/>
    </row>
    <row r="44" spans="1:11" ht="12.75">
      <c r="A44" s="286" t="s">
        <v>349</v>
      </c>
      <c r="B44" s="57" t="s">
        <v>734</v>
      </c>
      <c r="C44" s="280" t="s">
        <v>740</v>
      </c>
      <c r="D44" s="280" t="s">
        <v>659</v>
      </c>
      <c r="E44" s="280"/>
      <c r="F44" s="57" t="s">
        <v>383</v>
      </c>
      <c r="H44" s="221"/>
      <c r="I44" s="221"/>
      <c r="J44" s="221"/>
      <c r="K44" s="279"/>
    </row>
    <row r="45" spans="1:11" ht="12.75">
      <c r="A45" s="286" t="s">
        <v>350</v>
      </c>
      <c r="B45" s="57" t="s">
        <v>734</v>
      </c>
      <c r="C45" s="280" t="s">
        <v>740</v>
      </c>
      <c r="D45" s="280" t="s">
        <v>660</v>
      </c>
      <c r="E45" s="280"/>
      <c r="F45" s="57" t="s">
        <v>384</v>
      </c>
      <c r="H45" s="221"/>
      <c r="I45" s="221"/>
      <c r="J45" s="221"/>
      <c r="K45" s="279"/>
    </row>
    <row r="46" spans="1:11" ht="12.75">
      <c r="A46" s="286" t="s">
        <v>351</v>
      </c>
      <c r="B46" s="57" t="s">
        <v>734</v>
      </c>
      <c r="C46" s="280" t="s">
        <v>740</v>
      </c>
      <c r="D46" s="280" t="s">
        <v>661</v>
      </c>
      <c r="E46" s="280"/>
      <c r="F46" s="57" t="s">
        <v>385</v>
      </c>
      <c r="H46" s="221"/>
      <c r="I46" s="221"/>
      <c r="J46" s="221"/>
      <c r="K46" s="279"/>
    </row>
    <row r="47" spans="1:11" ht="13.5" thickBot="1">
      <c r="A47" s="286" t="s">
        <v>352</v>
      </c>
      <c r="B47" s="57" t="s">
        <v>734</v>
      </c>
      <c r="C47" s="280" t="s">
        <v>740</v>
      </c>
      <c r="D47" s="280" t="s">
        <v>662</v>
      </c>
      <c r="E47" s="280"/>
      <c r="F47" s="57" t="s">
        <v>510</v>
      </c>
      <c r="H47" s="221"/>
      <c r="I47" s="221"/>
      <c r="J47" s="221"/>
      <c r="K47" s="279"/>
    </row>
    <row r="48" spans="1:11" s="281" customFormat="1" ht="13.5" thickBot="1">
      <c r="A48" s="423" t="s">
        <v>353</v>
      </c>
      <c r="B48" s="81" t="s">
        <v>734</v>
      </c>
      <c r="C48" s="285" t="s">
        <v>740</v>
      </c>
      <c r="D48" s="285"/>
      <c r="E48" s="285"/>
      <c r="F48" s="284" t="s">
        <v>509</v>
      </c>
      <c r="G48" s="289"/>
      <c r="H48" s="93">
        <f>SUM(H43:H47)</f>
        <v>116122</v>
      </c>
      <c r="I48" s="93"/>
      <c r="J48" s="93">
        <f>SUM(J43:J47)</f>
        <v>136074</v>
      </c>
      <c r="K48" s="288"/>
    </row>
    <row r="49" spans="1:11" s="354" customFormat="1" ht="17.25" customHeight="1">
      <c r="A49" s="361"/>
      <c r="C49" s="362" t="s">
        <v>500</v>
      </c>
      <c r="D49" s="354" t="s">
        <v>511</v>
      </c>
      <c r="E49" s="362"/>
      <c r="F49" s="349"/>
      <c r="G49" s="349"/>
      <c r="H49" s="363"/>
      <c r="I49" s="363"/>
      <c r="J49" s="363"/>
      <c r="K49" s="364"/>
    </row>
    <row r="50" spans="1:11" ht="12.75">
      <c r="A50" s="286" t="s">
        <v>354</v>
      </c>
      <c r="B50" s="280" t="s">
        <v>734</v>
      </c>
      <c r="C50" s="280" t="s">
        <v>500</v>
      </c>
      <c r="D50" s="280" t="s">
        <v>658</v>
      </c>
      <c r="E50" s="280"/>
      <c r="F50" s="57" t="s">
        <v>25</v>
      </c>
      <c r="H50" s="221"/>
      <c r="I50" s="221"/>
      <c r="J50" s="221"/>
      <c r="K50" s="279"/>
    </row>
    <row r="51" spans="1:11" ht="12.75">
      <c r="A51" s="286" t="s">
        <v>355</v>
      </c>
      <c r="B51" s="280" t="s">
        <v>734</v>
      </c>
      <c r="C51" s="280" t="s">
        <v>500</v>
      </c>
      <c r="D51" s="280" t="s">
        <v>659</v>
      </c>
      <c r="E51" s="280"/>
      <c r="F51" s="57" t="s">
        <v>512</v>
      </c>
      <c r="H51" s="221"/>
      <c r="I51" s="221"/>
      <c r="J51" s="221"/>
      <c r="K51" s="279"/>
    </row>
    <row r="52" spans="1:11" s="58" customFormat="1" ht="12.75">
      <c r="A52" s="286" t="s">
        <v>356</v>
      </c>
      <c r="B52" s="294" t="s">
        <v>734</v>
      </c>
      <c r="C52" s="294" t="s">
        <v>500</v>
      </c>
      <c r="D52" s="294" t="s">
        <v>659</v>
      </c>
      <c r="E52" s="294" t="s">
        <v>761</v>
      </c>
      <c r="G52" s="58" t="s">
        <v>26</v>
      </c>
      <c r="H52" s="225"/>
      <c r="I52" s="225"/>
      <c r="J52" s="225"/>
      <c r="K52" s="292"/>
    </row>
    <row r="53" spans="1:11" ht="12.75">
      <c r="A53" s="286" t="s">
        <v>357</v>
      </c>
      <c r="B53" s="280" t="s">
        <v>734</v>
      </c>
      <c r="C53" s="295" t="s">
        <v>500</v>
      </c>
      <c r="D53" s="295" t="s">
        <v>659</v>
      </c>
      <c r="E53" s="295" t="s">
        <v>762</v>
      </c>
      <c r="F53" s="293"/>
      <c r="G53" s="293" t="s">
        <v>27</v>
      </c>
      <c r="H53" s="225"/>
      <c r="I53" s="225"/>
      <c r="J53" s="221"/>
      <c r="K53" s="279"/>
    </row>
    <row r="54" spans="1:11" ht="12.75">
      <c r="A54" s="286" t="s">
        <v>358</v>
      </c>
      <c r="B54" s="280" t="s">
        <v>734</v>
      </c>
      <c r="C54" s="280" t="s">
        <v>500</v>
      </c>
      <c r="D54" s="280" t="s">
        <v>659</v>
      </c>
      <c r="E54" s="280" t="s">
        <v>764</v>
      </c>
      <c r="F54" s="57"/>
      <c r="G54" s="57" t="s">
        <v>377</v>
      </c>
      <c r="H54" s="225"/>
      <c r="I54" s="225"/>
      <c r="J54" s="221"/>
      <c r="K54" s="279"/>
    </row>
    <row r="55" spans="1:11" ht="12.75">
      <c r="A55" s="286" t="s">
        <v>359</v>
      </c>
      <c r="B55" s="57" t="s">
        <v>734</v>
      </c>
      <c r="C55" s="280" t="s">
        <v>500</v>
      </c>
      <c r="D55" s="280" t="s">
        <v>659</v>
      </c>
      <c r="E55" s="280" t="s">
        <v>765</v>
      </c>
      <c r="F55" s="57" t="s">
        <v>634</v>
      </c>
      <c r="G55" s="57" t="s">
        <v>378</v>
      </c>
      <c r="H55" s="225"/>
      <c r="I55" s="225"/>
      <c r="J55" s="221"/>
      <c r="K55" s="279"/>
    </row>
    <row r="56" spans="1:11" ht="13.5" thickBot="1">
      <c r="A56" s="286" t="s">
        <v>360</v>
      </c>
      <c r="B56" s="57" t="s">
        <v>734</v>
      </c>
      <c r="C56" s="280" t="s">
        <v>500</v>
      </c>
      <c r="D56" s="280" t="s">
        <v>659</v>
      </c>
      <c r="E56" s="280" t="s">
        <v>28</v>
      </c>
      <c r="F56" s="57" t="s">
        <v>634</v>
      </c>
      <c r="G56" s="57" t="s">
        <v>29</v>
      </c>
      <c r="H56" s="225"/>
      <c r="I56" s="225"/>
      <c r="J56" s="221"/>
      <c r="K56" s="279"/>
    </row>
    <row r="57" spans="1:11" s="281" customFormat="1" ht="13.5" thickBot="1">
      <c r="A57" s="423" t="s">
        <v>361</v>
      </c>
      <c r="B57" s="81" t="s">
        <v>734</v>
      </c>
      <c r="C57" s="285" t="s">
        <v>500</v>
      </c>
      <c r="D57" s="285"/>
      <c r="E57" s="285"/>
      <c r="F57" s="284" t="s">
        <v>511</v>
      </c>
      <c r="G57" s="289"/>
      <c r="H57" s="93">
        <f>H50+H51</f>
        <v>0</v>
      </c>
      <c r="I57" s="93"/>
      <c r="J57" s="93">
        <f>J50+J51</f>
        <v>0</v>
      </c>
      <c r="K57" s="288"/>
    </row>
    <row r="58" spans="1:11" s="281" customFormat="1" ht="25.5" customHeight="1" thickBot="1">
      <c r="A58" s="423" t="s">
        <v>362</v>
      </c>
      <c r="B58" s="81" t="s">
        <v>30</v>
      </c>
      <c r="C58" s="285"/>
      <c r="D58" s="285"/>
      <c r="E58" s="285"/>
      <c r="F58" s="1158" t="s">
        <v>31</v>
      </c>
      <c r="G58" s="1159"/>
      <c r="H58" s="424">
        <f>H48+H57</f>
        <v>116122</v>
      </c>
      <c r="I58" s="282"/>
      <c r="J58" s="282">
        <f>J48+J57</f>
        <v>136074</v>
      </c>
      <c r="K58" s="288"/>
    </row>
    <row r="59" spans="1:11" s="281" customFormat="1" ht="25.5" customHeight="1">
      <c r="A59" s="355"/>
      <c r="B59" s="111"/>
      <c r="C59" s="287"/>
      <c r="D59" s="287"/>
      <c r="E59" s="287"/>
      <c r="F59" s="436"/>
      <c r="G59" s="436"/>
      <c r="H59" s="228"/>
      <c r="I59" s="228"/>
      <c r="J59" s="228"/>
      <c r="K59" s="288"/>
    </row>
    <row r="60" spans="1:11" s="281" customFormat="1" ht="25.5" customHeight="1">
      <c r="A60" s="355"/>
      <c r="B60" s="111"/>
      <c r="C60" s="287"/>
      <c r="D60" s="287"/>
      <c r="E60" s="287"/>
      <c r="F60" s="436"/>
      <c r="G60" s="436"/>
      <c r="H60" s="228"/>
      <c r="I60" s="228"/>
      <c r="J60" s="228"/>
      <c r="K60" s="288"/>
    </row>
    <row r="61" spans="1:11" s="281" customFormat="1" ht="25.5" customHeight="1">
      <c r="A61" s="355"/>
      <c r="B61" s="111"/>
      <c r="C61" s="287"/>
      <c r="D61" s="287"/>
      <c r="E61" s="287"/>
      <c r="F61" s="436"/>
      <c r="G61" s="436"/>
      <c r="H61" s="228"/>
      <c r="I61" s="228"/>
      <c r="J61" s="228"/>
      <c r="K61" s="288"/>
    </row>
    <row r="62" spans="1:11" s="111" customFormat="1" ht="13.5" thickBot="1">
      <c r="A62" s="355"/>
      <c r="C62" s="287"/>
      <c r="D62" s="287"/>
      <c r="E62" s="287"/>
      <c r="F62" s="436"/>
      <c r="G62" s="436"/>
      <c r="H62" s="228"/>
      <c r="I62" s="228"/>
      <c r="J62" s="228"/>
      <c r="K62" s="534"/>
    </row>
    <row r="63" spans="1:10" s="37" customFormat="1" ht="15" customHeight="1">
      <c r="A63" s="1165" t="s">
        <v>496</v>
      </c>
      <c r="B63" s="1166"/>
      <c r="C63" s="1166"/>
      <c r="D63" s="1166"/>
      <c r="E63" s="1166"/>
      <c r="F63" s="1167"/>
      <c r="G63" s="1171" t="s">
        <v>653</v>
      </c>
      <c r="H63" s="1161" t="s">
        <v>363</v>
      </c>
      <c r="I63" s="1161" t="s">
        <v>364</v>
      </c>
      <c r="J63" s="1155" t="s">
        <v>365</v>
      </c>
    </row>
    <row r="64" spans="1:10" s="37" customFormat="1" ht="13.5" thickBot="1">
      <c r="A64" s="1168"/>
      <c r="B64" s="1169"/>
      <c r="C64" s="1169"/>
      <c r="D64" s="1169"/>
      <c r="E64" s="1169"/>
      <c r="F64" s="1170"/>
      <c r="G64" s="1172"/>
      <c r="H64" s="1162"/>
      <c r="I64" s="1162"/>
      <c r="J64" s="1156"/>
    </row>
    <row r="65" spans="1:10" s="37" customFormat="1" ht="12.75">
      <c r="A65" s="814"/>
      <c r="B65" s="814"/>
      <c r="C65" s="814"/>
      <c r="D65" s="814"/>
      <c r="E65" s="814"/>
      <c r="F65" s="814"/>
      <c r="G65" s="815"/>
      <c r="H65" s="816"/>
      <c r="I65" s="816"/>
      <c r="J65" s="816"/>
    </row>
    <row r="66" spans="1:11" s="350" customFormat="1" ht="15">
      <c r="A66" s="348"/>
      <c r="B66" s="353" t="s">
        <v>45</v>
      </c>
      <c r="C66" s="1160" t="s">
        <v>46</v>
      </c>
      <c r="D66" s="1160"/>
      <c r="E66" s="1160"/>
      <c r="F66" s="1160"/>
      <c r="G66" s="1160"/>
      <c r="K66" s="351"/>
    </row>
    <row r="67" spans="1:11" s="58" customFormat="1" ht="12.75">
      <c r="A67" s="301" t="s">
        <v>32</v>
      </c>
      <c r="B67" s="58" t="s">
        <v>735</v>
      </c>
      <c r="C67" s="58" t="s">
        <v>740</v>
      </c>
      <c r="F67" s="58" t="s">
        <v>41</v>
      </c>
      <c r="H67" s="228"/>
      <c r="I67" s="228"/>
      <c r="J67" s="228"/>
      <c r="K67" s="292"/>
    </row>
    <row r="68" spans="1:11" ht="12.75">
      <c r="A68" s="286" t="s">
        <v>33</v>
      </c>
      <c r="B68" s="280" t="s">
        <v>735</v>
      </c>
      <c r="C68" s="280" t="s">
        <v>500</v>
      </c>
      <c r="D68" s="280"/>
      <c r="E68" s="280"/>
      <c r="F68" s="57" t="s">
        <v>604</v>
      </c>
      <c r="H68" s="221">
        <v>325895</v>
      </c>
      <c r="I68" s="221"/>
      <c r="J68" s="221">
        <v>179260</v>
      </c>
      <c r="K68" s="279"/>
    </row>
    <row r="69" spans="1:11" ht="12.75">
      <c r="A69" s="286" t="s">
        <v>34</v>
      </c>
      <c r="B69" s="280" t="s">
        <v>735</v>
      </c>
      <c r="C69" s="280" t="s">
        <v>505</v>
      </c>
      <c r="D69" s="280"/>
      <c r="E69" s="280"/>
      <c r="F69" s="57" t="s">
        <v>42</v>
      </c>
      <c r="H69" s="221">
        <v>56977861</v>
      </c>
      <c r="I69" s="221"/>
      <c r="J69" s="221">
        <v>49852311</v>
      </c>
      <c r="K69" s="279"/>
    </row>
    <row r="70" spans="1:11" ht="12.75">
      <c r="A70" s="286" t="s">
        <v>35</v>
      </c>
      <c r="B70" s="280" t="s">
        <v>735</v>
      </c>
      <c r="C70" s="280" t="s">
        <v>508</v>
      </c>
      <c r="D70" s="280"/>
      <c r="E70" s="280"/>
      <c r="F70" s="57" t="s">
        <v>43</v>
      </c>
      <c r="H70" s="221"/>
      <c r="I70" s="221"/>
      <c r="J70" s="221"/>
      <c r="K70" s="279"/>
    </row>
    <row r="71" spans="1:11" ht="13.5" thickBot="1">
      <c r="A71" s="286" t="s">
        <v>36</v>
      </c>
      <c r="B71" s="280" t="s">
        <v>735</v>
      </c>
      <c r="C71" s="280" t="s">
        <v>513</v>
      </c>
      <c r="D71" s="280"/>
      <c r="E71" s="280"/>
      <c r="F71" s="57" t="s">
        <v>44</v>
      </c>
      <c r="H71" s="221"/>
      <c r="I71" s="221"/>
      <c r="J71" s="221"/>
      <c r="K71" s="279"/>
    </row>
    <row r="72" spans="1:11" s="281" customFormat="1" ht="25.5" customHeight="1" thickBot="1">
      <c r="A72" s="423" t="s">
        <v>37</v>
      </c>
      <c r="B72" s="81" t="s">
        <v>45</v>
      </c>
      <c r="C72" s="285"/>
      <c r="D72" s="285"/>
      <c r="E72" s="285"/>
      <c r="F72" s="1158" t="s">
        <v>46</v>
      </c>
      <c r="G72" s="1159"/>
      <c r="H72" s="424">
        <f>SUM(H67:H71)</f>
        <v>57303756</v>
      </c>
      <c r="I72" s="282"/>
      <c r="J72" s="282">
        <f>SUM(J67:J71)</f>
        <v>50031571</v>
      </c>
      <c r="K72" s="288"/>
    </row>
    <row r="73" spans="1:11" s="281" customFormat="1" ht="15.75" customHeight="1">
      <c r="A73" s="355"/>
      <c r="B73" s="111"/>
      <c r="C73" s="287"/>
      <c r="D73" s="287"/>
      <c r="E73" s="287"/>
      <c r="F73" s="436"/>
      <c r="G73" s="436"/>
      <c r="H73" s="228"/>
      <c r="I73" s="228"/>
      <c r="J73" s="228"/>
      <c r="K73" s="288"/>
    </row>
    <row r="74" spans="1:11" s="350" customFormat="1" ht="15">
      <c r="A74" s="348"/>
      <c r="B74" s="353" t="s">
        <v>132</v>
      </c>
      <c r="C74" s="1160" t="s">
        <v>133</v>
      </c>
      <c r="D74" s="1160"/>
      <c r="E74" s="1160"/>
      <c r="F74" s="1160"/>
      <c r="G74" s="1160"/>
      <c r="K74" s="351"/>
    </row>
    <row r="75" spans="1:11" s="350" customFormat="1" ht="15">
      <c r="A75" s="348"/>
      <c r="B75" s="353"/>
      <c r="C75" s="349" t="s">
        <v>740</v>
      </c>
      <c r="D75" s="1160" t="s">
        <v>110</v>
      </c>
      <c r="E75" s="1160"/>
      <c r="F75" s="1160"/>
      <c r="G75" s="1160"/>
      <c r="K75" s="351"/>
    </row>
    <row r="76" spans="1:11" s="58" customFormat="1" ht="28.5" customHeight="1">
      <c r="A76" s="301" t="s">
        <v>38</v>
      </c>
      <c r="B76" s="512" t="s">
        <v>736</v>
      </c>
      <c r="C76" s="512" t="s">
        <v>740</v>
      </c>
      <c r="D76" s="512" t="s">
        <v>658</v>
      </c>
      <c r="E76" s="512"/>
      <c r="F76" s="1154" t="s">
        <v>101</v>
      </c>
      <c r="G76" s="1154"/>
      <c r="H76" s="225"/>
      <c r="I76" s="225"/>
      <c r="J76" s="225"/>
      <c r="K76" s="292"/>
    </row>
    <row r="77" spans="1:11" s="58" customFormat="1" ht="38.25">
      <c r="A77" s="301" t="s">
        <v>39</v>
      </c>
      <c r="B77" s="512" t="s">
        <v>736</v>
      </c>
      <c r="C77" s="512" t="s">
        <v>740</v>
      </c>
      <c r="D77" s="512" t="s">
        <v>658</v>
      </c>
      <c r="E77" s="512" t="s">
        <v>761</v>
      </c>
      <c r="G77" s="283" t="s">
        <v>605</v>
      </c>
      <c r="H77" s="225"/>
      <c r="I77" s="225"/>
      <c r="J77" s="225"/>
      <c r="K77" s="292"/>
    </row>
    <row r="78" spans="1:11" s="58" customFormat="1" ht="28.5" customHeight="1">
      <c r="A78" s="301" t="s">
        <v>40</v>
      </c>
      <c r="B78" s="512" t="s">
        <v>736</v>
      </c>
      <c r="C78" s="512" t="s">
        <v>740</v>
      </c>
      <c r="D78" s="512" t="s">
        <v>659</v>
      </c>
      <c r="E78" s="512"/>
      <c r="F78" s="1154" t="s">
        <v>102</v>
      </c>
      <c r="G78" s="1154"/>
      <c r="H78" s="225"/>
      <c r="I78" s="225"/>
      <c r="J78" s="225"/>
      <c r="K78" s="292"/>
    </row>
    <row r="79" spans="1:13" s="58" customFormat="1" ht="38.25" customHeight="1">
      <c r="A79" s="301" t="s">
        <v>47</v>
      </c>
      <c r="B79" s="512" t="s">
        <v>736</v>
      </c>
      <c r="C79" s="512" t="s">
        <v>740</v>
      </c>
      <c r="D79" s="512" t="s">
        <v>659</v>
      </c>
      <c r="E79" s="512" t="s">
        <v>761</v>
      </c>
      <c r="G79" s="283" t="s">
        <v>606</v>
      </c>
      <c r="H79" s="209"/>
      <c r="I79" s="209"/>
      <c r="J79" s="225"/>
      <c r="K79" s="292"/>
      <c r="L79" s="292"/>
      <c r="M79" s="296"/>
    </row>
    <row r="80" spans="1:11" s="58" customFormat="1" ht="28.5" customHeight="1">
      <c r="A80" s="301" t="s">
        <v>48</v>
      </c>
      <c r="B80" s="512" t="s">
        <v>736</v>
      </c>
      <c r="C80" s="512" t="s">
        <v>740</v>
      </c>
      <c r="D80" s="512" t="s">
        <v>660</v>
      </c>
      <c r="E80" s="512"/>
      <c r="F80" s="1154" t="s">
        <v>103</v>
      </c>
      <c r="G80" s="1154"/>
      <c r="H80" s="225">
        <v>226939</v>
      </c>
      <c r="I80" s="225"/>
      <c r="J80" s="225">
        <v>513161</v>
      </c>
      <c r="K80" s="292"/>
    </row>
    <row r="81" spans="1:11" s="58" customFormat="1" ht="28.5" customHeight="1">
      <c r="A81" s="301" t="s">
        <v>49</v>
      </c>
      <c r="B81" s="512" t="s">
        <v>736</v>
      </c>
      <c r="C81" s="512" t="s">
        <v>740</v>
      </c>
      <c r="D81" s="512" t="s">
        <v>661</v>
      </c>
      <c r="E81" s="512"/>
      <c r="F81" s="1154" t="s">
        <v>104</v>
      </c>
      <c r="G81" s="1154"/>
      <c r="H81" s="225">
        <v>3869629</v>
      </c>
      <c r="I81" s="225"/>
      <c r="J81" s="225">
        <v>5669500</v>
      </c>
      <c r="K81" s="292"/>
    </row>
    <row r="82" spans="1:11" s="58" customFormat="1" ht="28.5" customHeight="1">
      <c r="A82" s="301" t="s">
        <v>50</v>
      </c>
      <c r="B82" s="512" t="s">
        <v>736</v>
      </c>
      <c r="C82" s="512" t="s">
        <v>740</v>
      </c>
      <c r="D82" s="512" t="s">
        <v>662</v>
      </c>
      <c r="E82" s="512"/>
      <c r="F82" s="1154" t="s">
        <v>105</v>
      </c>
      <c r="G82" s="1154"/>
      <c r="H82" s="225"/>
      <c r="I82" s="225"/>
      <c r="J82" s="225"/>
      <c r="K82" s="292"/>
    </row>
    <row r="83" spans="1:11" s="58" customFormat="1" ht="28.5" customHeight="1">
      <c r="A83" s="301" t="s">
        <v>51</v>
      </c>
      <c r="B83" s="512" t="s">
        <v>736</v>
      </c>
      <c r="C83" s="512" t="s">
        <v>740</v>
      </c>
      <c r="D83" s="512" t="s">
        <v>699</v>
      </c>
      <c r="E83" s="512"/>
      <c r="F83" s="1154" t="s">
        <v>106</v>
      </c>
      <c r="G83" s="1154"/>
      <c r="H83" s="225"/>
      <c r="I83" s="225"/>
      <c r="J83" s="225"/>
      <c r="K83" s="292"/>
    </row>
    <row r="84" spans="1:11" s="58" customFormat="1" ht="38.25">
      <c r="A84" s="301" t="s">
        <v>52</v>
      </c>
      <c r="B84" s="512" t="s">
        <v>736</v>
      </c>
      <c r="C84" s="512" t="s">
        <v>740</v>
      </c>
      <c r="D84" s="512" t="s">
        <v>699</v>
      </c>
      <c r="E84" s="512" t="s">
        <v>761</v>
      </c>
      <c r="G84" s="283" t="s">
        <v>607</v>
      </c>
      <c r="H84" s="225"/>
      <c r="I84" s="225"/>
      <c r="J84" s="225"/>
      <c r="K84" s="292"/>
    </row>
    <row r="85" spans="1:11" s="58" customFormat="1" ht="28.5" customHeight="1">
      <c r="A85" s="301" t="s">
        <v>53</v>
      </c>
      <c r="B85" s="512" t="s">
        <v>736</v>
      </c>
      <c r="C85" s="512" t="s">
        <v>740</v>
      </c>
      <c r="D85" s="512" t="s">
        <v>663</v>
      </c>
      <c r="E85" s="512"/>
      <c r="F85" s="1154" t="s">
        <v>107</v>
      </c>
      <c r="G85" s="1154"/>
      <c r="H85" s="225">
        <v>120600</v>
      </c>
      <c r="I85" s="225"/>
      <c r="J85" s="225">
        <v>61800</v>
      </c>
      <c r="K85" s="292"/>
    </row>
    <row r="86" spans="1:11" s="58" customFormat="1" ht="38.25">
      <c r="A86" s="301" t="s">
        <v>54</v>
      </c>
      <c r="B86" s="512" t="s">
        <v>736</v>
      </c>
      <c r="C86" s="512" t="s">
        <v>740</v>
      </c>
      <c r="D86" s="512" t="s">
        <v>663</v>
      </c>
      <c r="E86" s="512" t="s">
        <v>761</v>
      </c>
      <c r="G86" s="283" t="s">
        <v>608</v>
      </c>
      <c r="H86" s="225">
        <v>120600</v>
      </c>
      <c r="I86" s="225"/>
      <c r="J86" s="225">
        <v>61800</v>
      </c>
      <c r="K86" s="292"/>
    </row>
    <row r="87" spans="1:11" s="58" customFormat="1" ht="28.5" customHeight="1">
      <c r="A87" s="301" t="s">
        <v>55</v>
      </c>
      <c r="B87" s="512" t="s">
        <v>736</v>
      </c>
      <c r="C87" s="512" t="s">
        <v>740</v>
      </c>
      <c r="D87" s="512" t="s">
        <v>664</v>
      </c>
      <c r="E87" s="512"/>
      <c r="F87" s="1154" t="s">
        <v>108</v>
      </c>
      <c r="G87" s="1154"/>
      <c r="H87" s="225"/>
      <c r="I87" s="225"/>
      <c r="J87" s="225"/>
      <c r="K87" s="292"/>
    </row>
    <row r="88" spans="1:11" s="58" customFormat="1" ht="26.25" thickBot="1">
      <c r="A88" s="301" t="s">
        <v>56</v>
      </c>
      <c r="B88" s="512" t="s">
        <v>736</v>
      </c>
      <c r="C88" s="512" t="s">
        <v>740</v>
      </c>
      <c r="D88" s="512" t="s">
        <v>664</v>
      </c>
      <c r="E88" s="512" t="s">
        <v>761</v>
      </c>
      <c r="G88" s="283" t="s">
        <v>109</v>
      </c>
      <c r="H88" s="225"/>
      <c r="I88" s="225"/>
      <c r="J88" s="225"/>
      <c r="K88" s="292"/>
    </row>
    <row r="89" spans="1:11" s="281" customFormat="1" ht="13.5" thickBot="1">
      <c r="A89" s="423" t="s">
        <v>57</v>
      </c>
      <c r="B89" s="81" t="s">
        <v>736</v>
      </c>
      <c r="C89" s="285" t="s">
        <v>740</v>
      </c>
      <c r="D89" s="285"/>
      <c r="E89" s="285"/>
      <c r="F89" s="284" t="s">
        <v>110</v>
      </c>
      <c r="G89" s="289"/>
      <c r="H89" s="93">
        <f>H76+H78+H80+H81+H82+H83+H85+H87</f>
        <v>4217168</v>
      </c>
      <c r="I89" s="93"/>
      <c r="J89" s="93">
        <f>J76+J78+J80+J81+J82+J83+J85+J87</f>
        <v>6244461</v>
      </c>
      <c r="K89" s="288"/>
    </row>
    <row r="90" spans="1:11" s="281" customFormat="1" ht="12.75">
      <c r="A90" s="355"/>
      <c r="B90" s="111"/>
      <c r="C90" s="287"/>
      <c r="D90" s="287"/>
      <c r="E90" s="287"/>
      <c r="F90" s="111"/>
      <c r="G90" s="111"/>
      <c r="H90" s="356"/>
      <c r="I90" s="356"/>
      <c r="J90" s="356"/>
      <c r="K90" s="288"/>
    </row>
    <row r="91" spans="1:11" s="350" customFormat="1" ht="15">
      <c r="A91" s="348"/>
      <c r="B91" s="353"/>
      <c r="C91" s="349" t="s">
        <v>500</v>
      </c>
      <c r="D91" s="1160" t="s">
        <v>539</v>
      </c>
      <c r="E91" s="1160"/>
      <c r="F91" s="1160"/>
      <c r="G91" s="1160"/>
      <c r="K91" s="351"/>
    </row>
    <row r="92" spans="1:11" s="58" customFormat="1" ht="40.5" customHeight="1">
      <c r="A92" s="301" t="s">
        <v>58</v>
      </c>
      <c r="B92" s="512" t="s">
        <v>736</v>
      </c>
      <c r="C92" s="512" t="s">
        <v>500</v>
      </c>
      <c r="D92" s="512" t="s">
        <v>658</v>
      </c>
      <c r="E92" s="512"/>
      <c r="F92" s="1154" t="s">
        <v>111</v>
      </c>
      <c r="G92" s="1154"/>
      <c r="H92" s="225"/>
      <c r="I92" s="225"/>
      <c r="J92" s="225"/>
      <c r="K92" s="292"/>
    </row>
    <row r="93" spans="1:11" s="58" customFormat="1" ht="51" customHeight="1">
      <c r="A93" s="301" t="s">
        <v>59</v>
      </c>
      <c r="B93" s="512" t="s">
        <v>736</v>
      </c>
      <c r="C93" s="512" t="s">
        <v>500</v>
      </c>
      <c r="D93" s="512" t="s">
        <v>658</v>
      </c>
      <c r="E93" s="512" t="s">
        <v>761</v>
      </c>
      <c r="G93" s="283" t="s">
        <v>609</v>
      </c>
      <c r="H93" s="225"/>
      <c r="I93" s="225"/>
      <c r="J93" s="225"/>
      <c r="K93" s="292"/>
    </row>
    <row r="94" spans="1:11" s="58" customFormat="1" ht="41.25" customHeight="1">
      <c r="A94" s="301" t="s">
        <v>60</v>
      </c>
      <c r="B94" s="512" t="s">
        <v>736</v>
      </c>
      <c r="C94" s="512" t="s">
        <v>500</v>
      </c>
      <c r="D94" s="512" t="s">
        <v>659</v>
      </c>
      <c r="E94" s="512"/>
      <c r="F94" s="1154" t="s">
        <v>112</v>
      </c>
      <c r="G94" s="1154"/>
      <c r="H94" s="225"/>
      <c r="I94" s="225"/>
      <c r="J94" s="225"/>
      <c r="K94" s="292"/>
    </row>
    <row r="95" spans="1:13" s="58" customFormat="1" ht="38.25" customHeight="1">
      <c r="A95" s="301" t="s">
        <v>61</v>
      </c>
      <c r="B95" s="512" t="s">
        <v>736</v>
      </c>
      <c r="C95" s="512" t="s">
        <v>500</v>
      </c>
      <c r="D95" s="512" t="s">
        <v>659</v>
      </c>
      <c r="E95" s="512" t="s">
        <v>761</v>
      </c>
      <c r="G95" s="283" t="s">
        <v>610</v>
      </c>
      <c r="H95" s="209"/>
      <c r="I95" s="209"/>
      <c r="J95" s="225"/>
      <c r="K95" s="292"/>
      <c r="L95" s="292"/>
      <c r="M95" s="296"/>
    </row>
    <row r="96" spans="1:11" s="58" customFormat="1" ht="28.5" customHeight="1">
      <c r="A96" s="301" t="s">
        <v>62</v>
      </c>
      <c r="B96" s="512" t="s">
        <v>736</v>
      </c>
      <c r="C96" s="512" t="s">
        <v>500</v>
      </c>
      <c r="D96" s="512" t="s">
        <v>660</v>
      </c>
      <c r="E96" s="512"/>
      <c r="F96" s="1154" t="s">
        <v>113</v>
      </c>
      <c r="G96" s="1154"/>
      <c r="H96" s="225"/>
      <c r="I96" s="225"/>
      <c r="J96" s="225"/>
      <c r="K96" s="292"/>
    </row>
    <row r="97" spans="1:11" s="58" customFormat="1" ht="28.5" customHeight="1">
      <c r="A97" s="301"/>
      <c r="B97" s="512"/>
      <c r="C97" s="512"/>
      <c r="D97" s="512"/>
      <c r="E97" s="512"/>
      <c r="F97" s="283"/>
      <c r="G97" s="283"/>
      <c r="H97" s="225"/>
      <c r="I97" s="225"/>
      <c r="J97" s="225"/>
      <c r="K97" s="292"/>
    </row>
    <row r="98" spans="1:11" s="58" customFormat="1" ht="28.5" customHeight="1">
      <c r="A98" s="301"/>
      <c r="B98" s="512"/>
      <c r="C98" s="512"/>
      <c r="D98" s="512"/>
      <c r="E98" s="512"/>
      <c r="F98" s="283"/>
      <c r="G98" s="283"/>
      <c r="H98" s="225"/>
      <c r="I98" s="225"/>
      <c r="J98" s="225"/>
      <c r="K98" s="292"/>
    </row>
    <row r="99" spans="1:11" s="58" customFormat="1" ht="13.5" thickBot="1">
      <c r="A99" s="301"/>
      <c r="B99" s="512"/>
      <c r="C99" s="512"/>
      <c r="D99" s="512"/>
      <c r="E99" s="512"/>
      <c r="F99" s="283"/>
      <c r="G99" s="283"/>
      <c r="H99" s="225"/>
      <c r="I99" s="225"/>
      <c r="J99" s="225"/>
      <c r="K99" s="292"/>
    </row>
    <row r="100" spans="1:10" s="37" customFormat="1" ht="15" customHeight="1">
      <c r="A100" s="1165" t="s">
        <v>496</v>
      </c>
      <c r="B100" s="1166"/>
      <c r="C100" s="1166"/>
      <c r="D100" s="1166"/>
      <c r="E100" s="1166"/>
      <c r="F100" s="1167"/>
      <c r="G100" s="1171" t="s">
        <v>653</v>
      </c>
      <c r="H100" s="1161" t="s">
        <v>363</v>
      </c>
      <c r="I100" s="1161" t="s">
        <v>364</v>
      </c>
      <c r="J100" s="1155" t="s">
        <v>365</v>
      </c>
    </row>
    <row r="101" spans="1:10" s="37" customFormat="1" ht="13.5" thickBot="1">
      <c r="A101" s="1168"/>
      <c r="B101" s="1169"/>
      <c r="C101" s="1169"/>
      <c r="D101" s="1169"/>
      <c r="E101" s="1169"/>
      <c r="F101" s="1170"/>
      <c r="G101" s="1172"/>
      <c r="H101" s="1162"/>
      <c r="I101" s="1162"/>
      <c r="J101" s="1156"/>
    </row>
    <row r="102" spans="1:11" s="58" customFormat="1" ht="28.5" customHeight="1">
      <c r="A102" s="301" t="s">
        <v>63</v>
      </c>
      <c r="B102" s="512" t="s">
        <v>736</v>
      </c>
      <c r="C102" s="512" t="s">
        <v>500</v>
      </c>
      <c r="D102" s="512" t="s">
        <v>661</v>
      </c>
      <c r="E102" s="512"/>
      <c r="F102" s="1154" t="s">
        <v>114</v>
      </c>
      <c r="G102" s="1154"/>
      <c r="H102" s="225"/>
      <c r="I102" s="225"/>
      <c r="J102" s="225"/>
      <c r="K102" s="292"/>
    </row>
    <row r="103" spans="1:11" s="58" customFormat="1" ht="28.5" customHeight="1">
      <c r="A103" s="301" t="s">
        <v>64</v>
      </c>
      <c r="B103" s="512" t="s">
        <v>736</v>
      </c>
      <c r="C103" s="512" t="s">
        <v>500</v>
      </c>
      <c r="D103" s="512" t="s">
        <v>662</v>
      </c>
      <c r="E103" s="512"/>
      <c r="F103" s="1154" t="s">
        <v>115</v>
      </c>
      <c r="G103" s="1154"/>
      <c r="H103" s="225"/>
      <c r="I103" s="225"/>
      <c r="J103" s="225"/>
      <c r="K103" s="292"/>
    </row>
    <row r="104" spans="1:11" s="58" customFormat="1" ht="28.5" customHeight="1">
      <c r="A104" s="301" t="s">
        <v>65</v>
      </c>
      <c r="B104" s="512" t="s">
        <v>736</v>
      </c>
      <c r="C104" s="512" t="s">
        <v>500</v>
      </c>
      <c r="D104" s="512" t="s">
        <v>699</v>
      </c>
      <c r="E104" s="512"/>
      <c r="F104" s="1154" t="s">
        <v>611</v>
      </c>
      <c r="G104" s="1154"/>
      <c r="H104" s="225"/>
      <c r="I104" s="225"/>
      <c r="J104" s="225"/>
      <c r="K104" s="292"/>
    </row>
    <row r="105" spans="1:13" s="58" customFormat="1" ht="38.25" customHeight="1">
      <c r="A105" s="301" t="s">
        <v>66</v>
      </c>
      <c r="B105" s="512" t="s">
        <v>736</v>
      </c>
      <c r="C105" s="512" t="s">
        <v>500</v>
      </c>
      <c r="D105" s="512" t="s">
        <v>699</v>
      </c>
      <c r="E105" s="512" t="s">
        <v>761</v>
      </c>
      <c r="G105" s="283" t="s">
        <v>612</v>
      </c>
      <c r="H105" s="209"/>
      <c r="I105" s="209"/>
      <c r="J105" s="225"/>
      <c r="K105" s="292"/>
      <c r="L105" s="292"/>
      <c r="M105" s="296"/>
    </row>
    <row r="106" spans="1:11" s="58" customFormat="1" ht="28.5" customHeight="1">
      <c r="A106" s="301" t="s">
        <v>67</v>
      </c>
      <c r="B106" s="512" t="s">
        <v>736</v>
      </c>
      <c r="C106" s="512" t="s">
        <v>500</v>
      </c>
      <c r="D106" s="512" t="s">
        <v>663</v>
      </c>
      <c r="E106" s="512"/>
      <c r="F106" s="1154" t="s">
        <v>116</v>
      </c>
      <c r="G106" s="1154"/>
      <c r="H106" s="225">
        <v>588388</v>
      </c>
      <c r="I106" s="225"/>
      <c r="J106" s="225">
        <v>316032</v>
      </c>
      <c r="K106" s="292"/>
    </row>
    <row r="107" spans="1:13" s="58" customFormat="1" ht="38.25" customHeight="1">
      <c r="A107" s="301" t="s">
        <v>68</v>
      </c>
      <c r="B107" s="512" t="s">
        <v>736</v>
      </c>
      <c r="C107" s="512" t="s">
        <v>500</v>
      </c>
      <c r="D107" s="512" t="s">
        <v>663</v>
      </c>
      <c r="E107" s="512" t="s">
        <v>761</v>
      </c>
      <c r="G107" s="283" t="s">
        <v>613</v>
      </c>
      <c r="H107" s="209">
        <v>583880</v>
      </c>
      <c r="I107" s="209"/>
      <c r="J107" s="225">
        <v>316032</v>
      </c>
      <c r="K107" s="292"/>
      <c r="L107" s="292"/>
      <c r="M107" s="296"/>
    </row>
    <row r="108" spans="1:11" s="58" customFormat="1" ht="28.5" customHeight="1">
      <c r="A108" s="301" t="s">
        <v>69</v>
      </c>
      <c r="B108" s="512" t="s">
        <v>736</v>
      </c>
      <c r="C108" s="512" t="s">
        <v>500</v>
      </c>
      <c r="D108" s="512" t="s">
        <v>664</v>
      </c>
      <c r="E108" s="512"/>
      <c r="F108" s="1154" t="s">
        <v>614</v>
      </c>
      <c r="G108" s="1154"/>
      <c r="H108" s="225"/>
      <c r="I108" s="225"/>
      <c r="J108" s="225"/>
      <c r="K108" s="292"/>
    </row>
    <row r="109" spans="1:11" s="58" customFormat="1" ht="38.25" customHeight="1" thickBot="1">
      <c r="A109" s="301" t="s">
        <v>70</v>
      </c>
      <c r="B109" s="512" t="s">
        <v>736</v>
      </c>
      <c r="C109" s="512" t="s">
        <v>500</v>
      </c>
      <c r="D109" s="512" t="s">
        <v>664</v>
      </c>
      <c r="E109" s="512" t="s">
        <v>761</v>
      </c>
      <c r="G109" s="283" t="s">
        <v>117</v>
      </c>
      <c r="H109" s="225"/>
      <c r="I109" s="225"/>
      <c r="J109" s="225"/>
      <c r="K109" s="292"/>
    </row>
    <row r="110" spans="1:11" s="281" customFormat="1" ht="13.5" thickBot="1">
      <c r="A110" s="423" t="s">
        <v>71</v>
      </c>
      <c r="B110" s="81" t="s">
        <v>736</v>
      </c>
      <c r="C110" s="285" t="s">
        <v>500</v>
      </c>
      <c r="D110" s="285"/>
      <c r="E110" s="285"/>
      <c r="F110" s="284" t="s">
        <v>118</v>
      </c>
      <c r="G110" s="289"/>
      <c r="H110" s="93">
        <f>H106</f>
        <v>588388</v>
      </c>
      <c r="I110" s="93"/>
      <c r="J110" s="93">
        <f>J106</f>
        <v>316032</v>
      </c>
      <c r="K110" s="288"/>
    </row>
    <row r="111" spans="1:11" s="281" customFormat="1" ht="12.75">
      <c r="A111" s="355"/>
      <c r="B111" s="111"/>
      <c r="C111" s="287"/>
      <c r="D111" s="287"/>
      <c r="E111" s="287"/>
      <c r="F111" s="111"/>
      <c r="G111" s="111"/>
      <c r="H111" s="356"/>
      <c r="I111" s="356"/>
      <c r="J111" s="356"/>
      <c r="K111" s="288"/>
    </row>
    <row r="112" spans="1:11" s="350" customFormat="1" ht="17.25" customHeight="1">
      <c r="A112" s="348"/>
      <c r="B112" s="353"/>
      <c r="C112" s="349" t="s">
        <v>505</v>
      </c>
      <c r="D112" s="1160" t="s">
        <v>131</v>
      </c>
      <c r="E112" s="1160"/>
      <c r="F112" s="1160"/>
      <c r="G112" s="1160"/>
      <c r="K112" s="351"/>
    </row>
    <row r="113" spans="1:13" s="58" customFormat="1" ht="12.75">
      <c r="A113" s="301" t="s">
        <v>72</v>
      </c>
      <c r="B113" s="58" t="s">
        <v>736</v>
      </c>
      <c r="C113" s="294" t="s">
        <v>505</v>
      </c>
      <c r="D113" s="294" t="s">
        <v>658</v>
      </c>
      <c r="E113" s="294"/>
      <c r="F113" s="58" t="s">
        <v>119</v>
      </c>
      <c r="H113" s="225">
        <v>4500</v>
      </c>
      <c r="I113" s="225"/>
      <c r="J113" s="225"/>
      <c r="K113" s="292"/>
      <c r="L113" s="292"/>
      <c r="M113" s="296"/>
    </row>
    <row r="114" spans="1:13" s="58" customFormat="1" ht="12.75">
      <c r="A114" s="301" t="s">
        <v>73</v>
      </c>
      <c r="B114" s="58" t="s">
        <v>736</v>
      </c>
      <c r="C114" s="294" t="s">
        <v>505</v>
      </c>
      <c r="D114" s="294" t="s">
        <v>658</v>
      </c>
      <c r="E114" s="294" t="s">
        <v>761</v>
      </c>
      <c r="G114" s="58" t="s">
        <v>120</v>
      </c>
      <c r="H114" s="225"/>
      <c r="I114" s="225"/>
      <c r="J114" s="225"/>
      <c r="K114" s="292"/>
      <c r="L114" s="292"/>
      <c r="M114" s="296"/>
    </row>
    <row r="115" spans="1:13" s="58" customFormat="1" ht="12.75">
      <c r="A115" s="301" t="s">
        <v>74</v>
      </c>
      <c r="B115" s="58" t="s">
        <v>736</v>
      </c>
      <c r="C115" s="294" t="s">
        <v>505</v>
      </c>
      <c r="D115" s="294" t="s">
        <v>658</v>
      </c>
      <c r="E115" s="294" t="s">
        <v>762</v>
      </c>
      <c r="G115" s="58" t="s">
        <v>121</v>
      </c>
      <c r="H115" s="225"/>
      <c r="I115" s="225"/>
      <c r="J115" s="225"/>
      <c r="K115" s="292"/>
      <c r="L115" s="292"/>
      <c r="M115" s="296"/>
    </row>
    <row r="116" spans="1:13" s="58" customFormat="1" ht="12.75">
      <c r="A116" s="301" t="s">
        <v>75</v>
      </c>
      <c r="B116" s="58" t="s">
        <v>736</v>
      </c>
      <c r="C116" s="294" t="s">
        <v>505</v>
      </c>
      <c r="D116" s="294" t="s">
        <v>658</v>
      </c>
      <c r="E116" s="294" t="s">
        <v>764</v>
      </c>
      <c r="G116" s="58" t="s">
        <v>122</v>
      </c>
      <c r="H116" s="225"/>
      <c r="I116" s="225"/>
      <c r="J116" s="225"/>
      <c r="K116" s="292"/>
      <c r="L116" s="292"/>
      <c r="M116" s="296"/>
    </row>
    <row r="117" spans="1:13" s="58" customFormat="1" ht="12.75">
      <c r="A117" s="301" t="s">
        <v>76</v>
      </c>
      <c r="B117" s="58" t="s">
        <v>736</v>
      </c>
      <c r="C117" s="294" t="s">
        <v>505</v>
      </c>
      <c r="D117" s="294" t="s">
        <v>658</v>
      </c>
      <c r="E117" s="58" t="s">
        <v>765</v>
      </c>
      <c r="G117" s="58" t="s">
        <v>123</v>
      </c>
      <c r="H117" s="228"/>
      <c r="I117" s="228"/>
      <c r="J117" s="228"/>
      <c r="K117" s="292"/>
      <c r="L117" s="292"/>
      <c r="M117" s="296"/>
    </row>
    <row r="118" spans="1:13" s="58" customFormat="1" ht="12.75">
      <c r="A118" s="301" t="s">
        <v>77</v>
      </c>
      <c r="B118" s="58" t="s">
        <v>736</v>
      </c>
      <c r="C118" s="294" t="s">
        <v>505</v>
      </c>
      <c r="D118" s="294" t="s">
        <v>658</v>
      </c>
      <c r="E118" s="111" t="s">
        <v>28</v>
      </c>
      <c r="G118" s="58" t="s">
        <v>124</v>
      </c>
      <c r="H118" s="225">
        <v>4500</v>
      </c>
      <c r="I118" s="225"/>
      <c r="J118" s="225"/>
      <c r="K118" s="292"/>
      <c r="L118" s="292"/>
      <c r="M118" s="296"/>
    </row>
    <row r="119" spans="1:11" s="58" customFormat="1" ht="28.5" customHeight="1">
      <c r="A119" s="301" t="s">
        <v>78</v>
      </c>
      <c r="B119" s="512" t="s">
        <v>736</v>
      </c>
      <c r="C119" s="512" t="s">
        <v>505</v>
      </c>
      <c r="D119" s="512" t="s">
        <v>659</v>
      </c>
      <c r="E119" s="512"/>
      <c r="F119" s="1154" t="s">
        <v>125</v>
      </c>
      <c r="G119" s="1154"/>
      <c r="H119" s="225"/>
      <c r="I119" s="225"/>
      <c r="J119" s="225"/>
      <c r="K119" s="292"/>
    </row>
    <row r="120" spans="1:13" s="58" customFormat="1" ht="12.75">
      <c r="A120" s="301" t="s">
        <v>79</v>
      </c>
      <c r="B120" s="512" t="s">
        <v>736</v>
      </c>
      <c r="C120" s="512" t="s">
        <v>505</v>
      </c>
      <c r="D120" s="512" t="s">
        <v>660</v>
      </c>
      <c r="E120" s="512"/>
      <c r="F120" s="58" t="s">
        <v>126</v>
      </c>
      <c r="H120" s="225"/>
      <c r="I120" s="225"/>
      <c r="J120" s="225"/>
      <c r="K120" s="292"/>
      <c r="L120" s="292"/>
      <c r="M120" s="296"/>
    </row>
    <row r="121" spans="1:13" s="58" customFormat="1" ht="12.75">
      <c r="A121" s="301" t="s">
        <v>80</v>
      </c>
      <c r="B121" s="512" t="s">
        <v>736</v>
      </c>
      <c r="C121" s="512" t="s">
        <v>505</v>
      </c>
      <c r="D121" s="512" t="s">
        <v>661</v>
      </c>
      <c r="E121" s="512"/>
      <c r="F121" s="58" t="s">
        <v>127</v>
      </c>
      <c r="H121" s="225"/>
      <c r="I121" s="225"/>
      <c r="J121" s="225"/>
      <c r="K121" s="292"/>
      <c r="L121" s="292"/>
      <c r="M121" s="296"/>
    </row>
    <row r="122" spans="1:11" s="58" customFormat="1" ht="28.5" customHeight="1">
      <c r="A122" s="301" t="s">
        <v>81</v>
      </c>
      <c r="B122" s="512" t="s">
        <v>736</v>
      </c>
      <c r="C122" s="512" t="s">
        <v>505</v>
      </c>
      <c r="D122" s="512" t="s">
        <v>662</v>
      </c>
      <c r="E122" s="512"/>
      <c r="F122" s="1154" t="s">
        <v>128</v>
      </c>
      <c r="G122" s="1154"/>
      <c r="H122" s="225"/>
      <c r="I122" s="225"/>
      <c r="J122" s="225"/>
      <c r="K122" s="292"/>
    </row>
    <row r="123" spans="1:11" s="58" customFormat="1" ht="28.5" customHeight="1">
      <c r="A123" s="301" t="s">
        <v>82</v>
      </c>
      <c r="B123" s="512" t="s">
        <v>736</v>
      </c>
      <c r="C123" s="512" t="s">
        <v>505</v>
      </c>
      <c r="D123" s="512" t="s">
        <v>699</v>
      </c>
      <c r="E123" s="512"/>
      <c r="F123" s="1154" t="s">
        <v>129</v>
      </c>
      <c r="G123" s="1154"/>
      <c r="H123" s="225"/>
      <c r="I123" s="225"/>
      <c r="J123" s="225"/>
      <c r="K123" s="292"/>
    </row>
    <row r="124" spans="1:11" s="58" customFormat="1" ht="28.5" customHeight="1" thickBot="1">
      <c r="A124" s="301" t="s">
        <v>83</v>
      </c>
      <c r="B124" s="512" t="s">
        <v>736</v>
      </c>
      <c r="C124" s="512" t="s">
        <v>505</v>
      </c>
      <c r="D124" s="512" t="s">
        <v>663</v>
      </c>
      <c r="E124" s="512"/>
      <c r="F124" s="1154" t="s">
        <v>130</v>
      </c>
      <c r="G124" s="1154"/>
      <c r="H124" s="225"/>
      <c r="I124" s="225"/>
      <c r="J124" s="225"/>
      <c r="K124" s="292"/>
    </row>
    <row r="125" spans="1:11" s="281" customFormat="1" ht="13.5" thickBot="1">
      <c r="A125" s="423" t="s">
        <v>84</v>
      </c>
      <c r="B125" s="81" t="s">
        <v>736</v>
      </c>
      <c r="C125" s="285" t="s">
        <v>505</v>
      </c>
      <c r="D125" s="285"/>
      <c r="E125" s="285"/>
      <c r="F125" s="284" t="s">
        <v>131</v>
      </c>
      <c r="G125" s="289"/>
      <c r="H125" s="93">
        <f>H113</f>
        <v>4500</v>
      </c>
      <c r="I125" s="93"/>
      <c r="J125" s="93"/>
      <c r="K125" s="288"/>
    </row>
    <row r="126" spans="1:11" s="281" customFormat="1" ht="25.5" customHeight="1" thickBot="1">
      <c r="A126" s="423" t="s">
        <v>85</v>
      </c>
      <c r="B126" s="81" t="s">
        <v>132</v>
      </c>
      <c r="C126" s="285"/>
      <c r="D126" s="285"/>
      <c r="E126" s="285"/>
      <c r="F126" s="1158" t="s">
        <v>133</v>
      </c>
      <c r="G126" s="1159"/>
      <c r="H126" s="424">
        <f>H125+H110+H89</f>
        <v>4810056</v>
      </c>
      <c r="I126" s="282"/>
      <c r="J126" s="424">
        <f>J125+J110+J89</f>
        <v>6560493</v>
      </c>
      <c r="K126" s="288"/>
    </row>
    <row r="127" spans="1:11" s="281" customFormat="1" ht="25.5" customHeight="1" thickBot="1">
      <c r="A127" s="423" t="s">
        <v>86</v>
      </c>
      <c r="B127" s="81" t="s">
        <v>134</v>
      </c>
      <c r="C127" s="285"/>
      <c r="D127" s="285"/>
      <c r="E127" s="285"/>
      <c r="F127" s="1158" t="s">
        <v>135</v>
      </c>
      <c r="G127" s="1159"/>
      <c r="H127" s="424">
        <v>947702</v>
      </c>
      <c r="I127" s="282"/>
      <c r="J127" s="282">
        <v>-12000</v>
      </c>
      <c r="K127" s="288"/>
    </row>
    <row r="128" spans="1:11" s="281" customFormat="1" ht="16.5" customHeight="1">
      <c r="A128" s="355"/>
      <c r="B128" s="111"/>
      <c r="C128" s="287"/>
      <c r="D128" s="287"/>
      <c r="E128" s="287"/>
      <c r="F128" s="436"/>
      <c r="G128" s="436"/>
      <c r="H128" s="228"/>
      <c r="I128" s="228"/>
      <c r="J128" s="228"/>
      <c r="K128" s="288"/>
    </row>
    <row r="129" spans="1:11" s="350" customFormat="1" ht="15">
      <c r="A129" s="348"/>
      <c r="B129" s="353" t="s">
        <v>139</v>
      </c>
      <c r="C129" s="1160" t="s">
        <v>140</v>
      </c>
      <c r="D129" s="1160"/>
      <c r="E129" s="1160"/>
      <c r="F129" s="1160"/>
      <c r="G129" s="1160"/>
      <c r="K129" s="351"/>
    </row>
    <row r="130" spans="1:13" s="58" customFormat="1" ht="12.75">
      <c r="A130" s="301" t="s">
        <v>87</v>
      </c>
      <c r="B130" s="58" t="s">
        <v>737</v>
      </c>
      <c r="D130" s="58" t="s">
        <v>658</v>
      </c>
      <c r="F130" s="58" t="s">
        <v>136</v>
      </c>
      <c r="H130" s="228"/>
      <c r="I130" s="228"/>
      <c r="J130" s="228">
        <v>2045519</v>
      </c>
      <c r="K130" s="292"/>
      <c r="L130" s="292"/>
      <c r="M130" s="296"/>
    </row>
    <row r="131" spans="1:13" s="58" customFormat="1" ht="12.75">
      <c r="A131" s="301" t="s">
        <v>88</v>
      </c>
      <c r="B131" s="58" t="s">
        <v>737</v>
      </c>
      <c r="D131" s="58" t="s">
        <v>659</v>
      </c>
      <c r="F131" s="58" t="s">
        <v>137</v>
      </c>
      <c r="H131" s="228"/>
      <c r="I131" s="228"/>
      <c r="J131" s="228"/>
      <c r="K131" s="292"/>
      <c r="L131" s="292"/>
      <c r="M131" s="296"/>
    </row>
    <row r="132" spans="1:13" s="58" customFormat="1" ht="12.75">
      <c r="A132" s="301" t="s">
        <v>89</v>
      </c>
      <c r="B132" s="58" t="s">
        <v>737</v>
      </c>
      <c r="D132" s="58" t="s">
        <v>660</v>
      </c>
      <c r="F132" s="58" t="s">
        <v>138</v>
      </c>
      <c r="H132" s="228"/>
      <c r="I132" s="228"/>
      <c r="J132" s="228"/>
      <c r="K132" s="292"/>
      <c r="L132" s="292"/>
      <c r="M132" s="296"/>
    </row>
    <row r="133" spans="1:13" s="58" customFormat="1" ht="13.5" thickBot="1">
      <c r="A133" s="301"/>
      <c r="H133" s="228"/>
      <c r="I133" s="228"/>
      <c r="J133" s="228"/>
      <c r="K133" s="292"/>
      <c r="L133" s="292"/>
      <c r="M133" s="296"/>
    </row>
    <row r="134" spans="1:11" s="281" customFormat="1" ht="25.5" customHeight="1" thickBot="1">
      <c r="A134" s="423" t="s">
        <v>90</v>
      </c>
      <c r="B134" s="81" t="s">
        <v>139</v>
      </c>
      <c r="C134" s="285"/>
      <c r="D134" s="285"/>
      <c r="E134" s="285"/>
      <c r="F134" s="1158" t="s">
        <v>140</v>
      </c>
      <c r="G134" s="1159"/>
      <c r="H134" s="424"/>
      <c r="I134" s="282"/>
      <c r="J134" s="282"/>
      <c r="K134" s="288"/>
    </row>
    <row r="135" spans="1:11" s="281" customFormat="1" ht="25.5" customHeight="1" thickBot="1">
      <c r="A135" s="423"/>
      <c r="B135" s="81"/>
      <c r="C135" s="285"/>
      <c r="D135" s="285"/>
      <c r="E135" s="285"/>
      <c r="F135" s="801"/>
      <c r="G135" s="802"/>
      <c r="H135" s="424"/>
      <c r="I135" s="282"/>
      <c r="J135" s="282"/>
      <c r="K135" s="288"/>
    </row>
    <row r="136" spans="1:13" s="308" customFormat="1" ht="27.75" customHeight="1" thickBot="1">
      <c r="A136" s="304" t="s">
        <v>91</v>
      </c>
      <c r="B136" s="1180" t="s">
        <v>141</v>
      </c>
      <c r="C136" s="1181"/>
      <c r="D136" s="1181"/>
      <c r="E136" s="1181"/>
      <c r="F136" s="1181"/>
      <c r="G136" s="1182"/>
      <c r="H136" s="305">
        <f>H127+H126+H72+H58+H40</f>
        <v>652216482</v>
      </c>
      <c r="I136" s="305"/>
      <c r="J136" s="305">
        <f>J127+J126+J72+J58+J40+J130</f>
        <v>646838657</v>
      </c>
      <c r="K136" s="306"/>
      <c r="L136" s="306"/>
      <c r="M136" s="307"/>
    </row>
    <row r="137" spans="1:13" s="58" customFormat="1" ht="16.5" customHeight="1">
      <c r="A137" s="301"/>
      <c r="B137" s="297"/>
      <c r="C137" s="297"/>
      <c r="D137" s="297"/>
      <c r="E137" s="297"/>
      <c r="F137" s="297"/>
      <c r="G137" s="298"/>
      <c r="H137" s="287"/>
      <c r="I137" s="287"/>
      <c r="J137" s="287"/>
      <c r="K137" s="292"/>
      <c r="L137" s="292"/>
      <c r="M137" s="296"/>
    </row>
    <row r="138" spans="1:13" s="58" customFormat="1" ht="16.5" customHeight="1">
      <c r="A138" s="301"/>
      <c r="B138" s="297"/>
      <c r="C138" s="297"/>
      <c r="D138" s="297"/>
      <c r="E138" s="297"/>
      <c r="F138" s="297"/>
      <c r="G138" s="298"/>
      <c r="H138" s="287"/>
      <c r="I138" s="287"/>
      <c r="J138" s="287"/>
      <c r="K138" s="292"/>
      <c r="L138" s="292"/>
      <c r="M138" s="296"/>
    </row>
    <row r="139" spans="1:13" s="58" customFormat="1" ht="16.5" customHeight="1">
      <c r="A139" s="301"/>
      <c r="B139" s="297"/>
      <c r="C139" s="297"/>
      <c r="D139" s="297"/>
      <c r="E139" s="297"/>
      <c r="F139" s="297"/>
      <c r="G139" s="298"/>
      <c r="H139" s="287"/>
      <c r="I139" s="287"/>
      <c r="J139" s="287"/>
      <c r="K139" s="292"/>
      <c r="L139" s="292"/>
      <c r="M139" s="296"/>
    </row>
    <row r="140" spans="1:13" s="58" customFormat="1" ht="12.75">
      <c r="A140" s="301"/>
      <c r="B140" s="297"/>
      <c r="C140" s="297"/>
      <c r="D140" s="297"/>
      <c r="E140" s="297"/>
      <c r="F140" s="297"/>
      <c r="G140" s="298"/>
      <c r="H140" s="299"/>
      <c r="I140" s="299"/>
      <c r="J140" s="300"/>
      <c r="K140" s="292"/>
      <c r="L140" s="292"/>
      <c r="M140" s="296"/>
    </row>
    <row r="141" spans="1:13" s="58" customFormat="1" ht="15" customHeight="1">
      <c r="A141" s="301"/>
      <c r="B141" s="287"/>
      <c r="C141" s="111"/>
      <c r="D141" s="111"/>
      <c r="E141" s="111"/>
      <c r="H141" s="225"/>
      <c r="I141" s="225"/>
      <c r="J141" s="225"/>
      <c r="K141" s="292"/>
      <c r="L141" s="292"/>
      <c r="M141" s="296"/>
    </row>
    <row r="142" spans="1:13" s="58" customFormat="1" ht="12.75">
      <c r="A142" s="301"/>
      <c r="C142" s="294"/>
      <c r="D142" s="294"/>
      <c r="E142" s="294"/>
      <c r="H142" s="225"/>
      <c r="I142" s="225"/>
      <c r="J142" s="225"/>
      <c r="K142" s="292"/>
      <c r="L142" s="292"/>
      <c r="M142" s="296"/>
    </row>
    <row r="143" spans="1:13" s="58" customFormat="1" ht="12.75">
      <c r="A143" s="301"/>
      <c r="C143" s="294"/>
      <c r="D143" s="294"/>
      <c r="E143" s="294"/>
      <c r="H143" s="225"/>
      <c r="I143" s="225"/>
      <c r="J143" s="225"/>
      <c r="K143" s="292"/>
      <c r="L143" s="292"/>
      <c r="M143" s="296"/>
    </row>
    <row r="144" spans="1:13" s="58" customFormat="1" ht="12.75">
      <c r="A144" s="301"/>
      <c r="C144" s="294"/>
      <c r="D144" s="294"/>
      <c r="E144" s="294"/>
      <c r="H144" s="225"/>
      <c r="I144" s="225"/>
      <c r="J144" s="225"/>
      <c r="K144" s="292"/>
      <c r="L144" s="292"/>
      <c r="M144" s="296"/>
    </row>
    <row r="145" spans="1:13" s="58" customFormat="1" ht="13.5" thickBot="1">
      <c r="A145" s="301"/>
      <c r="C145" s="294"/>
      <c r="D145" s="294"/>
      <c r="E145" s="294"/>
      <c r="H145" s="225"/>
      <c r="I145" s="225"/>
      <c r="J145" s="225"/>
      <c r="K145" s="292"/>
      <c r="L145" s="292"/>
      <c r="M145" s="296"/>
    </row>
    <row r="146" spans="1:10" s="37" customFormat="1" ht="15" customHeight="1">
      <c r="A146" s="1165" t="s">
        <v>496</v>
      </c>
      <c r="B146" s="1166"/>
      <c r="C146" s="1166"/>
      <c r="D146" s="1166"/>
      <c r="E146" s="1166"/>
      <c r="F146" s="1167"/>
      <c r="G146" s="1171" t="s">
        <v>653</v>
      </c>
      <c r="H146" s="1161" t="s">
        <v>363</v>
      </c>
      <c r="I146" s="1161" t="s">
        <v>364</v>
      </c>
      <c r="J146" s="1155" t="s">
        <v>365</v>
      </c>
    </row>
    <row r="147" spans="1:10" s="37" customFormat="1" ht="13.5" thickBot="1">
      <c r="A147" s="1168"/>
      <c r="B147" s="1169"/>
      <c r="C147" s="1169"/>
      <c r="D147" s="1169"/>
      <c r="E147" s="1169"/>
      <c r="F147" s="1170"/>
      <c r="G147" s="1172"/>
      <c r="H147" s="1162"/>
      <c r="I147" s="1162"/>
      <c r="J147" s="1156"/>
    </row>
    <row r="148" spans="1:11" s="309" customFormat="1" ht="15.75">
      <c r="A148" s="1164" t="s">
        <v>341</v>
      </c>
      <c r="B148" s="1164"/>
      <c r="C148" s="1164"/>
      <c r="D148" s="1164"/>
      <c r="E148" s="1164"/>
      <c r="F148" s="1164"/>
      <c r="G148" s="1164"/>
      <c r="K148" s="310"/>
    </row>
    <row r="149" spans="1:11" s="350" customFormat="1" ht="18" customHeight="1">
      <c r="A149" s="348"/>
      <c r="B149" s="353" t="s">
        <v>203</v>
      </c>
      <c r="C149" s="1160" t="s">
        <v>204</v>
      </c>
      <c r="D149" s="1160"/>
      <c r="E149" s="1160"/>
      <c r="F149" s="1160"/>
      <c r="G149" s="1160"/>
      <c r="K149" s="351"/>
    </row>
    <row r="150" spans="1:10" ht="12.75">
      <c r="A150" s="286" t="s">
        <v>92</v>
      </c>
      <c r="B150" s="57" t="s">
        <v>738</v>
      </c>
      <c r="C150" s="286" t="s">
        <v>740</v>
      </c>
      <c r="D150" s="286"/>
      <c r="E150" s="286"/>
      <c r="F150" s="279" t="s">
        <v>196</v>
      </c>
      <c r="H150" s="225">
        <v>710425873</v>
      </c>
      <c r="I150" s="225"/>
      <c r="J150" s="225">
        <v>710425873</v>
      </c>
    </row>
    <row r="151" spans="1:10" ht="12.75">
      <c r="A151" s="286" t="s">
        <v>93</v>
      </c>
      <c r="B151" s="57" t="s">
        <v>738</v>
      </c>
      <c r="C151" s="286" t="s">
        <v>500</v>
      </c>
      <c r="D151" s="286"/>
      <c r="E151" s="286"/>
      <c r="F151" s="279" t="s">
        <v>197</v>
      </c>
      <c r="H151" s="225"/>
      <c r="I151" s="225"/>
      <c r="J151" s="225"/>
    </row>
    <row r="152" spans="1:10" ht="12.75">
      <c r="A152" s="286" t="s">
        <v>94</v>
      </c>
      <c r="B152" s="57" t="s">
        <v>738</v>
      </c>
      <c r="C152" s="286" t="s">
        <v>505</v>
      </c>
      <c r="D152" s="286"/>
      <c r="E152" s="286"/>
      <c r="F152" s="279" t="s">
        <v>198</v>
      </c>
      <c r="H152" s="225">
        <v>10975147</v>
      </c>
      <c r="I152" s="225"/>
      <c r="J152" s="225">
        <v>10975147</v>
      </c>
    </row>
    <row r="153" spans="1:10" ht="12.75">
      <c r="A153" s="286" t="s">
        <v>95</v>
      </c>
      <c r="B153" s="57" t="s">
        <v>738</v>
      </c>
      <c r="C153" s="286" t="s">
        <v>508</v>
      </c>
      <c r="D153" s="286"/>
      <c r="E153" s="286"/>
      <c r="F153" s="279" t="s">
        <v>199</v>
      </c>
      <c r="H153" s="225">
        <v>-110463690</v>
      </c>
      <c r="I153" s="225"/>
      <c r="J153" s="225">
        <v>-109718534</v>
      </c>
    </row>
    <row r="154" spans="1:10" ht="12.75">
      <c r="A154" s="286" t="s">
        <v>96</v>
      </c>
      <c r="B154" s="57" t="s">
        <v>738</v>
      </c>
      <c r="C154" s="286" t="s">
        <v>513</v>
      </c>
      <c r="D154" s="286"/>
      <c r="E154" s="286"/>
      <c r="F154" s="279" t="s">
        <v>200</v>
      </c>
      <c r="H154" s="225"/>
      <c r="I154" s="225"/>
      <c r="J154" s="225"/>
    </row>
    <row r="155" spans="1:10" ht="13.5" thickBot="1">
      <c r="A155" s="286" t="s">
        <v>97</v>
      </c>
      <c r="B155" s="57" t="s">
        <v>738</v>
      </c>
      <c r="C155" s="286" t="s">
        <v>201</v>
      </c>
      <c r="D155" s="286"/>
      <c r="E155" s="286"/>
      <c r="F155" s="279" t="s">
        <v>202</v>
      </c>
      <c r="H155" s="225">
        <v>745156</v>
      </c>
      <c r="I155" s="225"/>
      <c r="J155" s="225">
        <v>-10383794</v>
      </c>
    </row>
    <row r="156" spans="1:11" s="281" customFormat="1" ht="25.5" customHeight="1" thickBot="1">
      <c r="A156" s="423" t="s">
        <v>98</v>
      </c>
      <c r="B156" s="81" t="s">
        <v>203</v>
      </c>
      <c r="C156" s="285"/>
      <c r="D156" s="285"/>
      <c r="E156" s="285"/>
      <c r="F156" s="1158" t="s">
        <v>204</v>
      </c>
      <c r="G156" s="1159"/>
      <c r="H156" s="424">
        <f>H150+H152+H153+H155</f>
        <v>611682486</v>
      </c>
      <c r="I156" s="282"/>
      <c r="J156" s="282">
        <f>J150+J152+J153+J155</f>
        <v>601298692</v>
      </c>
      <c r="K156" s="288"/>
    </row>
    <row r="157" spans="1:11" s="281" customFormat="1" ht="15" customHeight="1">
      <c r="A157" s="355"/>
      <c r="B157" s="111"/>
      <c r="C157" s="287"/>
      <c r="D157" s="287"/>
      <c r="E157" s="287"/>
      <c r="F157" s="436"/>
      <c r="G157" s="436"/>
      <c r="H157" s="228"/>
      <c r="I157" s="228"/>
      <c r="J157" s="228"/>
      <c r="K157" s="288"/>
    </row>
    <row r="158" spans="1:11" s="350" customFormat="1" ht="18" customHeight="1">
      <c r="A158" s="348"/>
      <c r="B158" s="353" t="s">
        <v>249</v>
      </c>
      <c r="C158" s="1160" t="s">
        <v>540</v>
      </c>
      <c r="D158" s="1160"/>
      <c r="E158" s="1160"/>
      <c r="F158" s="1160"/>
      <c r="G158" s="1160"/>
      <c r="K158" s="351"/>
    </row>
    <row r="159" spans="1:11" s="350" customFormat="1" ht="18" customHeight="1">
      <c r="A159" s="348"/>
      <c r="B159" s="353"/>
      <c r="C159" s="349"/>
      <c r="D159" s="349"/>
      <c r="E159" s="349"/>
      <c r="F159" s="349"/>
      <c r="G159" s="349"/>
      <c r="K159" s="351"/>
    </row>
    <row r="160" spans="1:11" s="350" customFormat="1" ht="17.25" customHeight="1">
      <c r="A160" s="348"/>
      <c r="B160" s="353"/>
      <c r="C160" s="349" t="s">
        <v>740</v>
      </c>
      <c r="D160" s="1160" t="s">
        <v>541</v>
      </c>
      <c r="E160" s="1160"/>
      <c r="F160" s="1160"/>
      <c r="G160" s="1160"/>
      <c r="K160" s="351"/>
    </row>
    <row r="161" spans="1:11" s="58" customFormat="1" ht="28.5" customHeight="1">
      <c r="A161" s="301" t="s">
        <v>99</v>
      </c>
      <c r="B161" s="512" t="s">
        <v>739</v>
      </c>
      <c r="C161" s="512" t="s">
        <v>740</v>
      </c>
      <c r="D161" s="512" t="s">
        <v>658</v>
      </c>
      <c r="E161" s="512"/>
      <c r="F161" s="1154" t="s">
        <v>206</v>
      </c>
      <c r="G161" s="1154"/>
      <c r="H161" s="225"/>
      <c r="I161" s="225"/>
      <c r="J161" s="225"/>
      <c r="K161" s="292"/>
    </row>
    <row r="162" spans="1:11" s="58" customFormat="1" ht="36.75" customHeight="1">
      <c r="A162" s="301" t="s">
        <v>100</v>
      </c>
      <c r="B162" s="512" t="s">
        <v>739</v>
      </c>
      <c r="C162" s="512" t="s">
        <v>740</v>
      </c>
      <c r="D162" s="512" t="s">
        <v>659</v>
      </c>
      <c r="E162" s="512"/>
      <c r="F162" s="1154" t="s">
        <v>207</v>
      </c>
      <c r="G162" s="1154"/>
      <c r="H162" s="225"/>
      <c r="I162" s="225"/>
      <c r="J162" s="225"/>
      <c r="K162" s="292"/>
    </row>
    <row r="163" spans="1:11" s="58" customFormat="1" ht="28.5" customHeight="1">
      <c r="A163" s="301" t="s">
        <v>142</v>
      </c>
      <c r="B163" s="512" t="s">
        <v>208</v>
      </c>
      <c r="C163" s="512" t="s">
        <v>740</v>
      </c>
      <c r="D163" s="512" t="s">
        <v>660</v>
      </c>
      <c r="E163" s="512"/>
      <c r="F163" s="1154" t="s">
        <v>615</v>
      </c>
      <c r="G163" s="1154"/>
      <c r="H163" s="225">
        <v>226515</v>
      </c>
      <c r="I163" s="225"/>
      <c r="J163" s="225">
        <v>450709</v>
      </c>
      <c r="K163" s="292"/>
    </row>
    <row r="164" spans="1:11" s="58" customFormat="1" ht="28.5" customHeight="1">
      <c r="A164" s="301" t="s">
        <v>143</v>
      </c>
      <c r="B164" s="512" t="s">
        <v>208</v>
      </c>
      <c r="C164" s="512" t="s">
        <v>740</v>
      </c>
      <c r="D164" s="512" t="s">
        <v>661</v>
      </c>
      <c r="E164" s="512"/>
      <c r="F164" s="1154" t="s">
        <v>616</v>
      </c>
      <c r="G164" s="1154"/>
      <c r="H164" s="225"/>
      <c r="I164" s="225"/>
      <c r="J164" s="225"/>
      <c r="K164" s="292"/>
    </row>
    <row r="165" spans="1:11" s="58" customFormat="1" ht="28.5" customHeight="1">
      <c r="A165" s="301" t="s">
        <v>144</v>
      </c>
      <c r="B165" s="512" t="s">
        <v>208</v>
      </c>
      <c r="C165" s="512" t="s">
        <v>740</v>
      </c>
      <c r="D165" s="512" t="s">
        <v>662</v>
      </c>
      <c r="E165" s="512"/>
      <c r="F165" s="1154" t="s">
        <v>209</v>
      </c>
      <c r="G165" s="1154"/>
      <c r="H165" s="225"/>
      <c r="I165" s="225"/>
      <c r="J165" s="225"/>
      <c r="K165" s="292"/>
    </row>
    <row r="166" spans="1:11" s="58" customFormat="1" ht="38.25" customHeight="1">
      <c r="A166" s="301" t="s">
        <v>145</v>
      </c>
      <c r="B166" s="512" t="s">
        <v>739</v>
      </c>
      <c r="C166" s="512" t="s">
        <v>740</v>
      </c>
      <c r="D166" s="512" t="s">
        <v>662</v>
      </c>
      <c r="E166" s="512" t="s">
        <v>761</v>
      </c>
      <c r="G166" s="283" t="s">
        <v>210</v>
      </c>
      <c r="H166" s="225"/>
      <c r="I166" s="225"/>
      <c r="J166" s="225"/>
      <c r="K166" s="292"/>
    </row>
    <row r="167" spans="1:10" ht="12.75">
      <c r="A167" s="286" t="s">
        <v>146</v>
      </c>
      <c r="B167" s="512" t="s">
        <v>739</v>
      </c>
      <c r="C167" s="512" t="s">
        <v>740</v>
      </c>
      <c r="D167" s="512" t="s">
        <v>699</v>
      </c>
      <c r="E167" s="512"/>
      <c r="F167" s="279" t="s">
        <v>617</v>
      </c>
      <c r="H167" s="225"/>
      <c r="I167" s="225"/>
      <c r="J167" s="225"/>
    </row>
    <row r="168" spans="1:10" ht="12.75">
      <c r="A168" s="286" t="s">
        <v>147</v>
      </c>
      <c r="B168" s="512" t="s">
        <v>739</v>
      </c>
      <c r="C168" s="512" t="s">
        <v>740</v>
      </c>
      <c r="D168" s="512" t="s">
        <v>663</v>
      </c>
      <c r="E168" s="512"/>
      <c r="F168" s="279" t="s">
        <v>211</v>
      </c>
      <c r="H168" s="225"/>
      <c r="I168" s="225"/>
      <c r="J168" s="225"/>
    </row>
    <row r="169" spans="1:11" s="58" customFormat="1" ht="28.5" customHeight="1">
      <c r="A169" s="301" t="s">
        <v>148</v>
      </c>
      <c r="B169" s="512" t="s">
        <v>739</v>
      </c>
      <c r="C169" s="512" t="s">
        <v>740</v>
      </c>
      <c r="D169" s="512" t="s">
        <v>664</v>
      </c>
      <c r="E169" s="512"/>
      <c r="F169" s="1154" t="s">
        <v>212</v>
      </c>
      <c r="G169" s="1154"/>
      <c r="H169" s="225"/>
      <c r="I169" s="225"/>
      <c r="J169" s="225"/>
      <c r="K169" s="292"/>
    </row>
    <row r="170" spans="1:11" s="58" customFormat="1" ht="38.25" customHeight="1">
      <c r="A170" s="301" t="s">
        <v>149</v>
      </c>
      <c r="B170" s="512" t="s">
        <v>739</v>
      </c>
      <c r="C170" s="512" t="s">
        <v>740</v>
      </c>
      <c r="D170" s="512" t="s">
        <v>664</v>
      </c>
      <c r="E170" s="512" t="s">
        <v>761</v>
      </c>
      <c r="G170" s="283" t="s">
        <v>213</v>
      </c>
      <c r="H170" s="225"/>
      <c r="I170" s="225"/>
      <c r="J170" s="225"/>
      <c r="K170" s="292"/>
    </row>
    <row r="171" spans="1:11" s="58" customFormat="1" ht="28.5" customHeight="1">
      <c r="A171" s="301" t="s">
        <v>150</v>
      </c>
      <c r="B171" s="512" t="s">
        <v>739</v>
      </c>
      <c r="C171" s="512" t="s">
        <v>740</v>
      </c>
      <c r="D171" s="512" t="s">
        <v>666</v>
      </c>
      <c r="E171" s="512"/>
      <c r="F171" s="1154" t="s">
        <v>214</v>
      </c>
      <c r="G171" s="1154"/>
      <c r="H171" s="225"/>
      <c r="I171" s="225"/>
      <c r="J171" s="225"/>
      <c r="K171" s="292"/>
    </row>
    <row r="172" spans="1:11" s="58" customFormat="1" ht="39" customHeight="1">
      <c r="A172" s="301" t="s">
        <v>151</v>
      </c>
      <c r="B172" s="512" t="s">
        <v>739</v>
      </c>
      <c r="C172" s="512" t="s">
        <v>740</v>
      </c>
      <c r="D172" s="512" t="s">
        <v>666</v>
      </c>
      <c r="E172" s="512" t="s">
        <v>761</v>
      </c>
      <c r="G172" s="283" t="s">
        <v>215</v>
      </c>
      <c r="H172" s="225"/>
      <c r="I172" s="225"/>
      <c r="J172" s="225"/>
      <c r="K172" s="292"/>
    </row>
    <row r="173" spans="1:11" s="58" customFormat="1" ht="30" customHeight="1">
      <c r="A173" s="301" t="s">
        <v>152</v>
      </c>
      <c r="B173" s="512" t="s">
        <v>739</v>
      </c>
      <c r="C173" s="512" t="s">
        <v>740</v>
      </c>
      <c r="D173" s="512" t="s">
        <v>666</v>
      </c>
      <c r="E173" s="512" t="s">
        <v>762</v>
      </c>
      <c r="G173" s="283" t="s">
        <v>216</v>
      </c>
      <c r="H173" s="225"/>
      <c r="I173" s="225"/>
      <c r="J173" s="225"/>
      <c r="K173" s="292"/>
    </row>
    <row r="174" spans="1:11" s="58" customFormat="1" ht="38.25" customHeight="1">
      <c r="A174" s="301" t="s">
        <v>153</v>
      </c>
      <c r="B174" s="512" t="s">
        <v>739</v>
      </c>
      <c r="C174" s="512" t="s">
        <v>740</v>
      </c>
      <c r="D174" s="512" t="s">
        <v>666</v>
      </c>
      <c r="E174" s="512" t="s">
        <v>764</v>
      </c>
      <c r="G174" s="283" t="s">
        <v>217</v>
      </c>
      <c r="H174" s="225"/>
      <c r="I174" s="225"/>
      <c r="J174" s="225"/>
      <c r="K174" s="292"/>
    </row>
    <row r="175" spans="1:11" s="58" customFormat="1" ht="30" customHeight="1">
      <c r="A175" s="301" t="s">
        <v>154</v>
      </c>
      <c r="B175" s="512" t="s">
        <v>739</v>
      </c>
      <c r="C175" s="512" t="s">
        <v>740</v>
      </c>
      <c r="D175" s="512" t="s">
        <v>666</v>
      </c>
      <c r="E175" s="512" t="s">
        <v>765</v>
      </c>
      <c r="G175" s="283" t="s">
        <v>218</v>
      </c>
      <c r="H175" s="225"/>
      <c r="I175" s="225"/>
      <c r="J175" s="225"/>
      <c r="K175" s="292"/>
    </row>
    <row r="176" spans="1:11" s="58" customFormat="1" ht="30" customHeight="1">
      <c r="A176" s="301" t="s">
        <v>155</v>
      </c>
      <c r="B176" s="512" t="s">
        <v>739</v>
      </c>
      <c r="C176" s="512" t="s">
        <v>740</v>
      </c>
      <c r="D176" s="512" t="s">
        <v>666</v>
      </c>
      <c r="E176" s="512" t="s">
        <v>28</v>
      </c>
      <c r="G176" s="283" t="s">
        <v>618</v>
      </c>
      <c r="H176" s="225"/>
      <c r="I176" s="225"/>
      <c r="J176" s="225"/>
      <c r="K176" s="292"/>
    </row>
    <row r="177" spans="1:11" s="58" customFormat="1" ht="30" customHeight="1">
      <c r="A177" s="301" t="s">
        <v>156</v>
      </c>
      <c r="B177" s="512" t="s">
        <v>208</v>
      </c>
      <c r="C177" s="512" t="s">
        <v>740</v>
      </c>
      <c r="D177" s="512" t="s">
        <v>666</v>
      </c>
      <c r="E177" s="512" t="s">
        <v>219</v>
      </c>
      <c r="G177" s="283" t="s">
        <v>220</v>
      </c>
      <c r="H177" s="225"/>
      <c r="I177" s="225"/>
      <c r="J177" s="225"/>
      <c r="K177" s="292"/>
    </row>
    <row r="178" spans="1:11" s="58" customFormat="1" ht="30" customHeight="1">
      <c r="A178" s="301" t="s">
        <v>157</v>
      </c>
      <c r="B178" s="512" t="s">
        <v>739</v>
      </c>
      <c r="C178" s="512" t="s">
        <v>740</v>
      </c>
      <c r="D178" s="512" t="s">
        <v>666</v>
      </c>
      <c r="E178" s="512" t="s">
        <v>221</v>
      </c>
      <c r="G178" s="283" t="s">
        <v>222</v>
      </c>
      <c r="H178" s="225"/>
      <c r="I178" s="225"/>
      <c r="J178" s="225"/>
      <c r="K178" s="292"/>
    </row>
    <row r="179" spans="1:11" s="58" customFormat="1" ht="30" customHeight="1" thickBot="1">
      <c r="A179" s="301" t="s">
        <v>158</v>
      </c>
      <c r="B179" s="512" t="s">
        <v>739</v>
      </c>
      <c r="C179" s="512" t="s">
        <v>740</v>
      </c>
      <c r="D179" s="512" t="s">
        <v>666</v>
      </c>
      <c r="E179" s="512" t="s">
        <v>205</v>
      </c>
      <c r="G179" s="283" t="s">
        <v>223</v>
      </c>
      <c r="H179" s="225"/>
      <c r="I179" s="225"/>
      <c r="J179" s="225"/>
      <c r="K179" s="292"/>
    </row>
    <row r="180" spans="1:11" s="281" customFormat="1" ht="13.5" thickBot="1">
      <c r="A180" s="423" t="s">
        <v>159</v>
      </c>
      <c r="B180" s="81" t="s">
        <v>739</v>
      </c>
      <c r="C180" s="285" t="s">
        <v>224</v>
      </c>
      <c r="D180" s="285"/>
      <c r="E180" s="285"/>
      <c r="F180" s="284" t="s">
        <v>225</v>
      </c>
      <c r="G180" s="289"/>
      <c r="H180" s="93">
        <v>226515</v>
      </c>
      <c r="I180" s="93"/>
      <c r="J180" s="93">
        <v>450709</v>
      </c>
      <c r="K180" s="288"/>
    </row>
    <row r="181" spans="1:11" s="281" customFormat="1" ht="12.75">
      <c r="A181" s="355"/>
      <c r="B181" s="111"/>
      <c r="C181" s="287"/>
      <c r="D181" s="287"/>
      <c r="E181" s="287"/>
      <c r="F181" s="111"/>
      <c r="G181" s="111"/>
      <c r="H181" s="356"/>
      <c r="I181" s="356"/>
      <c r="J181" s="356"/>
      <c r="K181" s="288"/>
    </row>
    <row r="182" spans="1:11" s="281" customFormat="1" ht="12.75">
      <c r="A182" s="355"/>
      <c r="B182" s="111"/>
      <c r="C182" s="287"/>
      <c r="D182" s="287"/>
      <c r="E182" s="287"/>
      <c r="F182" s="111"/>
      <c r="G182" s="111"/>
      <c r="H182" s="356"/>
      <c r="I182" s="356"/>
      <c r="J182" s="356"/>
      <c r="K182" s="288"/>
    </row>
    <row r="183" spans="1:11" s="281" customFormat="1" ht="12.75">
      <c r="A183" s="355"/>
      <c r="B183" s="111"/>
      <c r="C183" s="287"/>
      <c r="D183" s="287"/>
      <c r="E183" s="287"/>
      <c r="F183" s="111"/>
      <c r="G183" s="111"/>
      <c r="H183" s="356"/>
      <c r="I183" s="356"/>
      <c r="J183" s="356"/>
      <c r="K183" s="288"/>
    </row>
    <row r="184" spans="1:11" s="281" customFormat="1" ht="12.75">
      <c r="A184" s="355"/>
      <c r="B184" s="111"/>
      <c r="C184" s="287"/>
      <c r="D184" s="287"/>
      <c r="E184" s="287"/>
      <c r="F184" s="111"/>
      <c r="G184" s="111"/>
      <c r="H184" s="356"/>
      <c r="I184" s="356"/>
      <c r="J184" s="356"/>
      <c r="K184" s="288"/>
    </row>
    <row r="185" spans="1:11" s="281" customFormat="1" ht="12.75">
      <c r="A185" s="355"/>
      <c r="B185" s="111"/>
      <c r="C185" s="287"/>
      <c r="D185" s="287"/>
      <c r="E185" s="287"/>
      <c r="F185" s="111"/>
      <c r="G185" s="111"/>
      <c r="H185" s="356"/>
      <c r="I185" s="356"/>
      <c r="J185" s="356"/>
      <c r="K185" s="288"/>
    </row>
    <row r="186" spans="1:11" s="281" customFormat="1" ht="12.75">
      <c r="A186" s="355"/>
      <c r="B186" s="111"/>
      <c r="C186" s="287"/>
      <c r="D186" s="287"/>
      <c r="E186" s="287"/>
      <c r="F186" s="111"/>
      <c r="G186" s="111"/>
      <c r="H186" s="356"/>
      <c r="I186" s="356"/>
      <c r="J186" s="356"/>
      <c r="K186" s="288"/>
    </row>
    <row r="187" spans="1:11" s="281" customFormat="1" ht="12.75">
      <c r="A187" s="355"/>
      <c r="B187" s="111"/>
      <c r="C187" s="287"/>
      <c r="D187" s="287"/>
      <c r="E187" s="287"/>
      <c r="F187" s="111"/>
      <c r="G187" s="111"/>
      <c r="H187" s="356"/>
      <c r="I187" s="356"/>
      <c r="J187" s="356"/>
      <c r="K187" s="288"/>
    </row>
    <row r="188" spans="1:11" s="281" customFormat="1" ht="12.75">
      <c r="A188" s="355"/>
      <c r="B188" s="111"/>
      <c r="C188" s="287"/>
      <c r="D188" s="287"/>
      <c r="E188" s="287"/>
      <c r="F188" s="111"/>
      <c r="G188" s="111"/>
      <c r="H188" s="356"/>
      <c r="I188" s="356"/>
      <c r="J188" s="356"/>
      <c r="K188" s="288"/>
    </row>
    <row r="189" spans="1:11" s="281" customFormat="1" ht="13.5" thickBot="1">
      <c r="A189" s="355"/>
      <c r="B189" s="111"/>
      <c r="C189" s="287"/>
      <c r="D189" s="287"/>
      <c r="E189" s="287"/>
      <c r="F189" s="111"/>
      <c r="G189" s="111"/>
      <c r="H189" s="356"/>
      <c r="I189" s="356"/>
      <c r="J189" s="356"/>
      <c r="K189" s="288"/>
    </row>
    <row r="190" spans="1:10" s="37" customFormat="1" ht="15" customHeight="1">
      <c r="A190" s="1165" t="s">
        <v>496</v>
      </c>
      <c r="B190" s="1166"/>
      <c r="C190" s="1166"/>
      <c r="D190" s="1166"/>
      <c r="E190" s="1166"/>
      <c r="F190" s="1167"/>
      <c r="G190" s="1171" t="s">
        <v>653</v>
      </c>
      <c r="H190" s="1161" t="s">
        <v>363</v>
      </c>
      <c r="I190" s="1161" t="s">
        <v>364</v>
      </c>
      <c r="J190" s="1155" t="s">
        <v>365</v>
      </c>
    </row>
    <row r="191" spans="1:10" s="37" customFormat="1" ht="13.5" thickBot="1">
      <c r="A191" s="1168"/>
      <c r="B191" s="1169"/>
      <c r="C191" s="1169"/>
      <c r="D191" s="1169"/>
      <c r="E191" s="1169"/>
      <c r="F191" s="1170"/>
      <c r="G191" s="1172"/>
      <c r="H191" s="1162"/>
      <c r="I191" s="1162"/>
      <c r="J191" s="1156"/>
    </row>
    <row r="192" spans="1:10" s="37" customFormat="1" ht="17.25" customHeight="1">
      <c r="A192" s="814"/>
      <c r="B192" s="814"/>
      <c r="C192" s="814"/>
      <c r="D192" s="814"/>
      <c r="E192" s="814"/>
      <c r="F192" s="814"/>
      <c r="G192" s="815"/>
      <c r="H192" s="816"/>
      <c r="I192" s="816"/>
      <c r="J192" s="816"/>
    </row>
    <row r="193" spans="1:11" s="350" customFormat="1" ht="30" customHeight="1">
      <c r="A193" s="348"/>
      <c r="B193" s="353"/>
      <c r="C193" s="349" t="s">
        <v>500</v>
      </c>
      <c r="D193" s="1160" t="s">
        <v>240</v>
      </c>
      <c r="E193" s="1160"/>
      <c r="F193" s="1160"/>
      <c r="G193" s="1160"/>
      <c r="K193" s="351"/>
    </row>
    <row r="194" spans="1:11" s="58" customFormat="1" ht="30" customHeight="1">
      <c r="A194" s="301" t="s">
        <v>160</v>
      </c>
      <c r="B194" s="512" t="s">
        <v>739</v>
      </c>
      <c r="C194" s="512" t="s">
        <v>500</v>
      </c>
      <c r="D194" s="512" t="s">
        <v>658</v>
      </c>
      <c r="E194" s="512"/>
      <c r="F194" s="1154" t="s">
        <v>226</v>
      </c>
      <c r="G194" s="1154"/>
      <c r="H194" s="225"/>
      <c r="I194" s="225"/>
      <c r="J194" s="225"/>
      <c r="K194" s="292"/>
    </row>
    <row r="195" spans="1:11" s="58" customFormat="1" ht="40.5" customHeight="1">
      <c r="A195" s="301" t="s">
        <v>161</v>
      </c>
      <c r="B195" s="512" t="s">
        <v>739</v>
      </c>
      <c r="C195" s="512" t="s">
        <v>500</v>
      </c>
      <c r="D195" s="512" t="s">
        <v>659</v>
      </c>
      <c r="E195" s="512"/>
      <c r="F195" s="1154" t="s">
        <v>227</v>
      </c>
      <c r="G195" s="1154"/>
      <c r="H195" s="225"/>
      <c r="I195" s="225"/>
      <c r="J195" s="225"/>
      <c r="K195" s="292"/>
    </row>
    <row r="196" spans="1:11" s="58" customFormat="1" ht="30" customHeight="1">
      <c r="A196" s="301" t="s">
        <v>162</v>
      </c>
      <c r="B196" s="512" t="s">
        <v>208</v>
      </c>
      <c r="C196" s="512" t="s">
        <v>500</v>
      </c>
      <c r="D196" s="512" t="s">
        <v>660</v>
      </c>
      <c r="E196" s="512"/>
      <c r="F196" s="1154" t="s">
        <v>619</v>
      </c>
      <c r="G196" s="1154"/>
      <c r="H196" s="225">
        <v>425080</v>
      </c>
      <c r="I196" s="225"/>
      <c r="J196" s="225">
        <v>525935</v>
      </c>
      <c r="K196" s="292"/>
    </row>
    <row r="197" spans="1:11" s="58" customFormat="1" ht="30" customHeight="1">
      <c r="A197" s="301" t="s">
        <v>163</v>
      </c>
      <c r="B197" s="512" t="s">
        <v>208</v>
      </c>
      <c r="C197" s="512" t="s">
        <v>500</v>
      </c>
      <c r="D197" s="512" t="s">
        <v>661</v>
      </c>
      <c r="E197" s="512"/>
      <c r="F197" s="1154" t="s">
        <v>616</v>
      </c>
      <c r="G197" s="1154"/>
      <c r="H197" s="225"/>
      <c r="I197" s="225"/>
      <c r="J197" s="225"/>
      <c r="K197" s="292"/>
    </row>
    <row r="198" spans="1:11" s="58" customFormat="1" ht="30" customHeight="1">
      <c r="A198" s="301" t="s">
        <v>164</v>
      </c>
      <c r="B198" s="512" t="s">
        <v>208</v>
      </c>
      <c r="C198" s="512" t="s">
        <v>500</v>
      </c>
      <c r="D198" s="512" t="s">
        <v>662</v>
      </c>
      <c r="E198" s="512"/>
      <c r="F198" s="1154" t="s">
        <v>228</v>
      </c>
      <c r="G198" s="1154"/>
      <c r="H198" s="225">
        <v>4500</v>
      </c>
      <c r="I198" s="225"/>
      <c r="J198" s="225"/>
      <c r="K198" s="292"/>
    </row>
    <row r="199" spans="1:10" ht="50.25" customHeight="1">
      <c r="A199" s="286" t="s">
        <v>165</v>
      </c>
      <c r="B199" s="512" t="s">
        <v>739</v>
      </c>
      <c r="C199" s="512" t="s">
        <v>500</v>
      </c>
      <c r="D199" s="512" t="s">
        <v>662</v>
      </c>
      <c r="E199" s="512" t="s">
        <v>761</v>
      </c>
      <c r="F199" s="58"/>
      <c r="G199" s="283" t="s">
        <v>248</v>
      </c>
      <c r="H199" s="225"/>
      <c r="I199" s="225"/>
      <c r="J199" s="225"/>
    </row>
    <row r="200" spans="1:11" s="58" customFormat="1" ht="30" customHeight="1">
      <c r="A200" s="301" t="s">
        <v>166</v>
      </c>
      <c r="B200" s="512" t="s">
        <v>739</v>
      </c>
      <c r="C200" s="512" t="s">
        <v>500</v>
      </c>
      <c r="D200" s="512" t="s">
        <v>699</v>
      </c>
      <c r="E200" s="512"/>
      <c r="F200" s="1154" t="s">
        <v>620</v>
      </c>
      <c r="G200" s="1154"/>
      <c r="H200" s="225"/>
      <c r="I200" s="225"/>
      <c r="J200" s="225"/>
      <c r="K200" s="292"/>
    </row>
    <row r="201" spans="1:11" s="58" customFormat="1" ht="30" customHeight="1">
      <c r="A201" s="301" t="s">
        <v>167</v>
      </c>
      <c r="B201" s="512" t="s">
        <v>739</v>
      </c>
      <c r="C201" s="512" t="s">
        <v>500</v>
      </c>
      <c r="D201" s="512" t="s">
        <v>663</v>
      </c>
      <c r="E201" s="512"/>
      <c r="F201" s="1154" t="s">
        <v>229</v>
      </c>
      <c r="G201" s="1154"/>
      <c r="H201" s="225"/>
      <c r="I201" s="225"/>
      <c r="J201" s="225"/>
      <c r="K201" s="292"/>
    </row>
    <row r="202" spans="1:11" s="58" customFormat="1" ht="30" customHeight="1">
      <c r="A202" s="301" t="s">
        <v>168</v>
      </c>
      <c r="B202" s="512" t="s">
        <v>739</v>
      </c>
      <c r="C202" s="512" t="s">
        <v>500</v>
      </c>
      <c r="D202" s="512" t="s">
        <v>664</v>
      </c>
      <c r="E202" s="512"/>
      <c r="F202" s="1154" t="s">
        <v>230</v>
      </c>
      <c r="G202" s="1154"/>
      <c r="H202" s="225"/>
      <c r="I202" s="225"/>
      <c r="J202" s="225"/>
      <c r="K202" s="292"/>
    </row>
    <row r="203" spans="1:10" ht="51">
      <c r="A203" s="286" t="s">
        <v>169</v>
      </c>
      <c r="B203" s="512" t="s">
        <v>739</v>
      </c>
      <c r="C203" s="512" t="s">
        <v>500</v>
      </c>
      <c r="D203" s="512" t="s">
        <v>664</v>
      </c>
      <c r="E203" s="512" t="s">
        <v>761</v>
      </c>
      <c r="F203" s="58"/>
      <c r="G203" s="283" t="s">
        <v>231</v>
      </c>
      <c r="H203" s="225"/>
      <c r="I203" s="225"/>
      <c r="J203" s="225"/>
    </row>
    <row r="204" spans="1:11" s="58" customFormat="1" ht="30" customHeight="1">
      <c r="A204" s="301" t="s">
        <v>170</v>
      </c>
      <c r="B204" s="512" t="s">
        <v>739</v>
      </c>
      <c r="C204" s="512" t="s">
        <v>500</v>
      </c>
      <c r="D204" s="512" t="s">
        <v>666</v>
      </c>
      <c r="E204" s="512"/>
      <c r="F204" s="1154" t="s">
        <v>232</v>
      </c>
      <c r="G204" s="1154"/>
      <c r="H204" s="225">
        <v>1318759</v>
      </c>
      <c r="I204" s="225"/>
      <c r="J204" s="225">
        <v>1121209</v>
      </c>
      <c r="K204" s="292"/>
    </row>
    <row r="205" spans="1:10" ht="38.25">
      <c r="A205" s="286" t="s">
        <v>171</v>
      </c>
      <c r="B205" s="512" t="s">
        <v>739</v>
      </c>
      <c r="C205" s="512" t="s">
        <v>500</v>
      </c>
      <c r="D205" s="512" t="s">
        <v>666</v>
      </c>
      <c r="E205" s="512" t="s">
        <v>761</v>
      </c>
      <c r="F205" s="58"/>
      <c r="G205" s="283" t="s">
        <v>233</v>
      </c>
      <c r="H205" s="225">
        <v>1318759</v>
      </c>
      <c r="I205" s="225"/>
      <c r="J205" s="225">
        <v>1121209</v>
      </c>
    </row>
    <row r="206" spans="1:10" ht="38.25">
      <c r="A206" s="286" t="s">
        <v>172</v>
      </c>
      <c r="B206" s="512" t="s">
        <v>739</v>
      </c>
      <c r="C206" s="512" t="s">
        <v>500</v>
      </c>
      <c r="D206" s="512" t="s">
        <v>666</v>
      </c>
      <c r="E206" s="512" t="s">
        <v>762</v>
      </c>
      <c r="F206" s="58"/>
      <c r="G206" s="283" t="s">
        <v>234</v>
      </c>
      <c r="H206" s="225"/>
      <c r="I206" s="225"/>
      <c r="J206" s="225"/>
    </row>
    <row r="207" spans="1:10" ht="38.25">
      <c r="A207" s="286" t="s">
        <v>173</v>
      </c>
      <c r="B207" s="512" t="s">
        <v>739</v>
      </c>
      <c r="C207" s="512" t="s">
        <v>500</v>
      </c>
      <c r="D207" s="512" t="s">
        <v>666</v>
      </c>
      <c r="E207" s="512" t="s">
        <v>764</v>
      </c>
      <c r="F207" s="58"/>
      <c r="G207" s="283" t="s">
        <v>235</v>
      </c>
      <c r="H207" s="225"/>
      <c r="I207" s="225"/>
      <c r="J207" s="225"/>
    </row>
    <row r="208" spans="1:10" ht="38.25">
      <c r="A208" s="286" t="s">
        <v>174</v>
      </c>
      <c r="B208" s="512" t="s">
        <v>739</v>
      </c>
      <c r="C208" s="512" t="s">
        <v>500</v>
      </c>
      <c r="D208" s="512" t="s">
        <v>666</v>
      </c>
      <c r="E208" s="512" t="s">
        <v>765</v>
      </c>
      <c r="F208" s="58"/>
      <c r="G208" s="283" t="s">
        <v>236</v>
      </c>
      <c r="H208" s="225"/>
      <c r="I208" s="225"/>
      <c r="J208" s="225"/>
    </row>
    <row r="209" spans="1:10" ht="38.25">
      <c r="A209" s="286" t="s">
        <v>175</v>
      </c>
      <c r="B209" s="512" t="s">
        <v>739</v>
      </c>
      <c r="C209" s="512" t="s">
        <v>500</v>
      </c>
      <c r="D209" s="512" t="s">
        <v>666</v>
      </c>
      <c r="E209" s="512" t="s">
        <v>28</v>
      </c>
      <c r="F209" s="58"/>
      <c r="G209" s="283" t="s">
        <v>621</v>
      </c>
      <c r="H209" s="225"/>
      <c r="I209" s="225"/>
      <c r="J209" s="225"/>
    </row>
    <row r="210" spans="1:10" ht="38.25">
      <c r="A210" s="286" t="s">
        <v>176</v>
      </c>
      <c r="B210" s="512" t="s">
        <v>208</v>
      </c>
      <c r="C210" s="512" t="s">
        <v>500</v>
      </c>
      <c r="D210" s="512" t="s">
        <v>666</v>
      </c>
      <c r="E210" s="512" t="s">
        <v>219</v>
      </c>
      <c r="F210" s="58"/>
      <c r="G210" s="283" t="s">
        <v>237</v>
      </c>
      <c r="H210" s="225"/>
      <c r="I210" s="225"/>
      <c r="J210" s="225"/>
    </row>
    <row r="211" spans="1:10" ht="38.25">
      <c r="A211" s="286" t="s">
        <v>177</v>
      </c>
      <c r="B211" s="512" t="s">
        <v>739</v>
      </c>
      <c r="C211" s="512" t="s">
        <v>500</v>
      </c>
      <c r="D211" s="512" t="s">
        <v>666</v>
      </c>
      <c r="E211" s="512" t="s">
        <v>221</v>
      </c>
      <c r="F211" s="58"/>
      <c r="G211" s="283" t="s">
        <v>238</v>
      </c>
      <c r="H211" s="225"/>
      <c r="I211" s="225"/>
      <c r="J211" s="225"/>
    </row>
    <row r="212" spans="1:10" ht="25.5">
      <c r="A212" s="286" t="s">
        <v>178</v>
      </c>
      <c r="B212" s="512" t="s">
        <v>739</v>
      </c>
      <c r="C212" s="512" t="s">
        <v>500</v>
      </c>
      <c r="D212" s="512" t="s">
        <v>666</v>
      </c>
      <c r="E212" s="512" t="s">
        <v>205</v>
      </c>
      <c r="F212" s="58"/>
      <c r="G212" s="283" t="s">
        <v>239</v>
      </c>
      <c r="H212" s="225"/>
      <c r="I212" s="225"/>
      <c r="J212" s="225"/>
    </row>
    <row r="213" spans="2:10" ht="13.5" thickBot="1">
      <c r="B213" s="512"/>
      <c r="C213" s="512"/>
      <c r="D213" s="512"/>
      <c r="E213" s="512"/>
      <c r="F213" s="58"/>
      <c r="G213" s="283"/>
      <c r="H213" s="225"/>
      <c r="I213" s="225"/>
      <c r="J213" s="225"/>
    </row>
    <row r="214" spans="1:11" s="281" customFormat="1" ht="13.5" thickBot="1">
      <c r="A214" s="423" t="s">
        <v>179</v>
      </c>
      <c r="B214" s="81" t="s">
        <v>208</v>
      </c>
      <c r="C214" s="285" t="s">
        <v>500</v>
      </c>
      <c r="D214" s="285"/>
      <c r="E214" s="285"/>
      <c r="F214" s="284" t="s">
        <v>240</v>
      </c>
      <c r="G214" s="289"/>
      <c r="H214" s="93">
        <f>H204+H198+H196</f>
        <v>1748339</v>
      </c>
      <c r="I214" s="93"/>
      <c r="J214" s="93">
        <f>J204+J198+J196</f>
        <v>1647144</v>
      </c>
      <c r="K214" s="288"/>
    </row>
    <row r="215" spans="1:11" s="281" customFormat="1" ht="12.75">
      <c r="A215" s="355"/>
      <c r="B215" s="111"/>
      <c r="C215" s="287"/>
      <c r="D215" s="287"/>
      <c r="E215" s="287"/>
      <c r="F215" s="111"/>
      <c r="G215" s="111"/>
      <c r="H215" s="356"/>
      <c r="I215" s="356"/>
      <c r="J215" s="356"/>
      <c r="K215" s="288"/>
    </row>
    <row r="216" spans="1:11" s="281" customFormat="1" ht="12.75">
      <c r="A216" s="355"/>
      <c r="B216" s="111"/>
      <c r="C216" s="287"/>
      <c r="D216" s="287"/>
      <c r="E216" s="287"/>
      <c r="F216" s="111"/>
      <c r="G216" s="111"/>
      <c r="H216" s="356"/>
      <c r="I216" s="356"/>
      <c r="J216" s="356"/>
      <c r="K216" s="288"/>
    </row>
    <row r="217" spans="1:11" s="281" customFormat="1" ht="12.75">
      <c r="A217" s="355"/>
      <c r="B217" s="111"/>
      <c r="C217" s="287"/>
      <c r="D217" s="287"/>
      <c r="E217" s="287"/>
      <c r="F217" s="111"/>
      <c r="G217" s="111"/>
      <c r="H217" s="356"/>
      <c r="I217" s="356"/>
      <c r="J217" s="356"/>
      <c r="K217" s="288"/>
    </row>
    <row r="218" spans="1:11" s="281" customFormat="1" ht="12.75">
      <c r="A218" s="355"/>
      <c r="B218" s="111"/>
      <c r="C218" s="287"/>
      <c r="D218" s="287"/>
      <c r="E218" s="287"/>
      <c r="F218" s="111"/>
      <c r="G218" s="111"/>
      <c r="H218" s="356"/>
      <c r="I218" s="356"/>
      <c r="J218" s="356"/>
      <c r="K218" s="288"/>
    </row>
    <row r="219" spans="1:11" s="281" customFormat="1" ht="12.75">
      <c r="A219" s="355"/>
      <c r="B219" s="111"/>
      <c r="C219" s="287"/>
      <c r="D219" s="287"/>
      <c r="E219" s="287"/>
      <c r="F219" s="111"/>
      <c r="G219" s="111"/>
      <c r="H219" s="356"/>
      <c r="I219" s="356"/>
      <c r="J219" s="356"/>
      <c r="K219" s="288"/>
    </row>
    <row r="220" spans="1:11" s="281" customFormat="1" ht="12.75">
      <c r="A220" s="355"/>
      <c r="B220" s="111"/>
      <c r="C220" s="287"/>
      <c r="D220" s="287"/>
      <c r="E220" s="287"/>
      <c r="F220" s="111"/>
      <c r="G220" s="111"/>
      <c r="H220" s="356"/>
      <c r="I220" s="356"/>
      <c r="J220" s="356"/>
      <c r="K220" s="288"/>
    </row>
    <row r="221" spans="1:11" s="281" customFormat="1" ht="12.75">
      <c r="A221" s="355"/>
      <c r="B221" s="111"/>
      <c r="C221" s="287"/>
      <c r="D221" s="287"/>
      <c r="E221" s="287"/>
      <c r="F221" s="111"/>
      <c r="G221" s="111"/>
      <c r="H221" s="356"/>
      <c r="I221" s="356"/>
      <c r="J221" s="356"/>
      <c r="K221" s="288"/>
    </row>
    <row r="222" spans="1:11" s="281" customFormat="1" ht="12.75">
      <c r="A222" s="355"/>
      <c r="B222" s="111"/>
      <c r="C222" s="287"/>
      <c r="D222" s="287"/>
      <c r="E222" s="287"/>
      <c r="F222" s="111"/>
      <c r="G222" s="111"/>
      <c r="H222" s="356"/>
      <c r="I222" s="356"/>
      <c r="J222" s="356"/>
      <c r="K222" s="288"/>
    </row>
    <row r="223" spans="1:11" s="281" customFormat="1" ht="12.75">
      <c r="A223" s="355"/>
      <c r="B223" s="111"/>
      <c r="C223" s="287"/>
      <c r="D223" s="287"/>
      <c r="E223" s="287"/>
      <c r="F223" s="111"/>
      <c r="G223" s="111"/>
      <c r="H223" s="356"/>
      <c r="I223" s="356"/>
      <c r="J223" s="356"/>
      <c r="K223" s="288"/>
    </row>
    <row r="224" spans="1:11" s="281" customFormat="1" ht="13.5" thickBot="1">
      <c r="A224" s="355"/>
      <c r="B224" s="111"/>
      <c r="C224" s="287"/>
      <c r="D224" s="287"/>
      <c r="E224" s="287"/>
      <c r="F224" s="111"/>
      <c r="G224" s="111"/>
      <c r="H224" s="356"/>
      <c r="I224" s="356"/>
      <c r="J224" s="356"/>
      <c r="K224" s="288"/>
    </row>
    <row r="225" spans="1:10" s="37" customFormat="1" ht="15" customHeight="1">
      <c r="A225" s="1165" t="s">
        <v>496</v>
      </c>
      <c r="B225" s="1166"/>
      <c r="C225" s="1166"/>
      <c r="D225" s="1166"/>
      <c r="E225" s="1166"/>
      <c r="F225" s="1167"/>
      <c r="G225" s="1171" t="s">
        <v>653</v>
      </c>
      <c r="H225" s="1161" t="s">
        <v>363</v>
      </c>
      <c r="I225" s="1161" t="s">
        <v>364</v>
      </c>
      <c r="J225" s="1155" t="s">
        <v>365</v>
      </c>
    </row>
    <row r="226" spans="1:10" s="37" customFormat="1" ht="13.5" thickBot="1">
      <c r="A226" s="1168"/>
      <c r="B226" s="1169"/>
      <c r="C226" s="1169"/>
      <c r="D226" s="1169"/>
      <c r="E226" s="1169"/>
      <c r="F226" s="1170"/>
      <c r="G226" s="1172"/>
      <c r="H226" s="1162"/>
      <c r="I226" s="1162"/>
      <c r="J226" s="1156"/>
    </row>
    <row r="227" spans="1:10" s="37" customFormat="1" ht="12.75">
      <c r="A227" s="814"/>
      <c r="B227" s="814"/>
      <c r="C227" s="814"/>
      <c r="D227" s="814"/>
      <c r="E227" s="814"/>
      <c r="F227" s="814"/>
      <c r="G227" s="815"/>
      <c r="H227" s="816"/>
      <c r="I227" s="816"/>
      <c r="J227" s="816"/>
    </row>
    <row r="228" spans="1:11" s="350" customFormat="1" ht="17.25" customHeight="1">
      <c r="A228" s="348"/>
      <c r="B228" s="353"/>
      <c r="C228" s="349" t="s">
        <v>505</v>
      </c>
      <c r="D228" s="1160" t="s">
        <v>542</v>
      </c>
      <c r="E228" s="1160"/>
      <c r="F228" s="1160"/>
      <c r="G228" s="1160"/>
      <c r="K228" s="351"/>
    </row>
    <row r="229" spans="1:11" s="350" customFormat="1" ht="11.25" customHeight="1">
      <c r="A229" s="348"/>
      <c r="B229" s="353"/>
      <c r="C229" s="349"/>
      <c r="D229" s="349"/>
      <c r="E229" s="349"/>
      <c r="F229" s="349"/>
      <c r="G229" s="349"/>
      <c r="K229" s="351"/>
    </row>
    <row r="230" spans="1:10" ht="12.75">
      <c r="A230" s="286" t="s">
        <v>180</v>
      </c>
      <c r="B230" s="57" t="s">
        <v>739</v>
      </c>
      <c r="C230" s="286" t="s">
        <v>505</v>
      </c>
      <c r="D230" s="280" t="s">
        <v>658</v>
      </c>
      <c r="E230" s="286"/>
      <c r="F230" s="279" t="s">
        <v>241</v>
      </c>
      <c r="H230" s="225">
        <v>903541</v>
      </c>
      <c r="I230" s="225"/>
      <c r="J230" s="225">
        <v>1285463</v>
      </c>
    </row>
    <row r="231" spans="1:10" ht="24.75" customHeight="1">
      <c r="A231" s="286" t="s">
        <v>181</v>
      </c>
      <c r="B231" s="294" t="s">
        <v>739</v>
      </c>
      <c r="C231" s="294" t="s">
        <v>505</v>
      </c>
      <c r="D231" s="280" t="s">
        <v>659</v>
      </c>
      <c r="E231" s="294"/>
      <c r="F231" s="1154" t="s">
        <v>242</v>
      </c>
      <c r="G231" s="1154"/>
      <c r="H231" s="225">
        <v>67418</v>
      </c>
      <c r="I231" s="225"/>
      <c r="J231" s="225">
        <v>303825</v>
      </c>
    </row>
    <row r="232" spans="1:10" ht="12.75">
      <c r="A232" s="286" t="s">
        <v>182</v>
      </c>
      <c r="B232" s="57" t="s">
        <v>739</v>
      </c>
      <c r="C232" s="286" t="s">
        <v>505</v>
      </c>
      <c r="D232" s="280" t="s">
        <v>660</v>
      </c>
      <c r="E232" s="286"/>
      <c r="F232" s="279" t="s">
        <v>243</v>
      </c>
      <c r="H232" s="225">
        <v>481877</v>
      </c>
      <c r="I232" s="225"/>
      <c r="J232" s="225">
        <v>35506</v>
      </c>
    </row>
    <row r="233" spans="1:10" ht="12.75">
      <c r="A233" s="286" t="s">
        <v>183</v>
      </c>
      <c r="B233" s="57" t="s">
        <v>208</v>
      </c>
      <c r="C233" s="286" t="s">
        <v>505</v>
      </c>
      <c r="D233" s="280" t="s">
        <v>661</v>
      </c>
      <c r="E233" s="286"/>
      <c r="F233" s="279" t="s">
        <v>244</v>
      </c>
      <c r="H233" s="225"/>
      <c r="I233" s="225"/>
      <c r="J233" s="225"/>
    </row>
    <row r="234" spans="1:10" ht="24.75" customHeight="1">
      <c r="A234" s="286" t="s">
        <v>184</v>
      </c>
      <c r="B234" s="512" t="s">
        <v>208</v>
      </c>
      <c r="C234" s="512" t="s">
        <v>505</v>
      </c>
      <c r="D234" s="512" t="s">
        <v>662</v>
      </c>
      <c r="E234" s="294"/>
      <c r="F234" s="1154" t="s">
        <v>245</v>
      </c>
      <c r="G234" s="1154"/>
      <c r="H234" s="225"/>
      <c r="I234" s="225"/>
      <c r="J234" s="225"/>
    </row>
    <row r="235" spans="1:10" ht="24.75" customHeight="1">
      <c r="A235" s="286" t="s">
        <v>185</v>
      </c>
      <c r="B235" s="512" t="s">
        <v>208</v>
      </c>
      <c r="C235" s="512" t="s">
        <v>505</v>
      </c>
      <c r="D235" s="512" t="s">
        <v>699</v>
      </c>
      <c r="E235" s="294"/>
      <c r="F235" s="1154" t="s">
        <v>129</v>
      </c>
      <c r="G235" s="1154"/>
      <c r="H235" s="225"/>
      <c r="I235" s="225"/>
      <c r="J235" s="225"/>
    </row>
    <row r="236" spans="1:10" ht="24.75" customHeight="1" thickBot="1">
      <c r="A236" s="286" t="s">
        <v>186</v>
      </c>
      <c r="B236" s="512" t="s">
        <v>208</v>
      </c>
      <c r="C236" s="512" t="s">
        <v>505</v>
      </c>
      <c r="D236" s="512" t="s">
        <v>663</v>
      </c>
      <c r="E236" s="294"/>
      <c r="F236" s="1154" t="s">
        <v>246</v>
      </c>
      <c r="G236" s="1154"/>
      <c r="H236" s="225"/>
      <c r="I236" s="225"/>
      <c r="J236" s="225"/>
    </row>
    <row r="237" spans="1:11" s="281" customFormat="1" ht="13.5" thickBot="1">
      <c r="A237" s="423" t="s">
        <v>187</v>
      </c>
      <c r="B237" s="81" t="s">
        <v>208</v>
      </c>
      <c r="C237" s="285" t="s">
        <v>505</v>
      </c>
      <c r="D237" s="285"/>
      <c r="E237" s="285"/>
      <c r="F237" s="284" t="s">
        <v>247</v>
      </c>
      <c r="G237" s="289"/>
      <c r="H237" s="93">
        <f>H230+H231+H232</f>
        <v>1452836</v>
      </c>
      <c r="I237" s="93"/>
      <c r="J237" s="93">
        <f>J230+J232+J231</f>
        <v>1624794</v>
      </c>
      <c r="K237" s="288"/>
    </row>
    <row r="238" spans="1:11" s="281" customFormat="1" ht="25.5" customHeight="1" thickBot="1">
      <c r="A238" s="423" t="s">
        <v>188</v>
      </c>
      <c r="B238" s="81" t="s">
        <v>249</v>
      </c>
      <c r="C238" s="285"/>
      <c r="D238" s="285"/>
      <c r="E238" s="285"/>
      <c r="F238" s="1158" t="s">
        <v>250</v>
      </c>
      <c r="G238" s="1159"/>
      <c r="H238" s="424">
        <v>3427690</v>
      </c>
      <c r="I238" s="282"/>
      <c r="J238" s="282">
        <v>3722647</v>
      </c>
      <c r="K238" s="288"/>
    </row>
    <row r="239" spans="1:11" s="281" customFormat="1" ht="14.25" customHeight="1">
      <c r="A239" s="355"/>
      <c r="B239" s="111"/>
      <c r="C239" s="287"/>
      <c r="D239" s="287"/>
      <c r="E239" s="287"/>
      <c r="F239" s="436"/>
      <c r="G239" s="436"/>
      <c r="H239" s="228"/>
      <c r="I239" s="228"/>
      <c r="J239" s="228"/>
      <c r="K239" s="288"/>
    </row>
    <row r="240" spans="1:11" s="350" customFormat="1" ht="18" customHeight="1">
      <c r="A240" s="348"/>
      <c r="B240" s="552" t="s">
        <v>1029</v>
      </c>
      <c r="C240" s="1160" t="s">
        <v>259</v>
      </c>
      <c r="D240" s="1160"/>
      <c r="E240" s="1160"/>
      <c r="F240" s="1160"/>
      <c r="G240" s="1160"/>
      <c r="K240" s="351"/>
    </row>
    <row r="241" spans="1:10" ht="12.75">
      <c r="A241" s="286" t="s">
        <v>195</v>
      </c>
      <c r="B241" s="57" t="s">
        <v>1030</v>
      </c>
      <c r="C241" s="286"/>
      <c r="D241" s="286" t="s">
        <v>658</v>
      </c>
      <c r="E241" s="286"/>
      <c r="F241" s="279" t="s">
        <v>251</v>
      </c>
      <c r="H241" s="225"/>
      <c r="I241" s="225"/>
      <c r="J241" s="225"/>
    </row>
    <row r="242" spans="1:10" ht="12.75">
      <c r="A242" s="286" t="s">
        <v>252</v>
      </c>
      <c r="B242" s="57" t="s">
        <v>1030</v>
      </c>
      <c r="C242" s="286"/>
      <c r="D242" s="286" t="s">
        <v>659</v>
      </c>
      <c r="E242" s="286"/>
      <c r="F242" s="279" t="s">
        <v>256</v>
      </c>
      <c r="H242" s="748">
        <v>1638974</v>
      </c>
      <c r="I242" s="747"/>
      <c r="J242" s="749">
        <v>1773623</v>
      </c>
    </row>
    <row r="243" spans="1:10" ht="12.75">
      <c r="A243" s="286" t="s">
        <v>253</v>
      </c>
      <c r="B243" s="57" t="s">
        <v>1030</v>
      </c>
      <c r="C243" s="286"/>
      <c r="D243" s="286" t="s">
        <v>660</v>
      </c>
      <c r="E243" s="286"/>
      <c r="F243" s="279" t="s">
        <v>257</v>
      </c>
      <c r="H243" s="748">
        <v>35467332</v>
      </c>
      <c r="I243" s="748"/>
      <c r="J243" s="750">
        <v>40043695</v>
      </c>
    </row>
    <row r="244" spans="3:10" ht="13.5" thickBot="1">
      <c r="C244" s="286"/>
      <c r="D244" s="286"/>
      <c r="E244" s="286"/>
      <c r="H244" s="748"/>
      <c r="I244" s="748"/>
      <c r="J244" s="750"/>
    </row>
    <row r="245" spans="1:11" s="281" customFormat="1" ht="25.5" customHeight="1" thickBot="1">
      <c r="A245" s="423" t="s">
        <v>254</v>
      </c>
      <c r="B245" s="81" t="s">
        <v>1029</v>
      </c>
      <c r="C245" s="285"/>
      <c r="D245" s="285"/>
      <c r="E245" s="285"/>
      <c r="F245" s="1158" t="s">
        <v>259</v>
      </c>
      <c r="G245" s="1159"/>
      <c r="H245" s="424">
        <f>H242+H243</f>
        <v>37106306</v>
      </c>
      <c r="I245" s="282"/>
      <c r="J245" s="282">
        <f>J242+J243</f>
        <v>41817318</v>
      </c>
      <c r="K245" s="288"/>
    </row>
    <row r="246" spans="1:11" s="281" customFormat="1" ht="25.5" customHeight="1" thickBot="1">
      <c r="A246" s="423"/>
      <c r="B246" s="81"/>
      <c r="C246" s="285"/>
      <c r="D246" s="285"/>
      <c r="E246" s="285"/>
      <c r="F246" s="801"/>
      <c r="G246" s="802"/>
      <c r="H246" s="424"/>
      <c r="I246" s="282"/>
      <c r="J246" s="282"/>
      <c r="K246" s="288"/>
    </row>
    <row r="247" spans="1:13" s="308" customFormat="1" ht="27.75" customHeight="1" thickBot="1">
      <c r="A247" s="304" t="s">
        <v>255</v>
      </c>
      <c r="B247" s="1180" t="s">
        <v>260</v>
      </c>
      <c r="C247" s="1181"/>
      <c r="D247" s="1181"/>
      <c r="E247" s="1181"/>
      <c r="F247" s="1181"/>
      <c r="G247" s="1182"/>
      <c r="H247" s="305">
        <f>H245+H238+H156</f>
        <v>652216482</v>
      </c>
      <c r="I247" s="305"/>
      <c r="J247" s="305">
        <f>J245+J238+J156</f>
        <v>646838657</v>
      </c>
      <c r="K247" s="306"/>
      <c r="L247" s="306"/>
      <c r="M247" s="307"/>
    </row>
    <row r="248" spans="3:5" ht="12.75">
      <c r="C248" s="286"/>
      <c r="D248" s="286"/>
      <c r="E248" s="286"/>
    </row>
    <row r="249" spans="3:5" ht="12.75">
      <c r="C249" s="286"/>
      <c r="D249" s="286"/>
      <c r="E249" s="286"/>
    </row>
    <row r="250" spans="3:5" ht="12.75">
      <c r="C250" s="286"/>
      <c r="D250" s="286"/>
      <c r="E250" s="286"/>
    </row>
    <row r="251" spans="3:5" ht="12.75">
      <c r="C251" s="286"/>
      <c r="D251" s="286"/>
      <c r="E251" s="286"/>
    </row>
    <row r="252" spans="3:5" ht="12.75">
      <c r="C252" s="286"/>
      <c r="D252" s="286"/>
      <c r="E252" s="286"/>
    </row>
    <row r="253" spans="3:5" ht="12.75">
      <c r="C253" s="286"/>
      <c r="D253" s="286"/>
      <c r="E253" s="286"/>
    </row>
    <row r="254" spans="3:5" ht="12.75">
      <c r="C254" s="286"/>
      <c r="D254" s="286"/>
      <c r="E254" s="286"/>
    </row>
    <row r="255" spans="3:5" ht="12.75">
      <c r="C255" s="286"/>
      <c r="D255" s="286"/>
      <c r="E255" s="286"/>
    </row>
    <row r="256" spans="3:5" ht="12.75">
      <c r="C256" s="286"/>
      <c r="D256" s="286"/>
      <c r="E256" s="286"/>
    </row>
    <row r="257" spans="3:5" ht="12.75">
      <c r="C257" s="286"/>
      <c r="D257" s="286"/>
      <c r="E257" s="286"/>
    </row>
    <row r="258" spans="3:5" ht="12.75">
      <c r="C258" s="286"/>
      <c r="D258" s="286"/>
      <c r="E258" s="286"/>
    </row>
    <row r="259" spans="3:5" ht="12.75">
      <c r="C259" s="286"/>
      <c r="D259" s="286"/>
      <c r="E259" s="286"/>
    </row>
    <row r="260" spans="3:5" ht="12.75">
      <c r="C260" s="286"/>
      <c r="D260" s="286"/>
      <c r="E260" s="286"/>
    </row>
    <row r="261" spans="3:5" ht="12.75">
      <c r="C261" s="286"/>
      <c r="D261" s="286"/>
      <c r="E261" s="286"/>
    </row>
    <row r="262" spans="3:5" ht="12.75">
      <c r="C262" s="286"/>
      <c r="D262" s="286"/>
      <c r="E262" s="286"/>
    </row>
    <row r="263" spans="3:5" ht="12.75">
      <c r="C263" s="286"/>
      <c r="D263" s="286"/>
      <c r="E263" s="286"/>
    </row>
    <row r="264" spans="3:5" ht="12.75">
      <c r="C264" s="286"/>
      <c r="D264" s="286"/>
      <c r="E264" s="286"/>
    </row>
    <row r="265" spans="3:5" ht="12.75">
      <c r="C265" s="286"/>
      <c r="D265" s="286"/>
      <c r="E265" s="286"/>
    </row>
    <row r="266" spans="3:5" ht="12.75">
      <c r="C266" s="286"/>
      <c r="D266" s="286"/>
      <c r="E266" s="286"/>
    </row>
    <row r="267" spans="3:5" ht="12.75">
      <c r="C267" s="286"/>
      <c r="D267" s="286"/>
      <c r="E267" s="286"/>
    </row>
    <row r="268" spans="3:5" ht="12.75">
      <c r="C268" s="286"/>
      <c r="D268" s="286"/>
      <c r="E268" s="286"/>
    </row>
    <row r="269" spans="3:5" ht="12.75">
      <c r="C269" s="286"/>
      <c r="D269" s="286"/>
      <c r="E269" s="286"/>
    </row>
    <row r="270" spans="3:5" ht="12.75">
      <c r="C270" s="286"/>
      <c r="D270" s="286"/>
      <c r="E270" s="286"/>
    </row>
    <row r="271" spans="3:5" ht="12.75">
      <c r="C271" s="286"/>
      <c r="D271" s="286"/>
      <c r="E271" s="286"/>
    </row>
    <row r="272" spans="3:5" ht="12.75">
      <c r="C272" s="286"/>
      <c r="D272" s="286"/>
      <c r="E272" s="286"/>
    </row>
    <row r="273" spans="3:5" ht="12.75">
      <c r="C273" s="286"/>
      <c r="D273" s="286"/>
      <c r="E273" s="286"/>
    </row>
    <row r="274" spans="3:5" ht="12.75">
      <c r="C274" s="286"/>
      <c r="D274" s="286"/>
      <c r="E274" s="286"/>
    </row>
    <row r="275" spans="3:5" ht="12.75">
      <c r="C275" s="286"/>
      <c r="D275" s="286"/>
      <c r="E275" s="286"/>
    </row>
    <row r="276" spans="3:5" ht="12.75">
      <c r="C276" s="286"/>
      <c r="D276" s="286"/>
      <c r="E276" s="286"/>
    </row>
    <row r="277" spans="3:5" ht="12.75">
      <c r="C277" s="286"/>
      <c r="D277" s="286"/>
      <c r="E277" s="286"/>
    </row>
    <row r="278" spans="3:5" ht="12.75">
      <c r="C278" s="286"/>
      <c r="D278" s="286"/>
      <c r="E278" s="286"/>
    </row>
    <row r="279" spans="3:5" ht="12.75">
      <c r="C279" s="286"/>
      <c r="D279" s="286"/>
      <c r="E279" s="286"/>
    </row>
    <row r="280" spans="3:5" ht="12.75">
      <c r="C280" s="286"/>
      <c r="D280" s="286"/>
      <c r="E280" s="286"/>
    </row>
    <row r="281" spans="3:5" ht="12.75">
      <c r="C281" s="286"/>
      <c r="D281" s="286"/>
      <c r="E281" s="286"/>
    </row>
    <row r="282" spans="3:5" ht="12.75">
      <c r="C282" s="286"/>
      <c r="D282" s="286"/>
      <c r="E282" s="286"/>
    </row>
    <row r="283" spans="3:5" ht="12.75">
      <c r="C283" s="286"/>
      <c r="D283" s="286"/>
      <c r="E283" s="286"/>
    </row>
    <row r="284" spans="3:5" ht="12.75">
      <c r="C284" s="286"/>
      <c r="D284" s="286"/>
      <c r="E284" s="286"/>
    </row>
    <row r="285" spans="3:5" ht="12.75">
      <c r="C285" s="286"/>
      <c r="D285" s="286"/>
      <c r="E285" s="286"/>
    </row>
    <row r="286" spans="3:5" ht="12.75">
      <c r="C286" s="286"/>
      <c r="D286" s="286"/>
      <c r="E286" s="286"/>
    </row>
    <row r="287" spans="3:5" ht="12.75">
      <c r="C287" s="286"/>
      <c r="D287" s="286"/>
      <c r="E287" s="286"/>
    </row>
    <row r="288" spans="3:5" ht="12.75">
      <c r="C288" s="286"/>
      <c r="D288" s="286"/>
      <c r="E288" s="286"/>
    </row>
    <row r="289" spans="3:5" ht="12.75">
      <c r="C289" s="286"/>
      <c r="D289" s="286"/>
      <c r="E289" s="286"/>
    </row>
    <row r="290" spans="3:5" ht="12.75">
      <c r="C290" s="286"/>
      <c r="D290" s="286"/>
      <c r="E290" s="286"/>
    </row>
    <row r="291" spans="3:5" ht="12.75">
      <c r="C291" s="286"/>
      <c r="D291" s="286"/>
      <c r="E291" s="286"/>
    </row>
    <row r="292" spans="3:5" ht="12.75">
      <c r="C292" s="286"/>
      <c r="D292" s="286"/>
      <c r="E292" s="286"/>
    </row>
    <row r="293" spans="3:5" ht="12.75">
      <c r="C293" s="286"/>
      <c r="D293" s="286"/>
      <c r="E293" s="286"/>
    </row>
    <row r="294" spans="3:5" ht="12.75">
      <c r="C294" s="286"/>
      <c r="D294" s="286"/>
      <c r="E294" s="286"/>
    </row>
    <row r="295" spans="3:5" ht="12.75">
      <c r="C295" s="286"/>
      <c r="D295" s="286"/>
      <c r="E295" s="286"/>
    </row>
    <row r="296" spans="3:5" ht="12.75">
      <c r="C296" s="286"/>
      <c r="D296" s="286"/>
      <c r="E296" s="286"/>
    </row>
    <row r="297" spans="3:5" ht="12.75">
      <c r="C297" s="286"/>
      <c r="D297" s="286"/>
      <c r="E297" s="286"/>
    </row>
    <row r="298" spans="3:5" ht="12.75">
      <c r="C298" s="286"/>
      <c r="D298" s="286"/>
      <c r="E298" s="286"/>
    </row>
    <row r="299" spans="3:5" ht="12.75">
      <c r="C299" s="286"/>
      <c r="D299" s="286"/>
      <c r="E299" s="286"/>
    </row>
    <row r="300" spans="3:5" ht="12.75">
      <c r="C300" s="286"/>
      <c r="D300" s="286"/>
      <c r="E300" s="286"/>
    </row>
    <row r="301" spans="3:5" ht="12.75">
      <c r="C301" s="286"/>
      <c r="D301" s="286"/>
      <c r="E301" s="286"/>
    </row>
  </sheetData>
  <sheetProtection/>
  <mergeCells count="103">
    <mergeCell ref="C240:G240"/>
    <mergeCell ref="F245:G245"/>
    <mergeCell ref="B247:G247"/>
    <mergeCell ref="J190:J191"/>
    <mergeCell ref="F197:G197"/>
    <mergeCell ref="F198:G198"/>
    <mergeCell ref="F235:G235"/>
    <mergeCell ref="F236:G236"/>
    <mergeCell ref="F238:G238"/>
    <mergeCell ref="F201:G201"/>
    <mergeCell ref="F196:G196"/>
    <mergeCell ref="F202:G202"/>
    <mergeCell ref="G225:G226"/>
    <mergeCell ref="F204:G204"/>
    <mergeCell ref="F231:G231"/>
    <mergeCell ref="F234:G234"/>
    <mergeCell ref="F200:G200"/>
    <mergeCell ref="D228:G228"/>
    <mergeCell ref="C149:G149"/>
    <mergeCell ref="I190:I191"/>
    <mergeCell ref="A190:F191"/>
    <mergeCell ref="G190:G191"/>
    <mergeCell ref="H190:H191"/>
    <mergeCell ref="F164:G164"/>
    <mergeCell ref="F165:G165"/>
    <mergeCell ref="F169:G169"/>
    <mergeCell ref="F171:G171"/>
    <mergeCell ref="C129:G129"/>
    <mergeCell ref="F195:G195"/>
    <mergeCell ref="D193:G193"/>
    <mergeCell ref="A225:F226"/>
    <mergeCell ref="A148:G148"/>
    <mergeCell ref="F156:G156"/>
    <mergeCell ref="F161:G161"/>
    <mergeCell ref="D160:G160"/>
    <mergeCell ref="F162:G162"/>
    <mergeCell ref="F163:G163"/>
    <mergeCell ref="G100:G101"/>
    <mergeCell ref="I146:I147"/>
    <mergeCell ref="B136:G136"/>
    <mergeCell ref="A146:F147"/>
    <mergeCell ref="G146:G147"/>
    <mergeCell ref="H146:H147"/>
    <mergeCell ref="F119:G119"/>
    <mergeCell ref="F122:G122"/>
    <mergeCell ref="F123:G123"/>
    <mergeCell ref="F124:G124"/>
    <mergeCell ref="A7:J7"/>
    <mergeCell ref="A8:J8"/>
    <mergeCell ref="H100:H101"/>
    <mergeCell ref="I100:I101"/>
    <mergeCell ref="J100:J101"/>
    <mergeCell ref="F108:G108"/>
    <mergeCell ref="F103:G103"/>
    <mergeCell ref="F104:G104"/>
    <mergeCell ref="F106:G106"/>
    <mergeCell ref="A100:F101"/>
    <mergeCell ref="F58:G58"/>
    <mergeCell ref="C14:G14"/>
    <mergeCell ref="C41:G41"/>
    <mergeCell ref="J11:J12"/>
    <mergeCell ref="A3:J3"/>
    <mergeCell ref="A6:J6"/>
    <mergeCell ref="H11:H12"/>
    <mergeCell ref="I11:I12"/>
    <mergeCell ref="A11:A12"/>
    <mergeCell ref="B11:G12"/>
    <mergeCell ref="F83:G83"/>
    <mergeCell ref="F85:G85"/>
    <mergeCell ref="C74:G74"/>
    <mergeCell ref="J63:J64"/>
    <mergeCell ref="F76:G76"/>
    <mergeCell ref="A13:G13"/>
    <mergeCell ref="F72:G72"/>
    <mergeCell ref="A63:F64"/>
    <mergeCell ref="G63:G64"/>
    <mergeCell ref="F40:G40"/>
    <mergeCell ref="H63:H64"/>
    <mergeCell ref="I63:I64"/>
    <mergeCell ref="F78:G78"/>
    <mergeCell ref="F80:G80"/>
    <mergeCell ref="F81:G81"/>
    <mergeCell ref="F82:G82"/>
    <mergeCell ref="H225:H226"/>
    <mergeCell ref="I225:I226"/>
    <mergeCell ref="J225:J226"/>
    <mergeCell ref="F38:G38"/>
    <mergeCell ref="C66:G66"/>
    <mergeCell ref="C158:G158"/>
    <mergeCell ref="F134:G134"/>
    <mergeCell ref="F94:G94"/>
    <mergeCell ref="F96:G96"/>
    <mergeCell ref="D112:G112"/>
    <mergeCell ref="F194:G194"/>
    <mergeCell ref="J146:J147"/>
    <mergeCell ref="A2:J2"/>
    <mergeCell ref="F126:G126"/>
    <mergeCell ref="F127:G127"/>
    <mergeCell ref="F102:G102"/>
    <mergeCell ref="D75:G75"/>
    <mergeCell ref="D91:G91"/>
    <mergeCell ref="F87:G87"/>
    <mergeCell ref="F92:G92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2:N22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375" style="57" customWidth="1"/>
    <col min="2" max="2" width="4.75390625" style="57" customWidth="1"/>
    <col min="3" max="5" width="3.875" style="57" customWidth="1"/>
    <col min="6" max="6" width="3.625" style="57" customWidth="1"/>
    <col min="7" max="7" width="2.625" style="57" customWidth="1"/>
    <col min="8" max="8" width="3.625" style="279" customWidth="1"/>
    <col min="9" max="9" width="38.125" style="57" customWidth="1"/>
    <col min="10" max="10" width="20.125" style="57" customWidth="1"/>
    <col min="11" max="11" width="17.375" style="57" customWidth="1"/>
    <col min="12" max="13" width="9.125" style="57" customWidth="1"/>
    <col min="14" max="14" width="11.25390625" style="57" bestFit="1" customWidth="1"/>
    <col min="15" max="16384" width="9.125" style="57" customWidth="1"/>
  </cols>
  <sheetData>
    <row r="2" spans="1:11" ht="12" customHeight="1">
      <c r="A2" s="1157"/>
      <c r="B2" s="1157"/>
      <c r="C2" s="1157"/>
      <c r="D2" s="1157"/>
      <c r="E2" s="1157"/>
      <c r="F2" s="1157"/>
      <c r="G2" s="1157"/>
      <c r="H2" s="1157"/>
      <c r="I2" s="1157"/>
      <c r="J2" s="1157"/>
      <c r="K2" s="1157"/>
    </row>
    <row r="3" spans="1:11" ht="12.75">
      <c r="A3" s="1157"/>
      <c r="B3" s="1157"/>
      <c r="C3" s="1157"/>
      <c r="D3" s="1157"/>
      <c r="E3" s="1157"/>
      <c r="F3" s="1157"/>
      <c r="G3" s="1157"/>
      <c r="H3" s="1157"/>
      <c r="I3" s="1157"/>
      <c r="J3" s="1157"/>
      <c r="K3" s="1157"/>
    </row>
    <row r="4" spans="1:6" s="67" customFormat="1" ht="12.75">
      <c r="A4" s="234" t="s">
        <v>1170</v>
      </c>
      <c r="C4" s="138"/>
      <c r="D4" s="51"/>
      <c r="E4" s="51"/>
      <c r="F4" s="51"/>
    </row>
    <row r="5" spans="1:6" s="67" customFormat="1" ht="12.75">
      <c r="A5" s="234"/>
      <c r="C5" s="138"/>
      <c r="D5" s="51"/>
      <c r="E5" s="51"/>
      <c r="F5" s="51"/>
    </row>
    <row r="6" spans="1:6" s="67" customFormat="1" ht="12.75">
      <c r="A6" s="234"/>
      <c r="C6" s="138"/>
      <c r="D6" s="51"/>
      <c r="E6" s="51"/>
      <c r="F6" s="51"/>
    </row>
    <row r="7" spans="1:11" s="17" customFormat="1" ht="15.75">
      <c r="A7" s="986" t="s">
        <v>741</v>
      </c>
      <c r="B7" s="986"/>
      <c r="C7" s="986"/>
      <c r="D7" s="986"/>
      <c r="E7" s="986"/>
      <c r="F7" s="986"/>
      <c r="G7" s="986"/>
      <c r="H7" s="986"/>
      <c r="I7" s="986"/>
      <c r="J7" s="986"/>
      <c r="K7" s="986"/>
    </row>
    <row r="8" spans="1:11" s="1" customFormat="1" ht="15.75">
      <c r="A8" s="1173" t="s">
        <v>314</v>
      </c>
      <c r="B8" s="1173"/>
      <c r="C8" s="1173"/>
      <c r="D8" s="1173"/>
      <c r="E8" s="1173"/>
      <c r="F8" s="1173"/>
      <c r="G8" s="1173"/>
      <c r="H8" s="1173"/>
      <c r="I8" s="1173"/>
      <c r="J8" s="1173"/>
      <c r="K8" s="1173"/>
    </row>
    <row r="9" spans="1:11" s="1" customFormat="1" ht="15.75">
      <c r="A9" s="1173" t="s">
        <v>950</v>
      </c>
      <c r="B9" s="1173"/>
      <c r="C9" s="1173"/>
      <c r="D9" s="1173"/>
      <c r="E9" s="1173"/>
      <c r="F9" s="1173"/>
      <c r="G9" s="1173"/>
      <c r="H9" s="1173"/>
      <c r="I9" s="1173"/>
      <c r="J9" s="1173"/>
      <c r="K9" s="1173"/>
    </row>
    <row r="10" spans="1:11" s="1" customFormat="1" ht="15.75">
      <c r="A10" s="278"/>
      <c r="B10" s="278"/>
      <c r="C10" s="278"/>
      <c r="D10" s="278"/>
      <c r="E10" s="278"/>
      <c r="F10" s="278"/>
      <c r="G10" s="278"/>
      <c r="H10" s="278"/>
      <c r="I10" s="278"/>
      <c r="J10" s="278"/>
      <c r="K10" s="278"/>
    </row>
    <row r="11" spans="1:11" s="1" customFormat="1" ht="15.75">
      <c r="A11" s="278"/>
      <c r="B11" s="278"/>
      <c r="C11" s="278"/>
      <c r="D11" s="278"/>
      <c r="E11" s="278"/>
      <c r="F11" s="278"/>
      <c r="G11" s="278"/>
      <c r="H11" s="278"/>
      <c r="I11" s="278"/>
      <c r="J11" s="278"/>
      <c r="K11" s="278"/>
    </row>
    <row r="12" spans="1:11" s="1" customFormat="1" ht="15.75">
      <c r="A12" s="278" t="s">
        <v>740</v>
      </c>
      <c r="B12" s="460" t="s">
        <v>315</v>
      </c>
      <c r="C12" s="460"/>
      <c r="D12" s="460"/>
      <c r="E12" s="460"/>
      <c r="F12" s="278"/>
      <c r="G12" s="278"/>
      <c r="H12" s="278"/>
      <c r="I12" s="278"/>
      <c r="J12" s="278"/>
      <c r="K12" s="278"/>
    </row>
    <row r="13" ht="14.25" customHeight="1" thickBot="1">
      <c r="K13" s="280" t="s">
        <v>1015</v>
      </c>
    </row>
    <row r="14" spans="1:11" ht="15" customHeight="1">
      <c r="A14" s="1190" t="s">
        <v>653</v>
      </c>
      <c r="B14" s="1191"/>
      <c r="C14" s="1191"/>
      <c r="D14" s="1191"/>
      <c r="E14" s="1191"/>
      <c r="F14" s="1191"/>
      <c r="G14" s="1191"/>
      <c r="H14" s="1191"/>
      <c r="I14" s="1192"/>
      <c r="J14" s="1199" t="s">
        <v>363</v>
      </c>
      <c r="K14" s="1183" t="s">
        <v>365</v>
      </c>
    </row>
    <row r="15" spans="1:11" ht="13.5" thickBot="1">
      <c r="A15" s="1193"/>
      <c r="B15" s="1194"/>
      <c r="C15" s="1194"/>
      <c r="D15" s="1194"/>
      <c r="E15" s="1194"/>
      <c r="F15" s="1194"/>
      <c r="G15" s="1194"/>
      <c r="H15" s="1194"/>
      <c r="I15" s="1195"/>
      <c r="J15" s="1200"/>
      <c r="K15" s="1184"/>
    </row>
    <row r="16" spans="1:12" s="309" customFormat="1" ht="12" customHeight="1">
      <c r="A16" s="1201"/>
      <c r="B16" s="1201"/>
      <c r="C16" s="1201"/>
      <c r="D16" s="1201"/>
      <c r="E16" s="1201"/>
      <c r="F16" s="1201"/>
      <c r="G16" s="1201"/>
      <c r="H16" s="1201"/>
      <c r="I16" s="1201"/>
      <c r="L16" s="310"/>
    </row>
    <row r="17" spans="1:12" s="309" customFormat="1" ht="12" customHeight="1">
      <c r="A17" s="853"/>
      <c r="B17" s="853"/>
      <c r="C17" s="853"/>
      <c r="D17" s="853"/>
      <c r="E17" s="853"/>
      <c r="F17" s="853"/>
      <c r="G17" s="853"/>
      <c r="H17" s="853"/>
      <c r="I17" s="853"/>
      <c r="L17" s="310"/>
    </row>
    <row r="18" spans="1:12" s="446" customFormat="1" ht="30" customHeight="1">
      <c r="A18" s="513" t="s">
        <v>381</v>
      </c>
      <c r="B18" s="1197" t="s">
        <v>603</v>
      </c>
      <c r="C18" s="1197"/>
      <c r="D18" s="1197"/>
      <c r="E18" s="1197"/>
      <c r="F18" s="1197"/>
      <c r="G18" s="1197"/>
      <c r="H18" s="1197"/>
      <c r="I18" s="1197"/>
      <c r="J18" s="448">
        <f>J21+J29+J59+J91</f>
        <v>589038846</v>
      </c>
      <c r="K18" s="448">
        <f>K21+K29+K59+K91</f>
        <v>588077000</v>
      </c>
      <c r="L18" s="447"/>
    </row>
    <row r="19" spans="1:12" s="427" customFormat="1" ht="12.75">
      <c r="A19" s="435"/>
      <c r="B19" s="1154" t="s">
        <v>569</v>
      </c>
      <c r="C19" s="1154"/>
      <c r="D19" s="1154"/>
      <c r="E19" s="1154"/>
      <c r="F19" s="1154"/>
      <c r="G19" s="1154"/>
      <c r="H19" s="1154"/>
      <c r="I19" s="1154"/>
      <c r="L19" s="428"/>
    </row>
    <row r="20" spans="1:12" s="309" customFormat="1" ht="12" customHeight="1">
      <c r="A20" s="1198"/>
      <c r="B20" s="1198"/>
      <c r="C20" s="1198"/>
      <c r="D20" s="1198"/>
      <c r="E20" s="1198"/>
      <c r="F20" s="1198"/>
      <c r="G20" s="1198"/>
      <c r="H20" s="1198"/>
      <c r="I20" s="1198"/>
      <c r="L20" s="310"/>
    </row>
    <row r="21" spans="1:12" s="350" customFormat="1" ht="15">
      <c r="A21" s="514"/>
      <c r="B21" s="440" t="s">
        <v>740</v>
      </c>
      <c r="C21" s="441" t="s">
        <v>366</v>
      </c>
      <c r="D21" s="441"/>
      <c r="E21" s="442"/>
      <c r="F21" s="442"/>
      <c r="G21" s="442"/>
      <c r="J21" s="443">
        <f>J23+J26</f>
        <v>98108</v>
      </c>
      <c r="K21" s="443">
        <f>K23+K26</f>
        <v>296642</v>
      </c>
      <c r="L21" s="351"/>
    </row>
    <row r="22" spans="1:12" s="427" customFormat="1" ht="12.75">
      <c r="A22" s="435"/>
      <c r="B22" s="429"/>
      <c r="C22" s="58" t="s">
        <v>569</v>
      </c>
      <c r="D22" s="58"/>
      <c r="E22" s="436"/>
      <c r="F22" s="436"/>
      <c r="I22" s="436"/>
      <c r="L22" s="428"/>
    </row>
    <row r="23" spans="2:12" s="437" customFormat="1" ht="12.75">
      <c r="B23" s="438"/>
      <c r="E23" s="438" t="s">
        <v>761</v>
      </c>
      <c r="F23" s="438"/>
      <c r="G23" s="437" t="s">
        <v>440</v>
      </c>
      <c r="J23" s="156">
        <f>J25+J24</f>
        <v>98108</v>
      </c>
      <c r="K23" s="156">
        <f>K24+K25</f>
        <v>296642</v>
      </c>
      <c r="L23" s="439"/>
    </row>
    <row r="24" spans="2:12" ht="12.75">
      <c r="B24" s="280"/>
      <c r="E24" s="280"/>
      <c r="F24" s="280" t="s">
        <v>761</v>
      </c>
      <c r="G24" s="57" t="s">
        <v>441</v>
      </c>
      <c r="H24" s="57"/>
      <c r="J24" s="51"/>
      <c r="K24" s="51"/>
      <c r="L24" s="279"/>
    </row>
    <row r="25" spans="2:12" ht="12.75">
      <c r="B25" s="280"/>
      <c r="E25" s="280"/>
      <c r="F25" s="280" t="s">
        <v>762</v>
      </c>
      <c r="G25" s="57" t="s">
        <v>442</v>
      </c>
      <c r="H25" s="57"/>
      <c r="J25" s="51">
        <v>98108</v>
      </c>
      <c r="K25" s="51">
        <v>296642</v>
      </c>
      <c r="L25" s="279"/>
    </row>
    <row r="26" spans="2:12" s="457" customFormat="1" ht="12.75">
      <c r="B26" s="449"/>
      <c r="E26" s="449" t="s">
        <v>762</v>
      </c>
      <c r="F26" s="449"/>
      <c r="G26" s="457" t="s">
        <v>443</v>
      </c>
      <c r="J26" s="458"/>
      <c r="K26" s="458"/>
      <c r="L26" s="459"/>
    </row>
    <row r="27" spans="2:12" s="457" customFormat="1" ht="12.75">
      <c r="B27" s="449"/>
      <c r="E27" s="449"/>
      <c r="F27" s="449"/>
      <c r="J27" s="458"/>
      <c r="K27" s="458"/>
      <c r="L27" s="459"/>
    </row>
    <row r="28" spans="1:12" s="309" customFormat="1" ht="12" customHeight="1">
      <c r="A28" s="1198"/>
      <c r="B28" s="1198"/>
      <c r="C28" s="1198"/>
      <c r="D28" s="1198"/>
      <c r="E28" s="1198"/>
      <c r="F28" s="1198"/>
      <c r="G28" s="1198"/>
      <c r="H28" s="1198"/>
      <c r="I28" s="1198"/>
      <c r="L28" s="310"/>
    </row>
    <row r="29" spans="1:12" s="444" customFormat="1" ht="15">
      <c r="A29" s="514"/>
      <c r="B29" s="440" t="s">
        <v>500</v>
      </c>
      <c r="C29" s="441" t="s">
        <v>372</v>
      </c>
      <c r="D29" s="441"/>
      <c r="E29" s="440"/>
      <c r="G29" s="442"/>
      <c r="H29" s="442"/>
      <c r="I29" s="442"/>
      <c r="J29" s="443">
        <f>J31+J37+J42+J47+J52</f>
        <v>587095738</v>
      </c>
      <c r="K29" s="443">
        <f>K31+K37+K42+K47+K52</f>
        <v>585935358</v>
      </c>
      <c r="L29" s="445"/>
    </row>
    <row r="30" spans="1:12" s="350" customFormat="1" ht="15">
      <c r="A30" s="515"/>
      <c r="B30" s="352"/>
      <c r="C30" s="58" t="s">
        <v>569</v>
      </c>
      <c r="D30" s="58"/>
      <c r="E30" s="352"/>
      <c r="G30" s="349"/>
      <c r="H30" s="349"/>
      <c r="I30" s="349"/>
      <c r="L30" s="351"/>
    </row>
    <row r="31" spans="2:12" ht="12.75">
      <c r="B31" s="280"/>
      <c r="C31" s="280" t="s">
        <v>658</v>
      </c>
      <c r="D31" s="57" t="s">
        <v>501</v>
      </c>
      <c r="E31" s="280"/>
      <c r="G31" s="280"/>
      <c r="H31" s="57"/>
      <c r="J31" s="221">
        <f>J33+J36</f>
        <v>575109218</v>
      </c>
      <c r="K31" s="221">
        <f>K33+K36</f>
        <v>575781179</v>
      </c>
      <c r="L31" s="279"/>
    </row>
    <row r="32" spans="2:12" ht="12.75">
      <c r="B32" s="280"/>
      <c r="C32" s="280"/>
      <c r="D32" s="58" t="s">
        <v>569</v>
      </c>
      <c r="E32" s="280"/>
      <c r="G32" s="280"/>
      <c r="H32" s="57"/>
      <c r="J32" s="51"/>
      <c r="K32" s="221"/>
      <c r="L32" s="279"/>
    </row>
    <row r="33" spans="2:12" s="437" customFormat="1" ht="12.75">
      <c r="B33" s="438"/>
      <c r="C33" s="438"/>
      <c r="E33" s="438" t="s">
        <v>761</v>
      </c>
      <c r="G33" s="437" t="s">
        <v>440</v>
      </c>
      <c r="J33" s="156">
        <f>J34+J35</f>
        <v>544646289</v>
      </c>
      <c r="K33" s="156">
        <f>K34+K35</f>
        <v>545956607</v>
      </c>
      <c r="L33" s="439"/>
    </row>
    <row r="34" spans="2:12" ht="12.75">
      <c r="B34" s="280"/>
      <c r="C34" s="280"/>
      <c r="E34" s="280"/>
      <c r="F34" s="280" t="s">
        <v>761</v>
      </c>
      <c r="G34" s="57" t="s">
        <v>441</v>
      </c>
      <c r="H34" s="57"/>
      <c r="J34" s="51">
        <f>26045000+14596762+149096830+88059+326023854+464000</f>
        <v>516314505</v>
      </c>
      <c r="K34" s="221">
        <v>518366019</v>
      </c>
      <c r="L34" s="279"/>
    </row>
    <row r="35" spans="2:12" ht="12.75">
      <c r="B35" s="280"/>
      <c r="C35" s="280"/>
      <c r="E35" s="280"/>
      <c r="F35" s="280" t="s">
        <v>762</v>
      </c>
      <c r="G35" s="57" t="s">
        <v>442</v>
      </c>
      <c r="H35" s="57"/>
      <c r="J35" s="51">
        <f>84000+10461381+2224000+15562403</f>
        <v>28331784</v>
      </c>
      <c r="K35" s="221">
        <v>27590588</v>
      </c>
      <c r="L35" s="279"/>
    </row>
    <row r="36" spans="2:12" s="437" customFormat="1" ht="12.75">
      <c r="B36" s="438"/>
      <c r="C36" s="438"/>
      <c r="E36" s="438" t="s">
        <v>762</v>
      </c>
      <c r="G36" s="437" t="s">
        <v>443</v>
      </c>
      <c r="J36" s="156">
        <f>19734365+3222400+410291+490000+6606000-127</f>
        <v>30462929</v>
      </c>
      <c r="K36" s="156">
        <v>29824572</v>
      </c>
      <c r="L36" s="439"/>
    </row>
    <row r="37" spans="2:12" ht="12.75">
      <c r="B37" s="280"/>
      <c r="C37" s="280" t="s">
        <v>659</v>
      </c>
      <c r="D37" s="57" t="s">
        <v>367</v>
      </c>
      <c r="E37" s="280"/>
      <c r="G37" s="280"/>
      <c r="H37" s="57"/>
      <c r="J37" s="51">
        <f>J38+J41</f>
        <v>7810720</v>
      </c>
      <c r="K37" s="51">
        <f>K38+K41</f>
        <v>5978379</v>
      </c>
      <c r="L37" s="279"/>
    </row>
    <row r="38" spans="2:12" ht="12.75">
      <c r="B38" s="280"/>
      <c r="C38" s="280"/>
      <c r="E38" s="438" t="s">
        <v>761</v>
      </c>
      <c r="F38" s="437"/>
      <c r="G38" s="437" t="s">
        <v>440</v>
      </c>
      <c r="H38" s="437"/>
      <c r="I38" s="437"/>
      <c r="J38" s="51">
        <f>J39+J40</f>
        <v>7810720</v>
      </c>
      <c r="K38" s="51">
        <f>K39+K40</f>
        <v>5978379</v>
      </c>
      <c r="L38" s="279"/>
    </row>
    <row r="39" spans="2:12" ht="12.75">
      <c r="B39" s="280"/>
      <c r="C39" s="280"/>
      <c r="E39" s="280"/>
      <c r="F39" s="280" t="s">
        <v>761</v>
      </c>
      <c r="G39" s="57" t="s">
        <v>441</v>
      </c>
      <c r="H39" s="57"/>
      <c r="J39" s="51"/>
      <c r="K39" s="221"/>
      <c r="L39" s="279"/>
    </row>
    <row r="40" spans="2:12" ht="12.75">
      <c r="B40" s="280"/>
      <c r="C40" s="280"/>
      <c r="E40" s="280"/>
      <c r="F40" s="280" t="s">
        <v>762</v>
      </c>
      <c r="G40" s="57" t="s">
        <v>442</v>
      </c>
      <c r="H40" s="57"/>
      <c r="J40" s="51">
        <f>7810690+30</f>
        <v>7810720</v>
      </c>
      <c r="K40" s="221">
        <v>5978379</v>
      </c>
      <c r="L40" s="279"/>
    </row>
    <row r="41" spans="2:12" ht="12.75">
      <c r="B41" s="280"/>
      <c r="C41" s="280"/>
      <c r="E41" s="438" t="s">
        <v>762</v>
      </c>
      <c r="F41" s="437"/>
      <c r="G41" s="437" t="s">
        <v>443</v>
      </c>
      <c r="H41" s="437"/>
      <c r="I41" s="437"/>
      <c r="J41" s="51"/>
      <c r="K41" s="221"/>
      <c r="L41" s="279"/>
    </row>
    <row r="42" spans="2:12" ht="12.75">
      <c r="B42" s="280"/>
      <c r="C42" s="280" t="s">
        <v>660</v>
      </c>
      <c r="D42" s="57" t="s">
        <v>502</v>
      </c>
      <c r="H42" s="57"/>
      <c r="J42" s="51"/>
      <c r="K42" s="221"/>
      <c r="L42" s="279"/>
    </row>
    <row r="43" spans="2:12" ht="12.75">
      <c r="B43" s="280"/>
      <c r="C43" s="280"/>
      <c r="E43" s="438" t="s">
        <v>761</v>
      </c>
      <c r="F43" s="437"/>
      <c r="G43" s="437" t="s">
        <v>440</v>
      </c>
      <c r="H43" s="437"/>
      <c r="I43" s="437"/>
      <c r="J43" s="51"/>
      <c r="K43" s="221"/>
      <c r="L43" s="279"/>
    </row>
    <row r="44" spans="2:12" ht="12.75">
      <c r="B44" s="280"/>
      <c r="C44" s="280"/>
      <c r="E44" s="280"/>
      <c r="F44" s="280" t="s">
        <v>761</v>
      </c>
      <c r="G44" s="57" t="s">
        <v>441</v>
      </c>
      <c r="H44" s="57"/>
      <c r="J44" s="51"/>
      <c r="K44" s="221"/>
      <c r="L44" s="279"/>
    </row>
    <row r="45" spans="2:12" ht="12.75">
      <c r="B45" s="280"/>
      <c r="C45" s="280"/>
      <c r="E45" s="280"/>
      <c r="F45" s="280" t="s">
        <v>762</v>
      </c>
      <c r="G45" s="57" t="s">
        <v>442</v>
      </c>
      <c r="H45" s="57"/>
      <c r="J45" s="51"/>
      <c r="K45" s="221"/>
      <c r="L45" s="279"/>
    </row>
    <row r="46" spans="2:12" ht="12.75">
      <c r="B46" s="280"/>
      <c r="C46" s="280"/>
      <c r="E46" s="438" t="s">
        <v>762</v>
      </c>
      <c r="F46" s="437"/>
      <c r="G46" s="437" t="s">
        <v>443</v>
      </c>
      <c r="H46" s="437"/>
      <c r="I46" s="437"/>
      <c r="J46" s="51"/>
      <c r="K46" s="221"/>
      <c r="L46" s="279"/>
    </row>
    <row r="47" spans="2:12" ht="12.75">
      <c r="B47" s="280"/>
      <c r="C47" s="280" t="s">
        <v>661</v>
      </c>
      <c r="D47" s="57" t="s">
        <v>503</v>
      </c>
      <c r="H47" s="57"/>
      <c r="J47" s="51">
        <f>J48+J51</f>
        <v>4175800</v>
      </c>
      <c r="K47" s="51">
        <f>K48+K51</f>
        <v>4175800</v>
      </c>
      <c r="L47" s="279"/>
    </row>
    <row r="48" spans="2:12" ht="12.75">
      <c r="B48" s="280"/>
      <c r="C48" s="280"/>
      <c r="E48" s="438" t="s">
        <v>761</v>
      </c>
      <c r="F48" s="437"/>
      <c r="G48" s="437" t="s">
        <v>440</v>
      </c>
      <c r="H48" s="437"/>
      <c r="I48" s="437"/>
      <c r="J48" s="156">
        <f>J49+J50</f>
        <v>4175800</v>
      </c>
      <c r="K48" s="156">
        <f>K49+K50</f>
        <v>4175800</v>
      </c>
      <c r="L48" s="279"/>
    </row>
    <row r="49" spans="2:12" ht="12.75">
      <c r="B49" s="280"/>
      <c r="C49" s="280"/>
      <c r="E49" s="280"/>
      <c r="F49" s="280" t="s">
        <v>761</v>
      </c>
      <c r="G49" s="57" t="s">
        <v>441</v>
      </c>
      <c r="H49" s="57"/>
      <c r="J49" s="51">
        <v>4175800</v>
      </c>
      <c r="K49" s="221">
        <v>4175800</v>
      </c>
      <c r="L49" s="279"/>
    </row>
    <row r="50" spans="2:12" ht="12.75">
      <c r="B50" s="280"/>
      <c r="C50" s="280"/>
      <c r="E50" s="280"/>
      <c r="F50" s="280" t="s">
        <v>762</v>
      </c>
      <c r="G50" s="57" t="s">
        <v>442</v>
      </c>
      <c r="H50" s="57"/>
      <c r="J50" s="51"/>
      <c r="K50" s="221"/>
      <c r="L50" s="279"/>
    </row>
    <row r="51" spans="2:12" ht="12.75">
      <c r="B51" s="280"/>
      <c r="C51" s="280"/>
      <c r="E51" s="438" t="s">
        <v>762</v>
      </c>
      <c r="F51" s="437"/>
      <c r="G51" s="437" t="s">
        <v>443</v>
      </c>
      <c r="H51" s="437"/>
      <c r="I51" s="437"/>
      <c r="J51" s="156"/>
      <c r="K51" s="156"/>
      <c r="L51" s="279"/>
    </row>
    <row r="52" spans="2:12" ht="12.75">
      <c r="B52" s="280"/>
      <c r="C52" s="280" t="s">
        <v>662</v>
      </c>
      <c r="D52" s="57" t="s">
        <v>504</v>
      </c>
      <c r="H52" s="57"/>
      <c r="J52" s="51"/>
      <c r="K52" s="221"/>
      <c r="L52" s="279"/>
    </row>
    <row r="53" spans="2:12" ht="12.75">
      <c r="B53" s="280"/>
      <c r="C53" s="280"/>
      <c r="E53" s="438" t="s">
        <v>761</v>
      </c>
      <c r="F53" s="437"/>
      <c r="G53" s="437" t="s">
        <v>440</v>
      </c>
      <c r="H53" s="437"/>
      <c r="I53" s="437"/>
      <c r="J53" s="51"/>
      <c r="K53" s="221"/>
      <c r="L53" s="279"/>
    </row>
    <row r="54" spans="2:12" ht="12.75">
      <c r="B54" s="280"/>
      <c r="C54" s="280"/>
      <c r="E54" s="280"/>
      <c r="F54" s="280" t="s">
        <v>761</v>
      </c>
      <c r="G54" s="57" t="s">
        <v>441</v>
      </c>
      <c r="H54" s="57"/>
      <c r="J54" s="51"/>
      <c r="K54" s="221"/>
      <c r="L54" s="279"/>
    </row>
    <row r="55" spans="2:12" ht="12.75">
      <c r="B55" s="280"/>
      <c r="C55" s="280"/>
      <c r="E55" s="280"/>
      <c r="F55" s="280" t="s">
        <v>762</v>
      </c>
      <c r="G55" s="57" t="s">
        <v>442</v>
      </c>
      <c r="H55" s="57"/>
      <c r="J55" s="51"/>
      <c r="K55" s="221"/>
      <c r="L55" s="279"/>
    </row>
    <row r="56" spans="2:12" s="58" customFormat="1" ht="12.75">
      <c r="B56" s="294"/>
      <c r="C56" s="294"/>
      <c r="D56" s="294"/>
      <c r="E56" s="449" t="s">
        <v>762</v>
      </c>
      <c r="F56" s="457"/>
      <c r="G56" s="457" t="s">
        <v>443</v>
      </c>
      <c r="H56" s="457"/>
      <c r="I56" s="457"/>
      <c r="J56" s="209"/>
      <c r="K56" s="225"/>
      <c r="L56" s="292"/>
    </row>
    <row r="57" spans="2:12" s="58" customFormat="1" ht="12.75">
      <c r="B57" s="294"/>
      <c r="C57" s="294"/>
      <c r="D57" s="294"/>
      <c r="E57" s="449"/>
      <c r="F57" s="457"/>
      <c r="G57" s="457"/>
      <c r="H57" s="457"/>
      <c r="I57" s="457"/>
      <c r="J57" s="209"/>
      <c r="K57" s="225"/>
      <c r="L57" s="292"/>
    </row>
    <row r="58" spans="1:12" s="309" customFormat="1" ht="12" customHeight="1">
      <c r="A58" s="1198"/>
      <c r="B58" s="1198"/>
      <c r="C58" s="1198"/>
      <c r="D58" s="1198"/>
      <c r="E58" s="1198"/>
      <c r="F58" s="1198"/>
      <c r="G58" s="1198"/>
      <c r="H58" s="1198"/>
      <c r="I58" s="1198"/>
      <c r="L58" s="310"/>
    </row>
    <row r="59" spans="1:12" s="350" customFormat="1" ht="19.5" customHeight="1">
      <c r="A59" s="514"/>
      <c r="B59" s="440" t="s">
        <v>505</v>
      </c>
      <c r="C59" s="441" t="s">
        <v>506</v>
      </c>
      <c r="D59" s="440"/>
      <c r="E59" s="440"/>
      <c r="G59" s="442"/>
      <c r="H59" s="442"/>
      <c r="I59" s="442"/>
      <c r="J59" s="443">
        <f>J61+J79</f>
        <v>1845000</v>
      </c>
      <c r="K59" s="443">
        <f>K61+K79</f>
        <v>1845000</v>
      </c>
      <c r="L59" s="351"/>
    </row>
    <row r="60" spans="1:12" s="350" customFormat="1" ht="15">
      <c r="A60" s="515"/>
      <c r="B60" s="352"/>
      <c r="C60" s="58" t="s">
        <v>569</v>
      </c>
      <c r="D60" s="352"/>
      <c r="E60" s="352"/>
      <c r="G60" s="349"/>
      <c r="H60" s="349"/>
      <c r="I60" s="349"/>
      <c r="L60" s="351"/>
    </row>
    <row r="61" spans="1:12" ht="12.75">
      <c r="A61" s="280"/>
      <c r="B61" s="280"/>
      <c r="C61" s="280" t="s">
        <v>658</v>
      </c>
      <c r="D61" s="57" t="s">
        <v>373</v>
      </c>
      <c r="H61" s="57"/>
      <c r="J61" s="51">
        <f>J62+J65</f>
        <v>1845000</v>
      </c>
      <c r="K61" s="51">
        <f>K62+K65</f>
        <v>1845000</v>
      </c>
      <c r="L61" s="279"/>
    </row>
    <row r="62" spans="1:12" ht="12.75">
      <c r="A62" s="280"/>
      <c r="B62" s="280"/>
      <c r="C62" s="280"/>
      <c r="D62" s="280"/>
      <c r="E62" s="438" t="s">
        <v>761</v>
      </c>
      <c r="F62" s="437"/>
      <c r="G62" s="437" t="s">
        <v>440</v>
      </c>
      <c r="H62" s="437"/>
      <c r="I62" s="437"/>
      <c r="J62" s="51"/>
      <c r="K62" s="221"/>
      <c r="L62" s="279"/>
    </row>
    <row r="63" spans="1:12" ht="12.75">
      <c r="A63" s="280"/>
      <c r="B63" s="280"/>
      <c r="C63" s="280"/>
      <c r="D63" s="280"/>
      <c r="E63" s="280"/>
      <c r="F63" s="280" t="s">
        <v>761</v>
      </c>
      <c r="G63" s="57" t="s">
        <v>441</v>
      </c>
      <c r="H63" s="57"/>
      <c r="J63" s="51"/>
      <c r="K63" s="221"/>
      <c r="L63" s="279"/>
    </row>
    <row r="64" spans="2:12" ht="12.75">
      <c r="B64" s="280"/>
      <c r="C64" s="280"/>
      <c r="D64" s="280"/>
      <c r="E64" s="280"/>
      <c r="F64" s="280" t="s">
        <v>762</v>
      </c>
      <c r="G64" s="57" t="s">
        <v>442</v>
      </c>
      <c r="H64" s="57"/>
      <c r="J64" s="221"/>
      <c r="K64" s="221"/>
      <c r="L64" s="279"/>
    </row>
    <row r="65" spans="2:12" ht="12.75">
      <c r="B65" s="280"/>
      <c r="C65" s="280"/>
      <c r="D65" s="280"/>
      <c r="E65" s="438" t="s">
        <v>762</v>
      </c>
      <c r="F65" s="437"/>
      <c r="G65" s="437" t="s">
        <v>443</v>
      </c>
      <c r="H65" s="437"/>
      <c r="I65" s="437"/>
      <c r="J65" s="221">
        <v>1845000</v>
      </c>
      <c r="K65" s="221">
        <v>1845000</v>
      </c>
      <c r="L65" s="279"/>
    </row>
    <row r="66" spans="2:12" ht="12.75">
      <c r="B66" s="280"/>
      <c r="C66" s="280"/>
      <c r="D66" s="280"/>
      <c r="E66" s="438"/>
      <c r="F66" s="437"/>
      <c r="G66" s="437"/>
      <c r="H66" s="437"/>
      <c r="I66" s="437"/>
      <c r="J66" s="221"/>
      <c r="K66" s="221"/>
      <c r="L66" s="279"/>
    </row>
    <row r="67" spans="2:12" ht="12.75">
      <c r="B67" s="280"/>
      <c r="C67" s="280"/>
      <c r="D67" s="280"/>
      <c r="E67" s="438"/>
      <c r="F67" s="437"/>
      <c r="G67" s="437"/>
      <c r="H67" s="437"/>
      <c r="I67" s="437"/>
      <c r="J67" s="221"/>
      <c r="K67" s="221"/>
      <c r="L67" s="279"/>
    </row>
    <row r="68" spans="2:12" ht="12.75">
      <c r="B68" s="280"/>
      <c r="C68" s="280"/>
      <c r="D68" s="280"/>
      <c r="E68" s="438"/>
      <c r="F68" s="437"/>
      <c r="G68" s="437"/>
      <c r="H68" s="437"/>
      <c r="I68" s="437"/>
      <c r="J68" s="221"/>
      <c r="K68" s="221"/>
      <c r="L68" s="279"/>
    </row>
    <row r="69" spans="2:12" ht="12.75">
      <c r="B69" s="280"/>
      <c r="C69" s="280"/>
      <c r="D69" s="280"/>
      <c r="E69" s="438"/>
      <c r="F69" s="437"/>
      <c r="G69" s="437"/>
      <c r="H69" s="437"/>
      <c r="I69" s="437"/>
      <c r="J69" s="221"/>
      <c r="K69" s="221"/>
      <c r="L69" s="279"/>
    </row>
    <row r="70" spans="2:12" ht="12.75">
      <c r="B70" s="280"/>
      <c r="C70" s="280"/>
      <c r="D70" s="280"/>
      <c r="E70" s="438"/>
      <c r="F70" s="437"/>
      <c r="G70" s="437"/>
      <c r="H70" s="437"/>
      <c r="I70" s="437"/>
      <c r="J70" s="221"/>
      <c r="K70" s="221"/>
      <c r="L70" s="279"/>
    </row>
    <row r="75" ht="13.5" thickBot="1"/>
    <row r="76" spans="1:11" ht="15" customHeight="1">
      <c r="A76" s="1190" t="s">
        <v>653</v>
      </c>
      <c r="B76" s="1191"/>
      <c r="C76" s="1191"/>
      <c r="D76" s="1191"/>
      <c r="E76" s="1191"/>
      <c r="F76" s="1191"/>
      <c r="G76" s="1191"/>
      <c r="H76" s="1191"/>
      <c r="I76" s="1192"/>
      <c r="J76" s="1199" t="s">
        <v>363</v>
      </c>
      <c r="K76" s="1183" t="s">
        <v>365</v>
      </c>
    </row>
    <row r="77" spans="1:11" ht="13.5" thickBot="1">
      <c r="A77" s="1193"/>
      <c r="B77" s="1194"/>
      <c r="C77" s="1194"/>
      <c r="D77" s="1194"/>
      <c r="E77" s="1194"/>
      <c r="F77" s="1194"/>
      <c r="G77" s="1194"/>
      <c r="H77" s="1194"/>
      <c r="I77" s="1195"/>
      <c r="J77" s="1200"/>
      <c r="K77" s="1184"/>
    </row>
    <row r="78" spans="1:11" ht="27" customHeight="1">
      <c r="A78" s="516"/>
      <c r="B78" s="516"/>
      <c r="C78" s="516"/>
      <c r="D78" s="516"/>
      <c r="E78" s="516"/>
      <c r="F78" s="516"/>
      <c r="G78" s="516"/>
      <c r="H78" s="516"/>
      <c r="I78" s="516"/>
      <c r="J78" s="287"/>
      <c r="K78" s="287"/>
    </row>
    <row r="79" spans="2:12" ht="12.75">
      <c r="B79" s="280"/>
      <c r="C79" s="280" t="s">
        <v>659</v>
      </c>
      <c r="D79" s="57" t="s">
        <v>376</v>
      </c>
      <c r="E79" s="280"/>
      <c r="G79" s="280"/>
      <c r="H79" s="57"/>
      <c r="J79" s="221"/>
      <c r="K79" s="221"/>
      <c r="L79" s="279"/>
    </row>
    <row r="80" spans="2:12" ht="12.75">
      <c r="B80" s="280"/>
      <c r="C80" s="280"/>
      <c r="D80" s="280"/>
      <c r="E80" s="438" t="s">
        <v>761</v>
      </c>
      <c r="F80" s="437"/>
      <c r="G80" s="437" t="s">
        <v>440</v>
      </c>
      <c r="H80" s="437"/>
      <c r="I80" s="437"/>
      <c r="J80" s="221"/>
      <c r="K80" s="221"/>
      <c r="L80" s="279"/>
    </row>
    <row r="81" spans="2:12" ht="12.75">
      <c r="B81" s="280"/>
      <c r="C81" s="280"/>
      <c r="D81" s="280"/>
      <c r="E81" s="280"/>
      <c r="F81" s="280" t="s">
        <v>761</v>
      </c>
      <c r="G81" s="57" t="s">
        <v>441</v>
      </c>
      <c r="H81" s="57"/>
      <c r="J81" s="221"/>
      <c r="K81" s="221"/>
      <c r="L81" s="279"/>
    </row>
    <row r="82" spans="2:12" ht="12.75">
      <c r="B82" s="280"/>
      <c r="C82" s="280"/>
      <c r="D82" s="280"/>
      <c r="E82" s="280"/>
      <c r="F82" s="280" t="s">
        <v>762</v>
      </c>
      <c r="G82" s="57" t="s">
        <v>442</v>
      </c>
      <c r="H82" s="57"/>
      <c r="J82" s="221"/>
      <c r="K82" s="221"/>
      <c r="L82" s="279"/>
    </row>
    <row r="83" spans="2:12" ht="12.75">
      <c r="B83" s="280"/>
      <c r="C83" s="280"/>
      <c r="D83" s="280"/>
      <c r="E83" s="438" t="s">
        <v>762</v>
      </c>
      <c r="F83" s="437"/>
      <c r="G83" s="437" t="s">
        <v>443</v>
      </c>
      <c r="H83" s="437"/>
      <c r="I83" s="437"/>
      <c r="J83" s="221"/>
      <c r="K83" s="221"/>
      <c r="L83" s="279"/>
    </row>
    <row r="84" spans="1:11" ht="12.75">
      <c r="A84" s="516"/>
      <c r="B84" s="516"/>
      <c r="C84" s="516"/>
      <c r="D84" s="516"/>
      <c r="E84" s="516"/>
      <c r="F84" s="516"/>
      <c r="G84" s="516"/>
      <c r="H84" s="516"/>
      <c r="I84" s="516"/>
      <c r="J84" s="287"/>
      <c r="K84" s="287"/>
    </row>
    <row r="85" spans="2:12" ht="12.75">
      <c r="B85" s="280"/>
      <c r="C85" s="280" t="s">
        <v>660</v>
      </c>
      <c r="D85" s="57" t="s">
        <v>507</v>
      </c>
      <c r="F85" s="437"/>
      <c r="G85" s="437"/>
      <c r="H85" s="437"/>
      <c r="I85" s="437"/>
      <c r="J85" s="221"/>
      <c r="K85" s="221"/>
      <c r="L85" s="279"/>
    </row>
    <row r="86" spans="2:12" ht="12.75">
      <c r="B86" s="280"/>
      <c r="C86" s="280"/>
      <c r="E86" s="438" t="s">
        <v>761</v>
      </c>
      <c r="F86" s="437"/>
      <c r="G86" s="437" t="s">
        <v>440</v>
      </c>
      <c r="H86" s="437"/>
      <c r="I86" s="437"/>
      <c r="J86" s="221"/>
      <c r="K86" s="221"/>
      <c r="L86" s="279"/>
    </row>
    <row r="87" spans="2:12" ht="12.75">
      <c r="B87" s="280"/>
      <c r="C87" s="280"/>
      <c r="D87" s="280"/>
      <c r="E87" s="280"/>
      <c r="F87" s="280" t="s">
        <v>761</v>
      </c>
      <c r="G87" s="57" t="s">
        <v>441</v>
      </c>
      <c r="H87" s="57"/>
      <c r="J87" s="221"/>
      <c r="K87" s="221"/>
      <c r="L87" s="279"/>
    </row>
    <row r="88" spans="2:12" ht="12.75">
      <c r="B88" s="280"/>
      <c r="C88" s="280"/>
      <c r="D88" s="280"/>
      <c r="E88" s="280"/>
      <c r="F88" s="280" t="s">
        <v>762</v>
      </c>
      <c r="G88" s="57" t="s">
        <v>442</v>
      </c>
      <c r="H88" s="57"/>
      <c r="J88" s="221"/>
      <c r="K88" s="221"/>
      <c r="L88" s="279"/>
    </row>
    <row r="89" spans="2:12" s="58" customFormat="1" ht="12.75">
      <c r="B89" s="294"/>
      <c r="C89" s="294"/>
      <c r="D89" s="294"/>
      <c r="E89" s="449" t="s">
        <v>762</v>
      </c>
      <c r="F89" s="457"/>
      <c r="G89" s="457" t="s">
        <v>443</v>
      </c>
      <c r="H89" s="457"/>
      <c r="I89" s="457"/>
      <c r="J89" s="209"/>
      <c r="K89" s="225"/>
      <c r="L89" s="292"/>
    </row>
    <row r="90" spans="1:12" s="309" customFormat="1" ht="21" customHeight="1">
      <c r="A90" s="1198"/>
      <c r="B90" s="1198"/>
      <c r="C90" s="1198"/>
      <c r="D90" s="1198"/>
      <c r="E90" s="1198"/>
      <c r="F90" s="1198"/>
      <c r="G90" s="1198"/>
      <c r="H90" s="1198"/>
      <c r="I90" s="1198"/>
      <c r="L90" s="310"/>
    </row>
    <row r="91" spans="1:12" s="350" customFormat="1" ht="19.5" customHeight="1">
      <c r="A91" s="515"/>
      <c r="B91" s="352" t="s">
        <v>508</v>
      </c>
      <c r="C91" s="354" t="s">
        <v>379</v>
      </c>
      <c r="D91" s="352"/>
      <c r="E91" s="352"/>
      <c r="G91" s="349"/>
      <c r="H91" s="349"/>
      <c r="I91" s="349"/>
      <c r="L91" s="351"/>
    </row>
    <row r="92" spans="1:12" s="350" customFormat="1" ht="19.5" customHeight="1">
      <c r="A92" s="515"/>
      <c r="B92" s="352"/>
      <c r="C92" s="58" t="s">
        <v>569</v>
      </c>
      <c r="D92" s="352"/>
      <c r="E92" s="352"/>
      <c r="F92" s="354"/>
      <c r="G92" s="349"/>
      <c r="H92" s="349"/>
      <c r="I92" s="349"/>
      <c r="L92" s="351"/>
    </row>
    <row r="93" spans="2:12" ht="12.75">
      <c r="B93" s="280"/>
      <c r="C93" s="280" t="s">
        <v>658</v>
      </c>
      <c r="D93" s="57" t="s">
        <v>379</v>
      </c>
      <c r="E93" s="438"/>
      <c r="F93" s="437"/>
      <c r="G93" s="437"/>
      <c r="H93" s="437"/>
      <c r="I93" s="437"/>
      <c r="J93" s="221"/>
      <c r="K93" s="221"/>
      <c r="L93" s="279"/>
    </row>
    <row r="94" spans="2:12" ht="12.75">
      <c r="B94" s="280"/>
      <c r="C94" s="280"/>
      <c r="D94" s="280" t="s">
        <v>761</v>
      </c>
      <c r="E94" s="280"/>
      <c r="F94" s="280" t="s">
        <v>440</v>
      </c>
      <c r="H94" s="57"/>
      <c r="J94" s="221"/>
      <c r="K94" s="221"/>
      <c r="L94" s="279"/>
    </row>
    <row r="95" spans="2:12" ht="12.75">
      <c r="B95" s="280"/>
      <c r="C95" s="280"/>
      <c r="D95" s="280"/>
      <c r="E95" s="280" t="s">
        <v>761</v>
      </c>
      <c r="F95" s="280" t="s">
        <v>441</v>
      </c>
      <c r="H95" s="57"/>
      <c r="J95" s="221"/>
      <c r="K95" s="221"/>
      <c r="L95" s="279"/>
    </row>
    <row r="96" spans="2:12" ht="12.75">
      <c r="B96" s="280"/>
      <c r="C96" s="280"/>
      <c r="D96" s="280"/>
      <c r="E96" s="438" t="s">
        <v>762</v>
      </c>
      <c r="F96" s="437" t="s">
        <v>442</v>
      </c>
      <c r="G96" s="437"/>
      <c r="H96" s="437"/>
      <c r="I96" s="437"/>
      <c r="J96" s="221"/>
      <c r="K96" s="221"/>
      <c r="L96" s="279"/>
    </row>
    <row r="97" spans="2:12" ht="12.75">
      <c r="B97" s="280"/>
      <c r="C97" s="280"/>
      <c r="D97" s="57" t="s">
        <v>762</v>
      </c>
      <c r="E97" s="438"/>
      <c r="F97" s="437" t="s">
        <v>443</v>
      </c>
      <c r="G97" s="437"/>
      <c r="H97" s="437"/>
      <c r="I97" s="437"/>
      <c r="J97" s="221"/>
      <c r="K97" s="221"/>
      <c r="L97" s="279"/>
    </row>
    <row r="98" spans="2:12" ht="12.75" customHeight="1">
      <c r="B98" s="280"/>
      <c r="C98" s="280" t="s">
        <v>659</v>
      </c>
      <c r="D98" s="1163" t="s">
        <v>380</v>
      </c>
      <c r="E98" s="1163"/>
      <c r="F98" s="1163"/>
      <c r="G98" s="1163"/>
      <c r="H98" s="1163"/>
      <c r="I98" s="1163"/>
      <c r="J98" s="221"/>
      <c r="K98" s="221"/>
      <c r="L98" s="279"/>
    </row>
    <row r="99" spans="2:12" ht="12.75">
      <c r="B99" s="280"/>
      <c r="C99" s="280"/>
      <c r="D99" s="280" t="s">
        <v>761</v>
      </c>
      <c r="E99" s="280"/>
      <c r="F99" s="280" t="s">
        <v>440</v>
      </c>
      <c r="H99" s="57"/>
      <c r="J99" s="221"/>
      <c r="K99" s="221"/>
      <c r="L99" s="279"/>
    </row>
    <row r="100" spans="2:12" ht="12.75">
      <c r="B100" s="280"/>
      <c r="C100" s="280"/>
      <c r="D100" s="280"/>
      <c r="E100" s="280" t="s">
        <v>761</v>
      </c>
      <c r="F100" s="280" t="s">
        <v>441</v>
      </c>
      <c r="H100" s="57"/>
      <c r="J100" s="221"/>
      <c r="K100" s="221"/>
      <c r="L100" s="279"/>
    </row>
    <row r="101" spans="2:12" ht="12.75">
      <c r="B101" s="280"/>
      <c r="C101" s="280"/>
      <c r="D101" s="280"/>
      <c r="E101" s="438" t="s">
        <v>762</v>
      </c>
      <c r="F101" s="437" t="s">
        <v>442</v>
      </c>
      <c r="G101" s="437"/>
      <c r="H101" s="437"/>
      <c r="I101" s="437"/>
      <c r="J101" s="221"/>
      <c r="K101" s="221"/>
      <c r="L101" s="279"/>
    </row>
    <row r="102" spans="2:12" s="58" customFormat="1" ht="12.75">
      <c r="B102" s="294"/>
      <c r="C102" s="294"/>
      <c r="D102" s="58" t="s">
        <v>762</v>
      </c>
      <c r="E102" s="449"/>
      <c r="F102" s="457" t="s">
        <v>443</v>
      </c>
      <c r="G102" s="457"/>
      <c r="H102" s="457"/>
      <c r="I102" s="457"/>
      <c r="J102" s="225"/>
      <c r="K102" s="225"/>
      <c r="L102" s="292"/>
    </row>
    <row r="103" spans="1:12" s="309" customFormat="1" ht="12" customHeight="1">
      <c r="A103" s="1198"/>
      <c r="B103" s="1198"/>
      <c r="C103" s="1198"/>
      <c r="D103" s="1198"/>
      <c r="E103" s="1198"/>
      <c r="F103" s="1198"/>
      <c r="G103" s="1198"/>
      <c r="H103" s="1198"/>
      <c r="I103" s="1198"/>
      <c r="L103" s="310"/>
    </row>
    <row r="104" spans="1:12" s="446" customFormat="1" ht="26.25" customHeight="1">
      <c r="A104" s="513" t="s">
        <v>30</v>
      </c>
      <c r="B104" s="1197" t="s">
        <v>31</v>
      </c>
      <c r="C104" s="1197"/>
      <c r="D104" s="1197"/>
      <c r="E104" s="1197"/>
      <c r="F104" s="1197"/>
      <c r="G104" s="1197"/>
      <c r="H104" s="1197"/>
      <c r="I104" s="1197"/>
      <c r="J104" s="448">
        <f>J107+J108</f>
        <v>116122</v>
      </c>
      <c r="K104" s="448">
        <f>K107+K108</f>
        <v>136074</v>
      </c>
      <c r="L104" s="447"/>
    </row>
    <row r="105" spans="1:12" s="427" customFormat="1" ht="12.75">
      <c r="A105" s="435"/>
      <c r="B105" s="1154" t="s">
        <v>569</v>
      </c>
      <c r="C105" s="1154"/>
      <c r="D105" s="1154"/>
      <c r="E105" s="1154"/>
      <c r="F105" s="1154"/>
      <c r="G105" s="1154"/>
      <c r="H105" s="1154"/>
      <c r="I105" s="1154"/>
      <c r="L105" s="428"/>
    </row>
    <row r="106" spans="1:12" s="427" customFormat="1" ht="12.75">
      <c r="A106" s="435"/>
      <c r="B106" s="283"/>
      <c r="C106" s="283"/>
      <c r="D106" s="283"/>
      <c r="E106" s="283"/>
      <c r="F106" s="283"/>
      <c r="G106" s="283"/>
      <c r="H106" s="283"/>
      <c r="I106" s="283"/>
      <c r="L106" s="428"/>
    </row>
    <row r="107" spans="2:12" s="354" customFormat="1" ht="15">
      <c r="B107" s="362" t="s">
        <v>740</v>
      </c>
      <c r="C107" s="354" t="s">
        <v>444</v>
      </c>
      <c r="D107" s="362"/>
      <c r="E107" s="362"/>
      <c r="G107" s="362"/>
      <c r="H107" s="349"/>
      <c r="I107" s="349"/>
      <c r="J107" s="363">
        <v>116122</v>
      </c>
      <c r="K107" s="363">
        <v>136074</v>
      </c>
      <c r="L107" s="364"/>
    </row>
    <row r="108" spans="2:12" s="354" customFormat="1" ht="15">
      <c r="B108" s="362" t="s">
        <v>500</v>
      </c>
      <c r="C108" s="354" t="s">
        <v>445</v>
      </c>
      <c r="D108" s="362"/>
      <c r="E108" s="362"/>
      <c r="G108" s="362"/>
      <c r="H108" s="349"/>
      <c r="I108" s="349"/>
      <c r="J108" s="363"/>
      <c r="K108" s="363"/>
      <c r="L108" s="364"/>
    </row>
    <row r="109" spans="1:12" s="309" customFormat="1" ht="12" customHeight="1">
      <c r="A109" s="1198"/>
      <c r="B109" s="1198"/>
      <c r="C109" s="1198"/>
      <c r="D109" s="1198"/>
      <c r="E109" s="1198"/>
      <c r="F109" s="1198"/>
      <c r="G109" s="1198"/>
      <c r="H109" s="1198"/>
      <c r="I109" s="1198"/>
      <c r="L109" s="310"/>
    </row>
    <row r="110" spans="1:12" s="446" customFormat="1" ht="26.25" customHeight="1">
      <c r="A110" s="513" t="s">
        <v>45</v>
      </c>
      <c r="B110" s="1197" t="s">
        <v>46</v>
      </c>
      <c r="C110" s="1197"/>
      <c r="D110" s="1197"/>
      <c r="E110" s="1197"/>
      <c r="F110" s="1197"/>
      <c r="G110" s="1197"/>
      <c r="H110" s="1197"/>
      <c r="I110" s="1197"/>
      <c r="J110" s="448">
        <f>J112+J113+J114+J115+J116</f>
        <v>57303756</v>
      </c>
      <c r="K110" s="448">
        <f>K112+K113+K114+K115+K116</f>
        <v>50031571</v>
      </c>
      <c r="L110" s="447"/>
    </row>
    <row r="111" spans="1:12" s="427" customFormat="1" ht="12.75">
      <c r="A111" s="435"/>
      <c r="B111" s="1154" t="s">
        <v>569</v>
      </c>
      <c r="C111" s="1154"/>
      <c r="D111" s="1154"/>
      <c r="E111" s="1154"/>
      <c r="F111" s="1154"/>
      <c r="G111" s="1154"/>
      <c r="H111" s="1154"/>
      <c r="I111" s="1154"/>
      <c r="L111" s="428"/>
    </row>
    <row r="112" spans="2:12" s="434" customFormat="1" ht="15">
      <c r="B112" s="451" t="s">
        <v>740</v>
      </c>
      <c r="C112" s="434" t="s">
        <v>446</v>
      </c>
      <c r="J112" s="363"/>
      <c r="K112" s="363"/>
      <c r="L112" s="452"/>
    </row>
    <row r="113" spans="1:12" s="454" customFormat="1" ht="15">
      <c r="A113" s="453"/>
      <c r="B113" s="453" t="s">
        <v>500</v>
      </c>
      <c r="C113" s="454" t="s">
        <v>604</v>
      </c>
      <c r="D113" s="453"/>
      <c r="E113" s="453"/>
      <c r="F113" s="453"/>
      <c r="G113" s="453"/>
      <c r="H113" s="455"/>
      <c r="J113" s="456">
        <v>325895</v>
      </c>
      <c r="K113" s="456">
        <v>179260</v>
      </c>
      <c r="L113" s="455"/>
    </row>
    <row r="114" spans="1:12" s="454" customFormat="1" ht="15">
      <c r="A114" s="453"/>
      <c r="B114" s="453" t="s">
        <v>505</v>
      </c>
      <c r="C114" s="454" t="s">
        <v>42</v>
      </c>
      <c r="D114" s="453"/>
      <c r="E114" s="453"/>
      <c r="F114" s="453"/>
      <c r="G114" s="453"/>
      <c r="H114" s="455"/>
      <c r="J114" s="456">
        <v>56977861</v>
      </c>
      <c r="K114" s="456">
        <v>49852311</v>
      </c>
      <c r="L114" s="455"/>
    </row>
    <row r="115" spans="1:12" s="454" customFormat="1" ht="15">
      <c r="A115" s="453"/>
      <c r="B115" s="453" t="s">
        <v>508</v>
      </c>
      <c r="C115" s="454" t="s">
        <v>43</v>
      </c>
      <c r="D115" s="453"/>
      <c r="E115" s="453"/>
      <c r="F115" s="453"/>
      <c r="G115" s="453"/>
      <c r="H115" s="455"/>
      <c r="J115" s="456"/>
      <c r="K115" s="456"/>
      <c r="L115" s="455"/>
    </row>
    <row r="116" spans="1:12" s="434" customFormat="1" ht="15">
      <c r="A116" s="451"/>
      <c r="B116" s="451" t="s">
        <v>513</v>
      </c>
      <c r="C116" s="434" t="s">
        <v>44</v>
      </c>
      <c r="D116" s="451"/>
      <c r="E116" s="451"/>
      <c r="F116" s="451"/>
      <c r="G116" s="451"/>
      <c r="H116" s="452"/>
      <c r="J116" s="450"/>
      <c r="K116" s="450"/>
      <c r="L116" s="452"/>
    </row>
    <row r="117" spans="1:12" s="309" customFormat="1" ht="12" customHeight="1">
      <c r="A117" s="1198"/>
      <c r="B117" s="1198"/>
      <c r="C117" s="1198"/>
      <c r="D117" s="1198"/>
      <c r="E117" s="1198"/>
      <c r="F117" s="1198"/>
      <c r="G117" s="1198"/>
      <c r="H117" s="1198"/>
      <c r="I117" s="1198"/>
      <c r="L117" s="310"/>
    </row>
    <row r="118" spans="1:12" s="446" customFormat="1" ht="26.25" customHeight="1">
      <c r="A118" s="513" t="s">
        <v>132</v>
      </c>
      <c r="B118" s="1197" t="s">
        <v>133</v>
      </c>
      <c r="C118" s="1197"/>
      <c r="D118" s="1197"/>
      <c r="E118" s="1197"/>
      <c r="F118" s="1197"/>
      <c r="G118" s="1197"/>
      <c r="H118" s="1197"/>
      <c r="I118" s="1197"/>
      <c r="J118" s="448">
        <f>J120+J121+J122</f>
        <v>4810056</v>
      </c>
      <c r="K118" s="448">
        <f>K120+K121+K122</f>
        <v>6560493</v>
      </c>
      <c r="L118" s="447"/>
    </row>
    <row r="119" spans="1:12" s="427" customFormat="1" ht="12.75">
      <c r="A119" s="435"/>
      <c r="B119" s="1154" t="s">
        <v>569</v>
      </c>
      <c r="C119" s="1154"/>
      <c r="D119" s="1154"/>
      <c r="E119" s="1154"/>
      <c r="F119" s="1154"/>
      <c r="G119" s="1154"/>
      <c r="H119" s="1154"/>
      <c r="I119" s="1154"/>
      <c r="L119" s="428"/>
    </row>
    <row r="120" spans="1:12" s="350" customFormat="1" ht="15" customHeight="1">
      <c r="A120" s="517"/>
      <c r="B120" s="349" t="s">
        <v>740</v>
      </c>
      <c r="C120" s="1160" t="s">
        <v>110</v>
      </c>
      <c r="D120" s="1160"/>
      <c r="E120" s="1160"/>
      <c r="F120" s="1160"/>
      <c r="G120" s="1160"/>
      <c r="H120" s="1160"/>
      <c r="I120" s="1160"/>
      <c r="J120" s="456">
        <v>4217168</v>
      </c>
      <c r="K120" s="456">
        <v>6244461</v>
      </c>
      <c r="L120" s="351"/>
    </row>
    <row r="121" spans="1:12" s="350" customFormat="1" ht="15">
      <c r="A121" s="517"/>
      <c r="B121" s="349" t="s">
        <v>500</v>
      </c>
      <c r="C121" s="1160" t="s">
        <v>539</v>
      </c>
      <c r="D121" s="1160"/>
      <c r="E121" s="1160"/>
      <c r="F121" s="1160"/>
      <c r="G121" s="1160"/>
      <c r="H121" s="1160"/>
      <c r="I121" s="1160"/>
      <c r="J121" s="456">
        <v>588388</v>
      </c>
      <c r="K121" s="456">
        <v>316032</v>
      </c>
      <c r="L121" s="351"/>
    </row>
    <row r="122" spans="1:12" s="350" customFormat="1" ht="17.25" customHeight="1">
      <c r="A122" s="517"/>
      <c r="B122" s="349" t="s">
        <v>505</v>
      </c>
      <c r="C122" s="1160" t="s">
        <v>131</v>
      </c>
      <c r="D122" s="1160"/>
      <c r="E122" s="1160"/>
      <c r="F122" s="1160"/>
      <c r="G122" s="1160"/>
      <c r="H122" s="1160"/>
      <c r="I122" s="1160"/>
      <c r="J122" s="456">
        <v>4500</v>
      </c>
      <c r="K122" s="456"/>
      <c r="L122" s="351"/>
    </row>
    <row r="123" spans="1:12" s="309" customFormat="1" ht="12" customHeight="1">
      <c r="A123" s="1198"/>
      <c r="B123" s="1198"/>
      <c r="C123" s="1198"/>
      <c r="D123" s="1198"/>
      <c r="E123" s="1198"/>
      <c r="F123" s="1198"/>
      <c r="G123" s="1198"/>
      <c r="H123" s="1198"/>
      <c r="I123" s="1198"/>
      <c r="L123" s="310"/>
    </row>
    <row r="124" spans="1:12" s="446" customFormat="1" ht="26.25" customHeight="1">
      <c r="A124" s="513" t="s">
        <v>134</v>
      </c>
      <c r="B124" s="1197" t="s">
        <v>135</v>
      </c>
      <c r="C124" s="1197"/>
      <c r="D124" s="1197"/>
      <c r="E124" s="1197"/>
      <c r="F124" s="1197"/>
      <c r="G124" s="1197"/>
      <c r="H124" s="1197"/>
      <c r="I124" s="1197"/>
      <c r="J124" s="448">
        <v>947702</v>
      </c>
      <c r="K124" s="448">
        <v>-12000</v>
      </c>
      <c r="L124" s="447"/>
    </row>
    <row r="125" spans="1:12" s="309" customFormat="1" ht="12" customHeight="1">
      <c r="A125" s="1198"/>
      <c r="B125" s="1198"/>
      <c r="C125" s="1198"/>
      <c r="D125" s="1198"/>
      <c r="E125" s="1198"/>
      <c r="F125" s="1198"/>
      <c r="G125" s="1198"/>
      <c r="H125" s="1198"/>
      <c r="I125" s="1198"/>
      <c r="L125" s="310"/>
    </row>
    <row r="126" spans="1:12" s="350" customFormat="1" ht="15">
      <c r="A126" s="517" t="s">
        <v>139</v>
      </c>
      <c r="B126" s="1160" t="s">
        <v>140</v>
      </c>
      <c r="C126" s="1160"/>
      <c r="D126" s="1160"/>
      <c r="E126" s="1160"/>
      <c r="F126" s="1160"/>
      <c r="G126" s="1160"/>
      <c r="H126" s="1160"/>
      <c r="I126" s="1160"/>
      <c r="K126" s="860">
        <v>2045519</v>
      </c>
      <c r="L126" s="351"/>
    </row>
    <row r="127" spans="1:12" s="350" customFormat="1" ht="15.75" thickBot="1">
      <c r="A127" s="517"/>
      <c r="B127" s="349"/>
      <c r="C127" s="349"/>
      <c r="D127" s="349"/>
      <c r="E127" s="349"/>
      <c r="F127" s="349"/>
      <c r="G127" s="349"/>
      <c r="H127" s="349"/>
      <c r="I127" s="349"/>
      <c r="L127" s="351"/>
    </row>
    <row r="128" spans="1:14" s="308" customFormat="1" ht="27.75" customHeight="1" thickBot="1">
      <c r="A128" s="1180" t="s">
        <v>447</v>
      </c>
      <c r="B128" s="1181"/>
      <c r="C128" s="1181"/>
      <c r="D128" s="1181"/>
      <c r="E128" s="1181"/>
      <c r="F128" s="1181"/>
      <c r="G128" s="1181"/>
      <c r="H128" s="1181"/>
      <c r="I128" s="1182"/>
      <c r="J128" s="305">
        <f>J18+J104+J110+J118+J124</f>
        <v>652216482</v>
      </c>
      <c r="K128" s="305">
        <f>K18+K104+K110+K118+K124+K126</f>
        <v>646838657</v>
      </c>
      <c r="L128" s="306"/>
      <c r="M128" s="306"/>
      <c r="N128" s="307"/>
    </row>
    <row r="129" spans="1:14" s="308" customFormat="1" ht="27.75" customHeight="1">
      <c r="A129" s="863"/>
      <c r="B129" s="863"/>
      <c r="C129" s="863"/>
      <c r="D129" s="863"/>
      <c r="E129" s="863"/>
      <c r="F129" s="863"/>
      <c r="G129" s="863"/>
      <c r="H129" s="863"/>
      <c r="I129" s="863"/>
      <c r="J129" s="3"/>
      <c r="K129" s="3"/>
      <c r="L129" s="306"/>
      <c r="M129" s="306"/>
      <c r="N129" s="307"/>
    </row>
    <row r="130" spans="1:14" s="308" customFormat="1" ht="27.75" customHeight="1">
      <c r="A130" s="863"/>
      <c r="B130" s="863"/>
      <c r="C130" s="863"/>
      <c r="D130" s="863"/>
      <c r="E130" s="863"/>
      <c r="F130" s="863"/>
      <c r="G130" s="863"/>
      <c r="H130" s="863"/>
      <c r="I130" s="863"/>
      <c r="J130" s="3"/>
      <c r="K130" s="3"/>
      <c r="L130" s="306"/>
      <c r="M130" s="306"/>
      <c r="N130" s="307"/>
    </row>
    <row r="131" spans="1:14" s="308" customFormat="1" ht="27.75" customHeight="1">
      <c r="A131" s="863"/>
      <c r="B131" s="863"/>
      <c r="C131" s="863"/>
      <c r="D131" s="863"/>
      <c r="E131" s="863"/>
      <c r="F131" s="863"/>
      <c r="G131" s="863"/>
      <c r="H131" s="863"/>
      <c r="I131" s="863"/>
      <c r="J131" s="3"/>
      <c r="K131" s="3"/>
      <c r="L131" s="306"/>
      <c r="M131" s="306"/>
      <c r="N131" s="307"/>
    </row>
    <row r="132" spans="1:14" s="58" customFormat="1" ht="16.5" customHeight="1">
      <c r="A132" s="297"/>
      <c r="B132" s="297"/>
      <c r="C132" s="297"/>
      <c r="D132" s="297"/>
      <c r="E132" s="297"/>
      <c r="F132" s="297"/>
      <c r="G132" s="297"/>
      <c r="H132" s="297"/>
      <c r="I132" s="298"/>
      <c r="J132" s="287"/>
      <c r="K132" s="287"/>
      <c r="L132" s="292"/>
      <c r="M132" s="292"/>
      <c r="N132" s="296"/>
    </row>
    <row r="133" spans="1:14" s="58" customFormat="1" ht="12.75">
      <c r="A133" s="297"/>
      <c r="B133" s="297"/>
      <c r="C133" s="297"/>
      <c r="D133" s="297"/>
      <c r="E133" s="297"/>
      <c r="F133" s="297"/>
      <c r="G133" s="297"/>
      <c r="H133" s="297"/>
      <c r="I133" s="298"/>
      <c r="J133" s="299"/>
      <c r="K133" s="300"/>
      <c r="L133" s="292"/>
      <c r="M133" s="292"/>
      <c r="N133" s="296"/>
    </row>
    <row r="134" spans="1:14" s="58" customFormat="1" ht="12.75">
      <c r="A134" s="297"/>
      <c r="B134" s="297"/>
      <c r="C134" s="297"/>
      <c r="D134" s="297"/>
      <c r="E134" s="297"/>
      <c r="F134" s="297"/>
      <c r="G134" s="297"/>
      <c r="H134" s="297"/>
      <c r="I134" s="298"/>
      <c r="J134" s="299"/>
      <c r="K134" s="300"/>
      <c r="L134" s="292"/>
      <c r="M134" s="292"/>
      <c r="N134" s="296"/>
    </row>
    <row r="135" spans="1:14" s="58" customFormat="1" ht="12.75">
      <c r="A135" s="297"/>
      <c r="B135" s="297"/>
      <c r="C135" s="297"/>
      <c r="D135" s="297"/>
      <c r="E135" s="297"/>
      <c r="F135" s="297"/>
      <c r="G135" s="297"/>
      <c r="H135" s="297"/>
      <c r="I135" s="298"/>
      <c r="J135" s="299"/>
      <c r="K135" s="300"/>
      <c r="L135" s="292"/>
      <c r="M135" s="292"/>
      <c r="N135" s="296"/>
    </row>
    <row r="136" spans="1:14" s="58" customFormat="1" ht="12.75">
      <c r="A136" s="297"/>
      <c r="B136" s="297"/>
      <c r="C136" s="297"/>
      <c r="D136" s="297"/>
      <c r="E136" s="297"/>
      <c r="F136" s="297"/>
      <c r="G136" s="297"/>
      <c r="H136" s="297"/>
      <c r="I136" s="298"/>
      <c r="J136" s="299"/>
      <c r="K136" s="300"/>
      <c r="L136" s="292"/>
      <c r="M136" s="292"/>
      <c r="N136" s="296"/>
    </row>
    <row r="137" spans="1:14" s="58" customFormat="1" ht="15" customHeight="1" thickBot="1">
      <c r="A137" s="287"/>
      <c r="B137" s="111"/>
      <c r="C137" s="111"/>
      <c r="D137" s="111"/>
      <c r="E137" s="111"/>
      <c r="F137" s="111"/>
      <c r="G137" s="111"/>
      <c r="J137" s="225"/>
      <c r="K137" s="225"/>
      <c r="L137" s="292"/>
      <c r="M137" s="292"/>
      <c r="N137" s="296"/>
    </row>
    <row r="138" spans="1:11" ht="15" customHeight="1">
      <c r="A138" s="1190" t="s">
        <v>653</v>
      </c>
      <c r="B138" s="1191"/>
      <c r="C138" s="1191"/>
      <c r="D138" s="1191"/>
      <c r="E138" s="1191"/>
      <c r="F138" s="1191"/>
      <c r="G138" s="1191"/>
      <c r="H138" s="1191"/>
      <c r="I138" s="1192"/>
      <c r="J138" s="1199" t="s">
        <v>363</v>
      </c>
      <c r="K138" s="1183" t="s">
        <v>365</v>
      </c>
    </row>
    <row r="139" spans="1:11" ht="13.5" thickBot="1">
      <c r="A139" s="1193"/>
      <c r="B139" s="1194"/>
      <c r="C139" s="1194"/>
      <c r="D139" s="1194"/>
      <c r="E139" s="1194"/>
      <c r="F139" s="1194"/>
      <c r="G139" s="1194"/>
      <c r="H139" s="1194"/>
      <c r="I139" s="1195"/>
      <c r="J139" s="1200"/>
      <c r="K139" s="1184"/>
    </row>
    <row r="140" spans="1:12" s="309" customFormat="1" ht="12" customHeight="1">
      <c r="A140" s="1198"/>
      <c r="B140" s="1198"/>
      <c r="C140" s="1198"/>
      <c r="D140" s="1198"/>
      <c r="E140" s="1198"/>
      <c r="F140" s="1198"/>
      <c r="G140" s="1198"/>
      <c r="H140" s="1198"/>
      <c r="I140" s="1198"/>
      <c r="L140" s="310"/>
    </row>
    <row r="141" spans="1:12" s="446" customFormat="1" ht="26.25" customHeight="1">
      <c r="A141" s="513" t="s">
        <v>203</v>
      </c>
      <c r="B141" s="1197" t="s">
        <v>204</v>
      </c>
      <c r="C141" s="1197"/>
      <c r="D141" s="1197"/>
      <c r="E141" s="1197"/>
      <c r="F141" s="1197"/>
      <c r="G141" s="1197"/>
      <c r="H141" s="1197"/>
      <c r="I141" s="1197"/>
      <c r="J141" s="448">
        <f>J143+J144+J145+J146+J147+J148</f>
        <v>611682486</v>
      </c>
      <c r="K141" s="448">
        <f>K143+K144+K145+K146+K147+K148</f>
        <v>601298692</v>
      </c>
      <c r="L141" s="447"/>
    </row>
    <row r="142" spans="1:12" s="427" customFormat="1" ht="12.75">
      <c r="A142" s="435"/>
      <c r="B142" s="1154" t="s">
        <v>569</v>
      </c>
      <c r="C142" s="1154"/>
      <c r="D142" s="1154"/>
      <c r="E142" s="1154"/>
      <c r="F142" s="1154"/>
      <c r="G142" s="1154"/>
      <c r="H142" s="1154"/>
      <c r="I142" s="1154"/>
      <c r="L142" s="428"/>
    </row>
    <row r="143" spans="2:11" ht="12.75">
      <c r="B143" s="286" t="s">
        <v>740</v>
      </c>
      <c r="C143" s="286"/>
      <c r="D143" s="286"/>
      <c r="E143" s="286"/>
      <c r="F143" s="286"/>
      <c r="G143" s="286"/>
      <c r="H143" s="279" t="s">
        <v>196</v>
      </c>
      <c r="J143" s="225">
        <v>710425873</v>
      </c>
      <c r="K143" s="225">
        <v>710425873</v>
      </c>
    </row>
    <row r="144" spans="2:11" ht="12.75">
      <c r="B144" s="286" t="s">
        <v>500</v>
      </c>
      <c r="C144" s="286"/>
      <c r="D144" s="286"/>
      <c r="E144" s="286"/>
      <c r="F144" s="286"/>
      <c r="G144" s="286"/>
      <c r="H144" s="279" t="s">
        <v>197</v>
      </c>
      <c r="J144" s="225"/>
      <c r="K144" s="225"/>
    </row>
    <row r="145" spans="2:11" ht="12.75">
      <c r="B145" s="286" t="s">
        <v>505</v>
      </c>
      <c r="C145" s="286"/>
      <c r="D145" s="286"/>
      <c r="E145" s="286"/>
      <c r="F145" s="286"/>
      <c r="G145" s="286"/>
      <c r="H145" s="279" t="s">
        <v>198</v>
      </c>
      <c r="J145" s="225">
        <v>10975147</v>
      </c>
      <c r="K145" s="225">
        <v>10975147</v>
      </c>
    </row>
    <row r="146" spans="2:11" ht="12.75">
      <c r="B146" s="286" t="s">
        <v>508</v>
      </c>
      <c r="C146" s="286"/>
      <c r="D146" s="286"/>
      <c r="E146" s="286"/>
      <c r="F146" s="286"/>
      <c r="G146" s="286"/>
      <c r="H146" s="279" t="s">
        <v>199</v>
      </c>
      <c r="J146" s="225">
        <v>-110463690</v>
      </c>
      <c r="K146" s="225">
        <v>-109718534</v>
      </c>
    </row>
    <row r="147" spans="2:11" ht="12.75">
      <c r="B147" s="286" t="s">
        <v>513</v>
      </c>
      <c r="C147" s="286"/>
      <c r="D147" s="286"/>
      <c r="E147" s="286"/>
      <c r="F147" s="286"/>
      <c r="G147" s="286"/>
      <c r="H147" s="279" t="s">
        <v>200</v>
      </c>
      <c r="J147" s="225"/>
      <c r="K147" s="225"/>
    </row>
    <row r="148" spans="2:11" ht="12.75">
      <c r="B148" s="286" t="s">
        <v>201</v>
      </c>
      <c r="C148" s="286"/>
      <c r="D148" s="286"/>
      <c r="E148" s="286"/>
      <c r="F148" s="286"/>
      <c r="G148" s="286"/>
      <c r="H148" s="279" t="s">
        <v>202</v>
      </c>
      <c r="J148" s="225">
        <v>745156</v>
      </c>
      <c r="K148" s="225">
        <v>-10383794</v>
      </c>
    </row>
    <row r="149" spans="1:12" s="309" customFormat="1" ht="23.25" customHeight="1">
      <c r="A149" s="1198"/>
      <c r="B149" s="1198"/>
      <c r="C149" s="1198"/>
      <c r="D149" s="1198"/>
      <c r="E149" s="1198"/>
      <c r="F149" s="1198"/>
      <c r="G149" s="1198"/>
      <c r="H149" s="1198"/>
      <c r="I149" s="1198"/>
      <c r="L149" s="310"/>
    </row>
    <row r="150" spans="1:12" s="446" customFormat="1" ht="26.25" customHeight="1">
      <c r="A150" s="513" t="s">
        <v>249</v>
      </c>
      <c r="B150" s="1197" t="s">
        <v>540</v>
      </c>
      <c r="C150" s="1197"/>
      <c r="D150" s="1197"/>
      <c r="E150" s="1197"/>
      <c r="F150" s="1197"/>
      <c r="G150" s="1197"/>
      <c r="H150" s="1197"/>
      <c r="I150" s="1197"/>
      <c r="J150" s="448">
        <f>J152+J153+J154</f>
        <v>3427690</v>
      </c>
      <c r="K150" s="448">
        <f>K152+K153+K154</f>
        <v>3722647</v>
      </c>
      <c r="L150" s="447"/>
    </row>
    <row r="151" spans="1:12" s="427" customFormat="1" ht="12.75">
      <c r="A151" s="435"/>
      <c r="B151" s="1154" t="s">
        <v>569</v>
      </c>
      <c r="C151" s="1154"/>
      <c r="D151" s="1154"/>
      <c r="E151" s="1154"/>
      <c r="F151" s="1154"/>
      <c r="G151" s="1154"/>
      <c r="H151" s="1154"/>
      <c r="I151" s="1154"/>
      <c r="L151" s="428"/>
    </row>
    <row r="152" spans="1:12" s="350" customFormat="1" ht="17.25" customHeight="1">
      <c r="A152" s="517"/>
      <c r="B152" s="349" t="s">
        <v>740</v>
      </c>
      <c r="C152" s="1160" t="s">
        <v>541</v>
      </c>
      <c r="D152" s="1160"/>
      <c r="E152" s="1160"/>
      <c r="F152" s="1160"/>
      <c r="G152" s="1160"/>
      <c r="H152" s="1160"/>
      <c r="I152" s="1160"/>
      <c r="J152" s="225">
        <v>226515</v>
      </c>
      <c r="K152" s="225">
        <v>450709</v>
      </c>
      <c r="L152" s="351"/>
    </row>
    <row r="153" spans="1:12" s="350" customFormat="1" ht="15">
      <c r="A153" s="517"/>
      <c r="B153" s="349" t="s">
        <v>500</v>
      </c>
      <c r="C153" s="1160" t="s">
        <v>240</v>
      </c>
      <c r="D153" s="1160"/>
      <c r="E153" s="1160"/>
      <c r="F153" s="1160"/>
      <c r="G153" s="1160"/>
      <c r="H153" s="1160"/>
      <c r="I153" s="1160"/>
      <c r="J153" s="225">
        <v>1748339</v>
      </c>
      <c r="K153" s="225">
        <v>1647144</v>
      </c>
      <c r="L153" s="351"/>
    </row>
    <row r="154" spans="1:12" s="350" customFormat="1" ht="17.25" customHeight="1">
      <c r="A154" s="517"/>
      <c r="B154" s="349" t="s">
        <v>505</v>
      </c>
      <c r="C154" s="1160" t="s">
        <v>542</v>
      </c>
      <c r="D154" s="1160"/>
      <c r="E154" s="1160"/>
      <c r="F154" s="1160"/>
      <c r="G154" s="1160"/>
      <c r="H154" s="1160"/>
      <c r="I154" s="1160"/>
      <c r="J154" s="225">
        <v>1452836</v>
      </c>
      <c r="K154" s="225">
        <v>1624794</v>
      </c>
      <c r="L154" s="351"/>
    </row>
    <row r="155" spans="1:12" s="309" customFormat="1" ht="18" customHeight="1">
      <c r="A155" s="1198"/>
      <c r="B155" s="1198"/>
      <c r="C155" s="1198"/>
      <c r="D155" s="1198"/>
      <c r="E155" s="1198"/>
      <c r="F155" s="1198"/>
      <c r="G155" s="1198"/>
      <c r="H155" s="1198"/>
      <c r="I155" s="1198"/>
      <c r="L155" s="310"/>
    </row>
    <row r="156" spans="1:12" s="446" customFormat="1" ht="26.25" customHeight="1">
      <c r="A156" s="513" t="s">
        <v>258</v>
      </c>
      <c r="B156" s="1197" t="s">
        <v>259</v>
      </c>
      <c r="C156" s="1197"/>
      <c r="D156" s="1197"/>
      <c r="E156" s="1197"/>
      <c r="F156" s="1197"/>
      <c r="G156" s="1197"/>
      <c r="H156" s="1197"/>
      <c r="I156" s="1197"/>
      <c r="J156" s="448">
        <v>37106306</v>
      </c>
      <c r="K156" s="448">
        <v>41817318</v>
      </c>
      <c r="L156" s="447"/>
    </row>
    <row r="157" spans="1:12" s="446" customFormat="1" ht="17.25" customHeight="1" thickBot="1">
      <c r="A157" s="513"/>
      <c r="B157" s="852"/>
      <c r="C157" s="852"/>
      <c r="D157" s="852"/>
      <c r="E157" s="852"/>
      <c r="F157" s="852"/>
      <c r="G157" s="852"/>
      <c r="H157" s="852"/>
      <c r="I157" s="852"/>
      <c r="J157" s="448"/>
      <c r="K157" s="448"/>
      <c r="L157" s="447"/>
    </row>
    <row r="158" spans="1:14" s="308" customFormat="1" ht="27.75" customHeight="1" thickBot="1">
      <c r="A158" s="1180" t="s">
        <v>448</v>
      </c>
      <c r="B158" s="1181"/>
      <c r="C158" s="1181"/>
      <c r="D158" s="1181"/>
      <c r="E158" s="1181"/>
      <c r="F158" s="1181"/>
      <c r="G158" s="1181"/>
      <c r="H158" s="1181"/>
      <c r="I158" s="1182"/>
      <c r="J158" s="305">
        <f>J141+J150+J156</f>
        <v>652216482</v>
      </c>
      <c r="K158" s="305">
        <f>K141+K150+K156</f>
        <v>646838657</v>
      </c>
      <c r="L158" s="306"/>
      <c r="M158" s="306"/>
      <c r="N158" s="307"/>
    </row>
    <row r="159" spans="2:7" ht="12.75">
      <c r="B159" s="286"/>
      <c r="C159" s="286"/>
      <c r="D159" s="286"/>
      <c r="E159" s="286"/>
      <c r="F159" s="286"/>
      <c r="G159" s="286"/>
    </row>
    <row r="160" spans="2:7" ht="12.75">
      <c r="B160" s="286"/>
      <c r="C160" s="286"/>
      <c r="D160" s="286"/>
      <c r="E160" s="286"/>
      <c r="F160" s="286"/>
      <c r="G160" s="286"/>
    </row>
    <row r="161" spans="2:7" ht="12.75">
      <c r="B161" s="286"/>
      <c r="C161" s="286"/>
      <c r="D161" s="286"/>
      <c r="E161" s="286"/>
      <c r="F161" s="286"/>
      <c r="G161" s="286"/>
    </row>
    <row r="162" spans="2:7" ht="12.75">
      <c r="B162" s="286"/>
      <c r="C162" s="286"/>
      <c r="D162" s="286"/>
      <c r="E162" s="286"/>
      <c r="F162" s="286"/>
      <c r="G162" s="286"/>
    </row>
    <row r="163" spans="2:7" ht="12.75">
      <c r="B163" s="286"/>
      <c r="C163" s="286"/>
      <c r="D163" s="286"/>
      <c r="E163" s="286"/>
      <c r="F163" s="286"/>
      <c r="G163" s="286"/>
    </row>
    <row r="164" spans="2:7" ht="12.75">
      <c r="B164" s="286"/>
      <c r="C164" s="286"/>
      <c r="D164" s="286"/>
      <c r="E164" s="286"/>
      <c r="F164" s="286"/>
      <c r="G164" s="286"/>
    </row>
    <row r="165" spans="2:7" ht="12.75">
      <c r="B165" s="286"/>
      <c r="C165" s="286"/>
      <c r="D165" s="286"/>
      <c r="E165" s="286"/>
      <c r="F165" s="286"/>
      <c r="G165" s="286"/>
    </row>
    <row r="166" spans="2:7" ht="12.75">
      <c r="B166" s="286"/>
      <c r="C166" s="286"/>
      <c r="D166" s="286"/>
      <c r="E166" s="286"/>
      <c r="F166" s="286"/>
      <c r="G166" s="286"/>
    </row>
    <row r="167" spans="1:11" s="1" customFormat="1" ht="15.75">
      <c r="A167" s="460" t="s">
        <v>449</v>
      </c>
      <c r="B167" s="460"/>
      <c r="C167" s="460"/>
      <c r="D167" s="460"/>
      <c r="E167" s="460"/>
      <c r="F167" s="278"/>
      <c r="G167" s="278"/>
      <c r="H167" s="278"/>
      <c r="I167" s="278"/>
      <c r="J167" s="278"/>
      <c r="K167" s="278"/>
    </row>
    <row r="168" spans="1:11" s="1" customFormat="1" ht="15.75">
      <c r="A168" s="460"/>
      <c r="B168" s="460"/>
      <c r="C168" s="460"/>
      <c r="D168" s="460"/>
      <c r="E168" s="460"/>
      <c r="F168" s="278"/>
      <c r="G168" s="278"/>
      <c r="H168" s="278"/>
      <c r="I168" s="278"/>
      <c r="J168" s="278"/>
      <c r="K168" s="278"/>
    </row>
    <row r="169" spans="2:7" ht="12.75">
      <c r="B169" s="286"/>
      <c r="C169" s="286"/>
      <c r="D169" s="286"/>
      <c r="E169" s="286"/>
      <c r="F169" s="286"/>
      <c r="G169" s="286"/>
    </row>
    <row r="170" spans="1:8" s="461" customFormat="1" ht="14.25">
      <c r="A170" s="461" t="s">
        <v>658</v>
      </c>
      <c r="B170" s="462" t="s">
        <v>295</v>
      </c>
      <c r="C170" s="463"/>
      <c r="D170" s="463"/>
      <c r="E170" s="463"/>
      <c r="F170" s="463"/>
      <c r="G170" s="463"/>
      <c r="H170" s="464"/>
    </row>
    <row r="171" spans="2:8" s="461" customFormat="1" ht="14.25">
      <c r="B171" s="462"/>
      <c r="C171" s="463"/>
      <c r="D171" s="463"/>
      <c r="E171" s="463"/>
      <c r="F171" s="463"/>
      <c r="G171" s="463"/>
      <c r="H171" s="464"/>
    </row>
    <row r="172" spans="2:8" s="461" customFormat="1" ht="14.25">
      <c r="B172" s="462"/>
      <c r="C172" s="463"/>
      <c r="D172" s="463"/>
      <c r="E172" s="463"/>
      <c r="F172" s="463"/>
      <c r="G172" s="463"/>
      <c r="H172" s="464"/>
    </row>
    <row r="173" spans="2:11" ht="13.5" thickBot="1">
      <c r="B173" s="286"/>
      <c r="C173" s="286"/>
      <c r="D173" s="286"/>
      <c r="E173" s="286"/>
      <c r="F173" s="286"/>
      <c r="G173" s="286"/>
      <c r="K173" s="280" t="s">
        <v>1014</v>
      </c>
    </row>
    <row r="174" spans="1:11" ht="15" customHeight="1">
      <c r="A174" s="1190" t="s">
        <v>653</v>
      </c>
      <c r="B174" s="1191"/>
      <c r="C174" s="1191"/>
      <c r="D174" s="1191"/>
      <c r="E174" s="1191"/>
      <c r="F174" s="1191"/>
      <c r="G174" s="1191"/>
      <c r="H174" s="1191"/>
      <c r="I174" s="1192"/>
      <c r="J174" s="1199" t="s">
        <v>363</v>
      </c>
      <c r="K174" s="1183" t="s">
        <v>365</v>
      </c>
    </row>
    <row r="175" spans="1:11" ht="13.5" thickBot="1">
      <c r="A175" s="1193"/>
      <c r="B175" s="1194"/>
      <c r="C175" s="1194"/>
      <c r="D175" s="1194"/>
      <c r="E175" s="1194"/>
      <c r="F175" s="1194"/>
      <c r="G175" s="1194"/>
      <c r="H175" s="1194"/>
      <c r="I175" s="1195"/>
      <c r="J175" s="1200"/>
      <c r="K175" s="1184"/>
    </row>
    <row r="176" spans="1:11" s="454" customFormat="1" ht="26.25" customHeight="1">
      <c r="A176" s="454" t="s">
        <v>658</v>
      </c>
      <c r="B176" s="1196" t="s">
        <v>366</v>
      </c>
      <c r="C176" s="1196"/>
      <c r="D176" s="1196"/>
      <c r="E176" s="1196"/>
      <c r="F176" s="1196"/>
      <c r="G176" s="1196"/>
      <c r="H176" s="1196"/>
      <c r="I176" s="1196"/>
      <c r="J176" s="861">
        <f>1481000+150709</f>
        <v>1631709</v>
      </c>
      <c r="K176" s="862">
        <f>1481000+150709</f>
        <v>1631709</v>
      </c>
    </row>
    <row r="177" spans="1:11" s="454" customFormat="1" ht="26.25" customHeight="1">
      <c r="A177" s="454" t="s">
        <v>659</v>
      </c>
      <c r="B177" s="1196" t="s">
        <v>501</v>
      </c>
      <c r="C177" s="1196"/>
      <c r="D177" s="1196"/>
      <c r="E177" s="1196"/>
      <c r="F177" s="1196"/>
      <c r="G177" s="1196"/>
      <c r="H177" s="1196"/>
      <c r="I177" s="1196"/>
      <c r="J177" s="861">
        <v>115000</v>
      </c>
      <c r="K177" s="862">
        <v>115000</v>
      </c>
    </row>
    <row r="178" spans="1:11" s="454" customFormat="1" ht="26.25" customHeight="1">
      <c r="A178" s="454" t="s">
        <v>660</v>
      </c>
      <c r="B178" s="1196" t="s">
        <v>367</v>
      </c>
      <c r="C178" s="1196"/>
      <c r="D178" s="1196"/>
      <c r="E178" s="1196"/>
      <c r="F178" s="1196"/>
      <c r="G178" s="1196"/>
      <c r="H178" s="1196"/>
      <c r="I178" s="1196"/>
      <c r="J178" s="861">
        <v>5603036</v>
      </c>
      <c r="K178" s="862">
        <v>5779566</v>
      </c>
    </row>
    <row r="179" spans="1:11" s="454" customFormat="1" ht="26.25" customHeight="1">
      <c r="A179" s="454" t="s">
        <v>661</v>
      </c>
      <c r="B179" s="1196" t="s">
        <v>502</v>
      </c>
      <c r="C179" s="1196"/>
      <c r="D179" s="1196"/>
      <c r="E179" s="1196"/>
      <c r="F179" s="1196"/>
      <c r="G179" s="1196"/>
      <c r="H179" s="1196"/>
      <c r="I179" s="1196"/>
      <c r="K179" s="213"/>
    </row>
    <row r="180" spans="1:11" s="454" customFormat="1" ht="26.25" customHeight="1">
      <c r="A180" s="454" t="s">
        <v>662</v>
      </c>
      <c r="B180" s="1196" t="s">
        <v>503</v>
      </c>
      <c r="C180" s="1196"/>
      <c r="D180" s="1196"/>
      <c r="E180" s="1196"/>
      <c r="F180" s="1196"/>
      <c r="G180" s="1196"/>
      <c r="H180" s="1196"/>
      <c r="I180" s="1196"/>
      <c r="K180" s="213"/>
    </row>
    <row r="181" spans="1:11" s="454" customFormat="1" ht="26.25" customHeight="1" thickBot="1">
      <c r="A181" s="454" t="s">
        <v>699</v>
      </c>
      <c r="B181" s="1196" t="s">
        <v>379</v>
      </c>
      <c r="C181" s="1196"/>
      <c r="D181" s="1196"/>
      <c r="E181" s="1196"/>
      <c r="F181" s="1196"/>
      <c r="G181" s="1196"/>
      <c r="H181" s="1196"/>
      <c r="I181" s="1196"/>
      <c r="K181" s="213"/>
    </row>
    <row r="182" spans="1:11" s="461" customFormat="1" ht="26.25" customHeight="1" thickBot="1">
      <c r="A182" s="465" t="s">
        <v>705</v>
      </c>
      <c r="B182" s="466"/>
      <c r="C182" s="466"/>
      <c r="D182" s="466"/>
      <c r="E182" s="466"/>
      <c r="F182" s="466"/>
      <c r="G182" s="466"/>
      <c r="H182" s="467"/>
      <c r="I182" s="468"/>
      <c r="J182" s="469">
        <f>SUM(J176:J181)</f>
        <v>7349745</v>
      </c>
      <c r="K182" s="469">
        <f>SUM(K176:K181)</f>
        <v>7526275</v>
      </c>
    </row>
    <row r="183" spans="2:7" ht="12.75">
      <c r="B183" s="286"/>
      <c r="C183" s="286"/>
      <c r="D183" s="286"/>
      <c r="E183" s="286"/>
      <c r="F183" s="286"/>
      <c r="G183" s="286"/>
    </row>
    <row r="184" spans="2:7" ht="12.75">
      <c r="B184" s="286"/>
      <c r="C184" s="286"/>
      <c r="D184" s="286"/>
      <c r="E184" s="286"/>
      <c r="F184" s="286"/>
      <c r="G184" s="286"/>
    </row>
    <row r="185" spans="2:7" ht="12.75">
      <c r="B185" s="286"/>
      <c r="C185" s="286"/>
      <c r="D185" s="286"/>
      <c r="E185" s="286"/>
      <c r="F185" s="286"/>
      <c r="G185" s="286"/>
    </row>
    <row r="186" spans="2:7" ht="12.75">
      <c r="B186" s="286"/>
      <c r="C186" s="286"/>
      <c r="D186" s="286"/>
      <c r="E186" s="286"/>
      <c r="F186" s="286"/>
      <c r="G186" s="286"/>
    </row>
    <row r="187" spans="2:7" ht="12.75">
      <c r="B187" s="286"/>
      <c r="C187" s="286"/>
      <c r="D187" s="286"/>
      <c r="E187" s="286"/>
      <c r="F187" s="286"/>
      <c r="G187" s="286"/>
    </row>
    <row r="188" spans="2:7" ht="12.75">
      <c r="B188" s="286"/>
      <c r="C188" s="286"/>
      <c r="D188" s="286"/>
      <c r="E188" s="286"/>
      <c r="F188" s="286"/>
      <c r="G188" s="286"/>
    </row>
    <row r="189" spans="2:7" ht="12.75">
      <c r="B189" s="286"/>
      <c r="C189" s="286"/>
      <c r="D189" s="286"/>
      <c r="E189" s="286"/>
      <c r="F189" s="286"/>
      <c r="G189" s="286"/>
    </row>
    <row r="190" spans="2:7" ht="12.75">
      <c r="B190" s="286"/>
      <c r="C190" s="286"/>
      <c r="D190" s="286"/>
      <c r="E190" s="286"/>
      <c r="F190" s="286"/>
      <c r="G190" s="286"/>
    </row>
    <row r="191" spans="2:7" ht="12.75">
      <c r="B191" s="286"/>
      <c r="C191" s="286"/>
      <c r="D191" s="286"/>
      <c r="E191" s="286"/>
      <c r="F191" s="286"/>
      <c r="G191" s="286"/>
    </row>
    <row r="192" spans="2:7" ht="12.75">
      <c r="B192" s="286"/>
      <c r="C192" s="286"/>
      <c r="D192" s="286"/>
      <c r="E192" s="286"/>
      <c r="F192" s="286"/>
      <c r="G192" s="286"/>
    </row>
    <row r="193" spans="2:7" ht="12.75">
      <c r="B193" s="286"/>
      <c r="C193" s="286"/>
      <c r="D193" s="286"/>
      <c r="E193" s="286"/>
      <c r="F193" s="286"/>
      <c r="G193" s="286"/>
    </row>
    <row r="194" spans="1:11" s="461" customFormat="1" ht="30" customHeight="1">
      <c r="A194" s="461" t="s">
        <v>659</v>
      </c>
      <c r="B194" s="1189" t="s">
        <v>287</v>
      </c>
      <c r="C194" s="1189"/>
      <c r="D194" s="1189"/>
      <c r="E194" s="1189"/>
      <c r="F194" s="1189"/>
      <c r="G194" s="1189"/>
      <c r="H194" s="1189"/>
      <c r="I194" s="1189"/>
      <c r="J194" s="1189"/>
      <c r="K194" s="1189"/>
    </row>
    <row r="195" spans="2:7" ht="12.75">
      <c r="B195" s="286"/>
      <c r="C195" s="286"/>
      <c r="D195" s="286"/>
      <c r="E195" s="286"/>
      <c r="F195" s="286"/>
      <c r="G195" s="286"/>
    </row>
    <row r="196" spans="2:11" ht="13.5" thickBot="1">
      <c r="B196" s="286"/>
      <c r="C196" s="286"/>
      <c r="D196" s="286"/>
      <c r="E196" s="286"/>
      <c r="F196" s="286"/>
      <c r="G196" s="286"/>
      <c r="K196" s="280" t="s">
        <v>288</v>
      </c>
    </row>
    <row r="197" spans="1:11" ht="15" customHeight="1">
      <c r="A197" s="1190" t="s">
        <v>653</v>
      </c>
      <c r="B197" s="1191"/>
      <c r="C197" s="1191"/>
      <c r="D197" s="1191"/>
      <c r="E197" s="1191"/>
      <c r="F197" s="1191"/>
      <c r="G197" s="1191"/>
      <c r="H197" s="1191"/>
      <c r="I197" s="1191"/>
      <c r="J197" s="1192"/>
      <c r="K197" s="1183" t="s">
        <v>365</v>
      </c>
    </row>
    <row r="198" spans="1:11" ht="13.5" thickBot="1">
      <c r="A198" s="1193"/>
      <c r="B198" s="1194"/>
      <c r="C198" s="1194"/>
      <c r="D198" s="1194"/>
      <c r="E198" s="1194"/>
      <c r="F198" s="1194"/>
      <c r="G198" s="1194"/>
      <c r="H198" s="1194"/>
      <c r="I198" s="1194"/>
      <c r="J198" s="1195"/>
      <c r="K198" s="1184"/>
    </row>
    <row r="199" spans="1:11" s="454" customFormat="1" ht="29.25" customHeight="1">
      <c r="A199" s="454" t="s">
        <v>658</v>
      </c>
      <c r="B199" s="1185" t="s">
        <v>316</v>
      </c>
      <c r="C199" s="1185"/>
      <c r="D199" s="1185"/>
      <c r="E199" s="1185"/>
      <c r="F199" s="1185"/>
      <c r="G199" s="1185"/>
      <c r="H199" s="1185"/>
      <c r="I199" s="1185"/>
      <c r="K199" s="213">
        <v>1</v>
      </c>
    </row>
    <row r="200" spans="1:11" s="454" customFormat="1" ht="29.25" customHeight="1">
      <c r="A200" s="454" t="s">
        <v>659</v>
      </c>
      <c r="B200" s="1185" t="s">
        <v>289</v>
      </c>
      <c r="C200" s="1185"/>
      <c r="D200" s="1185"/>
      <c r="E200" s="1185"/>
      <c r="F200" s="1185"/>
      <c r="G200" s="1185"/>
      <c r="H200" s="1185"/>
      <c r="I200" s="1185"/>
      <c r="K200" s="213">
        <f>244+9</f>
        <v>253</v>
      </c>
    </row>
    <row r="201" spans="1:11" s="454" customFormat="1" ht="29.25" customHeight="1">
      <c r="A201" s="454" t="s">
        <v>660</v>
      </c>
      <c r="B201" s="1185" t="s">
        <v>290</v>
      </c>
      <c r="C201" s="1185"/>
      <c r="D201" s="1185"/>
      <c r="E201" s="1185"/>
      <c r="F201" s="1185"/>
      <c r="G201" s="1185"/>
      <c r="H201" s="1185"/>
      <c r="I201" s="1185"/>
      <c r="K201" s="213"/>
    </row>
    <row r="202" spans="1:11" s="454" customFormat="1" ht="29.25" customHeight="1" thickBot="1">
      <c r="A202" s="454" t="s">
        <v>661</v>
      </c>
      <c r="B202" s="1185" t="s">
        <v>291</v>
      </c>
      <c r="C202" s="1185"/>
      <c r="D202" s="1185"/>
      <c r="E202" s="1185"/>
      <c r="F202" s="1185"/>
      <c r="G202" s="1185"/>
      <c r="H202" s="1185"/>
      <c r="I202" s="1185"/>
      <c r="K202" s="213"/>
    </row>
    <row r="203" spans="1:11" s="454" customFormat="1" ht="26.25" customHeight="1" thickBot="1">
      <c r="A203" s="1186" t="s">
        <v>705</v>
      </c>
      <c r="B203" s="1187"/>
      <c r="C203" s="1187"/>
      <c r="D203" s="1187"/>
      <c r="E203" s="1187"/>
      <c r="F203" s="1187"/>
      <c r="G203" s="1187"/>
      <c r="H203" s="1187"/>
      <c r="I203" s="1187"/>
      <c r="J203" s="1188"/>
      <c r="K203" s="471">
        <f>SUM(K199:K202)</f>
        <v>254</v>
      </c>
    </row>
    <row r="204" spans="2:11" s="454" customFormat="1" ht="15">
      <c r="B204" s="1196"/>
      <c r="C204" s="1196"/>
      <c r="D204" s="1196"/>
      <c r="E204" s="1196"/>
      <c r="F204" s="1196"/>
      <c r="G204" s="1196"/>
      <c r="H204" s="1196"/>
      <c r="I204" s="1196"/>
      <c r="K204" s="213"/>
    </row>
    <row r="205" spans="1:11" s="461" customFormat="1" ht="30" customHeight="1">
      <c r="A205" s="461" t="s">
        <v>660</v>
      </c>
      <c r="B205" s="1189" t="s">
        <v>317</v>
      </c>
      <c r="C205" s="1189"/>
      <c r="D205" s="1189"/>
      <c r="E205" s="1189"/>
      <c r="F205" s="1189"/>
      <c r="G205" s="1189"/>
      <c r="H205" s="1189"/>
      <c r="I205" s="1189"/>
      <c r="J205" s="1189"/>
      <c r="K205" s="1189"/>
    </row>
    <row r="206" spans="2:7" ht="12.75">
      <c r="B206" s="286"/>
      <c r="C206" s="286"/>
      <c r="D206" s="286"/>
      <c r="E206" s="286"/>
      <c r="F206" s="286"/>
      <c r="G206" s="286"/>
    </row>
    <row r="207" spans="2:11" ht="13.5" thickBot="1">
      <c r="B207" s="286"/>
      <c r="C207" s="286"/>
      <c r="D207" s="286"/>
      <c r="E207" s="286"/>
      <c r="F207" s="286"/>
      <c r="G207" s="286"/>
      <c r="K207" s="280" t="s">
        <v>920</v>
      </c>
    </row>
    <row r="208" spans="1:11" ht="15" customHeight="1">
      <c r="A208" s="1190" t="s">
        <v>653</v>
      </c>
      <c r="B208" s="1191"/>
      <c r="C208" s="1191"/>
      <c r="D208" s="1191"/>
      <c r="E208" s="1191"/>
      <c r="F208" s="1191"/>
      <c r="G208" s="1191"/>
      <c r="H208" s="1191"/>
      <c r="I208" s="1191"/>
      <c r="J208" s="1192"/>
      <c r="K208" s="1183" t="s">
        <v>365</v>
      </c>
    </row>
    <row r="209" spans="1:11" ht="13.5" thickBot="1">
      <c r="A209" s="1193"/>
      <c r="B209" s="1194"/>
      <c r="C209" s="1194"/>
      <c r="D209" s="1194"/>
      <c r="E209" s="1194"/>
      <c r="F209" s="1194"/>
      <c r="G209" s="1194"/>
      <c r="H209" s="1194"/>
      <c r="I209" s="1194"/>
      <c r="J209" s="1195"/>
      <c r="K209" s="1184"/>
    </row>
    <row r="210" spans="1:11" s="454" customFormat="1" ht="29.25" customHeight="1">
      <c r="A210" s="454" t="s">
        <v>658</v>
      </c>
      <c r="B210" s="1185" t="s">
        <v>292</v>
      </c>
      <c r="C210" s="1185"/>
      <c r="D210" s="1185"/>
      <c r="E210" s="1185"/>
      <c r="F210" s="1185"/>
      <c r="G210" s="1185"/>
      <c r="H210" s="1185"/>
      <c r="I210" s="1185"/>
      <c r="K210" s="213"/>
    </row>
    <row r="211" spans="1:11" s="454" customFormat="1" ht="29.25" customHeight="1">
      <c r="A211" s="454" t="s">
        <v>659</v>
      </c>
      <c r="B211" s="1185" t="s">
        <v>293</v>
      </c>
      <c r="C211" s="1185"/>
      <c r="D211" s="1185"/>
      <c r="E211" s="1185"/>
      <c r="F211" s="1185"/>
      <c r="G211" s="1185"/>
      <c r="H211" s="1185"/>
      <c r="I211" s="1185"/>
      <c r="K211" s="213"/>
    </row>
    <row r="212" spans="1:11" s="454" customFormat="1" ht="29.25" customHeight="1" thickBot="1">
      <c r="A212" s="454" t="s">
        <v>660</v>
      </c>
      <c r="B212" s="1185" t="s">
        <v>294</v>
      </c>
      <c r="C212" s="1185"/>
      <c r="D212" s="1185"/>
      <c r="E212" s="1185"/>
      <c r="F212" s="1185"/>
      <c r="G212" s="1185"/>
      <c r="H212" s="1185"/>
      <c r="I212" s="1185"/>
      <c r="K212" s="213"/>
    </row>
    <row r="213" spans="1:11" s="454" customFormat="1" ht="26.25" customHeight="1" thickBot="1">
      <c r="A213" s="1186" t="s">
        <v>705</v>
      </c>
      <c r="B213" s="1187"/>
      <c r="C213" s="1187"/>
      <c r="D213" s="1187"/>
      <c r="E213" s="1187"/>
      <c r="F213" s="1187"/>
      <c r="G213" s="1187"/>
      <c r="H213" s="1187"/>
      <c r="I213" s="1187"/>
      <c r="J213" s="1188"/>
      <c r="K213" s="471">
        <f>SUM(K210:K212)</f>
        <v>0</v>
      </c>
    </row>
    <row r="214" spans="2:7" ht="12.75">
      <c r="B214" s="286"/>
      <c r="C214" s="286"/>
      <c r="D214" s="286"/>
      <c r="E214" s="286"/>
      <c r="F214" s="286"/>
      <c r="G214" s="286"/>
    </row>
    <row r="215" spans="1:11" s="461" customFormat="1" ht="30" customHeight="1">
      <c r="A215" s="461" t="s">
        <v>661</v>
      </c>
      <c r="B215" s="1189" t="s">
        <v>296</v>
      </c>
      <c r="C215" s="1189"/>
      <c r="D215" s="1189"/>
      <c r="E215" s="1189"/>
      <c r="F215" s="1189"/>
      <c r="G215" s="1189"/>
      <c r="H215" s="1189"/>
      <c r="I215" s="1189"/>
      <c r="J215" s="1189"/>
      <c r="K215" s="1189"/>
    </row>
    <row r="216" spans="2:7" ht="12.75">
      <c r="B216" s="286"/>
      <c r="C216" s="286"/>
      <c r="D216" s="286"/>
      <c r="E216" s="286"/>
      <c r="F216" s="286"/>
      <c r="G216" s="286"/>
    </row>
    <row r="217" spans="2:11" ht="13.5" thickBot="1">
      <c r="B217" s="286"/>
      <c r="C217" s="286"/>
      <c r="D217" s="286"/>
      <c r="E217" s="286"/>
      <c r="F217" s="286"/>
      <c r="G217" s="286"/>
      <c r="K217" s="280" t="s">
        <v>920</v>
      </c>
    </row>
    <row r="218" spans="1:11" ht="15" customHeight="1">
      <c r="A218" s="1190" t="s">
        <v>653</v>
      </c>
      <c r="B218" s="1191"/>
      <c r="C218" s="1191"/>
      <c r="D218" s="1191"/>
      <c r="E218" s="1191"/>
      <c r="F218" s="1191"/>
      <c r="G218" s="1191"/>
      <c r="H218" s="1191"/>
      <c r="I218" s="1191"/>
      <c r="J218" s="1192"/>
      <c r="K218" s="1183" t="s">
        <v>365</v>
      </c>
    </row>
    <row r="219" spans="1:11" ht="13.5" thickBot="1">
      <c r="A219" s="1193"/>
      <c r="B219" s="1194"/>
      <c r="C219" s="1194"/>
      <c r="D219" s="1194"/>
      <c r="E219" s="1194"/>
      <c r="F219" s="1194"/>
      <c r="G219" s="1194"/>
      <c r="H219" s="1194"/>
      <c r="I219" s="1194"/>
      <c r="J219" s="1195"/>
      <c r="K219" s="1184"/>
    </row>
    <row r="220" spans="1:11" s="454" customFormat="1" ht="29.25" customHeight="1">
      <c r="A220" s="454" t="s">
        <v>658</v>
      </c>
      <c r="B220" s="1185" t="s">
        <v>297</v>
      </c>
      <c r="C220" s="1185"/>
      <c r="D220" s="1185"/>
      <c r="E220" s="1185"/>
      <c r="F220" s="1185"/>
      <c r="G220" s="1185"/>
      <c r="H220" s="1185"/>
      <c r="I220" s="1185"/>
      <c r="K220" s="213">
        <v>11322424</v>
      </c>
    </row>
    <row r="221" spans="2:11" s="454" customFormat="1" ht="29.25" customHeight="1">
      <c r="B221" s="1185" t="s">
        <v>877</v>
      </c>
      <c r="C221" s="1185"/>
      <c r="D221" s="1185"/>
      <c r="E221" s="1185"/>
      <c r="F221" s="1185"/>
      <c r="G221" s="1185"/>
      <c r="H221" s="1185"/>
      <c r="I221" s="1185"/>
      <c r="K221" s="213"/>
    </row>
    <row r="222" spans="1:11" s="454" customFormat="1" ht="29.25" customHeight="1" thickBot="1">
      <c r="A222" s="454" t="s">
        <v>659</v>
      </c>
      <c r="B222" s="1185" t="s">
        <v>298</v>
      </c>
      <c r="C222" s="1185"/>
      <c r="D222" s="1185"/>
      <c r="E222" s="1185"/>
      <c r="F222" s="1185"/>
      <c r="G222" s="1185"/>
      <c r="H222" s="1185"/>
      <c r="I222" s="1185"/>
      <c r="K222" s="213"/>
    </row>
    <row r="223" spans="1:11" s="454" customFormat="1" ht="26.25" customHeight="1" thickBot="1">
      <c r="A223" s="1186" t="s">
        <v>705</v>
      </c>
      <c r="B223" s="1187"/>
      <c r="C223" s="1187"/>
      <c r="D223" s="1187"/>
      <c r="E223" s="1187"/>
      <c r="F223" s="1187"/>
      <c r="G223" s="1187"/>
      <c r="H223" s="1187"/>
      <c r="I223" s="1187"/>
      <c r="J223" s="1188"/>
      <c r="K223" s="471">
        <f>SUM(K220:K222)</f>
        <v>11322424</v>
      </c>
    </row>
    <row r="224" spans="2:7" ht="12.75">
      <c r="B224" s="286"/>
      <c r="C224" s="286"/>
      <c r="D224" s="286"/>
      <c r="E224" s="286"/>
      <c r="F224" s="286"/>
      <c r="G224" s="286"/>
    </row>
  </sheetData>
  <sheetProtection/>
  <mergeCells count="83">
    <mergeCell ref="A128:I128"/>
    <mergeCell ref="B105:I105"/>
    <mergeCell ref="B126:I126"/>
    <mergeCell ref="C121:I121"/>
    <mergeCell ref="C122:I122"/>
    <mergeCell ref="B119:I119"/>
    <mergeCell ref="B124:I124"/>
    <mergeCell ref="A3:K3"/>
    <mergeCell ref="A7:K7"/>
    <mergeCell ref="A9:K9"/>
    <mergeCell ref="A76:I77"/>
    <mergeCell ref="J76:J77"/>
    <mergeCell ref="A109:I109"/>
    <mergeCell ref="K76:K77"/>
    <mergeCell ref="D98:I98"/>
    <mergeCell ref="K14:K15"/>
    <mergeCell ref="A8:K8"/>
    <mergeCell ref="J14:J15"/>
    <mergeCell ref="A14:I15"/>
    <mergeCell ref="B118:I118"/>
    <mergeCell ref="A20:I20"/>
    <mergeCell ref="A90:I90"/>
    <mergeCell ref="A117:I117"/>
    <mergeCell ref="A103:I103"/>
    <mergeCell ref="A58:I58"/>
    <mergeCell ref="A16:I16"/>
    <mergeCell ref="B19:I19"/>
    <mergeCell ref="J138:J139"/>
    <mergeCell ref="C152:I152"/>
    <mergeCell ref="B141:I141"/>
    <mergeCell ref="A125:I125"/>
    <mergeCell ref="B156:I156"/>
    <mergeCell ref="B179:I179"/>
    <mergeCell ref="A174:I175"/>
    <mergeCell ref="B176:I176"/>
    <mergeCell ref="B177:I177"/>
    <mergeCell ref="A155:I155"/>
    <mergeCell ref="K138:K139"/>
    <mergeCell ref="A140:I140"/>
    <mergeCell ref="K174:K175"/>
    <mergeCell ref="C153:I153"/>
    <mergeCell ref="C154:I154"/>
    <mergeCell ref="B151:I151"/>
    <mergeCell ref="J174:J175"/>
    <mergeCell ref="A158:I158"/>
    <mergeCell ref="B142:I142"/>
    <mergeCell ref="A149:I149"/>
    <mergeCell ref="B18:I18"/>
    <mergeCell ref="B104:I104"/>
    <mergeCell ref="A28:I28"/>
    <mergeCell ref="C120:I120"/>
    <mergeCell ref="B111:I111"/>
    <mergeCell ref="B178:I178"/>
    <mergeCell ref="B150:I150"/>
    <mergeCell ref="A138:I139"/>
    <mergeCell ref="A123:I123"/>
    <mergeCell ref="B110:I110"/>
    <mergeCell ref="B199:I199"/>
    <mergeCell ref="B200:I200"/>
    <mergeCell ref="B201:I201"/>
    <mergeCell ref="B180:I180"/>
    <mergeCell ref="B181:I181"/>
    <mergeCell ref="B202:I202"/>
    <mergeCell ref="B210:I210"/>
    <mergeCell ref="B211:I211"/>
    <mergeCell ref="B212:I212"/>
    <mergeCell ref="B204:I204"/>
    <mergeCell ref="B194:K194"/>
    <mergeCell ref="K197:K198"/>
    <mergeCell ref="A197:J198"/>
    <mergeCell ref="A208:J209"/>
    <mergeCell ref="A203:J203"/>
    <mergeCell ref="B205:K205"/>
    <mergeCell ref="A2:K2"/>
    <mergeCell ref="K208:K209"/>
    <mergeCell ref="B220:I220"/>
    <mergeCell ref="B221:I221"/>
    <mergeCell ref="B222:I222"/>
    <mergeCell ref="A223:J223"/>
    <mergeCell ref="A213:J213"/>
    <mergeCell ref="B215:K215"/>
    <mergeCell ref="A218:J219"/>
    <mergeCell ref="K218:K219"/>
  </mergeCells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O33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27.375" style="27" customWidth="1"/>
    <col min="2" max="10" width="14.25390625" style="51" customWidth="1"/>
    <col min="11" max="11" width="15.625" style="51" bestFit="1" customWidth="1"/>
    <col min="12" max="13" width="14.25390625" style="51" customWidth="1"/>
    <col min="14" max="14" width="15.875" style="27" customWidth="1"/>
    <col min="15" max="16384" width="9.125" style="27" customWidth="1"/>
  </cols>
  <sheetData>
    <row r="3" spans="1:14" ht="12.75">
      <c r="A3" s="1106"/>
      <c r="B3" s="1106"/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6"/>
      <c r="N3" s="1106"/>
    </row>
    <row r="4" spans="1:13" s="49" customFormat="1" ht="12.75">
      <c r="A4" s="1106"/>
      <c r="B4" s="1106"/>
      <c r="C4" s="1106"/>
      <c r="D4" s="1106"/>
      <c r="E4" s="1106"/>
      <c r="F4" s="1106"/>
      <c r="G4" s="1106"/>
      <c r="H4" s="1106"/>
      <c r="I4" s="1106"/>
      <c r="J4" s="1106"/>
      <c r="K4" s="1106"/>
      <c r="L4" s="1106"/>
      <c r="M4" s="1106"/>
    </row>
    <row r="5" spans="1:6" s="67" customFormat="1" ht="12.75">
      <c r="A5" s="234" t="s">
        <v>1171</v>
      </c>
      <c r="C5" s="138"/>
      <c r="D5" s="51"/>
      <c r="E5" s="51"/>
      <c r="F5" s="51"/>
    </row>
    <row r="6" spans="1:6" s="67" customFormat="1" ht="12.75">
      <c r="A6" s="234"/>
      <c r="C6" s="138"/>
      <c r="D6" s="51"/>
      <c r="E6" s="51"/>
      <c r="F6" s="51"/>
    </row>
    <row r="7" spans="1:14" s="10" customFormat="1" ht="14.25">
      <c r="A7" s="1128" t="s">
        <v>438</v>
      </c>
      <c r="B7" s="1128"/>
      <c r="C7" s="1128"/>
      <c r="D7" s="1128"/>
      <c r="E7" s="1128"/>
      <c r="F7" s="1128"/>
      <c r="G7" s="1128"/>
      <c r="H7" s="1128"/>
      <c r="I7" s="1128"/>
      <c r="J7" s="1128"/>
      <c r="K7" s="1128"/>
      <c r="L7" s="1128"/>
      <c r="M7" s="1128"/>
      <c r="N7" s="1128"/>
    </row>
    <row r="8" spans="1:13" s="110" customFormat="1" ht="15">
      <c r="A8" s="1128" t="s">
        <v>1016</v>
      </c>
      <c r="B8" s="1128"/>
      <c r="C8" s="1128"/>
      <c r="D8" s="1128"/>
      <c r="E8" s="1128"/>
      <c r="F8" s="1128"/>
      <c r="G8" s="1128"/>
      <c r="H8" s="1128"/>
      <c r="I8" s="1128"/>
      <c r="J8" s="1128"/>
      <c r="K8" s="1128"/>
      <c r="L8" s="1128"/>
      <c r="M8" s="1128"/>
    </row>
    <row r="9" spans="14:15" ht="13.5" thickBot="1">
      <c r="N9" s="126" t="s">
        <v>710</v>
      </c>
      <c r="O9" s="521"/>
    </row>
    <row r="10" spans="1:14" ht="13.5" thickBot="1">
      <c r="A10" s="1205" t="s">
        <v>711</v>
      </c>
      <c r="B10" s="1208" t="s">
        <v>262</v>
      </c>
      <c r="C10" s="1209"/>
      <c r="D10" s="1209"/>
      <c r="E10" s="1209"/>
      <c r="F10" s="1209"/>
      <c r="G10" s="1210"/>
      <c r="H10" s="1215" t="s">
        <v>299</v>
      </c>
      <c r="I10" s="1211"/>
      <c r="J10" s="1212"/>
      <c r="K10" s="1215" t="s">
        <v>654</v>
      </c>
      <c r="L10" s="1211"/>
      <c r="M10" s="1212"/>
      <c r="N10" s="1202" t="s">
        <v>318</v>
      </c>
    </row>
    <row r="11" spans="1:14" ht="12.75" customHeight="1">
      <c r="A11" s="1206"/>
      <c r="B11" s="1211" t="s">
        <v>712</v>
      </c>
      <c r="C11" s="1211"/>
      <c r="D11" s="1212"/>
      <c r="E11" s="1215" t="s">
        <v>713</v>
      </c>
      <c r="F11" s="1211"/>
      <c r="G11" s="1212"/>
      <c r="H11" s="1221"/>
      <c r="I11" s="1222"/>
      <c r="J11" s="1223"/>
      <c r="K11" s="1221"/>
      <c r="L11" s="1222"/>
      <c r="M11" s="1223"/>
      <c r="N11" s="1203"/>
    </row>
    <row r="12" spans="1:14" ht="13.5" thickBot="1">
      <c r="A12" s="1206"/>
      <c r="B12" s="1213"/>
      <c r="C12" s="1213"/>
      <c r="D12" s="1214"/>
      <c r="E12" s="1216"/>
      <c r="F12" s="1213"/>
      <c r="G12" s="1214"/>
      <c r="H12" s="1216"/>
      <c r="I12" s="1213"/>
      <c r="J12" s="1214"/>
      <c r="K12" s="1216"/>
      <c r="L12" s="1213"/>
      <c r="M12" s="1214"/>
      <c r="N12" s="1203"/>
    </row>
    <row r="13" spans="1:14" ht="12.75" customHeight="1">
      <c r="A13" s="1206"/>
      <c r="B13" s="1212" t="s">
        <v>714</v>
      </c>
      <c r="C13" s="1217" t="s">
        <v>715</v>
      </c>
      <c r="D13" s="1219" t="s">
        <v>716</v>
      </c>
      <c r="E13" s="1219" t="s">
        <v>714</v>
      </c>
      <c r="F13" s="1217" t="s">
        <v>715</v>
      </c>
      <c r="G13" s="1219" t="s">
        <v>716</v>
      </c>
      <c r="H13" s="1219" t="s">
        <v>714</v>
      </c>
      <c r="I13" s="1217" t="s">
        <v>715</v>
      </c>
      <c r="J13" s="1219" t="s">
        <v>716</v>
      </c>
      <c r="K13" s="1219" t="s">
        <v>714</v>
      </c>
      <c r="L13" s="1217" t="s">
        <v>715</v>
      </c>
      <c r="M13" s="1219" t="s">
        <v>716</v>
      </c>
      <c r="N13" s="1203"/>
    </row>
    <row r="14" spans="1:14" ht="13.5" thickBot="1">
      <c r="A14" s="1207"/>
      <c r="B14" s="1214"/>
      <c r="C14" s="1218"/>
      <c r="D14" s="1220"/>
      <c r="E14" s="1220"/>
      <c r="F14" s="1218"/>
      <c r="G14" s="1220"/>
      <c r="H14" s="1220"/>
      <c r="I14" s="1218"/>
      <c r="J14" s="1220"/>
      <c r="K14" s="1220"/>
      <c r="L14" s="1218"/>
      <c r="M14" s="1220"/>
      <c r="N14" s="1204"/>
    </row>
    <row r="15" spans="1:14" s="49" customFormat="1" ht="31.5" customHeight="1">
      <c r="A15" s="87" t="s">
        <v>717</v>
      </c>
      <c r="B15" s="52"/>
      <c r="C15" s="52"/>
      <c r="D15" s="52"/>
      <c r="E15" s="52">
        <f>SUM(E16)</f>
        <v>1481000</v>
      </c>
      <c r="F15" s="52">
        <f>SUM(F16)</f>
        <v>1481000</v>
      </c>
      <c r="G15" s="52">
        <f>SUM(G16)</f>
        <v>0</v>
      </c>
      <c r="H15" s="52"/>
      <c r="I15" s="52"/>
      <c r="J15" s="52"/>
      <c r="K15" s="52">
        <f aca="true" t="shared" si="0" ref="K15:M16">B15+E15+H15</f>
        <v>1481000</v>
      </c>
      <c r="L15" s="52">
        <f t="shared" si="0"/>
        <v>1481000</v>
      </c>
      <c r="M15" s="472">
        <f>M16+M17</f>
        <v>296642</v>
      </c>
      <c r="N15" s="520">
        <f>(1-M15/K15)*100</f>
        <v>79.97015530047265</v>
      </c>
    </row>
    <row r="16" spans="1:14" ht="24.75" customHeight="1">
      <c r="A16" s="88" t="s">
        <v>718</v>
      </c>
      <c r="B16" s="53"/>
      <c r="C16" s="53"/>
      <c r="D16" s="53"/>
      <c r="E16" s="53">
        <v>1481000</v>
      </c>
      <c r="F16" s="53">
        <v>1481000</v>
      </c>
      <c r="G16" s="53">
        <f>E16-F16</f>
        <v>0</v>
      </c>
      <c r="H16" s="53"/>
      <c r="I16" s="53"/>
      <c r="J16" s="53"/>
      <c r="K16" s="53">
        <f t="shared" si="0"/>
        <v>1481000</v>
      </c>
      <c r="L16" s="53">
        <f t="shared" si="0"/>
        <v>1481000</v>
      </c>
      <c r="M16" s="473">
        <f t="shared" si="0"/>
        <v>0</v>
      </c>
      <c r="N16" s="519">
        <f>(1-M16/K16)*100</f>
        <v>100</v>
      </c>
    </row>
    <row r="17" spans="1:14" ht="24.75" customHeight="1">
      <c r="A17" s="553" t="s">
        <v>876</v>
      </c>
      <c r="B17" s="53"/>
      <c r="C17" s="53"/>
      <c r="D17" s="53"/>
      <c r="E17" s="53">
        <v>380000</v>
      </c>
      <c r="F17" s="53">
        <v>83358</v>
      </c>
      <c r="G17" s="53">
        <f>E17-F17</f>
        <v>296642</v>
      </c>
      <c r="H17" s="53"/>
      <c r="I17" s="53"/>
      <c r="J17" s="53"/>
      <c r="K17" s="53">
        <f>B17+E17+H17</f>
        <v>380000</v>
      </c>
      <c r="L17" s="53">
        <f>C17+F17+I17</f>
        <v>83358</v>
      </c>
      <c r="M17" s="473">
        <f>D17+G17+J17</f>
        <v>296642</v>
      </c>
      <c r="N17" s="519">
        <f>(1-M17/K17)*100</f>
        <v>21.93631578947368</v>
      </c>
    </row>
    <row r="18" spans="1:14" s="49" customFormat="1" ht="31.5" customHeight="1">
      <c r="A18" s="87" t="s">
        <v>719</v>
      </c>
      <c r="B18" s="52">
        <f>SUM(B19:B25)</f>
        <v>644432990</v>
      </c>
      <c r="C18" s="52">
        <f aca="true" t="shared" si="1" ref="C18:M18">SUM(C19:C25)</f>
        <v>126066971</v>
      </c>
      <c r="D18" s="52">
        <f t="shared" si="1"/>
        <v>518366019</v>
      </c>
      <c r="E18" s="52">
        <f t="shared" si="1"/>
        <v>33639834</v>
      </c>
      <c r="F18" s="52">
        <f t="shared" si="1"/>
        <v>6049246</v>
      </c>
      <c r="G18" s="52">
        <f t="shared" si="1"/>
        <v>27590588</v>
      </c>
      <c r="H18" s="52">
        <f t="shared" si="1"/>
        <v>30152959</v>
      </c>
      <c r="I18" s="52">
        <f t="shared" si="1"/>
        <v>328387</v>
      </c>
      <c r="J18" s="52">
        <f t="shared" si="1"/>
        <v>29824572</v>
      </c>
      <c r="K18" s="52">
        <f t="shared" si="1"/>
        <v>708225783</v>
      </c>
      <c r="L18" s="52">
        <f t="shared" si="1"/>
        <v>132444604</v>
      </c>
      <c r="M18" s="472">
        <f t="shared" si="1"/>
        <v>575781179</v>
      </c>
      <c r="N18" s="518">
        <f>(1-M18/K18)*100</f>
        <v>18.700901206811892</v>
      </c>
    </row>
    <row r="19" spans="1:14" ht="24.75" customHeight="1">
      <c r="A19" s="88" t="s">
        <v>720</v>
      </c>
      <c r="B19" s="53">
        <v>26045000</v>
      </c>
      <c r="C19" s="53"/>
      <c r="D19" s="53">
        <f>B19-C19</f>
        <v>26045000</v>
      </c>
      <c r="E19" s="53">
        <v>84000</v>
      </c>
      <c r="F19" s="53"/>
      <c r="G19" s="53">
        <f aca="true" t="shared" si="2" ref="G19:G24">E19-F19</f>
        <v>84000</v>
      </c>
      <c r="H19" s="53">
        <v>19690365</v>
      </c>
      <c r="I19" s="53"/>
      <c r="J19" s="53">
        <f aca="true" t="shared" si="3" ref="J19:J24">H19-I19</f>
        <v>19690365</v>
      </c>
      <c r="K19" s="53">
        <f aca="true" t="shared" si="4" ref="K19:K24">B19+E19+H19</f>
        <v>45819365</v>
      </c>
      <c r="L19" s="53"/>
      <c r="M19" s="473">
        <f aca="true" t="shared" si="5" ref="M19:M24">D19+G19+J19</f>
        <v>45819365</v>
      </c>
      <c r="N19" s="519">
        <f>(1-M19/K19)*100</f>
        <v>0</v>
      </c>
    </row>
    <row r="20" spans="1:14" ht="24.75" customHeight="1">
      <c r="A20" s="88" t="s">
        <v>721</v>
      </c>
      <c r="B20" s="53">
        <v>464000</v>
      </c>
      <c r="C20" s="53"/>
      <c r="D20" s="53">
        <f>B20-C20</f>
        <v>464000</v>
      </c>
      <c r="E20" s="53"/>
      <c r="F20" s="53"/>
      <c r="G20" s="53">
        <f t="shared" si="2"/>
        <v>0</v>
      </c>
      <c r="H20" s="53">
        <v>3222400</v>
      </c>
      <c r="I20" s="53"/>
      <c r="J20" s="53">
        <f t="shared" si="3"/>
        <v>3222400</v>
      </c>
      <c r="K20" s="53">
        <f t="shared" si="4"/>
        <v>3686400</v>
      </c>
      <c r="L20" s="53"/>
      <c r="M20" s="473">
        <f t="shared" si="5"/>
        <v>3686400</v>
      </c>
      <c r="N20" s="519">
        <f aca="true" t="shared" si="6" ref="N20:N29">(1-M20/K20)*100</f>
        <v>0</v>
      </c>
    </row>
    <row r="21" spans="1:14" ht="24.75" customHeight="1">
      <c r="A21" s="88" t="s">
        <v>722</v>
      </c>
      <c r="B21" s="53">
        <v>39806762</v>
      </c>
      <c r="C21" s="53">
        <v>7459118</v>
      </c>
      <c r="D21" s="53">
        <f>B21-C21</f>
        <v>32347644</v>
      </c>
      <c r="E21" s="53">
        <v>12831298</v>
      </c>
      <c r="F21" s="53">
        <v>2626543</v>
      </c>
      <c r="G21" s="53">
        <f t="shared" si="2"/>
        <v>10204755</v>
      </c>
      <c r="H21" s="53">
        <v>724194</v>
      </c>
      <c r="I21" s="53">
        <v>328387</v>
      </c>
      <c r="J21" s="53">
        <f t="shared" si="3"/>
        <v>395807</v>
      </c>
      <c r="K21" s="53">
        <f t="shared" si="4"/>
        <v>53362254</v>
      </c>
      <c r="L21" s="53">
        <f>C21+F21+I21</f>
        <v>10414048</v>
      </c>
      <c r="M21" s="473">
        <f t="shared" si="5"/>
        <v>42948206</v>
      </c>
      <c r="N21" s="519">
        <f t="shared" si="6"/>
        <v>19.51575733663724</v>
      </c>
    </row>
    <row r="22" spans="1:14" ht="24.75" customHeight="1">
      <c r="A22" s="88" t="s">
        <v>723</v>
      </c>
      <c r="B22" s="53">
        <v>210829625</v>
      </c>
      <c r="C22" s="53">
        <v>68052993</v>
      </c>
      <c r="D22" s="53">
        <f>B22-C22</f>
        <v>142776632</v>
      </c>
      <c r="E22" s="53">
        <v>18500536</v>
      </c>
      <c r="F22" s="53">
        <v>3422703</v>
      </c>
      <c r="G22" s="53">
        <f t="shared" si="2"/>
        <v>15077833</v>
      </c>
      <c r="H22" s="53"/>
      <c r="I22" s="53"/>
      <c r="J22" s="53">
        <f t="shared" si="3"/>
        <v>0</v>
      </c>
      <c r="K22" s="53">
        <f t="shared" si="4"/>
        <v>229330161</v>
      </c>
      <c r="L22" s="53">
        <f>C22+F22+I22</f>
        <v>71475696</v>
      </c>
      <c r="M22" s="473">
        <f t="shared" si="5"/>
        <v>157854465</v>
      </c>
      <c r="N22" s="519">
        <f t="shared" si="6"/>
        <v>31.167159037576397</v>
      </c>
    </row>
    <row r="23" spans="1:14" ht="24.75" customHeight="1">
      <c r="A23" s="88" t="s">
        <v>724</v>
      </c>
      <c r="B23" s="53"/>
      <c r="C23" s="53"/>
      <c r="D23" s="53">
        <f>B23-C23</f>
        <v>0</v>
      </c>
      <c r="E23" s="53">
        <v>2224000</v>
      </c>
      <c r="F23" s="53"/>
      <c r="G23" s="53">
        <f t="shared" si="2"/>
        <v>2224000</v>
      </c>
      <c r="H23" s="53">
        <v>490000</v>
      </c>
      <c r="I23" s="53"/>
      <c r="J23" s="53">
        <f t="shared" si="3"/>
        <v>490000</v>
      </c>
      <c r="K23" s="53">
        <f t="shared" si="4"/>
        <v>2714000</v>
      </c>
      <c r="L23" s="53"/>
      <c r="M23" s="473">
        <f t="shared" si="5"/>
        <v>2714000</v>
      </c>
      <c r="N23" s="519">
        <f t="shared" si="6"/>
        <v>0</v>
      </c>
    </row>
    <row r="24" spans="1:14" ht="24.75" customHeight="1">
      <c r="A24" s="88" t="s">
        <v>725</v>
      </c>
      <c r="B24" s="53"/>
      <c r="C24" s="54"/>
      <c r="D24" s="53"/>
      <c r="E24" s="53"/>
      <c r="F24" s="53"/>
      <c r="G24" s="53">
        <f t="shared" si="2"/>
        <v>0</v>
      </c>
      <c r="H24" s="53">
        <v>6026000</v>
      </c>
      <c r="I24" s="53"/>
      <c r="J24" s="53">
        <f t="shared" si="3"/>
        <v>6026000</v>
      </c>
      <c r="K24" s="53">
        <f t="shared" si="4"/>
        <v>6026000</v>
      </c>
      <c r="L24" s="53"/>
      <c r="M24" s="473">
        <f t="shared" si="5"/>
        <v>6026000</v>
      </c>
      <c r="N24" s="519">
        <f t="shared" si="6"/>
        <v>0</v>
      </c>
    </row>
    <row r="25" spans="1:14" ht="52.5" customHeight="1">
      <c r="A25" s="311" t="s">
        <v>319</v>
      </c>
      <c r="B25" s="53">
        <f>367199544+88059</f>
        <v>367287603</v>
      </c>
      <c r="C25" s="53">
        <v>50554860</v>
      </c>
      <c r="D25" s="53">
        <f>B25-C25</f>
        <v>316732743</v>
      </c>
      <c r="E25" s="53"/>
      <c r="F25" s="53"/>
      <c r="G25" s="53"/>
      <c r="H25" s="53"/>
      <c r="I25" s="53"/>
      <c r="J25" s="53"/>
      <c r="K25" s="53">
        <f>B25+E25+H25</f>
        <v>367287603</v>
      </c>
      <c r="L25" s="53">
        <f>C25+F25+I25</f>
        <v>50554860</v>
      </c>
      <c r="M25" s="473">
        <f>K25-L25</f>
        <v>316732743</v>
      </c>
      <c r="N25" s="519">
        <f t="shared" si="6"/>
        <v>13.764379627046653</v>
      </c>
    </row>
    <row r="26" spans="1:14" s="49" customFormat="1" ht="31.5" customHeight="1">
      <c r="A26" s="90" t="s">
        <v>757</v>
      </c>
      <c r="B26" s="52"/>
      <c r="C26" s="52"/>
      <c r="D26" s="52"/>
      <c r="E26" s="52">
        <f>SUM(E27:E29)</f>
        <v>15891730</v>
      </c>
      <c r="F26" s="52">
        <f>SUM(F27:F29)</f>
        <v>9913351</v>
      </c>
      <c r="G26" s="52">
        <f>SUM(G27:G29)</f>
        <v>5978379</v>
      </c>
      <c r="H26" s="52"/>
      <c r="I26" s="52"/>
      <c r="J26" s="52"/>
      <c r="K26" s="52">
        <f>SUM(K27:K29)</f>
        <v>15891730</v>
      </c>
      <c r="L26" s="52">
        <f>SUM(L27:L29)</f>
        <v>9913351</v>
      </c>
      <c r="M26" s="472">
        <f>SUM(M27:M29)</f>
        <v>5978379</v>
      </c>
      <c r="N26" s="518">
        <f>(1-M26/K26)*100</f>
        <v>62.38056523739077</v>
      </c>
    </row>
    <row r="27" spans="1:14" ht="24.75" customHeight="1">
      <c r="A27" s="91" t="s">
        <v>758</v>
      </c>
      <c r="B27" s="53"/>
      <c r="C27" s="53"/>
      <c r="D27" s="53"/>
      <c r="E27" s="53">
        <f>328930+1792717</f>
        <v>2121647</v>
      </c>
      <c r="F27" s="53">
        <f>1969247+102762</f>
        <v>2072009</v>
      </c>
      <c r="G27" s="53">
        <f>E27-F27</f>
        <v>49638</v>
      </c>
      <c r="H27" s="53"/>
      <c r="I27" s="53"/>
      <c r="J27" s="53"/>
      <c r="K27" s="53">
        <f aca="true" t="shared" si="7" ref="K27:M30">B27+E27+H27</f>
        <v>2121647</v>
      </c>
      <c r="L27" s="53">
        <f t="shared" si="7"/>
        <v>2072009</v>
      </c>
      <c r="M27" s="473">
        <f t="shared" si="7"/>
        <v>49638</v>
      </c>
      <c r="N27" s="519">
        <f t="shared" si="6"/>
        <v>97.66040250805152</v>
      </c>
    </row>
    <row r="28" spans="1:14" ht="24.75" customHeight="1">
      <c r="A28" s="91" t="s">
        <v>261</v>
      </c>
      <c r="B28" s="55"/>
      <c r="C28" s="53"/>
      <c r="D28" s="53"/>
      <c r="E28" s="53">
        <v>9743307</v>
      </c>
      <c r="F28" s="53">
        <v>4004097</v>
      </c>
      <c r="G28" s="53">
        <f>E28-F28</f>
        <v>5739210</v>
      </c>
      <c r="H28" s="53"/>
      <c r="I28" s="53"/>
      <c r="J28" s="53"/>
      <c r="K28" s="53">
        <f>B28+E28+H28</f>
        <v>9743307</v>
      </c>
      <c r="L28" s="53">
        <f>C28+F28+I28</f>
        <v>4004097</v>
      </c>
      <c r="M28" s="473">
        <f>D28+G28+J28</f>
        <v>5739210</v>
      </c>
      <c r="N28" s="519">
        <f t="shared" si="6"/>
        <v>41.09587227416728</v>
      </c>
    </row>
    <row r="29" spans="1:14" ht="24.75" customHeight="1">
      <c r="A29" s="91" t="s">
        <v>759</v>
      </c>
      <c r="B29" s="55"/>
      <c r="C29" s="53"/>
      <c r="D29" s="53"/>
      <c r="E29" s="53">
        <f>3810319+216457</f>
        <v>4026776</v>
      </c>
      <c r="F29" s="53">
        <f>3810319+26926</f>
        <v>3837245</v>
      </c>
      <c r="G29" s="53">
        <f>E29-F29</f>
        <v>189531</v>
      </c>
      <c r="H29" s="53"/>
      <c r="I29" s="53"/>
      <c r="J29" s="53"/>
      <c r="K29" s="53">
        <f t="shared" si="7"/>
        <v>4026776</v>
      </c>
      <c r="L29" s="53">
        <f t="shared" si="7"/>
        <v>3837245</v>
      </c>
      <c r="M29" s="473">
        <f t="shared" si="7"/>
        <v>189531</v>
      </c>
      <c r="N29" s="519">
        <f t="shared" si="6"/>
        <v>95.29323210429385</v>
      </c>
    </row>
    <row r="30" spans="1:14" s="49" customFormat="1" ht="31.5" customHeight="1">
      <c r="A30" s="87" t="s">
        <v>726</v>
      </c>
      <c r="B30" s="52">
        <v>4175800</v>
      </c>
      <c r="C30" s="52"/>
      <c r="D30" s="52">
        <v>4175800</v>
      </c>
      <c r="E30" s="52"/>
      <c r="F30" s="52"/>
      <c r="G30" s="52"/>
      <c r="H30" s="52"/>
      <c r="I30" s="52"/>
      <c r="J30" s="52"/>
      <c r="K30" s="52">
        <f t="shared" si="7"/>
        <v>4175800</v>
      </c>
      <c r="L30" s="52"/>
      <c r="M30" s="472">
        <f t="shared" si="7"/>
        <v>4175800</v>
      </c>
      <c r="N30" s="518">
        <f>(1-M30/K30)*100</f>
        <v>0</v>
      </c>
    </row>
    <row r="31" spans="1:14" s="49" customFormat="1" ht="31.5" customHeight="1">
      <c r="A31" s="87" t="s">
        <v>506</v>
      </c>
      <c r="B31" s="52">
        <v>1845000</v>
      </c>
      <c r="C31" s="52"/>
      <c r="D31" s="52">
        <v>1845000</v>
      </c>
      <c r="E31" s="52"/>
      <c r="F31" s="52"/>
      <c r="G31" s="52"/>
      <c r="H31" s="52"/>
      <c r="I31" s="52"/>
      <c r="J31" s="52"/>
      <c r="K31" s="52">
        <f>B31+E31+H31</f>
        <v>1845000</v>
      </c>
      <c r="L31" s="52"/>
      <c r="M31" s="472">
        <f>D31+G31+J31</f>
        <v>1845000</v>
      </c>
      <c r="N31" s="518">
        <f>(1-M31/K31)*100</f>
        <v>0</v>
      </c>
    </row>
    <row r="32" spans="1:14" s="49" customFormat="1" ht="31.5" customHeight="1" thickBot="1">
      <c r="A32" s="90" t="s">
        <v>379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472"/>
      <c r="N32" s="522"/>
    </row>
    <row r="33" spans="1:14" s="49" customFormat="1" ht="50.25" customHeight="1" thickBot="1">
      <c r="A33" s="92" t="s">
        <v>1154</v>
      </c>
      <c r="B33" s="93">
        <f>B15+B18+B26+B30+B31</f>
        <v>650453790</v>
      </c>
      <c r="C33" s="93">
        <f aca="true" t="shared" si="8" ref="C33:L33">C15+C18+C26+C30+C31</f>
        <v>126066971</v>
      </c>
      <c r="D33" s="93">
        <f t="shared" si="8"/>
        <v>524386819</v>
      </c>
      <c r="E33" s="93">
        <f t="shared" si="8"/>
        <v>51012564</v>
      </c>
      <c r="F33" s="93">
        <f t="shared" si="8"/>
        <v>17443597</v>
      </c>
      <c r="G33" s="93">
        <f t="shared" si="8"/>
        <v>33568967</v>
      </c>
      <c r="H33" s="93">
        <f t="shared" si="8"/>
        <v>30152959</v>
      </c>
      <c r="I33" s="93">
        <f t="shared" si="8"/>
        <v>328387</v>
      </c>
      <c r="J33" s="93">
        <f t="shared" si="8"/>
        <v>29824572</v>
      </c>
      <c r="K33" s="93">
        <f t="shared" si="8"/>
        <v>731619313</v>
      </c>
      <c r="L33" s="93">
        <f t="shared" si="8"/>
        <v>143838955</v>
      </c>
      <c r="M33" s="474">
        <f>M15+M18+M26+M30+M31</f>
        <v>588077000</v>
      </c>
      <c r="N33" s="523">
        <f>(1-M33/K33)*100</f>
        <v>19.619809161598777</v>
      </c>
    </row>
  </sheetData>
  <sheetProtection/>
  <mergeCells count="23">
    <mergeCell ref="I13:I14"/>
    <mergeCell ref="H10:J12"/>
    <mergeCell ref="K10:M12"/>
    <mergeCell ref="J13:J14"/>
    <mergeCell ref="K13:K14"/>
    <mergeCell ref="L13:L14"/>
    <mergeCell ref="M13:M14"/>
    <mergeCell ref="C13:C14"/>
    <mergeCell ref="D13:D14"/>
    <mergeCell ref="E13:E14"/>
    <mergeCell ref="F13:F14"/>
    <mergeCell ref="G13:G14"/>
    <mergeCell ref="H13:H14"/>
    <mergeCell ref="A3:N3"/>
    <mergeCell ref="N10:N14"/>
    <mergeCell ref="A7:N7"/>
    <mergeCell ref="A4:M4"/>
    <mergeCell ref="A8:M8"/>
    <mergeCell ref="A10:A14"/>
    <mergeCell ref="B10:G10"/>
    <mergeCell ref="B11:D12"/>
    <mergeCell ref="E11:G12"/>
    <mergeCell ref="B13:B14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8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3.125" style="14" customWidth="1"/>
    <col min="2" max="2" width="9.125" style="14" customWidth="1"/>
    <col min="3" max="3" width="12.125" style="14" customWidth="1"/>
    <col min="4" max="9" width="9.125" style="14" customWidth="1"/>
    <col min="10" max="10" width="15.625" style="2" bestFit="1" customWidth="1"/>
    <col min="11" max="11" width="4.125" style="14" customWidth="1"/>
    <col min="12" max="16384" width="9.125" style="14" customWidth="1"/>
  </cols>
  <sheetData>
    <row r="1" spans="10:11" ht="15.75">
      <c r="J1" s="22"/>
      <c r="K1" s="16"/>
    </row>
    <row r="2" spans="1:11" ht="15.75">
      <c r="A2" s="986"/>
      <c r="B2" s="986"/>
      <c r="C2" s="986"/>
      <c r="D2" s="986"/>
      <c r="E2" s="986"/>
      <c r="F2" s="986"/>
      <c r="G2" s="986"/>
      <c r="H2" s="986"/>
      <c r="I2" s="986"/>
      <c r="J2" s="986"/>
      <c r="K2" s="986"/>
    </row>
    <row r="3" spans="10:11" ht="15.75">
      <c r="J3" s="22"/>
      <c r="K3" s="16"/>
    </row>
    <row r="4" spans="1:10" s="57" customFormat="1" ht="12.75">
      <c r="A4" s="1157"/>
      <c r="B4" s="1157"/>
      <c r="C4" s="1157"/>
      <c r="D4" s="1157"/>
      <c r="E4" s="1157"/>
      <c r="F4" s="1157"/>
      <c r="G4" s="1157"/>
      <c r="H4" s="1157"/>
      <c r="I4" s="1157"/>
      <c r="J4" s="1157"/>
    </row>
    <row r="5" spans="1:6" s="67" customFormat="1" ht="12.75">
      <c r="A5" s="234" t="s">
        <v>1172</v>
      </c>
      <c r="C5" s="138"/>
      <c r="D5" s="51"/>
      <c r="E5" s="51"/>
      <c r="F5" s="51"/>
    </row>
    <row r="7" spans="1:11" ht="15.75">
      <c r="A7" s="1224" t="s">
        <v>568</v>
      </c>
      <c r="B7" s="1224"/>
      <c r="C7" s="1224"/>
      <c r="D7" s="1224"/>
      <c r="E7" s="1224"/>
      <c r="F7" s="1224"/>
      <c r="G7" s="1224"/>
      <c r="H7" s="1224"/>
      <c r="I7" s="1224"/>
      <c r="J7" s="1224"/>
      <c r="K7" s="1224"/>
    </row>
    <row r="8" spans="1:11" ht="15.75">
      <c r="A8" s="1224" t="s">
        <v>320</v>
      </c>
      <c r="B8" s="1224"/>
      <c r="C8" s="1224"/>
      <c r="D8" s="1224"/>
      <c r="E8" s="1224"/>
      <c r="F8" s="1224"/>
      <c r="G8" s="1224"/>
      <c r="H8" s="1224"/>
      <c r="I8" s="1224"/>
      <c r="J8" s="1224"/>
      <c r="K8" s="1224"/>
    </row>
    <row r="9" spans="1:11" ht="15.75">
      <c r="A9" s="1224" t="s">
        <v>1017</v>
      </c>
      <c r="B9" s="1224"/>
      <c r="C9" s="1224"/>
      <c r="D9" s="1224"/>
      <c r="E9" s="1224"/>
      <c r="F9" s="1224"/>
      <c r="G9" s="1224"/>
      <c r="H9" s="1224"/>
      <c r="I9" s="1224"/>
      <c r="J9" s="1224"/>
      <c r="K9" s="1224"/>
    </row>
    <row r="12" ht="15.75">
      <c r="A12" s="23" t="s">
        <v>629</v>
      </c>
    </row>
    <row r="15" spans="1:4" ht="15.75">
      <c r="A15" s="23" t="s">
        <v>630</v>
      </c>
      <c r="D15" s="12"/>
    </row>
    <row r="17" spans="1:11" ht="18">
      <c r="A17" s="14" t="s">
        <v>631</v>
      </c>
      <c r="J17" s="24">
        <v>1845000</v>
      </c>
      <c r="K17" s="25" t="s">
        <v>632</v>
      </c>
    </row>
    <row r="18" spans="1:11" s="12" customFormat="1" ht="15.75">
      <c r="A18" s="12" t="s">
        <v>633</v>
      </c>
      <c r="J18" s="26">
        <f>SUM(J17:J17)</f>
        <v>1845000</v>
      </c>
      <c r="K18" s="12" t="s">
        <v>632</v>
      </c>
    </row>
  </sheetData>
  <sheetProtection/>
  <mergeCells count="5">
    <mergeCell ref="A8:K8"/>
    <mergeCell ref="A9:K9"/>
    <mergeCell ref="A4:J4"/>
    <mergeCell ref="A7:K7"/>
    <mergeCell ref="A2:K2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2:G33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8.125" style="27" customWidth="1"/>
    <col min="2" max="2" width="5.00390625" style="27" customWidth="1"/>
    <col min="3" max="3" width="62.125" style="27" customWidth="1"/>
    <col min="4" max="4" width="19.125" style="329" customWidth="1"/>
    <col min="5" max="16384" width="9.125" style="27" customWidth="1"/>
  </cols>
  <sheetData>
    <row r="2" spans="1:4" ht="12.75">
      <c r="A2" s="1106"/>
      <c r="B2" s="1106"/>
      <c r="C2" s="1106"/>
      <c r="D2" s="1106"/>
    </row>
    <row r="3" spans="1:4" s="313" customFormat="1" ht="12.75">
      <c r="A3" s="1225"/>
      <c r="B3" s="1225"/>
      <c r="C3" s="1226"/>
      <c r="D3" s="1226"/>
    </row>
    <row r="4" spans="1:7" s="57" customFormat="1" ht="12.75">
      <c r="A4" s="1157"/>
      <c r="B4" s="1157"/>
      <c r="C4" s="1157"/>
      <c r="D4" s="1157"/>
      <c r="E4" s="330"/>
      <c r="F4" s="330"/>
      <c r="G4" s="330"/>
    </row>
    <row r="5" spans="1:4" s="67" customFormat="1" ht="12.75">
      <c r="A5" s="234" t="s">
        <v>1173</v>
      </c>
      <c r="C5" s="138"/>
      <c r="D5" s="51"/>
    </row>
    <row r="6" spans="1:4" s="313" customFormat="1" ht="12.75">
      <c r="A6" s="312"/>
      <c r="B6" s="312"/>
      <c r="C6" s="312"/>
      <c r="D6" s="314"/>
    </row>
    <row r="7" spans="1:7" s="1" customFormat="1" ht="15.75">
      <c r="A7" s="1239" t="s">
        <v>568</v>
      </c>
      <c r="B7" s="1239"/>
      <c r="C7" s="1239"/>
      <c r="D7" s="1239"/>
      <c r="E7" s="331"/>
      <c r="F7" s="331"/>
      <c r="G7" s="331"/>
    </row>
    <row r="8" spans="1:4" s="313" customFormat="1" ht="15.75">
      <c r="A8" s="1239" t="s">
        <v>321</v>
      </c>
      <c r="B8" s="1239"/>
      <c r="C8" s="1239"/>
      <c r="D8" s="1239"/>
    </row>
    <row r="9" spans="1:4" s="313" customFormat="1" ht="15.75">
      <c r="A9" s="1239" t="s">
        <v>950</v>
      </c>
      <c r="B9" s="1239"/>
      <c r="C9" s="1239"/>
      <c r="D9" s="1239"/>
    </row>
    <row r="10" spans="1:4" s="313" customFormat="1" ht="12.75">
      <c r="A10" s="312"/>
      <c r="B10" s="312"/>
      <c r="C10" s="312"/>
      <c r="D10" s="314"/>
    </row>
    <row r="11" spans="1:4" s="313" customFormat="1" ht="13.5" thickBot="1">
      <c r="A11" s="315"/>
      <c r="B11" s="315"/>
      <c r="C11" s="315"/>
      <c r="D11" s="332" t="s">
        <v>920</v>
      </c>
    </row>
    <row r="12" spans="1:4" s="316" customFormat="1" ht="12.75">
      <c r="A12" s="1227" t="s">
        <v>263</v>
      </c>
      <c r="B12" s="1230" t="s">
        <v>653</v>
      </c>
      <c r="C12" s="1231"/>
      <c r="D12" s="1236" t="s">
        <v>264</v>
      </c>
    </row>
    <row r="13" spans="1:4" s="316" customFormat="1" ht="12.75">
      <c r="A13" s="1228"/>
      <c r="B13" s="1232"/>
      <c r="C13" s="1233"/>
      <c r="D13" s="1237"/>
    </row>
    <row r="14" spans="1:4" s="316" customFormat="1" ht="13.5" thickBot="1">
      <c r="A14" s="1229"/>
      <c r="B14" s="1234"/>
      <c r="C14" s="1235"/>
      <c r="D14" s="1238"/>
    </row>
    <row r="15" spans="1:4" ht="12.75">
      <c r="A15" s="317" t="s">
        <v>342</v>
      </c>
      <c r="B15" s="317" t="s">
        <v>342</v>
      </c>
      <c r="C15" s="318" t="s">
        <v>265</v>
      </c>
      <c r="D15" s="319">
        <v>63199890</v>
      </c>
    </row>
    <row r="16" spans="1:4" ht="13.5" thickBot="1">
      <c r="A16" s="317" t="s">
        <v>343</v>
      </c>
      <c r="B16" s="317" t="s">
        <v>343</v>
      </c>
      <c r="C16" s="318" t="s">
        <v>266</v>
      </c>
      <c r="D16" s="319">
        <v>71372685</v>
      </c>
    </row>
    <row r="17" spans="1:4" s="526" customFormat="1" ht="21" customHeight="1" thickBot="1">
      <c r="A17" s="339" t="s">
        <v>344</v>
      </c>
      <c r="B17" s="524" t="s">
        <v>740</v>
      </c>
      <c r="C17" s="328" t="s">
        <v>267</v>
      </c>
      <c r="D17" s="525">
        <f>D15-D16</f>
        <v>-8172795</v>
      </c>
    </row>
    <row r="18" spans="1:4" ht="12.75">
      <c r="A18" s="317" t="s">
        <v>345</v>
      </c>
      <c r="B18" s="317" t="s">
        <v>344</v>
      </c>
      <c r="C18" s="318" t="s">
        <v>268</v>
      </c>
      <c r="D18" s="319">
        <v>71525209</v>
      </c>
    </row>
    <row r="19" spans="1:4" ht="13.5" thickBot="1">
      <c r="A19" s="320" t="s">
        <v>346</v>
      </c>
      <c r="B19" s="320" t="s">
        <v>345</v>
      </c>
      <c r="C19" s="321" t="s">
        <v>269</v>
      </c>
      <c r="D19" s="322">
        <v>1318759</v>
      </c>
    </row>
    <row r="20" spans="1:4" s="526" customFormat="1" ht="21" customHeight="1" thickBot="1">
      <c r="A20" s="339" t="s">
        <v>368</v>
      </c>
      <c r="B20" s="524" t="s">
        <v>500</v>
      </c>
      <c r="C20" s="328" t="s">
        <v>270</v>
      </c>
      <c r="D20" s="525">
        <f>D18-D19</f>
        <v>70206450</v>
      </c>
    </row>
    <row r="21" spans="1:4" s="327" customFormat="1" ht="24.75" customHeight="1" thickBot="1">
      <c r="A21" s="323" t="s">
        <v>369</v>
      </c>
      <c r="B21" s="324" t="s">
        <v>381</v>
      </c>
      <c r="C21" s="325" t="s">
        <v>271</v>
      </c>
      <c r="D21" s="426">
        <f>D17+D20</f>
        <v>62033655</v>
      </c>
    </row>
    <row r="22" spans="1:4" ht="12.75">
      <c r="A22" s="317" t="s">
        <v>370</v>
      </c>
      <c r="B22" s="317" t="s">
        <v>346</v>
      </c>
      <c r="C22" s="318" t="s">
        <v>272</v>
      </c>
      <c r="D22" s="319"/>
    </row>
    <row r="23" spans="1:4" ht="13.5" thickBot="1">
      <c r="A23" s="320" t="s">
        <v>371</v>
      </c>
      <c r="B23" s="320" t="s">
        <v>368</v>
      </c>
      <c r="C23" s="321" t="s">
        <v>273</v>
      </c>
      <c r="D23" s="322"/>
    </row>
    <row r="24" spans="1:4" s="526" customFormat="1" ht="21" customHeight="1" thickBot="1">
      <c r="A24" s="339" t="s">
        <v>668</v>
      </c>
      <c r="B24" s="524" t="s">
        <v>505</v>
      </c>
      <c r="C24" s="328" t="s">
        <v>274</v>
      </c>
      <c r="D24" s="525"/>
    </row>
    <row r="25" spans="1:4" ht="12.75">
      <c r="A25" s="320" t="s">
        <v>669</v>
      </c>
      <c r="B25" s="320" t="s">
        <v>369</v>
      </c>
      <c r="C25" s="321" t="s">
        <v>275</v>
      </c>
      <c r="D25" s="322"/>
    </row>
    <row r="26" spans="1:4" ht="13.5" thickBot="1">
      <c r="A26" s="320" t="s">
        <v>700</v>
      </c>
      <c r="B26" s="320" t="s">
        <v>370</v>
      </c>
      <c r="C26" s="321" t="s">
        <v>276</v>
      </c>
      <c r="D26" s="322"/>
    </row>
    <row r="27" spans="1:4" s="526" customFormat="1" ht="21" customHeight="1" thickBot="1">
      <c r="A27" s="339" t="s">
        <v>670</v>
      </c>
      <c r="B27" s="524" t="s">
        <v>508</v>
      </c>
      <c r="C27" s="328" t="s">
        <v>277</v>
      </c>
      <c r="D27" s="525"/>
    </row>
    <row r="28" spans="1:4" s="327" customFormat="1" ht="24.75" customHeight="1" thickBot="1">
      <c r="A28" s="323" t="s">
        <v>671</v>
      </c>
      <c r="B28" s="324" t="s">
        <v>30</v>
      </c>
      <c r="C28" s="325" t="s">
        <v>278</v>
      </c>
      <c r="D28" s="326"/>
    </row>
    <row r="29" spans="1:4" s="327" customFormat="1" ht="24.75" customHeight="1" thickBot="1">
      <c r="A29" s="323" t="s">
        <v>672</v>
      </c>
      <c r="B29" s="324" t="s">
        <v>45</v>
      </c>
      <c r="C29" s="328" t="s">
        <v>279</v>
      </c>
      <c r="D29" s="425">
        <f>D21</f>
        <v>62033655</v>
      </c>
    </row>
    <row r="30" spans="1:4" ht="13.5" thickBot="1">
      <c r="A30" s="320" t="s">
        <v>674</v>
      </c>
      <c r="B30" s="320" t="s">
        <v>132</v>
      </c>
      <c r="C30" s="321" t="s">
        <v>280</v>
      </c>
      <c r="D30" s="322">
        <v>23131431</v>
      </c>
    </row>
    <row r="31" spans="1:4" s="327" customFormat="1" ht="24.75" customHeight="1" thickBot="1">
      <c r="A31" s="323" t="s">
        <v>675</v>
      </c>
      <c r="B31" s="324" t="s">
        <v>134</v>
      </c>
      <c r="C31" s="328" t="s">
        <v>281</v>
      </c>
      <c r="D31" s="425">
        <f>D29-D30</f>
        <v>38902224</v>
      </c>
    </row>
    <row r="32" spans="1:4" ht="12.75">
      <c r="A32" s="320" t="s">
        <v>676</v>
      </c>
      <c r="B32" s="320" t="s">
        <v>139</v>
      </c>
      <c r="C32" s="321" t="s">
        <v>622</v>
      </c>
      <c r="D32" s="322"/>
    </row>
    <row r="33" spans="1:4" ht="12.75">
      <c r="A33" s="320" t="s">
        <v>677</v>
      </c>
      <c r="B33" s="320" t="s">
        <v>203</v>
      </c>
      <c r="C33" s="321" t="s">
        <v>623</v>
      </c>
      <c r="D33" s="322"/>
    </row>
  </sheetData>
  <sheetProtection/>
  <mergeCells count="9">
    <mergeCell ref="A2:D2"/>
    <mergeCell ref="A3:D3"/>
    <mergeCell ref="A12:A14"/>
    <mergeCell ref="B12:C14"/>
    <mergeCell ref="D12:D14"/>
    <mergeCell ref="A4:D4"/>
    <mergeCell ref="A7:D7"/>
    <mergeCell ref="A8:D8"/>
    <mergeCell ref="A9:D9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K50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8.125" style="27" customWidth="1"/>
    <col min="2" max="2" width="4.75390625" style="27" customWidth="1"/>
    <col min="3" max="4" width="2.625" style="27" customWidth="1"/>
    <col min="5" max="5" width="60.00390625" style="27" customWidth="1"/>
    <col min="6" max="6" width="18.125" style="27" customWidth="1"/>
    <col min="7" max="16384" width="9.125" style="27" customWidth="1"/>
  </cols>
  <sheetData>
    <row r="3" spans="1:6" ht="12.75">
      <c r="A3" s="1106"/>
      <c r="B3" s="1106"/>
      <c r="C3" s="1106"/>
      <c r="D3" s="1106"/>
      <c r="E3" s="1106"/>
      <c r="F3" s="1106"/>
    </row>
    <row r="4" spans="1:11" s="57" customFormat="1" ht="12.75">
      <c r="A4" s="1157"/>
      <c r="B4" s="1157"/>
      <c r="C4" s="1157"/>
      <c r="D4" s="1157"/>
      <c r="E4" s="1157"/>
      <c r="F4" s="1157"/>
      <c r="G4" s="330"/>
      <c r="H4" s="330"/>
      <c r="I4" s="330"/>
      <c r="J4" s="330"/>
      <c r="K4" s="330"/>
    </row>
    <row r="5" spans="1:7" s="67" customFormat="1" ht="12.75">
      <c r="A5" s="234" t="s">
        <v>1174</v>
      </c>
      <c r="B5" s="234"/>
      <c r="C5" s="234"/>
      <c r="D5" s="234"/>
      <c r="F5" s="51"/>
      <c r="G5" s="51"/>
    </row>
    <row r="6" spans="1:7" s="67" customFormat="1" ht="12.75">
      <c r="A6" s="234"/>
      <c r="B6" s="234"/>
      <c r="C6" s="234"/>
      <c r="D6" s="234"/>
      <c r="F6" s="51"/>
      <c r="G6" s="51"/>
    </row>
    <row r="7" spans="1:6" s="313" customFormat="1" ht="15.75">
      <c r="A7" s="1173" t="s">
        <v>568</v>
      </c>
      <c r="B7" s="1173"/>
      <c r="C7" s="1173"/>
      <c r="D7" s="1173"/>
      <c r="E7" s="1173"/>
      <c r="F7" s="1173"/>
    </row>
    <row r="8" spans="1:11" s="1" customFormat="1" ht="15.75">
      <c r="A8" s="1173" t="s">
        <v>322</v>
      </c>
      <c r="B8" s="1173"/>
      <c r="C8" s="1173"/>
      <c r="D8" s="1173"/>
      <c r="E8" s="1173"/>
      <c r="F8" s="1173"/>
      <c r="G8" s="331"/>
      <c r="H8" s="331"/>
      <c r="I8" s="331"/>
      <c r="J8" s="331"/>
      <c r="K8" s="331"/>
    </row>
    <row r="9" spans="1:11" s="1" customFormat="1" ht="15.75">
      <c r="A9" s="1173" t="s">
        <v>950</v>
      </c>
      <c r="B9" s="1173"/>
      <c r="C9" s="1173"/>
      <c r="D9" s="1173"/>
      <c r="E9" s="1173"/>
      <c r="F9" s="1173"/>
      <c r="G9" s="331"/>
      <c r="H9" s="331"/>
      <c r="I9" s="331"/>
      <c r="J9" s="331"/>
      <c r="K9" s="331"/>
    </row>
    <row r="10" spans="1:11" s="1" customFormat="1" ht="15.75">
      <c r="A10" s="278"/>
      <c r="B10" s="278"/>
      <c r="C10" s="278"/>
      <c r="D10" s="278"/>
      <c r="E10" s="278"/>
      <c r="F10" s="278"/>
      <c r="G10" s="331"/>
      <c r="H10" s="331"/>
      <c r="I10" s="331"/>
      <c r="J10" s="331"/>
      <c r="K10" s="331"/>
    </row>
    <row r="11" spans="1:11" s="1" customFormat="1" ht="16.5" thickBot="1">
      <c r="A11" s="278"/>
      <c r="B11" s="278"/>
      <c r="C11" s="278"/>
      <c r="D11" s="278"/>
      <c r="E11" s="278"/>
      <c r="F11" s="347" t="s">
        <v>920</v>
      </c>
      <c r="G11" s="331"/>
      <c r="H11" s="331"/>
      <c r="I11" s="331"/>
      <c r="J11" s="331"/>
      <c r="K11" s="331"/>
    </row>
    <row r="12" spans="1:6" s="316" customFormat="1" ht="12.75">
      <c r="A12" s="1227" t="s">
        <v>263</v>
      </c>
      <c r="B12" s="1230" t="s">
        <v>653</v>
      </c>
      <c r="C12" s="1240"/>
      <c r="D12" s="1240"/>
      <c r="E12" s="1231"/>
      <c r="F12" s="1236" t="s">
        <v>264</v>
      </c>
    </row>
    <row r="13" spans="1:6" s="316" customFormat="1" ht="12.75">
      <c r="A13" s="1228"/>
      <c r="B13" s="1232"/>
      <c r="C13" s="1241"/>
      <c r="D13" s="1241"/>
      <c r="E13" s="1233"/>
      <c r="F13" s="1237"/>
    </row>
    <row r="14" spans="1:6" s="316" customFormat="1" ht="13.5" thickBot="1">
      <c r="A14" s="1229"/>
      <c r="B14" s="1234"/>
      <c r="C14" s="1242"/>
      <c r="D14" s="1242"/>
      <c r="E14" s="1235"/>
      <c r="F14" s="1238"/>
    </row>
    <row r="15" spans="1:6" ht="12.75">
      <c r="A15" s="320" t="s">
        <v>342</v>
      </c>
      <c r="B15" s="338" t="s">
        <v>342</v>
      </c>
      <c r="C15" s="338"/>
      <c r="D15" s="1243" t="s">
        <v>286</v>
      </c>
      <c r="E15" s="1243"/>
      <c r="F15" s="334">
        <v>9432199</v>
      </c>
    </row>
    <row r="16" spans="1:6" ht="12.75">
      <c r="A16" s="320" t="s">
        <v>343</v>
      </c>
      <c r="B16" s="333" t="s">
        <v>343</v>
      </c>
      <c r="C16" s="338"/>
      <c r="D16" s="1243" t="s">
        <v>330</v>
      </c>
      <c r="E16" s="1243"/>
      <c r="F16" s="334">
        <v>2892378</v>
      </c>
    </row>
    <row r="17" spans="1:6" ht="13.5" thickBot="1">
      <c r="A17" s="320" t="s">
        <v>344</v>
      </c>
      <c r="B17" s="333" t="s">
        <v>344</v>
      </c>
      <c r="C17" s="333"/>
      <c r="D17" s="1243" t="s">
        <v>331</v>
      </c>
      <c r="E17" s="1243"/>
      <c r="F17" s="334">
        <v>6769141</v>
      </c>
    </row>
    <row r="18" spans="1:6" ht="13.5" thickBot="1">
      <c r="A18" s="336" t="s">
        <v>345</v>
      </c>
      <c r="B18" s="336" t="s">
        <v>740</v>
      </c>
      <c r="C18" s="337"/>
      <c r="D18" s="1245" t="s">
        <v>570</v>
      </c>
      <c r="E18" s="1246"/>
      <c r="F18" s="335">
        <f>F15+F16+F17</f>
        <v>19093718</v>
      </c>
    </row>
    <row r="19" spans="1:6" ht="12.75">
      <c r="A19" s="320" t="s">
        <v>346</v>
      </c>
      <c r="B19" s="333" t="s">
        <v>345</v>
      </c>
      <c r="C19" s="338"/>
      <c r="D19" s="1243" t="s">
        <v>571</v>
      </c>
      <c r="E19" s="1243"/>
      <c r="F19" s="334">
        <v>0</v>
      </c>
    </row>
    <row r="20" spans="1:6" ht="13.5" thickBot="1">
      <c r="A20" s="320" t="s">
        <v>368</v>
      </c>
      <c r="B20" s="333" t="s">
        <v>346</v>
      </c>
      <c r="C20" s="338"/>
      <c r="D20" s="1243" t="s">
        <v>572</v>
      </c>
      <c r="E20" s="1243"/>
      <c r="F20" s="334">
        <v>0</v>
      </c>
    </row>
    <row r="21" spans="1:6" ht="13.5" thickBot="1">
      <c r="A21" s="336" t="s">
        <v>369</v>
      </c>
      <c r="B21" s="336" t="s">
        <v>500</v>
      </c>
      <c r="C21" s="337"/>
      <c r="D21" s="1245" t="s">
        <v>573</v>
      </c>
      <c r="E21" s="1246"/>
      <c r="F21" s="335">
        <v>0</v>
      </c>
    </row>
    <row r="22" spans="1:6" ht="12.75">
      <c r="A22" s="320" t="s">
        <v>370</v>
      </c>
      <c r="B22" s="333" t="s">
        <v>368</v>
      </c>
      <c r="C22" s="338"/>
      <c r="D22" s="1243" t="s">
        <v>574</v>
      </c>
      <c r="E22" s="1243"/>
      <c r="F22" s="334">
        <v>29416624</v>
      </c>
    </row>
    <row r="23" spans="1:6" ht="12.75">
      <c r="A23" s="320" t="s">
        <v>371</v>
      </c>
      <c r="B23" s="333" t="s">
        <v>369</v>
      </c>
      <c r="C23" s="338"/>
      <c r="D23" s="1243" t="s">
        <v>575</v>
      </c>
      <c r="E23" s="1243"/>
      <c r="F23" s="334">
        <v>2033185</v>
      </c>
    </row>
    <row r="24" spans="1:6" ht="12.75">
      <c r="A24" s="320" t="s">
        <v>668</v>
      </c>
      <c r="B24" s="333" t="s">
        <v>370</v>
      </c>
      <c r="C24" s="338"/>
      <c r="D24" s="1243" t="s">
        <v>601</v>
      </c>
      <c r="E24" s="1244"/>
      <c r="F24" s="334">
        <v>4638736</v>
      </c>
    </row>
    <row r="25" spans="1:6" ht="13.5" thickBot="1">
      <c r="A25" s="320" t="s">
        <v>669</v>
      </c>
      <c r="B25" s="333" t="s">
        <v>371</v>
      </c>
      <c r="C25" s="338"/>
      <c r="D25" s="1243" t="s">
        <v>576</v>
      </c>
      <c r="E25" s="1243"/>
      <c r="F25" s="334">
        <v>5798364</v>
      </c>
    </row>
    <row r="26" spans="1:6" ht="13.5" thickBot="1">
      <c r="A26" s="336" t="s">
        <v>669</v>
      </c>
      <c r="B26" s="336" t="s">
        <v>505</v>
      </c>
      <c r="C26" s="337"/>
      <c r="D26" s="1245" t="s">
        <v>577</v>
      </c>
      <c r="E26" s="1246"/>
      <c r="F26" s="335">
        <f>F22+F23+F24+F25</f>
        <v>41886909</v>
      </c>
    </row>
    <row r="27" spans="1:6" ht="12.75">
      <c r="A27" s="320" t="s">
        <v>700</v>
      </c>
      <c r="B27" s="333" t="s">
        <v>668</v>
      </c>
      <c r="C27" s="338"/>
      <c r="D27" s="1243" t="s">
        <v>578</v>
      </c>
      <c r="E27" s="1243"/>
      <c r="F27" s="334">
        <v>5137331</v>
      </c>
    </row>
    <row r="28" spans="1:6" ht="12.75">
      <c r="A28" s="320" t="s">
        <v>670</v>
      </c>
      <c r="B28" s="333" t="s">
        <v>669</v>
      </c>
      <c r="C28" s="338"/>
      <c r="D28" s="1243" t="s">
        <v>579</v>
      </c>
      <c r="E28" s="1243"/>
      <c r="F28" s="334">
        <v>6250765</v>
      </c>
    </row>
    <row r="29" spans="1:6" ht="12.75">
      <c r="A29" s="320" t="s">
        <v>671</v>
      </c>
      <c r="B29" s="333" t="s">
        <v>700</v>
      </c>
      <c r="C29" s="338"/>
      <c r="D29" s="1243" t="s">
        <v>580</v>
      </c>
      <c r="E29" s="1243"/>
      <c r="F29" s="334"/>
    </row>
    <row r="30" spans="1:6" ht="13.5" thickBot="1">
      <c r="A30" s="320" t="s">
        <v>672</v>
      </c>
      <c r="B30" s="333" t="s">
        <v>670</v>
      </c>
      <c r="C30" s="338"/>
      <c r="D30" s="1243" t="s">
        <v>581</v>
      </c>
      <c r="E30" s="1243"/>
      <c r="F30" s="334"/>
    </row>
    <row r="31" spans="1:6" ht="13.5" thickBot="1">
      <c r="A31" s="336" t="s">
        <v>674</v>
      </c>
      <c r="B31" s="336" t="s">
        <v>508</v>
      </c>
      <c r="C31" s="337"/>
      <c r="D31" s="1245" t="s">
        <v>582</v>
      </c>
      <c r="E31" s="1246"/>
      <c r="F31" s="335">
        <f>F27+F28+F29+F30</f>
        <v>11388096</v>
      </c>
    </row>
    <row r="32" spans="1:6" ht="12.75">
      <c r="A32" s="320" t="s">
        <v>675</v>
      </c>
      <c r="B32" s="333" t="s">
        <v>671</v>
      </c>
      <c r="C32" s="338"/>
      <c r="D32" s="1243" t="s">
        <v>583</v>
      </c>
      <c r="E32" s="1243"/>
      <c r="F32" s="334">
        <v>8712589</v>
      </c>
    </row>
    <row r="33" spans="1:6" ht="12.75">
      <c r="A33" s="320" t="s">
        <v>676</v>
      </c>
      <c r="B33" s="333" t="s">
        <v>672</v>
      </c>
      <c r="C33" s="338"/>
      <c r="D33" s="1243" t="s">
        <v>584</v>
      </c>
      <c r="E33" s="1243"/>
      <c r="F33" s="334">
        <v>9476700</v>
      </c>
    </row>
    <row r="34" spans="1:6" ht="13.5" thickBot="1">
      <c r="A34" s="320" t="s">
        <v>677</v>
      </c>
      <c r="B34" s="338" t="s">
        <v>674</v>
      </c>
      <c r="C34" s="338"/>
      <c r="D34" s="1243" t="s">
        <v>585</v>
      </c>
      <c r="E34" s="1243"/>
      <c r="F34" s="334">
        <v>4795708</v>
      </c>
    </row>
    <row r="35" spans="1:6" ht="13.5" thickBot="1">
      <c r="A35" s="336" t="s">
        <v>678</v>
      </c>
      <c r="B35" s="336" t="s">
        <v>513</v>
      </c>
      <c r="C35" s="337"/>
      <c r="D35" s="1245" t="s">
        <v>586</v>
      </c>
      <c r="E35" s="1246"/>
      <c r="F35" s="335">
        <f>F32+F33+F34</f>
        <v>22984997</v>
      </c>
    </row>
    <row r="36" spans="1:6" ht="13.5" thickBot="1">
      <c r="A36" s="336" t="s">
        <v>679</v>
      </c>
      <c r="B36" s="336" t="s">
        <v>201</v>
      </c>
      <c r="C36" s="337"/>
      <c r="D36" s="1245" t="s">
        <v>587</v>
      </c>
      <c r="E36" s="1246"/>
      <c r="F36" s="335">
        <v>21177108</v>
      </c>
    </row>
    <row r="37" spans="1:6" ht="13.5" thickBot="1">
      <c r="A37" s="336" t="s">
        <v>347</v>
      </c>
      <c r="B37" s="336" t="s">
        <v>490</v>
      </c>
      <c r="C37" s="337"/>
      <c r="D37" s="1245" t="s">
        <v>588</v>
      </c>
      <c r="E37" s="1246"/>
      <c r="F37" s="335">
        <v>15819648</v>
      </c>
    </row>
    <row r="38" spans="1:6" s="50" customFormat="1" ht="26.25" customHeight="1" thickBot="1">
      <c r="A38" s="340" t="s">
        <v>348</v>
      </c>
      <c r="B38" s="323" t="s">
        <v>381</v>
      </c>
      <c r="C38" s="341"/>
      <c r="D38" s="1249" t="s">
        <v>589</v>
      </c>
      <c r="E38" s="1250"/>
      <c r="F38" s="342">
        <f>F18+F26-F31-F35-F36-F37</f>
        <v>-10389222</v>
      </c>
    </row>
    <row r="39" spans="1:6" ht="12.75">
      <c r="A39" s="320" t="s">
        <v>349</v>
      </c>
      <c r="B39" s="338" t="s">
        <v>1023</v>
      </c>
      <c r="C39" s="338"/>
      <c r="D39" s="1243" t="s">
        <v>590</v>
      </c>
      <c r="E39" s="1243"/>
      <c r="F39" s="334"/>
    </row>
    <row r="40" spans="1:6" ht="12.75">
      <c r="A40" s="320" t="s">
        <v>350</v>
      </c>
      <c r="B40" s="333" t="s">
        <v>676</v>
      </c>
      <c r="C40" s="338"/>
      <c r="D40" s="1243" t="s">
        <v>591</v>
      </c>
      <c r="E40" s="1243"/>
      <c r="F40" s="334">
        <v>5428</v>
      </c>
    </row>
    <row r="41" spans="1:6" ht="12.75">
      <c r="A41" s="320" t="s">
        <v>351</v>
      </c>
      <c r="B41" s="333" t="s">
        <v>677</v>
      </c>
      <c r="C41" s="338"/>
      <c r="D41" s="1243" t="s">
        <v>592</v>
      </c>
      <c r="E41" s="1243"/>
      <c r="F41" s="334">
        <v>0</v>
      </c>
    </row>
    <row r="42" spans="1:6" ht="13.5" thickBot="1">
      <c r="A42" s="320" t="s">
        <v>352</v>
      </c>
      <c r="B42" s="320" t="s">
        <v>677</v>
      </c>
      <c r="C42" s="320" t="s">
        <v>761</v>
      </c>
      <c r="D42" s="320"/>
      <c r="E42" s="321" t="s">
        <v>593</v>
      </c>
      <c r="F42" s="334"/>
    </row>
    <row r="43" spans="1:6" ht="13.5" thickBot="1">
      <c r="A43" s="336" t="s">
        <v>353</v>
      </c>
      <c r="B43" s="336" t="s">
        <v>491</v>
      </c>
      <c r="C43" s="337"/>
      <c r="D43" s="1245" t="s">
        <v>594</v>
      </c>
      <c r="E43" s="1246"/>
      <c r="F43" s="335">
        <f>F40</f>
        <v>5428</v>
      </c>
    </row>
    <row r="44" spans="1:6" ht="12.75">
      <c r="A44" s="320" t="s">
        <v>354</v>
      </c>
      <c r="B44" s="338" t="s">
        <v>678</v>
      </c>
      <c r="C44" s="338"/>
      <c r="D44" s="1243" t="s">
        <v>595</v>
      </c>
      <c r="E44" s="1243"/>
      <c r="F44" s="334">
        <v>0</v>
      </c>
    </row>
    <row r="45" spans="1:6" ht="12.75">
      <c r="A45" s="320" t="s">
        <v>355</v>
      </c>
      <c r="B45" s="338" t="s">
        <v>679</v>
      </c>
      <c r="C45" s="338"/>
      <c r="D45" s="1243" t="s">
        <v>596</v>
      </c>
      <c r="E45" s="1243"/>
      <c r="F45" s="334">
        <v>0</v>
      </c>
    </row>
    <row r="46" spans="1:6" ht="12.75">
      <c r="A46" s="320" t="s">
        <v>356</v>
      </c>
      <c r="B46" s="338" t="s">
        <v>347</v>
      </c>
      <c r="C46" s="338"/>
      <c r="D46" s="1243" t="s">
        <v>597</v>
      </c>
      <c r="E46" s="1243"/>
      <c r="F46" s="334">
        <v>0</v>
      </c>
    </row>
    <row r="47" spans="1:6" ht="13.5" thickBot="1">
      <c r="A47" s="320" t="s">
        <v>357</v>
      </c>
      <c r="B47" s="320" t="s">
        <v>347</v>
      </c>
      <c r="C47" s="320" t="s">
        <v>761</v>
      </c>
      <c r="D47" s="320"/>
      <c r="E47" s="321" t="s">
        <v>598</v>
      </c>
      <c r="F47" s="334">
        <v>0</v>
      </c>
    </row>
    <row r="48" spans="1:6" ht="13.5" thickBot="1">
      <c r="A48" s="336" t="s">
        <v>358</v>
      </c>
      <c r="B48" s="336" t="s">
        <v>285</v>
      </c>
      <c r="C48" s="337"/>
      <c r="D48" s="1245" t="s">
        <v>599</v>
      </c>
      <c r="E48" s="1246" t="s">
        <v>282</v>
      </c>
      <c r="F48" s="335">
        <v>0</v>
      </c>
    </row>
    <row r="49" spans="1:6" s="50" customFormat="1" ht="26.25" customHeight="1" thickBot="1">
      <c r="A49" s="340" t="s">
        <v>359</v>
      </c>
      <c r="B49" s="323" t="s">
        <v>30</v>
      </c>
      <c r="C49" s="341"/>
      <c r="D49" s="1249" t="s">
        <v>600</v>
      </c>
      <c r="E49" s="1250" t="s">
        <v>283</v>
      </c>
      <c r="F49" s="342">
        <f>F43+F48</f>
        <v>5428</v>
      </c>
    </row>
    <row r="50" spans="1:6" s="14" customFormat="1" ht="26.25" customHeight="1" thickBot="1">
      <c r="A50" s="343" t="s">
        <v>360</v>
      </c>
      <c r="B50" s="344" t="s">
        <v>45</v>
      </c>
      <c r="C50" s="345"/>
      <c r="D50" s="1247" t="s">
        <v>602</v>
      </c>
      <c r="E50" s="1248" t="s">
        <v>284</v>
      </c>
      <c r="F50" s="346">
        <f>F38+F49</f>
        <v>-10383794</v>
      </c>
    </row>
  </sheetData>
  <sheetProtection/>
  <mergeCells count="42">
    <mergeCell ref="D48:E48"/>
    <mergeCell ref="D49:E49"/>
    <mergeCell ref="D34:E34"/>
    <mergeCell ref="D43:E43"/>
    <mergeCell ref="D44:E44"/>
    <mergeCell ref="D45:E45"/>
    <mergeCell ref="D46:E46"/>
    <mergeCell ref="D50:E50"/>
    <mergeCell ref="D39:E39"/>
    <mergeCell ref="D40:E40"/>
    <mergeCell ref="D41:E41"/>
    <mergeCell ref="D28:E28"/>
    <mergeCell ref="D35:E35"/>
    <mergeCell ref="D36:E36"/>
    <mergeCell ref="D37:E37"/>
    <mergeCell ref="D38:E38"/>
    <mergeCell ref="D29:E29"/>
    <mergeCell ref="D30:E30"/>
    <mergeCell ref="D31:E31"/>
    <mergeCell ref="D32:E32"/>
    <mergeCell ref="D33:E33"/>
    <mergeCell ref="D21:E21"/>
    <mergeCell ref="D22:E22"/>
    <mergeCell ref="D23:E23"/>
    <mergeCell ref="D25:E25"/>
    <mergeCell ref="D26:E26"/>
    <mergeCell ref="D27:E27"/>
    <mergeCell ref="D24:E24"/>
    <mergeCell ref="D15:E15"/>
    <mergeCell ref="D16:E16"/>
    <mergeCell ref="D17:E17"/>
    <mergeCell ref="D18:E18"/>
    <mergeCell ref="D19:E19"/>
    <mergeCell ref="D20:E20"/>
    <mergeCell ref="A3:F3"/>
    <mergeCell ref="A7:F7"/>
    <mergeCell ref="A9:F9"/>
    <mergeCell ref="A12:A14"/>
    <mergeCell ref="B12:E14"/>
    <mergeCell ref="F12:F14"/>
    <mergeCell ref="A4:F4"/>
    <mergeCell ref="A8:F8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153"/>
  <sheetViews>
    <sheetView zoomScalePageLayoutView="0" workbookViewId="0" topLeftCell="A1">
      <selection activeCell="A5" sqref="A5:J5"/>
    </sheetView>
  </sheetViews>
  <sheetFormatPr defaultColWidth="9.00390625" defaultRowHeight="12.75"/>
  <cols>
    <col min="1" max="1" width="4.375" style="131" customWidth="1"/>
    <col min="2" max="2" width="4.00390625" style="131" customWidth="1"/>
    <col min="3" max="5" width="3.00390625" style="131" customWidth="1"/>
    <col min="6" max="6" width="46.25390625" style="131" customWidth="1"/>
    <col min="7" max="7" width="15.875" style="131" customWidth="1"/>
    <col min="8" max="8" width="14.375" style="131" customWidth="1"/>
    <col min="9" max="9" width="14.75390625" style="131" customWidth="1"/>
    <col min="10" max="10" width="7.875" style="131" customWidth="1"/>
    <col min="11" max="11" width="9.75390625" style="131" customWidth="1"/>
    <col min="12" max="12" width="7.625" style="131" customWidth="1"/>
    <col min="13" max="16384" width="9.125" style="131" customWidth="1"/>
  </cols>
  <sheetData>
    <row r="1" ht="12.75">
      <c r="K1" s="132"/>
    </row>
    <row r="2" spans="1:15" ht="12.75">
      <c r="A2" s="996"/>
      <c r="B2" s="996"/>
      <c r="C2" s="996"/>
      <c r="D2" s="996"/>
      <c r="E2" s="996"/>
      <c r="F2" s="996"/>
      <c r="G2" s="996"/>
      <c r="H2" s="996"/>
      <c r="I2" s="996"/>
      <c r="J2" s="996"/>
      <c r="K2" s="133"/>
      <c r="L2" s="133"/>
      <c r="M2" s="133"/>
      <c r="N2" s="133"/>
      <c r="O2" s="133"/>
    </row>
    <row r="3" spans="1:15" ht="15.75">
      <c r="A3" s="176" t="s">
        <v>1157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33"/>
      <c r="N3" s="133"/>
      <c r="O3" s="133"/>
    </row>
    <row r="4" spans="1:7" s="135" customFormat="1" ht="12.75">
      <c r="A4" s="134"/>
      <c r="B4" s="134"/>
      <c r="C4" s="134"/>
      <c r="D4" s="134"/>
      <c r="E4" s="134"/>
      <c r="F4" s="134"/>
      <c r="G4" s="134"/>
    </row>
    <row r="5" spans="1:10" s="29" customFormat="1" ht="12.75">
      <c r="A5" s="997" t="s">
        <v>741</v>
      </c>
      <c r="B5" s="997"/>
      <c r="C5" s="997"/>
      <c r="D5" s="997"/>
      <c r="E5" s="997"/>
      <c r="F5" s="997"/>
      <c r="G5" s="997"/>
      <c r="H5" s="997"/>
      <c r="I5" s="997"/>
      <c r="J5" s="997"/>
    </row>
    <row r="6" spans="1:10" s="29" customFormat="1" ht="12.75">
      <c r="A6" s="997" t="s">
        <v>790</v>
      </c>
      <c r="B6" s="997"/>
      <c r="C6" s="997"/>
      <c r="D6" s="997"/>
      <c r="E6" s="997"/>
      <c r="F6" s="997"/>
      <c r="G6" s="997"/>
      <c r="H6" s="997"/>
      <c r="I6" s="997"/>
      <c r="J6" s="997"/>
    </row>
    <row r="7" spans="1:10" s="67" customFormat="1" ht="12.75">
      <c r="A7" s="997" t="s">
        <v>950</v>
      </c>
      <c r="B7" s="997"/>
      <c r="C7" s="997"/>
      <c r="D7" s="997"/>
      <c r="E7" s="997"/>
      <c r="F7" s="997"/>
      <c r="G7" s="997"/>
      <c r="H7" s="997"/>
      <c r="I7" s="997"/>
      <c r="J7" s="997"/>
    </row>
    <row r="8" spans="1:5" s="67" customFormat="1" ht="12.75" hidden="1">
      <c r="A8" s="137"/>
      <c r="B8" s="138"/>
      <c r="C8" s="138"/>
      <c r="D8" s="138"/>
      <c r="E8" s="138"/>
    </row>
    <row r="9" spans="1:10" s="67" customFormat="1" ht="13.5" thickBot="1">
      <c r="A9" s="137"/>
      <c r="B9" s="138"/>
      <c r="C9" s="138"/>
      <c r="D9" s="138"/>
      <c r="E9" s="138"/>
      <c r="H9" s="139"/>
      <c r="I9" s="139"/>
      <c r="J9" s="139" t="s">
        <v>920</v>
      </c>
    </row>
    <row r="10" spans="1:10" s="67" customFormat="1" ht="13.5" thickBot="1">
      <c r="A10" s="1007" t="s">
        <v>769</v>
      </c>
      <c r="B10" s="1008"/>
      <c r="C10" s="1008"/>
      <c r="D10" s="1008"/>
      <c r="E10" s="1008"/>
      <c r="F10" s="1009"/>
      <c r="G10" s="140" t="s">
        <v>693</v>
      </c>
      <c r="H10" s="140" t="s">
        <v>483</v>
      </c>
      <c r="I10" s="1004" t="s">
        <v>694</v>
      </c>
      <c r="J10" s="140" t="s">
        <v>791</v>
      </c>
    </row>
    <row r="11" spans="1:10" s="67" customFormat="1" ht="12.75">
      <c r="A11" s="1010"/>
      <c r="B11" s="1011"/>
      <c r="C11" s="1011"/>
      <c r="D11" s="1011"/>
      <c r="E11" s="1011"/>
      <c r="F11" s="1012"/>
      <c r="G11" s="1016" t="s">
        <v>649</v>
      </c>
      <c r="H11" s="1017"/>
      <c r="I11" s="1005"/>
      <c r="J11" s="142"/>
    </row>
    <row r="12" spans="1:10" s="67" customFormat="1" ht="13.5" thickBot="1">
      <c r="A12" s="1013"/>
      <c r="B12" s="1014"/>
      <c r="C12" s="1014"/>
      <c r="D12" s="1014"/>
      <c r="E12" s="1014"/>
      <c r="F12" s="1015"/>
      <c r="G12" s="1018"/>
      <c r="H12" s="1019"/>
      <c r="I12" s="1006"/>
      <c r="J12" s="143" t="s">
        <v>698</v>
      </c>
    </row>
    <row r="13" spans="1:10" s="95" customFormat="1" ht="35.25" customHeight="1">
      <c r="A13" s="10" t="s">
        <v>740</v>
      </c>
      <c r="B13" s="989" t="s">
        <v>792</v>
      </c>
      <c r="C13" s="989"/>
      <c r="D13" s="989"/>
      <c r="E13" s="989"/>
      <c r="F13" s="989"/>
      <c r="G13" s="480"/>
      <c r="H13" s="481"/>
      <c r="I13" s="481"/>
      <c r="J13" s="480"/>
    </row>
    <row r="14" spans="1:10" s="67" customFormat="1" ht="12.75">
      <c r="A14" s="49"/>
      <c r="B14" s="49" t="s">
        <v>740</v>
      </c>
      <c r="C14" s="49" t="s">
        <v>793</v>
      </c>
      <c r="D14" s="49"/>
      <c r="E14" s="49"/>
      <c r="F14" s="49"/>
      <c r="G14" s="147"/>
      <c r="H14" s="147"/>
      <c r="I14" s="147"/>
      <c r="J14" s="49"/>
    </row>
    <row r="15" spans="1:10" s="67" customFormat="1" ht="17.25" customHeight="1">
      <c r="A15" s="49"/>
      <c r="B15" s="49"/>
      <c r="C15" s="49" t="s">
        <v>658</v>
      </c>
      <c r="D15" s="990" t="s">
        <v>794</v>
      </c>
      <c r="E15" s="990"/>
      <c r="F15" s="990"/>
      <c r="G15" s="146"/>
      <c r="H15" s="146"/>
      <c r="I15" s="146"/>
      <c r="J15" s="145"/>
    </row>
    <row r="16" spans="1:10" s="67" customFormat="1" ht="15" customHeight="1">
      <c r="A16" s="49"/>
      <c r="B16" s="49"/>
      <c r="C16" s="49"/>
      <c r="D16" s="49" t="s">
        <v>658</v>
      </c>
      <c r="E16" s="990" t="s">
        <v>795</v>
      </c>
      <c r="F16" s="990"/>
      <c r="G16" s="146"/>
      <c r="H16" s="146"/>
      <c r="I16" s="146"/>
      <c r="J16" s="145"/>
    </row>
    <row r="17" spans="1:10" s="67" customFormat="1" ht="14.25" customHeight="1">
      <c r="A17" s="27"/>
      <c r="B17" s="27"/>
      <c r="C17" s="27"/>
      <c r="D17" s="478" t="s">
        <v>762</v>
      </c>
      <c r="E17" s="987" t="s">
        <v>488</v>
      </c>
      <c r="F17" s="987"/>
      <c r="G17" s="149"/>
      <c r="H17" s="149"/>
      <c r="I17" s="149"/>
      <c r="J17" s="150"/>
    </row>
    <row r="18" spans="1:10" s="67" customFormat="1" ht="25.5">
      <c r="A18" s="27"/>
      <c r="B18" s="27"/>
      <c r="C18" s="27"/>
      <c r="D18" s="27"/>
      <c r="E18" s="478" t="s">
        <v>797</v>
      </c>
      <c r="F18" s="148" t="s">
        <v>798</v>
      </c>
      <c r="G18" s="51">
        <v>2553350</v>
      </c>
      <c r="H18" s="51">
        <v>2553350</v>
      </c>
      <c r="I18" s="51">
        <v>2553350</v>
      </c>
      <c r="J18" s="150">
        <f>I18/H18*100</f>
        <v>100</v>
      </c>
    </row>
    <row r="19" spans="1:10" s="67" customFormat="1" ht="12.75">
      <c r="A19" s="27"/>
      <c r="B19" s="27"/>
      <c r="C19" s="27"/>
      <c r="D19" s="27"/>
      <c r="E19" s="478"/>
      <c r="F19" s="27" t="s">
        <v>796</v>
      </c>
      <c r="G19" s="51"/>
      <c r="H19" s="51"/>
      <c r="I19" s="51"/>
      <c r="J19" s="150"/>
    </row>
    <row r="20" spans="1:10" s="67" customFormat="1" ht="12.75">
      <c r="A20" s="27"/>
      <c r="B20" s="27"/>
      <c r="C20" s="27"/>
      <c r="D20" s="27"/>
      <c r="E20" s="478" t="s">
        <v>799</v>
      </c>
      <c r="F20" s="148" t="s">
        <v>800</v>
      </c>
      <c r="G20" s="51">
        <v>3648000</v>
      </c>
      <c r="H20" s="51">
        <v>3648000</v>
      </c>
      <c r="I20" s="51">
        <v>3648000</v>
      </c>
      <c r="J20" s="150">
        <f aca="true" t="shared" si="0" ref="J20:J32">I20/H20*100</f>
        <v>100</v>
      </c>
    </row>
    <row r="21" spans="1:10" s="67" customFormat="1" ht="12.75">
      <c r="A21" s="27"/>
      <c r="B21" s="27"/>
      <c r="C21" s="27"/>
      <c r="D21" s="27"/>
      <c r="E21" s="478"/>
      <c r="F21" s="27" t="s">
        <v>796</v>
      </c>
      <c r="G21" s="51"/>
      <c r="H21" s="51"/>
      <c r="I21" s="51"/>
      <c r="J21" s="150"/>
    </row>
    <row r="22" spans="1:10" s="67" customFormat="1" ht="15" customHeight="1">
      <c r="A22" s="27"/>
      <c r="B22" s="27"/>
      <c r="C22" s="27"/>
      <c r="D22" s="27"/>
      <c r="E22" s="478" t="s">
        <v>801</v>
      </c>
      <c r="F22" s="148" t="s">
        <v>802</v>
      </c>
      <c r="G22" s="51">
        <v>100000</v>
      </c>
      <c r="H22" s="51">
        <v>100000</v>
      </c>
      <c r="I22" s="51">
        <v>100000</v>
      </c>
      <c r="J22" s="150">
        <f t="shared" si="0"/>
        <v>100</v>
      </c>
    </row>
    <row r="23" spans="1:10" s="67" customFormat="1" ht="12.75">
      <c r="A23" s="27"/>
      <c r="B23" s="27"/>
      <c r="C23" s="27"/>
      <c r="D23" s="27"/>
      <c r="E23" s="478"/>
      <c r="F23" s="27" t="s">
        <v>796</v>
      </c>
      <c r="G23" s="51"/>
      <c r="H23" s="51"/>
      <c r="I23" s="51"/>
      <c r="J23" s="150"/>
    </row>
    <row r="24" spans="1:12" s="67" customFormat="1" ht="12.75">
      <c r="A24" s="27"/>
      <c r="B24" s="27"/>
      <c r="C24" s="27"/>
      <c r="D24" s="27"/>
      <c r="E24" s="478" t="s">
        <v>803</v>
      </c>
      <c r="F24" s="148" t="s">
        <v>804</v>
      </c>
      <c r="G24" s="51">
        <v>7506890</v>
      </c>
      <c r="H24" s="51">
        <v>7506890</v>
      </c>
      <c r="I24" s="51">
        <v>7506890</v>
      </c>
      <c r="J24" s="150">
        <f t="shared" si="0"/>
        <v>100</v>
      </c>
      <c r="L24" s="151"/>
    </row>
    <row r="25" spans="1:10" s="152" customFormat="1" ht="12.75">
      <c r="A25" s="27"/>
      <c r="B25" s="27"/>
      <c r="C25" s="27"/>
      <c r="D25" s="27"/>
      <c r="E25" s="27"/>
      <c r="F25" s="27" t="s">
        <v>796</v>
      </c>
      <c r="G25" s="51"/>
      <c r="H25" s="51"/>
      <c r="I25" s="51"/>
      <c r="J25" s="150"/>
    </row>
    <row r="26" spans="1:10" s="67" customFormat="1" ht="12.75">
      <c r="A26" s="27"/>
      <c r="B26" s="27"/>
      <c r="C26" s="27"/>
      <c r="D26" s="27" t="s">
        <v>764</v>
      </c>
      <c r="E26" s="27" t="s">
        <v>805</v>
      </c>
      <c r="F26" s="27"/>
      <c r="G26" s="51">
        <v>5000000</v>
      </c>
      <c r="H26" s="51">
        <v>5000000</v>
      </c>
      <c r="I26" s="51">
        <v>5000000</v>
      </c>
      <c r="J26" s="150">
        <f t="shared" si="0"/>
        <v>100</v>
      </c>
    </row>
    <row r="27" spans="1:10" s="67" customFormat="1" ht="12.75">
      <c r="A27" s="27"/>
      <c r="B27" s="27"/>
      <c r="C27" s="27"/>
      <c r="D27" s="27"/>
      <c r="E27" s="27"/>
      <c r="F27" s="27" t="s">
        <v>796</v>
      </c>
      <c r="G27" s="51">
        <v>-267242</v>
      </c>
      <c r="H27" s="51">
        <v>-267242</v>
      </c>
      <c r="I27" s="51">
        <v>-267242</v>
      </c>
      <c r="J27" s="150">
        <f t="shared" si="0"/>
        <v>100</v>
      </c>
    </row>
    <row r="28" spans="1:10" s="67" customFormat="1" ht="12.75">
      <c r="A28" s="27"/>
      <c r="B28" s="27"/>
      <c r="C28" s="27"/>
      <c r="D28" s="27" t="s">
        <v>765</v>
      </c>
      <c r="E28" s="27" t="s">
        <v>864</v>
      </c>
      <c r="F28" s="27"/>
      <c r="G28" s="51">
        <v>20400</v>
      </c>
      <c r="H28" s="51">
        <v>20400</v>
      </c>
      <c r="I28" s="51">
        <v>20400</v>
      </c>
      <c r="J28" s="150">
        <f t="shared" si="0"/>
        <v>100</v>
      </c>
    </row>
    <row r="29" spans="1:10" s="67" customFormat="1" ht="12.75">
      <c r="A29" s="27"/>
      <c r="B29" s="27"/>
      <c r="C29" s="27"/>
      <c r="D29" s="27" t="s">
        <v>28</v>
      </c>
      <c r="E29" s="27" t="s">
        <v>865</v>
      </c>
      <c r="F29" s="27"/>
      <c r="G29" s="51">
        <v>206150</v>
      </c>
      <c r="H29" s="51">
        <v>206150</v>
      </c>
      <c r="I29" s="51">
        <v>206150</v>
      </c>
      <c r="J29" s="150">
        <f t="shared" si="0"/>
        <v>100</v>
      </c>
    </row>
    <row r="30" spans="1:10" s="67" customFormat="1" ht="27" customHeight="1">
      <c r="A30" s="27"/>
      <c r="B30" s="27"/>
      <c r="C30" s="49" t="s">
        <v>659</v>
      </c>
      <c r="D30" s="990" t="s">
        <v>806</v>
      </c>
      <c r="E30" s="990"/>
      <c r="F30" s="990"/>
      <c r="G30" s="51">
        <v>3200</v>
      </c>
      <c r="H30" s="51">
        <v>3200</v>
      </c>
      <c r="I30" s="51">
        <v>3200</v>
      </c>
      <c r="J30" s="150">
        <f t="shared" si="0"/>
        <v>100</v>
      </c>
    </row>
    <row r="31" spans="1:10" s="67" customFormat="1" ht="15" customHeight="1">
      <c r="A31" s="27"/>
      <c r="B31" s="27"/>
      <c r="C31" s="49"/>
      <c r="D31" s="998" t="s">
        <v>1155</v>
      </c>
      <c r="E31" s="999"/>
      <c r="F31" s="999"/>
      <c r="G31" s="51">
        <v>33909</v>
      </c>
      <c r="H31" s="51">
        <v>33909</v>
      </c>
      <c r="I31" s="51">
        <v>33909</v>
      </c>
      <c r="J31" s="150">
        <f t="shared" si="0"/>
        <v>100</v>
      </c>
    </row>
    <row r="32" spans="1:10" s="67" customFormat="1" ht="18.75" customHeight="1">
      <c r="A32" s="50"/>
      <c r="B32" s="50"/>
      <c r="C32" s="153"/>
      <c r="D32" s="988" t="s">
        <v>807</v>
      </c>
      <c r="E32" s="988"/>
      <c r="F32" s="988"/>
      <c r="G32" s="155">
        <f>SUM(G17:G31)</f>
        <v>18804657</v>
      </c>
      <c r="H32" s="155">
        <f>SUM(H17:H31)</f>
        <v>18804657</v>
      </c>
      <c r="I32" s="155">
        <f>SUM(I17:I31)</f>
        <v>18804657</v>
      </c>
      <c r="J32" s="170">
        <f t="shared" si="0"/>
        <v>100</v>
      </c>
    </row>
    <row r="33" spans="1:10" s="152" customFormat="1" ht="12.75">
      <c r="A33" s="49"/>
      <c r="B33" s="49"/>
      <c r="C33" s="49"/>
      <c r="D33" s="144"/>
      <c r="E33" s="144"/>
      <c r="F33" s="144"/>
      <c r="G33" s="146"/>
      <c r="H33" s="146"/>
      <c r="I33" s="146"/>
      <c r="J33" s="150"/>
    </row>
    <row r="34" spans="1:10" s="67" customFormat="1" ht="30" customHeight="1">
      <c r="A34" s="27"/>
      <c r="B34" s="27"/>
      <c r="C34" s="49" t="s">
        <v>660</v>
      </c>
      <c r="D34" s="990" t="s">
        <v>808</v>
      </c>
      <c r="E34" s="990"/>
      <c r="F34" s="990"/>
      <c r="G34" s="146"/>
      <c r="H34" s="146"/>
      <c r="I34" s="146"/>
      <c r="J34" s="150"/>
    </row>
    <row r="35" spans="1:13" s="67" customFormat="1" ht="27.75" customHeight="1">
      <c r="A35" s="27"/>
      <c r="B35" s="27"/>
      <c r="C35" s="27"/>
      <c r="D35" s="27" t="s">
        <v>658</v>
      </c>
      <c r="E35" s="1000" t="s">
        <v>1065</v>
      </c>
      <c r="F35" s="1001"/>
      <c r="G35" s="51">
        <v>3855289</v>
      </c>
      <c r="H35" s="51">
        <v>3855289</v>
      </c>
      <c r="I35" s="51">
        <v>3855289</v>
      </c>
      <c r="J35" s="150">
        <f>I35/H35*100</f>
        <v>100</v>
      </c>
      <c r="M35" s="151"/>
    </row>
    <row r="36" spans="1:12" s="67" customFormat="1" ht="12.75">
      <c r="A36" s="27"/>
      <c r="B36" s="27"/>
      <c r="C36" s="27"/>
      <c r="D36" s="27" t="s">
        <v>661</v>
      </c>
      <c r="E36" s="27" t="s">
        <v>866</v>
      </c>
      <c r="F36" s="27"/>
      <c r="G36" s="51">
        <v>830400</v>
      </c>
      <c r="H36" s="51">
        <v>830400</v>
      </c>
      <c r="I36" s="51">
        <v>830400</v>
      </c>
      <c r="J36" s="150">
        <f>I36/H36*100</f>
        <v>100</v>
      </c>
      <c r="L36" s="151"/>
    </row>
    <row r="37" spans="1:10" s="67" customFormat="1" ht="12.75">
      <c r="A37" s="27"/>
      <c r="B37" s="27"/>
      <c r="C37" s="27"/>
      <c r="D37" s="27" t="s">
        <v>662</v>
      </c>
      <c r="E37" s="27" t="s">
        <v>809</v>
      </c>
      <c r="F37" s="27"/>
      <c r="G37" s="51">
        <v>3823675</v>
      </c>
      <c r="H37" s="51">
        <f>3823675+195840-88130</f>
        <v>3931385</v>
      </c>
      <c r="I37" s="51">
        <v>3931385</v>
      </c>
      <c r="J37" s="150">
        <f>I37/H37*100</f>
        <v>100</v>
      </c>
    </row>
    <row r="38" spans="1:14" s="67" customFormat="1" ht="27.75" customHeight="1">
      <c r="A38" s="50"/>
      <c r="B38" s="50"/>
      <c r="C38" s="988" t="s">
        <v>810</v>
      </c>
      <c r="D38" s="988"/>
      <c r="E38" s="988"/>
      <c r="F38" s="988"/>
      <c r="G38" s="156">
        <f>SUM(G35:G37)</f>
        <v>8509364</v>
      </c>
      <c r="H38" s="156">
        <f>SUM(H35:H37)</f>
        <v>8617074</v>
      </c>
      <c r="I38" s="156">
        <f>SUM(I35:I37)</f>
        <v>8617074</v>
      </c>
      <c r="J38" s="170">
        <f>I38/H38*100</f>
        <v>100</v>
      </c>
      <c r="L38" s="157"/>
      <c r="M38" s="157"/>
      <c r="N38" s="157"/>
    </row>
    <row r="39" spans="1:14" s="67" customFormat="1" ht="12.75">
      <c r="A39" s="50"/>
      <c r="B39" s="50"/>
      <c r="C39" s="154"/>
      <c r="D39" s="154"/>
      <c r="E39" s="154"/>
      <c r="F39" s="154"/>
      <c r="G39" s="156"/>
      <c r="H39" s="156"/>
      <c r="I39" s="156"/>
      <c r="J39" s="150"/>
      <c r="L39" s="157"/>
      <c r="M39" s="157"/>
      <c r="N39" s="157"/>
    </row>
    <row r="40" spans="1:14" s="67" customFormat="1" ht="12.75">
      <c r="A40" s="27"/>
      <c r="B40" s="27"/>
      <c r="C40" s="49" t="s">
        <v>661</v>
      </c>
      <c r="D40" s="990" t="s">
        <v>811</v>
      </c>
      <c r="E40" s="990"/>
      <c r="F40" s="990"/>
      <c r="G40" s="146"/>
      <c r="H40" s="146"/>
      <c r="I40" s="146"/>
      <c r="J40" s="145"/>
      <c r="L40" s="157"/>
      <c r="M40" s="157"/>
      <c r="N40" s="157"/>
    </row>
    <row r="41" spans="1:14" s="67" customFormat="1" ht="12.75">
      <c r="A41" s="27"/>
      <c r="B41" s="27"/>
      <c r="C41" s="27"/>
      <c r="D41" s="27" t="s">
        <v>658</v>
      </c>
      <c r="E41" s="987" t="s">
        <v>489</v>
      </c>
      <c r="F41" s="987"/>
      <c r="G41" s="149"/>
      <c r="H41" s="149"/>
      <c r="I41" s="149"/>
      <c r="J41" s="148"/>
      <c r="L41" s="157"/>
      <c r="M41" s="157"/>
      <c r="N41" s="157"/>
    </row>
    <row r="42" spans="1:14" s="67" customFormat="1" ht="25.5">
      <c r="A42" s="27"/>
      <c r="B42" s="27"/>
      <c r="C42" s="27"/>
      <c r="D42" s="27"/>
      <c r="E42" s="27" t="s">
        <v>765</v>
      </c>
      <c r="F42" s="148" t="s">
        <v>812</v>
      </c>
      <c r="G42" s="51">
        <v>1200000</v>
      </c>
      <c r="H42" s="149">
        <v>1200000</v>
      </c>
      <c r="I42" s="149">
        <v>1200000</v>
      </c>
      <c r="J42" s="150">
        <f>I42/H42*100</f>
        <v>100</v>
      </c>
      <c r="M42" s="157"/>
      <c r="N42" s="157"/>
    </row>
    <row r="43" spans="1:14" s="67" customFormat="1" ht="5.25" customHeight="1">
      <c r="A43" s="27"/>
      <c r="B43" s="27"/>
      <c r="C43" s="27"/>
      <c r="D43" s="27"/>
      <c r="E43" s="27"/>
      <c r="F43" s="148"/>
      <c r="G43" s="51"/>
      <c r="H43" s="149"/>
      <c r="I43" s="149"/>
      <c r="J43" s="150"/>
      <c r="M43" s="157"/>
      <c r="N43" s="157"/>
    </row>
    <row r="44" spans="1:10" s="67" customFormat="1" ht="29.25" customHeight="1">
      <c r="A44" s="50"/>
      <c r="B44" s="50"/>
      <c r="C44" s="988" t="s">
        <v>813</v>
      </c>
      <c r="D44" s="988"/>
      <c r="E44" s="988"/>
      <c r="F44" s="988"/>
      <c r="G44" s="156">
        <f>SUM(G42:G42)</f>
        <v>1200000</v>
      </c>
      <c r="H44" s="156">
        <f>SUM(H42:H42)</f>
        <v>1200000</v>
      </c>
      <c r="I44" s="156">
        <f>SUM(I42:I42)</f>
        <v>1200000</v>
      </c>
      <c r="J44" s="170">
        <f>I44/H44*100</f>
        <v>100</v>
      </c>
    </row>
    <row r="45" spans="1:14" s="67" customFormat="1" ht="9" customHeight="1">
      <c r="A45" s="50"/>
      <c r="B45" s="50"/>
      <c r="C45" s="154"/>
      <c r="D45" s="154"/>
      <c r="E45" s="154"/>
      <c r="F45" s="154"/>
      <c r="G45" s="156"/>
      <c r="H45" s="156"/>
      <c r="I45" s="156"/>
      <c r="J45" s="150"/>
      <c r="L45" s="157"/>
      <c r="M45" s="157"/>
      <c r="N45" s="157"/>
    </row>
    <row r="46" spans="1:10" s="67" customFormat="1" ht="12.75">
      <c r="A46" s="158"/>
      <c r="B46" s="158"/>
      <c r="C46" s="160" t="s">
        <v>662</v>
      </c>
      <c r="D46" s="49" t="s">
        <v>867</v>
      </c>
      <c r="E46" s="158"/>
      <c r="F46" s="158"/>
      <c r="G46" s="126"/>
      <c r="H46" s="126"/>
      <c r="I46" s="126"/>
      <c r="J46" s="150"/>
    </row>
    <row r="47" spans="1:10" s="67" customFormat="1" ht="12.75">
      <c r="A47" s="158"/>
      <c r="B47" s="158"/>
      <c r="D47" s="158" t="s">
        <v>658</v>
      </c>
      <c r="E47" s="161" t="s">
        <v>1066</v>
      </c>
      <c r="F47" s="158"/>
      <c r="G47" s="126"/>
      <c r="H47" s="126">
        <v>190373</v>
      </c>
      <c r="I47" s="126">
        <v>190373</v>
      </c>
      <c r="J47" s="150">
        <f>I47/H47*100</f>
        <v>100</v>
      </c>
    </row>
    <row r="48" spans="1:10" s="67" customFormat="1" ht="12.75">
      <c r="A48" s="158"/>
      <c r="B48" s="158"/>
      <c r="D48" s="158" t="s">
        <v>659</v>
      </c>
      <c r="E48" s="161" t="s">
        <v>868</v>
      </c>
      <c r="F48" s="158"/>
      <c r="G48" s="126"/>
      <c r="H48" s="126">
        <v>604520</v>
      </c>
      <c r="I48" s="126">
        <v>604520</v>
      </c>
      <c r="J48" s="150">
        <f>I48/H48*100</f>
        <v>100</v>
      </c>
    </row>
    <row r="49" spans="1:10" s="67" customFormat="1" ht="12.75">
      <c r="A49" s="158"/>
      <c r="B49" s="158"/>
      <c r="D49" s="158"/>
      <c r="E49" s="161"/>
      <c r="F49" s="158"/>
      <c r="G49" s="126"/>
      <c r="H49" s="126"/>
      <c r="I49" s="126"/>
      <c r="J49" s="150"/>
    </row>
    <row r="50" spans="1:10" s="67" customFormat="1" ht="12.75">
      <c r="A50" s="50"/>
      <c r="B50" s="50"/>
      <c r="C50" s="990" t="s">
        <v>814</v>
      </c>
      <c r="D50" s="990"/>
      <c r="E50" s="990"/>
      <c r="F50" s="990"/>
      <c r="G50" s="156">
        <f>SUM(G47:G47)</f>
        <v>0</v>
      </c>
      <c r="H50" s="156">
        <f>SUM(H47:H48)</f>
        <v>794893</v>
      </c>
      <c r="I50" s="156">
        <f>SUM(I47:I48)</f>
        <v>794893</v>
      </c>
      <c r="J50" s="170">
        <f>I50/H50*100</f>
        <v>100</v>
      </c>
    </row>
    <row r="51" spans="1:10" s="67" customFormat="1" ht="7.5" customHeight="1">
      <c r="A51" s="50"/>
      <c r="B51" s="50"/>
      <c r="C51" s="144"/>
      <c r="D51" s="144"/>
      <c r="E51" s="144"/>
      <c r="F51" s="144"/>
      <c r="G51" s="156"/>
      <c r="H51" s="156"/>
      <c r="I51" s="156"/>
      <c r="J51" s="170"/>
    </row>
    <row r="52" spans="1:10" s="67" customFormat="1" ht="13.5" customHeight="1">
      <c r="A52" s="50"/>
      <c r="B52" s="49" t="s">
        <v>1072</v>
      </c>
      <c r="C52" s="277"/>
      <c r="D52" s="144"/>
      <c r="E52" s="144"/>
      <c r="F52" s="144"/>
      <c r="G52" s="147">
        <f>G50+G44+G38+G32</f>
        <v>28514021</v>
      </c>
      <c r="H52" s="147">
        <f>H50+H44+H38+H32</f>
        <v>29416624</v>
      </c>
      <c r="I52" s="147">
        <f>I50+I44+I38+I32</f>
        <v>29416624</v>
      </c>
      <c r="J52" s="162">
        <f>I52/H52*100</f>
        <v>100</v>
      </c>
    </row>
    <row r="53" spans="1:10" s="67" customFormat="1" ht="6" customHeight="1">
      <c r="A53" s="27"/>
      <c r="B53" s="27"/>
      <c r="C53" s="27"/>
      <c r="D53" s="27"/>
      <c r="E53" s="27"/>
      <c r="F53" s="27"/>
      <c r="G53" s="51"/>
      <c r="H53" s="51"/>
      <c r="I53" s="51"/>
      <c r="J53" s="150"/>
    </row>
    <row r="54" spans="1:10" s="67" customFormat="1" ht="23.25" customHeight="1">
      <c r="A54" s="158"/>
      <c r="B54" s="49" t="s">
        <v>500</v>
      </c>
      <c r="C54" s="990" t="s">
        <v>815</v>
      </c>
      <c r="D54" s="990"/>
      <c r="E54" s="990"/>
      <c r="F54" s="990"/>
      <c r="G54" s="145"/>
      <c r="H54" s="146"/>
      <c r="I54" s="146"/>
      <c r="J54" s="150"/>
    </row>
    <row r="55" spans="1:10" s="67" customFormat="1" ht="14.25" customHeight="1">
      <c r="A55" s="158"/>
      <c r="B55" s="49"/>
      <c r="C55" s="987" t="s">
        <v>1071</v>
      </c>
      <c r="D55" s="993"/>
      <c r="E55" s="993"/>
      <c r="F55" s="993"/>
      <c r="G55" s="145"/>
      <c r="H55" s="149">
        <v>189708</v>
      </c>
      <c r="I55" s="149">
        <v>189708</v>
      </c>
      <c r="J55" s="150">
        <f>I55/H55*100</f>
        <v>100</v>
      </c>
    </row>
    <row r="56" spans="1:10" s="67" customFormat="1" ht="12.75">
      <c r="A56" s="27"/>
      <c r="B56" s="27"/>
      <c r="C56" s="27" t="s">
        <v>659</v>
      </c>
      <c r="D56" s="27" t="s">
        <v>817</v>
      </c>
      <c r="E56" s="27"/>
      <c r="F56" s="27"/>
      <c r="G56" s="126"/>
      <c r="H56" s="51">
        <v>1800277</v>
      </c>
      <c r="I56" s="51">
        <v>1800277</v>
      </c>
      <c r="J56" s="150">
        <f>I56/H56*100</f>
        <v>100</v>
      </c>
    </row>
    <row r="57" spans="1:10" s="67" customFormat="1" ht="12.75">
      <c r="A57" s="27"/>
      <c r="B57" s="27"/>
      <c r="C57" s="27" t="s">
        <v>660</v>
      </c>
      <c r="D57" s="27" t="s">
        <v>818</v>
      </c>
      <c r="E57" s="27"/>
      <c r="F57" s="27"/>
      <c r="G57" s="27">
        <v>46000</v>
      </c>
      <c r="H57" s="51">
        <v>46000</v>
      </c>
      <c r="I57" s="51">
        <v>23200</v>
      </c>
      <c r="J57" s="150">
        <f>I57/H57*100</f>
        <v>50.43478260869565</v>
      </c>
    </row>
    <row r="58" spans="1:10" s="67" customFormat="1" ht="6" customHeight="1">
      <c r="A58" s="27"/>
      <c r="B58" s="27"/>
      <c r="C58" s="27"/>
      <c r="D58" s="27"/>
      <c r="E58" s="27"/>
      <c r="F58" s="27"/>
      <c r="G58" s="51"/>
      <c r="H58" s="51"/>
      <c r="I58" s="51"/>
      <c r="J58" s="150"/>
    </row>
    <row r="59" spans="1:10" s="67" customFormat="1" ht="31.5" customHeight="1">
      <c r="A59" s="158"/>
      <c r="B59" s="990" t="s">
        <v>819</v>
      </c>
      <c r="C59" s="990"/>
      <c r="D59" s="990"/>
      <c r="E59" s="990"/>
      <c r="F59" s="990"/>
      <c r="G59" s="129">
        <f>SUM(G56:G58)</f>
        <v>46000</v>
      </c>
      <c r="H59" s="129">
        <f>SUM(H55:H58)</f>
        <v>2035985</v>
      </c>
      <c r="I59" s="129">
        <f>SUM(I55:I58)</f>
        <v>2013185</v>
      </c>
      <c r="J59" s="162">
        <f>I59/H59*100</f>
        <v>98.88014892054706</v>
      </c>
    </row>
    <row r="60" spans="1:10" s="67" customFormat="1" ht="31.5" customHeight="1">
      <c r="A60" s="158"/>
      <c r="B60" s="144"/>
      <c r="C60" s="144"/>
      <c r="D60" s="144"/>
      <c r="E60" s="144"/>
      <c r="F60" s="144"/>
      <c r="G60" s="129"/>
      <c r="H60" s="129"/>
      <c r="I60" s="129"/>
      <c r="J60" s="162"/>
    </row>
    <row r="61" spans="1:10" s="95" customFormat="1" ht="33" customHeight="1">
      <c r="A61" s="989" t="s">
        <v>820</v>
      </c>
      <c r="B61" s="989"/>
      <c r="C61" s="989"/>
      <c r="D61" s="989"/>
      <c r="E61" s="989"/>
      <c r="F61" s="989"/>
      <c r="G61" s="171">
        <f>G59+G52</f>
        <v>28560021</v>
      </c>
      <c r="H61" s="171">
        <f>H59+H52</f>
        <v>31452609</v>
      </c>
      <c r="I61" s="171">
        <f>I59+I52</f>
        <v>31429809</v>
      </c>
      <c r="J61" s="172">
        <f>I61/H61*100</f>
        <v>99.92750998812213</v>
      </c>
    </row>
    <row r="62" spans="1:10" s="95" customFormat="1" ht="18.75" customHeight="1">
      <c r="A62" s="277"/>
      <c r="B62" s="277"/>
      <c r="C62" s="277"/>
      <c r="D62" s="277"/>
      <c r="E62" s="277"/>
      <c r="F62" s="277"/>
      <c r="G62" s="171"/>
      <c r="H62" s="171"/>
      <c r="I62" s="171"/>
      <c r="J62" s="172"/>
    </row>
    <row r="63" spans="1:10" s="482" customFormat="1" ht="33" customHeight="1">
      <c r="A63" s="10" t="s">
        <v>500</v>
      </c>
      <c r="B63" s="989" t="s">
        <v>821</v>
      </c>
      <c r="C63" s="989"/>
      <c r="D63" s="989"/>
      <c r="E63" s="989"/>
      <c r="F63" s="989"/>
      <c r="G63" s="480"/>
      <c r="H63" s="481"/>
      <c r="I63" s="481"/>
      <c r="J63" s="479"/>
    </row>
    <row r="64" spans="1:10" s="482" customFormat="1" ht="15.75" customHeight="1">
      <c r="A64" s="10"/>
      <c r="B64" s="277"/>
      <c r="C64" s="277"/>
      <c r="D64" s="277"/>
      <c r="E64" s="277"/>
      <c r="F64" s="277"/>
      <c r="G64" s="480"/>
      <c r="H64" s="481"/>
      <c r="I64" s="481"/>
      <c r="J64" s="479"/>
    </row>
    <row r="65" spans="1:10" s="482" customFormat="1" ht="18.75" customHeight="1">
      <c r="A65" s="10"/>
      <c r="B65" s="144">
        <v>1</v>
      </c>
      <c r="C65" s="990" t="s">
        <v>869</v>
      </c>
      <c r="D65" s="993"/>
      <c r="E65" s="993"/>
      <c r="F65" s="993"/>
      <c r="G65" s="480"/>
      <c r="H65" s="481"/>
      <c r="I65" s="481"/>
      <c r="J65" s="479"/>
    </row>
    <row r="66" spans="1:10" s="482" customFormat="1" ht="33" customHeight="1">
      <c r="A66" s="10"/>
      <c r="B66" s="277"/>
      <c r="C66" s="847" t="s">
        <v>658</v>
      </c>
      <c r="D66" s="1002" t="s">
        <v>1067</v>
      </c>
      <c r="E66" s="1003"/>
      <c r="F66" s="1003"/>
      <c r="G66" s="827"/>
      <c r="H66" s="483">
        <v>10000000</v>
      </c>
      <c r="I66" s="483">
        <v>10000000</v>
      </c>
      <c r="J66" s="150">
        <f>I66/H66*100</f>
        <v>100</v>
      </c>
    </row>
    <row r="67" spans="1:10" s="67" customFormat="1" ht="15.75" customHeight="1">
      <c r="A67" s="27"/>
      <c r="B67" s="990" t="s">
        <v>870</v>
      </c>
      <c r="C67" s="993"/>
      <c r="D67" s="993"/>
      <c r="E67" s="993"/>
      <c r="F67" s="994"/>
      <c r="G67" s="51"/>
      <c r="H67" s="481">
        <f>H66</f>
        <v>10000000</v>
      </c>
      <c r="I67" s="481">
        <f>I66</f>
        <v>10000000</v>
      </c>
      <c r="J67" s="162">
        <f>I67/H67*100</f>
        <v>100</v>
      </c>
    </row>
    <row r="68" spans="1:10" s="67" customFormat="1" ht="15.75" customHeight="1">
      <c r="A68" s="27"/>
      <c r="B68" s="277"/>
      <c r="C68" s="548"/>
      <c r="D68" s="548"/>
      <c r="E68" s="548"/>
      <c r="F68" s="549"/>
      <c r="G68" s="51"/>
      <c r="H68" s="51"/>
      <c r="I68" s="51"/>
      <c r="J68" s="150"/>
    </row>
    <row r="69" spans="1:10" s="164" customFormat="1" ht="27.75" customHeight="1">
      <c r="A69" s="27"/>
      <c r="B69" s="49" t="s">
        <v>658</v>
      </c>
      <c r="C69" s="990" t="s">
        <v>822</v>
      </c>
      <c r="D69" s="990"/>
      <c r="E69" s="990"/>
      <c r="F69" s="990"/>
      <c r="G69" s="481">
        <f>G67</f>
        <v>0</v>
      </c>
      <c r="H69" s="481">
        <f>H67</f>
        <v>10000000</v>
      </c>
      <c r="I69" s="481">
        <f>I67</f>
        <v>10000000</v>
      </c>
      <c r="J69" s="162">
        <f>I69/H69*100</f>
        <v>100</v>
      </c>
    </row>
    <row r="70" spans="1:10" s="67" customFormat="1" ht="12" customHeight="1">
      <c r="A70" s="27"/>
      <c r="B70" s="27"/>
      <c r="C70" s="27"/>
      <c r="D70" s="27"/>
      <c r="E70" s="27"/>
      <c r="F70" s="27"/>
      <c r="G70" s="51"/>
      <c r="H70" s="51"/>
      <c r="I70" s="51"/>
      <c r="J70" s="150"/>
    </row>
    <row r="71" spans="1:10" s="95" customFormat="1" ht="33" customHeight="1">
      <c r="A71" s="989" t="s">
        <v>823</v>
      </c>
      <c r="B71" s="989"/>
      <c r="C71" s="989"/>
      <c r="D71" s="989"/>
      <c r="E71" s="989"/>
      <c r="F71" s="989"/>
      <c r="G71" s="171">
        <f>G67</f>
        <v>0</v>
      </c>
      <c r="H71" s="171">
        <f>H67</f>
        <v>10000000</v>
      </c>
      <c r="I71" s="171">
        <f>I67</f>
        <v>10000000</v>
      </c>
      <c r="J71" s="162">
        <f>I71/H71*100</f>
        <v>100</v>
      </c>
    </row>
    <row r="72" spans="1:10" s="67" customFormat="1" ht="12.75">
      <c r="A72" s="137"/>
      <c r="B72" s="138"/>
      <c r="C72" s="138"/>
      <c r="D72" s="163"/>
      <c r="E72" s="163"/>
      <c r="F72" s="163"/>
      <c r="H72" s="165"/>
      <c r="I72" s="165"/>
      <c r="J72" s="166"/>
    </row>
    <row r="73" spans="1:10" s="95" customFormat="1" ht="15">
      <c r="A73" s="10" t="s">
        <v>505</v>
      </c>
      <c r="B73" s="10" t="s">
        <v>824</v>
      </c>
      <c r="C73" s="10"/>
      <c r="D73" s="10"/>
      <c r="E73" s="10"/>
      <c r="F73" s="10"/>
      <c r="G73" s="10"/>
      <c r="H73" s="214"/>
      <c r="I73" s="214"/>
      <c r="J73" s="479"/>
    </row>
    <row r="74" spans="1:10" s="67" customFormat="1" ht="12" customHeight="1">
      <c r="A74" s="27"/>
      <c r="B74" s="27"/>
      <c r="C74" s="27"/>
      <c r="D74" s="27"/>
      <c r="E74" s="27"/>
      <c r="F74" s="27"/>
      <c r="G74" s="51"/>
      <c r="H74" s="51"/>
      <c r="I74" s="51"/>
      <c r="J74" s="150"/>
    </row>
    <row r="75" spans="1:10" s="67" customFormat="1" ht="12.75">
      <c r="A75" s="27"/>
      <c r="B75" s="27" t="s">
        <v>658</v>
      </c>
      <c r="C75" s="27" t="s">
        <v>825</v>
      </c>
      <c r="D75" s="27"/>
      <c r="E75" s="27"/>
      <c r="F75" s="27"/>
      <c r="G75" s="27"/>
      <c r="H75" s="51"/>
      <c r="I75" s="51"/>
      <c r="J75" s="150"/>
    </row>
    <row r="76" spans="1:13" s="67" customFormat="1" ht="12.75">
      <c r="A76" s="27"/>
      <c r="B76" s="27"/>
      <c r="C76" s="27" t="s">
        <v>658</v>
      </c>
      <c r="D76" s="27" t="s">
        <v>826</v>
      </c>
      <c r="E76" s="27"/>
      <c r="F76" s="27"/>
      <c r="G76" s="126">
        <v>1500000</v>
      </c>
      <c r="H76" s="51">
        <v>1500000</v>
      </c>
      <c r="I76" s="51">
        <v>1890606</v>
      </c>
      <c r="J76" s="150">
        <f aca="true" t="shared" si="1" ref="J76:J89">I76/H76*100</f>
        <v>126.0404</v>
      </c>
      <c r="M76" s="151"/>
    </row>
    <row r="77" spans="1:13" s="67" customFormat="1" ht="12.75">
      <c r="A77" s="49"/>
      <c r="B77" s="49" t="s">
        <v>659</v>
      </c>
      <c r="C77" s="49" t="s">
        <v>827</v>
      </c>
      <c r="D77" s="49"/>
      <c r="E77" s="49"/>
      <c r="F77" s="49"/>
      <c r="G77" s="49"/>
      <c r="H77" s="147"/>
      <c r="I77" s="147"/>
      <c r="J77" s="150"/>
      <c r="M77" s="151"/>
    </row>
    <row r="78" spans="1:13" s="29" customFormat="1" ht="12.75">
      <c r="A78" s="27"/>
      <c r="B78" s="27"/>
      <c r="C78" s="27" t="s">
        <v>658</v>
      </c>
      <c r="D78" s="27" t="s">
        <v>828</v>
      </c>
      <c r="E78" s="27"/>
      <c r="F78" s="27"/>
      <c r="G78" s="126">
        <v>3900000</v>
      </c>
      <c r="H78" s="51">
        <v>3900000</v>
      </c>
      <c r="I78" s="51">
        <v>4902642</v>
      </c>
      <c r="J78" s="150">
        <f t="shared" si="1"/>
        <v>125.70876923076924</v>
      </c>
      <c r="M78" s="151"/>
    </row>
    <row r="79" spans="1:13" s="67" customFormat="1" ht="12.75">
      <c r="A79" s="49"/>
      <c r="B79" s="49" t="s">
        <v>660</v>
      </c>
      <c r="C79" s="49" t="s">
        <v>829</v>
      </c>
      <c r="D79" s="49"/>
      <c r="E79" s="49"/>
      <c r="F79" s="49"/>
      <c r="G79" s="126"/>
      <c r="H79" s="147"/>
      <c r="I79" s="147"/>
      <c r="J79" s="150"/>
      <c r="M79" s="151"/>
    </row>
    <row r="80" spans="1:13" s="67" customFormat="1" ht="12.75">
      <c r="A80" s="27"/>
      <c r="B80" s="27"/>
      <c r="C80" s="27" t="s">
        <v>658</v>
      </c>
      <c r="D80" s="27" t="s">
        <v>830</v>
      </c>
      <c r="E80" s="27"/>
      <c r="F80" s="27"/>
      <c r="G80" s="126">
        <v>1913000</v>
      </c>
      <c r="H80" s="51">
        <f>1913000</f>
        <v>1913000</v>
      </c>
      <c r="I80" s="51">
        <v>1927616</v>
      </c>
      <c r="J80" s="150">
        <f t="shared" si="1"/>
        <v>100.7640355462624</v>
      </c>
      <c r="M80" s="151"/>
    </row>
    <row r="81" spans="1:13" s="67" customFormat="1" ht="12.75">
      <c r="A81" s="27"/>
      <c r="B81" s="49" t="s">
        <v>661</v>
      </c>
      <c r="C81" s="49" t="s">
        <v>831</v>
      </c>
      <c r="D81" s="27"/>
      <c r="E81" s="27"/>
      <c r="F81" s="27"/>
      <c r="G81" s="126"/>
      <c r="H81" s="51"/>
      <c r="I81" s="51"/>
      <c r="J81" s="150"/>
      <c r="M81" s="151"/>
    </row>
    <row r="82" spans="1:13" s="67" customFormat="1" ht="12.75">
      <c r="A82" s="27"/>
      <c r="B82" s="27"/>
      <c r="C82" s="27" t="s">
        <v>658</v>
      </c>
      <c r="D82" s="27" t="s">
        <v>832</v>
      </c>
      <c r="E82" s="27"/>
      <c r="F82" s="27"/>
      <c r="G82" s="126">
        <v>140000</v>
      </c>
      <c r="H82" s="51">
        <v>140000</v>
      </c>
      <c r="I82" s="51">
        <v>103400</v>
      </c>
      <c r="J82" s="150">
        <f t="shared" si="1"/>
        <v>73.85714285714286</v>
      </c>
      <c r="M82" s="151"/>
    </row>
    <row r="83" spans="1:13" s="67" customFormat="1" ht="12.75">
      <c r="A83" s="27"/>
      <c r="B83" s="27"/>
      <c r="C83" s="49" t="s">
        <v>659</v>
      </c>
      <c r="D83" s="27" t="s">
        <v>763</v>
      </c>
      <c r="E83" s="27"/>
      <c r="F83" s="27"/>
      <c r="G83" s="126">
        <v>280000</v>
      </c>
      <c r="H83" s="51">
        <v>280000</v>
      </c>
      <c r="I83" s="51">
        <v>428400</v>
      </c>
      <c r="J83" s="150">
        <f t="shared" si="1"/>
        <v>153</v>
      </c>
      <c r="M83" s="151"/>
    </row>
    <row r="84" spans="1:10" s="67" customFormat="1" ht="12.75">
      <c r="A84" s="49"/>
      <c r="B84" s="49" t="s">
        <v>662</v>
      </c>
      <c r="C84" s="49" t="s">
        <v>833</v>
      </c>
      <c r="D84" s="49"/>
      <c r="E84" s="49"/>
      <c r="F84" s="49"/>
      <c r="G84" s="126"/>
      <c r="H84" s="147"/>
      <c r="I84" s="147"/>
      <c r="J84" s="150"/>
    </row>
    <row r="85" spans="1:10" s="67" customFormat="1" ht="12.75">
      <c r="A85" s="27"/>
      <c r="B85" s="27"/>
      <c r="C85" s="27" t="s">
        <v>658</v>
      </c>
      <c r="D85" s="27" t="s">
        <v>834</v>
      </c>
      <c r="E85" s="27"/>
      <c r="F85" s="27"/>
      <c r="G85" s="126">
        <v>5000</v>
      </c>
      <c r="H85" s="51">
        <f>5000</f>
        <v>5000</v>
      </c>
      <c r="I85" s="51"/>
      <c r="J85" s="150">
        <f t="shared" si="1"/>
        <v>0</v>
      </c>
    </row>
    <row r="86" spans="1:10" s="67" customFormat="1" ht="15.75" customHeight="1">
      <c r="A86" s="158"/>
      <c r="B86" s="158"/>
      <c r="C86" s="27" t="s">
        <v>659</v>
      </c>
      <c r="D86" s="161" t="s">
        <v>833</v>
      </c>
      <c r="E86" s="158"/>
      <c r="F86" s="158"/>
      <c r="G86" s="126"/>
      <c r="H86" s="126"/>
      <c r="I86" s="126"/>
      <c r="J86" s="150"/>
    </row>
    <row r="87" spans="1:10" s="67" customFormat="1" ht="12.75">
      <c r="A87" s="27"/>
      <c r="B87" s="27"/>
      <c r="C87" s="27" t="s">
        <v>660</v>
      </c>
      <c r="D87" s="27" t="s">
        <v>835</v>
      </c>
      <c r="E87" s="27"/>
      <c r="F87" s="27"/>
      <c r="G87" s="126">
        <v>75000</v>
      </c>
      <c r="H87" s="51">
        <v>75000</v>
      </c>
      <c r="I87" s="51">
        <v>15434</v>
      </c>
      <c r="J87" s="150">
        <f t="shared" si="1"/>
        <v>20.578666666666667</v>
      </c>
    </row>
    <row r="88" spans="1:10" s="67" customFormat="1" ht="9" customHeight="1">
      <c r="A88" s="158"/>
      <c r="B88" s="158"/>
      <c r="C88" s="158"/>
      <c r="D88" s="158"/>
      <c r="E88" s="158"/>
      <c r="F88" s="158"/>
      <c r="G88" s="126"/>
      <c r="H88" s="126"/>
      <c r="I88" s="126"/>
      <c r="J88" s="150"/>
    </row>
    <row r="89" spans="1:13" s="96" customFormat="1" ht="15">
      <c r="A89" s="10" t="s">
        <v>766</v>
      </c>
      <c r="B89" s="10"/>
      <c r="C89" s="173"/>
      <c r="D89" s="173"/>
      <c r="E89" s="173"/>
      <c r="F89" s="173"/>
      <c r="G89" s="130">
        <f>G76+G78+G80+G82+G83+G85+G87+G86</f>
        <v>7813000</v>
      </c>
      <c r="H89" s="130">
        <f>H76+H78+H80+H82+H83+H85+H87+H86</f>
        <v>7813000</v>
      </c>
      <c r="I89" s="130">
        <f>I76+I78+I80+I82+I83+I85+I87+I86</f>
        <v>9268098</v>
      </c>
      <c r="J89" s="172">
        <f t="shared" si="1"/>
        <v>118.62406246000256</v>
      </c>
      <c r="M89" s="533"/>
    </row>
    <row r="90" spans="1:10" s="67" customFormat="1" ht="19.5" customHeight="1">
      <c r="A90" s="27"/>
      <c r="B90" s="27"/>
      <c r="C90" s="49"/>
      <c r="D90" s="27"/>
      <c r="E90" s="27"/>
      <c r="F90" s="27"/>
      <c r="G90" s="126"/>
      <c r="H90" s="51"/>
      <c r="I90" s="51"/>
      <c r="J90" s="150"/>
    </row>
    <row r="91" spans="1:10" s="67" customFormat="1" ht="9" customHeight="1">
      <c r="A91" s="158"/>
      <c r="B91" s="158"/>
      <c r="C91" s="158"/>
      <c r="D91" s="158"/>
      <c r="E91" s="158"/>
      <c r="F91" s="158"/>
      <c r="G91" s="126"/>
      <c r="H91" s="126"/>
      <c r="I91" s="126"/>
      <c r="J91" s="150"/>
    </row>
    <row r="92" spans="1:10" s="95" customFormat="1" ht="15">
      <c r="A92" s="10" t="s">
        <v>836</v>
      </c>
      <c r="B92" s="10" t="s">
        <v>760</v>
      </c>
      <c r="C92" s="10"/>
      <c r="D92" s="10"/>
      <c r="E92" s="10"/>
      <c r="F92" s="10"/>
      <c r="G92" s="10"/>
      <c r="H92" s="214"/>
      <c r="I92" s="214"/>
      <c r="J92" s="479"/>
    </row>
    <row r="93" spans="1:10" s="67" customFormat="1" ht="9" customHeight="1">
      <c r="A93" s="158"/>
      <c r="B93" s="158"/>
      <c r="C93" s="158"/>
      <c r="D93" s="158"/>
      <c r="E93" s="158"/>
      <c r="F93" s="158"/>
      <c r="G93" s="126"/>
      <c r="H93" s="126"/>
      <c r="I93" s="126"/>
      <c r="J93" s="150"/>
    </row>
    <row r="94" spans="1:10" s="67" customFormat="1" ht="12.75">
      <c r="A94" s="158"/>
      <c r="B94" s="158" t="s">
        <v>658</v>
      </c>
      <c r="C94" s="995" t="s">
        <v>837</v>
      </c>
      <c r="D94" s="995"/>
      <c r="E94" s="995"/>
      <c r="F94" s="995"/>
      <c r="G94" s="126"/>
      <c r="H94" s="126"/>
      <c r="I94" s="126"/>
      <c r="J94" s="150"/>
    </row>
    <row r="95" spans="1:10" s="67" customFormat="1" ht="12.75">
      <c r="A95" s="158"/>
      <c r="B95" s="158"/>
      <c r="C95" s="158" t="s">
        <v>658</v>
      </c>
      <c r="D95" s="161" t="s">
        <v>838</v>
      </c>
      <c r="E95" s="158"/>
      <c r="F95" s="158"/>
      <c r="G95" s="126">
        <v>40000</v>
      </c>
      <c r="H95" s="126">
        <v>40000</v>
      </c>
      <c r="I95" s="126">
        <v>25985</v>
      </c>
      <c r="J95" s="150">
        <f aca="true" t="shared" si="2" ref="J95:J112">I95/H95*100</f>
        <v>64.9625</v>
      </c>
    </row>
    <row r="96" spans="1:10" s="67" customFormat="1" ht="12.75">
      <c r="A96" s="158"/>
      <c r="B96" s="158"/>
      <c r="C96" s="158" t="s">
        <v>659</v>
      </c>
      <c r="D96" s="161" t="s">
        <v>839</v>
      </c>
      <c r="E96" s="161"/>
      <c r="F96" s="161"/>
      <c r="G96" s="126">
        <v>385000</v>
      </c>
      <c r="H96" s="126">
        <v>385000</v>
      </c>
      <c r="I96" s="126">
        <v>367625</v>
      </c>
      <c r="J96" s="150">
        <f t="shared" si="2"/>
        <v>95.48701298701299</v>
      </c>
    </row>
    <row r="97" spans="1:10" s="67" customFormat="1" ht="12.75">
      <c r="A97" s="158"/>
      <c r="B97" s="158"/>
      <c r="C97" s="158" t="s">
        <v>660</v>
      </c>
      <c r="D97" s="161" t="s">
        <v>840</v>
      </c>
      <c r="E97" s="161"/>
      <c r="F97" s="161"/>
      <c r="G97" s="126"/>
      <c r="H97" s="126"/>
      <c r="I97" s="126"/>
      <c r="J97" s="150"/>
    </row>
    <row r="98" spans="1:10" s="67" customFormat="1" ht="12.75">
      <c r="A98" s="158"/>
      <c r="B98" s="158"/>
      <c r="C98" s="158"/>
      <c r="D98" s="161" t="s">
        <v>658</v>
      </c>
      <c r="E98" s="161" t="s">
        <v>841</v>
      </c>
      <c r="F98" s="161"/>
      <c r="G98" s="126">
        <v>20000</v>
      </c>
      <c r="H98" s="126">
        <v>20000</v>
      </c>
      <c r="I98" s="126">
        <f>34985+1417+314</f>
        <v>36716</v>
      </c>
      <c r="J98" s="150">
        <f t="shared" si="2"/>
        <v>183.58</v>
      </c>
    </row>
    <row r="99" spans="1:10" s="67" customFormat="1" ht="12.75">
      <c r="A99" s="158"/>
      <c r="B99" s="158"/>
      <c r="C99" s="158"/>
      <c r="D99" s="161" t="s">
        <v>659</v>
      </c>
      <c r="E99" s="161" t="s">
        <v>842</v>
      </c>
      <c r="F99" s="161"/>
      <c r="G99" s="126">
        <v>820000</v>
      </c>
      <c r="H99" s="126">
        <v>820000</v>
      </c>
      <c r="I99" s="126">
        <v>866274</v>
      </c>
      <c r="J99" s="150">
        <f t="shared" si="2"/>
        <v>105.64317073170733</v>
      </c>
    </row>
    <row r="100" spans="1:10" s="67" customFormat="1" ht="12.75">
      <c r="A100" s="158"/>
      <c r="B100" s="158"/>
      <c r="C100" s="158"/>
      <c r="D100" s="161" t="s">
        <v>660</v>
      </c>
      <c r="E100" s="161" t="s">
        <v>843</v>
      </c>
      <c r="F100" s="161"/>
      <c r="G100" s="126">
        <v>2000</v>
      </c>
      <c r="H100" s="126">
        <v>2000</v>
      </c>
      <c r="I100" s="126"/>
      <c r="J100" s="150"/>
    </row>
    <row r="101" spans="1:10" s="67" customFormat="1" ht="12.75">
      <c r="A101" s="158"/>
      <c r="B101" s="158"/>
      <c r="C101" s="158"/>
      <c r="D101" s="161" t="s">
        <v>661</v>
      </c>
      <c r="E101" s="161" t="s">
        <v>767</v>
      </c>
      <c r="F101" s="161"/>
      <c r="G101" s="126">
        <v>1000</v>
      </c>
      <c r="H101" s="126">
        <v>1000</v>
      </c>
      <c r="I101" s="126"/>
      <c r="J101" s="150"/>
    </row>
    <row r="102" spans="1:10" s="67" customFormat="1" ht="12.75">
      <c r="A102" s="158"/>
      <c r="B102" s="158"/>
      <c r="C102" s="158"/>
      <c r="D102" s="161" t="s">
        <v>662</v>
      </c>
      <c r="E102" s="161" t="s">
        <v>768</v>
      </c>
      <c r="F102" s="161"/>
      <c r="G102" s="126">
        <v>85000</v>
      </c>
      <c r="H102" s="126">
        <v>85000</v>
      </c>
      <c r="I102" s="126">
        <v>94857</v>
      </c>
      <c r="J102" s="150">
        <f t="shared" si="2"/>
        <v>111.59647058823529</v>
      </c>
    </row>
    <row r="103" spans="1:10" s="67" customFormat="1" ht="12.75">
      <c r="A103" s="158"/>
      <c r="B103" s="158"/>
      <c r="C103" s="158"/>
      <c r="D103" s="161" t="s">
        <v>699</v>
      </c>
      <c r="E103" s="161" t="s">
        <v>874</v>
      </c>
      <c r="F103" s="161"/>
      <c r="G103" s="126"/>
      <c r="H103" s="126"/>
      <c r="I103" s="126">
        <v>65500</v>
      </c>
      <c r="J103" s="150"/>
    </row>
    <row r="104" spans="1:10" s="67" customFormat="1" ht="12.75">
      <c r="A104" s="158"/>
      <c r="B104" s="158" t="s">
        <v>659</v>
      </c>
      <c r="C104" s="161" t="s">
        <v>844</v>
      </c>
      <c r="D104" s="161"/>
      <c r="E104" s="161"/>
      <c r="F104" s="161"/>
      <c r="G104" s="126"/>
      <c r="H104" s="126"/>
      <c r="I104" s="126"/>
      <c r="J104" s="150"/>
    </row>
    <row r="105" spans="1:10" s="67" customFormat="1" ht="12.75">
      <c r="A105" s="158"/>
      <c r="B105" s="158"/>
      <c r="C105" s="158" t="s">
        <v>658</v>
      </c>
      <c r="D105" s="161" t="s">
        <v>845</v>
      </c>
      <c r="E105" s="161"/>
      <c r="F105" s="161"/>
      <c r="G105" s="126">
        <v>4099000</v>
      </c>
      <c r="H105" s="126">
        <v>4099000</v>
      </c>
      <c r="I105" s="126">
        <v>1593200</v>
      </c>
      <c r="J105" s="150">
        <f t="shared" si="2"/>
        <v>38.86801658941205</v>
      </c>
    </row>
    <row r="106" spans="1:10" s="67" customFormat="1" ht="12.75">
      <c r="A106" s="158"/>
      <c r="B106" s="158" t="s">
        <v>660</v>
      </c>
      <c r="C106" s="161" t="s">
        <v>846</v>
      </c>
      <c r="D106" s="161"/>
      <c r="E106" s="161"/>
      <c r="F106" s="161"/>
      <c r="G106" s="126"/>
      <c r="H106" s="126"/>
      <c r="I106" s="174"/>
      <c r="J106" s="150"/>
    </row>
    <row r="107" spans="1:10" s="67" customFormat="1" ht="12.75">
      <c r="A107" s="158"/>
      <c r="B107" s="158"/>
      <c r="C107" s="158" t="s">
        <v>658</v>
      </c>
      <c r="D107" s="161" t="s">
        <v>847</v>
      </c>
      <c r="E107" s="161"/>
      <c r="F107" s="161"/>
      <c r="G107" s="126">
        <v>1249000</v>
      </c>
      <c r="H107" s="126">
        <v>1249000</v>
      </c>
      <c r="I107" s="126">
        <v>1345297</v>
      </c>
      <c r="J107" s="150">
        <f t="shared" si="2"/>
        <v>107.70992794235387</v>
      </c>
    </row>
    <row r="108" spans="1:10" s="67" customFormat="1" ht="12.75">
      <c r="A108" s="158"/>
      <c r="B108" s="158"/>
      <c r="C108" s="158" t="s">
        <v>659</v>
      </c>
      <c r="D108" s="161" t="s">
        <v>770</v>
      </c>
      <c r="E108" s="161"/>
      <c r="F108" s="161"/>
      <c r="G108" s="126">
        <v>661000</v>
      </c>
      <c r="H108" s="126">
        <v>661000</v>
      </c>
      <c r="I108" s="126">
        <v>777193</v>
      </c>
      <c r="J108" s="150">
        <f t="shared" si="2"/>
        <v>117.57836611195158</v>
      </c>
    </row>
    <row r="109" spans="1:10" s="67" customFormat="1" ht="12.75">
      <c r="A109" s="158"/>
      <c r="B109" s="158"/>
      <c r="C109" s="158" t="s">
        <v>660</v>
      </c>
      <c r="D109" s="161" t="s">
        <v>848</v>
      </c>
      <c r="E109" s="161"/>
      <c r="F109" s="161"/>
      <c r="G109" s="126">
        <v>187000</v>
      </c>
      <c r="H109" s="126">
        <v>187000</v>
      </c>
      <c r="I109" s="126">
        <v>236000</v>
      </c>
      <c r="J109" s="150">
        <f t="shared" si="2"/>
        <v>126.20320855614973</v>
      </c>
    </row>
    <row r="110" spans="1:10" s="67" customFormat="1" ht="12.75">
      <c r="A110" s="158"/>
      <c r="B110" s="158" t="s">
        <v>661</v>
      </c>
      <c r="C110" s="161" t="s">
        <v>849</v>
      </c>
      <c r="D110" s="158"/>
      <c r="E110" s="158"/>
      <c r="F110" s="158"/>
      <c r="G110" s="126">
        <v>1816000</v>
      </c>
      <c r="H110" s="126">
        <v>1816000</v>
      </c>
      <c r="I110" s="126">
        <v>2144206</v>
      </c>
      <c r="J110" s="150">
        <f t="shared" si="2"/>
        <v>118.07301762114537</v>
      </c>
    </row>
    <row r="111" spans="1:10" s="67" customFormat="1" ht="12.75">
      <c r="A111" s="158"/>
      <c r="B111" s="158" t="s">
        <v>662</v>
      </c>
      <c r="C111" s="161" t="s">
        <v>850</v>
      </c>
      <c r="D111" s="158"/>
      <c r="E111" s="158"/>
      <c r="F111" s="158"/>
      <c r="G111" s="126">
        <v>1541000</v>
      </c>
      <c r="H111" s="126">
        <v>1541000</v>
      </c>
      <c r="I111" s="126"/>
      <c r="J111" s="150"/>
    </row>
    <row r="112" spans="1:10" s="67" customFormat="1" ht="12.75">
      <c r="A112" s="158"/>
      <c r="B112" s="158" t="s">
        <v>699</v>
      </c>
      <c r="C112" s="161" t="s">
        <v>851</v>
      </c>
      <c r="D112" s="158"/>
      <c r="E112" s="158"/>
      <c r="F112" s="158"/>
      <c r="G112" s="126">
        <v>2000</v>
      </c>
      <c r="H112" s="126">
        <v>2000</v>
      </c>
      <c r="I112" s="126">
        <f>5428+12</f>
        <v>5440</v>
      </c>
      <c r="J112" s="150">
        <f t="shared" si="2"/>
        <v>272</v>
      </c>
    </row>
    <row r="113" spans="1:10" s="67" customFormat="1" ht="12.75">
      <c r="A113" s="158"/>
      <c r="B113" s="158" t="s">
        <v>663</v>
      </c>
      <c r="C113" s="161" t="s">
        <v>875</v>
      </c>
      <c r="D113" s="158"/>
      <c r="E113" s="158"/>
      <c r="F113" s="158"/>
      <c r="G113" s="126"/>
      <c r="H113" s="126"/>
      <c r="I113" s="126"/>
      <c r="J113" s="150"/>
    </row>
    <row r="114" spans="1:10" s="67" customFormat="1" ht="12.75">
      <c r="A114" s="158"/>
      <c r="B114" s="158"/>
      <c r="C114" s="158"/>
      <c r="D114" s="158"/>
      <c r="E114" s="158"/>
      <c r="F114" s="158"/>
      <c r="G114" s="126"/>
      <c r="H114" s="126"/>
      <c r="I114" s="126"/>
      <c r="J114" s="150"/>
    </row>
    <row r="115" spans="1:10" s="96" customFormat="1" ht="15">
      <c r="A115" s="10" t="s">
        <v>709</v>
      </c>
      <c r="B115" s="10"/>
      <c r="C115" s="173"/>
      <c r="D115" s="173"/>
      <c r="E115" s="173"/>
      <c r="F115" s="173"/>
      <c r="G115" s="130">
        <f>SUM(G95:G114)</f>
        <v>10908000</v>
      </c>
      <c r="H115" s="171">
        <f>SUM(H95:H114)</f>
        <v>10908000</v>
      </c>
      <c r="I115" s="171">
        <f>SUM(I95:I114)</f>
        <v>7558293</v>
      </c>
      <c r="J115" s="172">
        <f>I115/H115*100</f>
        <v>69.29128162816282</v>
      </c>
    </row>
    <row r="116" spans="1:10" s="67" customFormat="1" ht="12.75">
      <c r="A116" s="158"/>
      <c r="B116" s="158"/>
      <c r="C116" s="161"/>
      <c r="D116" s="158"/>
      <c r="E116" s="158"/>
      <c r="F116" s="158"/>
      <c r="G116" s="126"/>
      <c r="H116" s="126"/>
      <c r="I116" s="126"/>
      <c r="J116" s="150"/>
    </row>
    <row r="117" spans="1:10" s="95" customFormat="1" ht="15">
      <c r="A117" s="10" t="s">
        <v>513</v>
      </c>
      <c r="B117" s="10" t="s">
        <v>852</v>
      </c>
      <c r="C117" s="10"/>
      <c r="D117" s="10"/>
      <c r="E117" s="10"/>
      <c r="F117" s="10"/>
      <c r="G117" s="10"/>
      <c r="H117" s="214"/>
      <c r="I117" s="214"/>
      <c r="J117" s="479"/>
    </row>
    <row r="118" spans="1:10" s="67" customFormat="1" ht="12.75">
      <c r="A118" s="27"/>
      <c r="B118" s="27" t="s">
        <v>658</v>
      </c>
      <c r="C118" s="987" t="s">
        <v>0</v>
      </c>
      <c r="D118" s="987"/>
      <c r="E118" s="987"/>
      <c r="F118" s="987"/>
      <c r="G118" s="126"/>
      <c r="H118" s="167"/>
      <c r="I118" s="167"/>
      <c r="J118" s="150"/>
    </row>
    <row r="119" spans="1:10" s="67" customFormat="1" ht="12.75">
      <c r="A119" s="27"/>
      <c r="B119" s="27"/>
      <c r="C119" s="159" t="s">
        <v>658</v>
      </c>
      <c r="D119" s="987" t="s">
        <v>1</v>
      </c>
      <c r="E119" s="987"/>
      <c r="F119" s="987"/>
      <c r="G119" s="126"/>
      <c r="H119" s="167"/>
      <c r="I119" s="550">
        <v>20000</v>
      </c>
      <c r="J119" s="150"/>
    </row>
    <row r="120" spans="1:10" s="96" customFormat="1" ht="15">
      <c r="A120" s="10" t="s">
        <v>13</v>
      </c>
      <c r="B120" s="10"/>
      <c r="C120" s="173"/>
      <c r="D120" s="173"/>
      <c r="E120" s="173"/>
      <c r="F120" s="173"/>
      <c r="G120" s="130"/>
      <c r="H120" s="171">
        <f>H119</f>
        <v>0</v>
      </c>
      <c r="I120" s="551">
        <f>I119</f>
        <v>20000</v>
      </c>
      <c r="J120" s="172"/>
    </row>
    <row r="121" spans="1:10" s="96" customFormat="1" ht="15">
      <c r="A121" s="10"/>
      <c r="B121" s="10"/>
      <c r="C121" s="173"/>
      <c r="D121" s="173"/>
      <c r="E121" s="173"/>
      <c r="F121" s="173"/>
      <c r="G121" s="130"/>
      <c r="H121" s="171"/>
      <c r="I121" s="551"/>
      <c r="J121" s="172"/>
    </row>
    <row r="122" spans="1:10" s="96" customFormat="1" ht="14.25">
      <c r="A122" s="10" t="s">
        <v>201</v>
      </c>
      <c r="B122" s="10" t="s">
        <v>892</v>
      </c>
      <c r="C122" s="10"/>
      <c r="D122" s="10"/>
      <c r="E122" s="10"/>
      <c r="F122" s="10"/>
      <c r="G122" s="130"/>
      <c r="H122" s="171"/>
      <c r="I122" s="551"/>
      <c r="J122" s="172"/>
    </row>
    <row r="123" spans="1:10" s="96" customFormat="1" ht="15">
      <c r="A123" s="10"/>
      <c r="B123" s="110" t="s">
        <v>658</v>
      </c>
      <c r="C123" s="991" t="s">
        <v>1068</v>
      </c>
      <c r="D123" s="992"/>
      <c r="E123" s="992"/>
      <c r="F123" s="992"/>
      <c r="G123" s="130"/>
      <c r="H123" s="171"/>
      <c r="I123" s="850">
        <v>44000</v>
      </c>
      <c r="J123" s="172"/>
    </row>
    <row r="124" spans="1:10" s="96" customFormat="1" ht="15">
      <c r="A124" s="10"/>
      <c r="B124" s="110" t="s">
        <v>659</v>
      </c>
      <c r="C124" s="991" t="s">
        <v>1069</v>
      </c>
      <c r="D124" s="992"/>
      <c r="E124" s="992"/>
      <c r="F124" s="992"/>
      <c r="G124" s="130"/>
      <c r="H124" s="171"/>
      <c r="I124" s="850">
        <v>4834390</v>
      </c>
      <c r="J124" s="172"/>
    </row>
    <row r="125" spans="1:10" s="96" customFormat="1" ht="14.25">
      <c r="A125" s="10" t="s">
        <v>1070</v>
      </c>
      <c r="B125" s="10"/>
      <c r="C125" s="10"/>
      <c r="D125" s="10"/>
      <c r="E125" s="10"/>
      <c r="F125" s="849"/>
      <c r="G125" s="130"/>
      <c r="H125" s="171"/>
      <c r="I125" s="551">
        <f>I123+I124</f>
        <v>4878390</v>
      </c>
      <c r="J125" s="172"/>
    </row>
    <row r="126" spans="1:10" s="96" customFormat="1" ht="14.25">
      <c r="A126" s="10"/>
      <c r="B126" s="10"/>
      <c r="C126" s="10"/>
      <c r="D126" s="10"/>
      <c r="E126" s="10"/>
      <c r="F126" s="849"/>
      <c r="G126" s="130"/>
      <c r="H126" s="171"/>
      <c r="I126" s="551"/>
      <c r="J126" s="172"/>
    </row>
    <row r="127" spans="1:10" s="95" customFormat="1" ht="15">
      <c r="A127" s="10" t="s">
        <v>490</v>
      </c>
      <c r="B127" s="10" t="s">
        <v>2</v>
      </c>
      <c r="C127" s="10"/>
      <c r="D127" s="10"/>
      <c r="E127" s="10"/>
      <c r="F127" s="10"/>
      <c r="G127" s="10"/>
      <c r="H127" s="214"/>
      <c r="I127" s="214"/>
      <c r="J127" s="479"/>
    </row>
    <row r="128" spans="1:10" s="67" customFormat="1" ht="27.75" customHeight="1">
      <c r="A128" s="27"/>
      <c r="B128" s="27" t="s">
        <v>658</v>
      </c>
      <c r="C128" s="987" t="s">
        <v>3</v>
      </c>
      <c r="D128" s="987"/>
      <c r="E128" s="987"/>
      <c r="F128" s="987"/>
      <c r="G128" s="148"/>
      <c r="H128" s="149"/>
      <c r="I128" s="149"/>
      <c r="J128" s="150"/>
    </row>
    <row r="129" spans="1:10" s="67" customFormat="1" ht="33" customHeight="1">
      <c r="A129" s="27"/>
      <c r="B129" s="27"/>
      <c r="C129" s="159" t="s">
        <v>658</v>
      </c>
      <c r="D129" s="987" t="s">
        <v>4</v>
      </c>
      <c r="E129" s="987"/>
      <c r="F129" s="987"/>
      <c r="G129" s="126">
        <v>62000</v>
      </c>
      <c r="H129" s="167">
        <v>62000</v>
      </c>
      <c r="I129" s="167">
        <v>45300</v>
      </c>
      <c r="J129" s="150">
        <f>I129/H129*100</f>
        <v>73.06451612903226</v>
      </c>
    </row>
    <row r="130" spans="1:10" s="67" customFormat="1" ht="9" customHeight="1">
      <c r="A130" s="158"/>
      <c r="B130" s="158"/>
      <c r="C130" s="158"/>
      <c r="D130" s="158"/>
      <c r="E130" s="158"/>
      <c r="F130" s="158"/>
      <c r="G130" s="126"/>
      <c r="H130" s="126"/>
      <c r="I130" s="126"/>
      <c r="J130" s="150"/>
    </row>
    <row r="131" spans="1:10" s="96" customFormat="1" ht="32.25" customHeight="1">
      <c r="A131" s="989" t="s">
        <v>5</v>
      </c>
      <c r="B131" s="989"/>
      <c r="C131" s="989"/>
      <c r="D131" s="989"/>
      <c r="E131" s="989"/>
      <c r="F131" s="989"/>
      <c r="G131" s="130">
        <f>SUM(G129:G130)</f>
        <v>62000</v>
      </c>
      <c r="H131" s="171">
        <f>SUM(H129:H130)</f>
        <v>62000</v>
      </c>
      <c r="I131" s="171">
        <f>SUM(I129:I130)</f>
        <v>45300</v>
      </c>
      <c r="J131" s="172">
        <f>I131/H131*100</f>
        <v>73.06451612903226</v>
      </c>
    </row>
    <row r="132" spans="1:10" s="67" customFormat="1" ht="12.75">
      <c r="A132" s="144"/>
      <c r="B132" s="144"/>
      <c r="C132" s="144"/>
      <c r="D132" s="144"/>
      <c r="E132" s="144"/>
      <c r="F132" s="144"/>
      <c r="G132" s="168"/>
      <c r="H132" s="168"/>
      <c r="I132" s="168"/>
      <c r="J132" s="162"/>
    </row>
    <row r="133" spans="1:10" s="96" customFormat="1" ht="14.25">
      <c r="A133" s="989" t="s">
        <v>6</v>
      </c>
      <c r="B133" s="989"/>
      <c r="C133" s="989"/>
      <c r="D133" s="989"/>
      <c r="E133" s="989"/>
      <c r="F133" s="989"/>
      <c r="G133" s="848">
        <f>G131+G115+G89+G71+G61</f>
        <v>47343021</v>
      </c>
      <c r="H133" s="848">
        <f>H131+H115+H89+H71+H61+H120</f>
        <v>60235609</v>
      </c>
      <c r="I133" s="171">
        <f>I131+I115+I89+I71+I61+I120+I125</f>
        <v>63199890</v>
      </c>
      <c r="J133" s="172">
        <f>I133/H133*100</f>
        <v>104.92114390343426</v>
      </c>
    </row>
    <row r="134" spans="1:10" s="96" customFormat="1" ht="14.25">
      <c r="A134" s="277"/>
      <c r="B134" s="277"/>
      <c r="C134" s="277"/>
      <c r="D134" s="277"/>
      <c r="E134" s="277"/>
      <c r="F134" s="277"/>
      <c r="G134" s="175"/>
      <c r="H134" s="175"/>
      <c r="I134" s="171"/>
      <c r="J134" s="172"/>
    </row>
    <row r="135" spans="1:10" s="96" customFormat="1" ht="14.25">
      <c r="A135" s="277"/>
      <c r="B135" s="277"/>
      <c r="C135" s="277"/>
      <c r="D135" s="277"/>
      <c r="E135" s="277"/>
      <c r="F135" s="277"/>
      <c r="G135" s="175"/>
      <c r="H135" s="175"/>
      <c r="I135" s="171"/>
      <c r="J135" s="172"/>
    </row>
    <row r="136" spans="1:10" s="67" customFormat="1" ht="9" customHeight="1">
      <c r="A136" s="158"/>
      <c r="B136" s="158"/>
      <c r="C136" s="158"/>
      <c r="D136" s="158"/>
      <c r="E136" s="158"/>
      <c r="F136" s="158"/>
      <c r="G136" s="126"/>
      <c r="H136" s="126"/>
      <c r="I136" s="126"/>
      <c r="J136" s="150"/>
    </row>
    <row r="137" spans="1:10" s="95" customFormat="1" ht="15">
      <c r="A137" s="10" t="s">
        <v>491</v>
      </c>
      <c r="B137" s="989" t="s">
        <v>7</v>
      </c>
      <c r="C137" s="989"/>
      <c r="D137" s="989"/>
      <c r="E137" s="989"/>
      <c r="F137" s="989"/>
      <c r="G137" s="10"/>
      <c r="H137" s="483"/>
      <c r="I137" s="483"/>
      <c r="J137" s="479"/>
    </row>
    <row r="138" spans="1:10" s="67" customFormat="1" ht="12.75">
      <c r="A138" s="49"/>
      <c r="B138" s="144" t="s">
        <v>658</v>
      </c>
      <c r="C138" s="990" t="s">
        <v>9</v>
      </c>
      <c r="D138" s="990"/>
      <c r="E138" s="990"/>
      <c r="F138" s="990"/>
      <c r="G138" s="126"/>
      <c r="H138" s="149"/>
      <c r="I138" s="149"/>
      <c r="J138" s="150"/>
    </row>
    <row r="139" spans="1:10" s="67" customFormat="1" ht="12.75">
      <c r="A139" s="49"/>
      <c r="B139" s="144"/>
      <c r="C139" s="159" t="s">
        <v>658</v>
      </c>
      <c r="D139" s="987" t="s">
        <v>10</v>
      </c>
      <c r="E139" s="987"/>
      <c r="F139" s="987"/>
      <c r="G139" s="126">
        <v>28261077</v>
      </c>
      <c r="H139" s="149">
        <v>70404000</v>
      </c>
      <c r="I139" s="149">
        <v>70404000</v>
      </c>
      <c r="J139" s="150">
        <f>I139/H139*100</f>
        <v>100</v>
      </c>
    </row>
    <row r="140" spans="1:10" s="67" customFormat="1" ht="12.75">
      <c r="A140" s="27"/>
      <c r="B140" s="49" t="s">
        <v>659</v>
      </c>
      <c r="C140" s="49" t="s">
        <v>11</v>
      </c>
      <c r="D140" s="136"/>
      <c r="E140" s="49"/>
      <c r="F140" s="49"/>
      <c r="G140" s="27"/>
      <c r="H140" s="51">
        <v>1121209</v>
      </c>
      <c r="I140" s="51">
        <v>1121209</v>
      </c>
      <c r="J140" s="150">
        <f>I140/H140*100</f>
        <v>100</v>
      </c>
    </row>
    <row r="141" spans="1:10" s="67" customFormat="1" ht="9" customHeight="1">
      <c r="A141" s="158"/>
      <c r="B141" s="158"/>
      <c r="C141" s="158"/>
      <c r="D141" s="158"/>
      <c r="E141" s="158"/>
      <c r="F141" s="158"/>
      <c r="G141" s="126"/>
      <c r="H141" s="126"/>
      <c r="I141" s="126"/>
      <c r="J141" s="150"/>
    </row>
    <row r="142" spans="1:10" s="96" customFormat="1" ht="14.25">
      <c r="A142" s="989" t="s">
        <v>306</v>
      </c>
      <c r="B142" s="989"/>
      <c r="C142" s="989"/>
      <c r="D142" s="989"/>
      <c r="E142" s="989"/>
      <c r="F142" s="989"/>
      <c r="G142" s="175">
        <f>G139</f>
        <v>28261077</v>
      </c>
      <c r="H142" s="175">
        <f>SUM(H138:H140)</f>
        <v>71525209</v>
      </c>
      <c r="I142" s="171">
        <f>SUM(I138:I140)</f>
        <v>71525209</v>
      </c>
      <c r="J142" s="172">
        <f>I142/H142*100</f>
        <v>100</v>
      </c>
    </row>
    <row r="143" spans="1:10" s="67" customFormat="1" ht="13.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150"/>
    </row>
    <row r="144" spans="1:10" s="96" customFormat="1" ht="14.25">
      <c r="A144" s="989" t="s">
        <v>12</v>
      </c>
      <c r="B144" s="989"/>
      <c r="C144" s="989"/>
      <c r="D144" s="989"/>
      <c r="E144" s="989"/>
      <c r="F144" s="989"/>
      <c r="G144" s="848">
        <f>G133+G142</f>
        <v>75604098</v>
      </c>
      <c r="H144" s="848">
        <f>H133+H142</f>
        <v>131760818</v>
      </c>
      <c r="I144" s="848">
        <f>I133+I142</f>
        <v>134725099</v>
      </c>
      <c r="J144" s="172">
        <f>I144/H144*100</f>
        <v>102.24974392614958</v>
      </c>
    </row>
    <row r="145" spans="1:7" s="135" customFormat="1" ht="6.75" customHeight="1">
      <c r="A145" s="134"/>
      <c r="B145" s="137"/>
      <c r="C145" s="138"/>
      <c r="D145" s="138"/>
      <c r="E145" s="138"/>
      <c r="F145" s="138"/>
      <c r="G145" s="67"/>
    </row>
    <row r="146" spans="7:9" s="67" customFormat="1" ht="12.75">
      <c r="G146" s="51"/>
      <c r="H146" s="51"/>
      <c r="I146" s="51"/>
    </row>
    <row r="147" ht="12.75">
      <c r="I147" s="528"/>
    </row>
    <row r="148" ht="12.75">
      <c r="I148" s="528"/>
    </row>
    <row r="149" ht="12.75">
      <c r="I149" s="529"/>
    </row>
    <row r="150" spans="9:10" ht="12.75">
      <c r="I150" s="530"/>
      <c r="J150" s="529"/>
    </row>
    <row r="151" ht="12.75">
      <c r="I151" s="529"/>
    </row>
    <row r="152" ht="12.75">
      <c r="I152" s="531"/>
    </row>
    <row r="153" ht="12.75">
      <c r="I153" s="532"/>
    </row>
  </sheetData>
  <sheetProtection/>
  <mergeCells count="45">
    <mergeCell ref="I10:I12"/>
    <mergeCell ref="D30:F30"/>
    <mergeCell ref="A7:J7"/>
    <mergeCell ref="A10:F12"/>
    <mergeCell ref="B13:F13"/>
    <mergeCell ref="A5:J5"/>
    <mergeCell ref="E16:F16"/>
    <mergeCell ref="G11:H12"/>
    <mergeCell ref="E17:F17"/>
    <mergeCell ref="D31:F31"/>
    <mergeCell ref="D32:F32"/>
    <mergeCell ref="B59:F59"/>
    <mergeCell ref="A61:F61"/>
    <mergeCell ref="E35:F35"/>
    <mergeCell ref="D66:F66"/>
    <mergeCell ref="C55:F55"/>
    <mergeCell ref="C38:F38"/>
    <mergeCell ref="D34:F34"/>
    <mergeCell ref="D40:F40"/>
    <mergeCell ref="A144:F144"/>
    <mergeCell ref="A2:J2"/>
    <mergeCell ref="A131:F131"/>
    <mergeCell ref="A133:F133"/>
    <mergeCell ref="A142:F142"/>
    <mergeCell ref="D15:F15"/>
    <mergeCell ref="A6:J6"/>
    <mergeCell ref="C128:F128"/>
    <mergeCell ref="C65:F65"/>
    <mergeCell ref="C50:F50"/>
    <mergeCell ref="C138:F138"/>
    <mergeCell ref="D139:F139"/>
    <mergeCell ref="B137:F137"/>
    <mergeCell ref="C94:F94"/>
    <mergeCell ref="C124:F124"/>
    <mergeCell ref="A71:F71"/>
    <mergeCell ref="C118:F118"/>
    <mergeCell ref="D129:F129"/>
    <mergeCell ref="D119:F119"/>
    <mergeCell ref="E41:F41"/>
    <mergeCell ref="C44:F44"/>
    <mergeCell ref="B63:F63"/>
    <mergeCell ref="C69:F69"/>
    <mergeCell ref="C54:F54"/>
    <mergeCell ref="C123:F123"/>
    <mergeCell ref="B67:F67"/>
  </mergeCells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26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2" width="9.125" style="14" customWidth="1"/>
    <col min="3" max="3" width="17.625" style="14" customWidth="1"/>
    <col min="4" max="4" width="13.875" style="14" customWidth="1"/>
    <col min="5" max="5" width="9.125" style="14" customWidth="1"/>
    <col min="6" max="6" width="14.25390625" style="14" customWidth="1"/>
    <col min="7" max="7" width="13.125" style="14" customWidth="1"/>
    <col min="8" max="16384" width="9.125" style="114" customWidth="1"/>
  </cols>
  <sheetData>
    <row r="2" spans="1:7" ht="15.75">
      <c r="A2" s="986"/>
      <c r="B2" s="986"/>
      <c r="C2" s="986"/>
      <c r="D2" s="986"/>
      <c r="E2" s="986"/>
      <c r="F2" s="986"/>
      <c r="G2" s="986"/>
    </row>
    <row r="3" spans="1:13" s="57" customFormat="1" ht="12.75">
      <c r="A3" s="1157"/>
      <c r="B3" s="1157"/>
      <c r="C3" s="1157"/>
      <c r="D3" s="1157"/>
      <c r="E3" s="1157"/>
      <c r="F3" s="1157"/>
      <c r="G3" s="1157"/>
      <c r="H3" s="330"/>
      <c r="I3" s="330"/>
      <c r="J3" s="330"/>
      <c r="K3" s="330"/>
      <c r="L3" s="330"/>
      <c r="M3" s="330"/>
    </row>
    <row r="4" spans="1:9" s="67" customFormat="1" ht="12.75">
      <c r="A4" s="234" t="s">
        <v>1175</v>
      </c>
      <c r="B4" s="234"/>
      <c r="C4" s="234"/>
      <c r="D4" s="234"/>
      <c r="F4" s="138"/>
      <c r="G4" s="51"/>
      <c r="H4" s="51"/>
      <c r="I4" s="51"/>
    </row>
    <row r="6" spans="1:7" ht="15.75">
      <c r="A6" s="1106"/>
      <c r="B6" s="1106"/>
      <c r="C6" s="1106"/>
      <c r="D6" s="1106"/>
      <c r="E6" s="1106"/>
      <c r="F6" s="1106"/>
      <c r="G6" s="1106"/>
    </row>
    <row r="7" spans="1:7" ht="15.75">
      <c r="A7" s="986" t="s">
        <v>741</v>
      </c>
      <c r="B7" s="986"/>
      <c r="C7" s="986"/>
      <c r="D7" s="986"/>
      <c r="E7" s="986"/>
      <c r="F7" s="986"/>
      <c r="G7" s="986"/>
    </row>
    <row r="8" spans="1:7" ht="15.75">
      <c r="A8" s="986" t="s">
        <v>1018</v>
      </c>
      <c r="B8" s="986"/>
      <c r="C8" s="986"/>
      <c r="D8" s="986"/>
      <c r="E8" s="986"/>
      <c r="F8" s="986"/>
      <c r="G8" s="986"/>
    </row>
    <row r="9" ht="16.5" thickBot="1"/>
    <row r="10" spans="1:7" s="388" customFormat="1" ht="12.75">
      <c r="A10" s="1271" t="s">
        <v>781</v>
      </c>
      <c r="B10" s="1272"/>
      <c r="C10" s="1273"/>
      <c r="D10" s="1265" t="s">
        <v>1024</v>
      </c>
      <c r="E10" s="1265" t="s">
        <v>780</v>
      </c>
      <c r="F10" s="1265" t="s">
        <v>1025</v>
      </c>
      <c r="G10" s="1265" t="s">
        <v>1026</v>
      </c>
    </row>
    <row r="11" spans="1:7" s="388" customFormat="1" ht="12.75">
      <c r="A11" s="1274"/>
      <c r="B11" s="1275"/>
      <c r="C11" s="1276"/>
      <c r="D11" s="1266"/>
      <c r="E11" s="1266"/>
      <c r="F11" s="1266"/>
      <c r="G11" s="1266"/>
    </row>
    <row r="12" spans="1:7" s="388" customFormat="1" ht="29.25" customHeight="1" thickBot="1">
      <c r="A12" s="1277"/>
      <c r="B12" s="1278"/>
      <c r="C12" s="1279"/>
      <c r="D12" s="1267"/>
      <c r="E12" s="1267"/>
      <c r="F12" s="1267"/>
      <c r="G12" s="1267"/>
    </row>
    <row r="13" spans="1:7" s="388" customFormat="1" ht="25.5" customHeight="1">
      <c r="A13" s="416" t="s">
        <v>323</v>
      </c>
      <c r="B13" s="413"/>
      <c r="C13" s="413"/>
      <c r="D13" s="415"/>
      <c r="E13" s="415"/>
      <c r="F13" s="415"/>
      <c r="G13" s="415"/>
    </row>
    <row r="14" spans="1:7" s="388" customFormat="1" ht="40.5" customHeight="1">
      <c r="A14" s="1264" t="s">
        <v>24</v>
      </c>
      <c r="B14" s="1264"/>
      <c r="C14" s="1264"/>
      <c r="D14" s="414">
        <v>0.5</v>
      </c>
      <c r="E14" s="414"/>
      <c r="F14" s="414">
        <v>0.5</v>
      </c>
      <c r="G14" s="414">
        <v>0.5</v>
      </c>
    </row>
    <row r="15" spans="1:7" s="388" customFormat="1" ht="22.5" customHeight="1">
      <c r="A15" s="1260" t="s">
        <v>390</v>
      </c>
      <c r="B15" s="1261"/>
      <c r="C15" s="1262"/>
      <c r="D15" s="414"/>
      <c r="E15" s="414"/>
      <c r="F15" s="414"/>
      <c r="G15" s="414"/>
    </row>
    <row r="16" spans="1:7" s="388" customFormat="1" ht="22.5" customHeight="1">
      <c r="A16" s="1260" t="s">
        <v>731</v>
      </c>
      <c r="B16" s="1261"/>
      <c r="C16" s="1262"/>
      <c r="D16" s="414">
        <v>0.2</v>
      </c>
      <c r="E16" s="414"/>
      <c r="F16" s="414">
        <v>0.2</v>
      </c>
      <c r="G16" s="414">
        <v>0.2</v>
      </c>
    </row>
    <row r="17" spans="1:7" s="388" customFormat="1" ht="22.5" customHeight="1">
      <c r="A17" s="1260" t="s">
        <v>393</v>
      </c>
      <c r="B17" s="1261"/>
      <c r="C17" s="1262"/>
      <c r="D17" s="414">
        <v>1.05</v>
      </c>
      <c r="E17" s="414"/>
      <c r="F17" s="414">
        <v>1.05</v>
      </c>
      <c r="G17" s="414">
        <f>0.3+0.75</f>
        <v>1.05</v>
      </c>
    </row>
    <row r="18" spans="1:7" s="388" customFormat="1" ht="22.5" customHeight="1">
      <c r="A18" s="1260" t="s">
        <v>706</v>
      </c>
      <c r="B18" s="1261"/>
      <c r="C18" s="1262"/>
      <c r="D18" s="414">
        <v>0.9</v>
      </c>
      <c r="E18" s="414"/>
      <c r="F18" s="414">
        <v>0.9</v>
      </c>
      <c r="G18" s="414">
        <v>0.9</v>
      </c>
    </row>
    <row r="19" spans="1:7" s="388" customFormat="1" ht="22.5" customHeight="1">
      <c r="A19" s="1260" t="s">
        <v>707</v>
      </c>
      <c r="B19" s="1261"/>
      <c r="C19" s="1262"/>
      <c r="D19" s="414">
        <v>0.8</v>
      </c>
      <c r="E19" s="414"/>
      <c r="F19" s="414">
        <v>0.8</v>
      </c>
      <c r="G19" s="414">
        <v>0.8</v>
      </c>
    </row>
    <row r="20" spans="1:7" s="388" customFormat="1" ht="43.5" customHeight="1" thickBot="1">
      <c r="A20" s="1263" t="s">
        <v>399</v>
      </c>
      <c r="B20" s="1263" t="s">
        <v>731</v>
      </c>
      <c r="C20" s="1263" t="s">
        <v>731</v>
      </c>
      <c r="D20" s="419">
        <v>0.3</v>
      </c>
      <c r="E20" s="419"/>
      <c r="F20" s="419">
        <v>0.3</v>
      </c>
      <c r="G20" s="743">
        <v>0.29</v>
      </c>
    </row>
    <row r="21" spans="1:7" s="382" customFormat="1" ht="24" customHeight="1" thickBot="1">
      <c r="A21" s="1251" t="s">
        <v>564</v>
      </c>
      <c r="B21" s="1252"/>
      <c r="C21" s="1253"/>
      <c r="D21" s="420">
        <f>SUM(D14:D20)</f>
        <v>3.75</v>
      </c>
      <c r="E21" s="420"/>
      <c r="F21" s="420">
        <f>SUM(F14:F20)</f>
        <v>3.75</v>
      </c>
      <c r="G21" s="744">
        <f>G14+G16+G17+G18+G19+G20+0.01</f>
        <v>3.75</v>
      </c>
    </row>
    <row r="22" spans="1:7" s="388" customFormat="1" ht="25.5" customHeight="1">
      <c r="A22" s="416" t="s">
        <v>565</v>
      </c>
      <c r="B22" s="413"/>
      <c r="C22" s="413"/>
      <c r="D22" s="415"/>
      <c r="E22" s="415"/>
      <c r="F22" s="415"/>
      <c r="G22" s="415"/>
    </row>
    <row r="23" spans="1:7" s="418" customFormat="1" ht="27" customHeight="1">
      <c r="A23" s="1257" t="s">
        <v>337</v>
      </c>
      <c r="B23" s="1258"/>
      <c r="C23" s="1259"/>
      <c r="D23" s="417"/>
      <c r="E23" s="417"/>
      <c r="F23" s="417"/>
      <c r="G23" s="417"/>
    </row>
    <row r="24" spans="1:7" s="418" customFormat="1" ht="27" customHeight="1" thickBot="1">
      <c r="A24" s="1268" t="s">
        <v>339</v>
      </c>
      <c r="B24" s="1269"/>
      <c r="C24" s="1270"/>
      <c r="D24" s="527"/>
      <c r="E24" s="527"/>
      <c r="F24" s="527"/>
      <c r="G24" s="527">
        <v>2</v>
      </c>
    </row>
    <row r="25" spans="1:7" s="382" customFormat="1" ht="24" customHeight="1" thickBot="1">
      <c r="A25" s="1251" t="s">
        <v>324</v>
      </c>
      <c r="B25" s="1252"/>
      <c r="C25" s="1253"/>
      <c r="D25" s="420"/>
      <c r="E25" s="420"/>
      <c r="F25" s="420"/>
      <c r="G25" s="420">
        <f>G23+G24</f>
        <v>2</v>
      </c>
    </row>
    <row r="26" spans="1:7" s="422" customFormat="1" ht="32.25" customHeight="1" thickBot="1">
      <c r="A26" s="1254" t="s">
        <v>566</v>
      </c>
      <c r="B26" s="1255"/>
      <c r="C26" s="1256"/>
      <c r="D26" s="421">
        <f>D21+D25</f>
        <v>3.75</v>
      </c>
      <c r="E26" s="421"/>
      <c r="F26" s="421">
        <f>F21+F25</f>
        <v>3.75</v>
      </c>
      <c r="G26" s="421">
        <f>G21+G25</f>
        <v>5.75</v>
      </c>
    </row>
  </sheetData>
  <sheetProtection/>
  <mergeCells count="22">
    <mergeCell ref="F10:F12"/>
    <mergeCell ref="A6:G6"/>
    <mergeCell ref="A7:G7"/>
    <mergeCell ref="A8:G8"/>
    <mergeCell ref="G10:G12"/>
    <mergeCell ref="D10:D12"/>
    <mergeCell ref="A14:C14"/>
    <mergeCell ref="E10:E12"/>
    <mergeCell ref="A24:C24"/>
    <mergeCell ref="A16:C16"/>
    <mergeCell ref="A17:C17"/>
    <mergeCell ref="A10:C12"/>
    <mergeCell ref="A2:G2"/>
    <mergeCell ref="A25:C25"/>
    <mergeCell ref="A26:C26"/>
    <mergeCell ref="A21:C21"/>
    <mergeCell ref="A3:G3"/>
    <mergeCell ref="A23:C23"/>
    <mergeCell ref="A18:C18"/>
    <mergeCell ref="A19:C19"/>
    <mergeCell ref="A20:C20"/>
    <mergeCell ref="A15:C15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2:O92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2" width="9.125" style="39" customWidth="1"/>
    <col min="3" max="3" width="16.625" style="39" customWidth="1"/>
    <col min="4" max="4" width="12.125" style="39" customWidth="1"/>
    <col min="5" max="12" width="11.75390625" style="39" customWidth="1"/>
    <col min="13" max="13" width="10.875" style="39" customWidth="1"/>
    <col min="14" max="16384" width="9.125" style="39" customWidth="1"/>
  </cols>
  <sheetData>
    <row r="2" spans="1:13" ht="12.75">
      <c r="A2" s="1106"/>
      <c r="B2" s="1106"/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6"/>
    </row>
    <row r="3" spans="1:13" s="28" customFormat="1" ht="15.75">
      <c r="A3" s="1347"/>
      <c r="B3" s="1347"/>
      <c r="C3" s="1347"/>
      <c r="D3" s="1347"/>
      <c r="E3" s="1347"/>
      <c r="F3" s="1347"/>
      <c r="G3" s="1347"/>
      <c r="H3" s="1347"/>
      <c r="I3" s="1347"/>
      <c r="J3" s="1347"/>
      <c r="K3" s="1347"/>
      <c r="L3" s="1347"/>
      <c r="M3" s="1347"/>
    </row>
    <row r="4" spans="1:9" s="67" customFormat="1" ht="12.75">
      <c r="A4" s="234" t="s">
        <v>1176</v>
      </c>
      <c r="B4" s="234"/>
      <c r="C4" s="234"/>
      <c r="D4" s="234"/>
      <c r="F4" s="138"/>
      <c r="G4" s="51"/>
      <c r="H4" s="51"/>
      <c r="I4" s="51"/>
    </row>
    <row r="5" spans="1:9" s="67" customFormat="1" ht="12.75">
      <c r="A5" s="234"/>
      <c r="B5" s="234"/>
      <c r="C5" s="234"/>
      <c r="D5" s="234"/>
      <c r="F5" s="138"/>
      <c r="G5" s="51"/>
      <c r="H5" s="51"/>
      <c r="I5" s="51"/>
    </row>
    <row r="6" spans="1:9" s="67" customFormat="1" ht="12.75">
      <c r="A6" s="234"/>
      <c r="B6" s="234"/>
      <c r="C6" s="234"/>
      <c r="D6" s="234"/>
      <c r="F6" s="138"/>
      <c r="G6" s="51"/>
      <c r="H6" s="51"/>
      <c r="I6" s="51"/>
    </row>
    <row r="7" spans="1:13" s="18" customFormat="1" ht="15.75">
      <c r="A7" s="1132" t="s">
        <v>568</v>
      </c>
      <c r="B7" s="1132"/>
      <c r="C7" s="1132"/>
      <c r="D7" s="1132"/>
      <c r="E7" s="1132"/>
      <c r="F7" s="1132"/>
      <c r="G7" s="1132"/>
      <c r="H7" s="1132"/>
      <c r="I7" s="1132"/>
      <c r="J7" s="1132"/>
      <c r="K7" s="1132"/>
      <c r="L7" s="1132"/>
      <c r="M7" s="1132"/>
    </row>
    <row r="8" spans="1:15" ht="15.75">
      <c r="A8" s="1132" t="s">
        <v>326</v>
      </c>
      <c r="B8" s="1132"/>
      <c r="C8" s="1132"/>
      <c r="D8" s="1132"/>
      <c r="E8" s="1132"/>
      <c r="F8" s="1132"/>
      <c r="G8" s="1132"/>
      <c r="H8" s="1132"/>
      <c r="I8" s="1132"/>
      <c r="J8" s="1132"/>
      <c r="K8" s="1132"/>
      <c r="L8" s="1132"/>
      <c r="M8" s="1132"/>
      <c r="N8" s="123"/>
      <c r="O8" s="123"/>
    </row>
    <row r="9" spans="1:15" ht="15.75">
      <c r="A9" s="1132" t="s">
        <v>950</v>
      </c>
      <c r="B9" s="1132"/>
      <c r="C9" s="1132"/>
      <c r="D9" s="1132"/>
      <c r="E9" s="1132"/>
      <c r="F9" s="1132"/>
      <c r="G9" s="1132"/>
      <c r="H9" s="1132"/>
      <c r="I9" s="1132"/>
      <c r="J9" s="1132"/>
      <c r="K9" s="1132"/>
      <c r="L9" s="1132"/>
      <c r="M9" s="1132"/>
      <c r="N9" s="123"/>
      <c r="O9" s="123"/>
    </row>
    <row r="10" spans="1:15" ht="15.7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3"/>
      <c r="O10" s="123"/>
    </row>
    <row r="11" spans="1:13" s="41" customFormat="1" ht="15.75">
      <c r="A11" s="400" t="s">
        <v>787</v>
      </c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</row>
    <row r="12" spans="1:13" ht="18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15.75">
      <c r="A13" s="402" t="s">
        <v>558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9.5" thickBo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16.5" thickBot="1">
      <c r="A15" s="1289" t="s">
        <v>637</v>
      </c>
      <c r="B15" s="1290"/>
      <c r="C15" s="1290"/>
      <c r="D15" s="1338" t="s">
        <v>878</v>
      </c>
      <c r="E15" s="1339"/>
      <c r="F15" s="1340"/>
      <c r="G15" s="1338" t="s">
        <v>638</v>
      </c>
      <c r="H15" s="1339"/>
      <c r="I15" s="1340"/>
      <c r="J15" s="1338" t="s">
        <v>639</v>
      </c>
      <c r="K15" s="1339"/>
      <c r="L15" s="1340"/>
      <c r="M15" s="1295" t="s">
        <v>640</v>
      </c>
    </row>
    <row r="16" spans="1:13" ht="15.75">
      <c r="A16" s="1291"/>
      <c r="B16" s="1292"/>
      <c r="C16" s="1292"/>
      <c r="D16" s="403" t="s">
        <v>641</v>
      </c>
      <c r="E16" s="404" t="s">
        <v>642</v>
      </c>
      <c r="F16" s="405" t="s">
        <v>643</v>
      </c>
      <c r="G16" s="404" t="s">
        <v>644</v>
      </c>
      <c r="H16" s="404" t="s">
        <v>642</v>
      </c>
      <c r="I16" s="405" t="s">
        <v>645</v>
      </c>
      <c r="J16" s="404" t="s">
        <v>644</v>
      </c>
      <c r="K16" s="405" t="s">
        <v>642</v>
      </c>
      <c r="L16" s="404" t="s">
        <v>645</v>
      </c>
      <c r="M16" s="1296"/>
    </row>
    <row r="17" spans="1:13" ht="16.5" thickBot="1">
      <c r="A17" s="1291"/>
      <c r="B17" s="1292"/>
      <c r="C17" s="1292"/>
      <c r="D17" s="406" t="s">
        <v>646</v>
      </c>
      <c r="E17" s="407" t="s">
        <v>647</v>
      </c>
      <c r="F17" s="290" t="s">
        <v>648</v>
      </c>
      <c r="G17" s="408" t="s">
        <v>646</v>
      </c>
      <c r="H17" s="407" t="s">
        <v>647</v>
      </c>
      <c r="I17" s="290" t="s">
        <v>648</v>
      </c>
      <c r="J17" s="408" t="s">
        <v>646</v>
      </c>
      <c r="K17" s="290" t="s">
        <v>647</v>
      </c>
      <c r="L17" s="407" t="s">
        <v>648</v>
      </c>
      <c r="M17" s="1297"/>
    </row>
    <row r="18" spans="1:13" ht="12.75">
      <c r="A18" s="1348" t="s">
        <v>553</v>
      </c>
      <c r="B18" s="1349"/>
      <c r="C18" s="1350"/>
      <c r="D18" s="1282"/>
      <c r="E18" s="1280"/>
      <c r="F18" s="1284"/>
      <c r="G18" s="1367" t="s">
        <v>554</v>
      </c>
      <c r="H18" s="1370"/>
      <c r="I18" s="1373">
        <v>2208</v>
      </c>
      <c r="J18" s="1280"/>
      <c r="K18" s="1280"/>
      <c r="L18" s="1280"/>
      <c r="M18" s="1333">
        <v>2208</v>
      </c>
    </row>
    <row r="19" spans="1:13" ht="12.75">
      <c r="A19" s="1351"/>
      <c r="B19" s="1352"/>
      <c r="C19" s="1353"/>
      <c r="D19" s="1335"/>
      <c r="E19" s="1285"/>
      <c r="F19" s="1298"/>
      <c r="G19" s="1368"/>
      <c r="H19" s="1371"/>
      <c r="I19" s="1374"/>
      <c r="J19" s="1285"/>
      <c r="K19" s="1285"/>
      <c r="L19" s="1285"/>
      <c r="M19" s="1285"/>
    </row>
    <row r="20" spans="1:13" ht="13.5" thickBot="1">
      <c r="A20" s="1354"/>
      <c r="B20" s="1355"/>
      <c r="C20" s="1356"/>
      <c r="D20" s="1336"/>
      <c r="E20" s="1331"/>
      <c r="F20" s="1337"/>
      <c r="G20" s="1369"/>
      <c r="H20" s="1372"/>
      <c r="I20" s="1375"/>
      <c r="J20" s="1331"/>
      <c r="K20" s="1331"/>
      <c r="L20" s="1331"/>
      <c r="M20" s="1331"/>
    </row>
    <row r="21" spans="1:13" s="49" customFormat="1" ht="12.75">
      <c r="A21" s="1320" t="s">
        <v>705</v>
      </c>
      <c r="B21" s="1321"/>
      <c r="C21" s="1322"/>
      <c r="D21" s="1326"/>
      <c r="E21" s="1326"/>
      <c r="F21" s="1329">
        <f>SUM(F18)</f>
        <v>0</v>
      </c>
      <c r="G21" s="1326"/>
      <c r="H21" s="1326"/>
      <c r="I21" s="1376">
        <f>I18</f>
        <v>2208</v>
      </c>
      <c r="J21" s="1326"/>
      <c r="K21" s="1326"/>
      <c r="L21" s="1326"/>
      <c r="M21" s="1328">
        <f>M18</f>
        <v>2208</v>
      </c>
    </row>
    <row r="22" spans="1:13" s="49" customFormat="1" ht="13.5" thickBot="1">
      <c r="A22" s="1323"/>
      <c r="B22" s="1324"/>
      <c r="C22" s="1325"/>
      <c r="D22" s="1327"/>
      <c r="E22" s="1327"/>
      <c r="F22" s="1330"/>
      <c r="G22" s="1327"/>
      <c r="H22" s="1327"/>
      <c r="I22" s="1327"/>
      <c r="J22" s="1327"/>
      <c r="K22" s="1327"/>
      <c r="L22" s="1327"/>
      <c r="M22" s="1327"/>
    </row>
    <row r="23" spans="1:13" ht="18.75">
      <c r="A23" s="40"/>
      <c r="B23" s="40"/>
      <c r="C23" s="40"/>
      <c r="D23" s="40"/>
      <c r="E23" s="40"/>
      <c r="F23" s="125"/>
      <c r="G23" s="40"/>
      <c r="H23" s="40"/>
      <c r="I23" s="40"/>
      <c r="J23" s="40"/>
      <c r="K23" s="40"/>
      <c r="L23" s="40"/>
      <c r="M23" s="40"/>
    </row>
    <row r="24" spans="1:6" s="402" customFormat="1" ht="15.75">
      <c r="A24" s="402" t="s">
        <v>525</v>
      </c>
      <c r="F24" s="59"/>
    </row>
    <row r="25" spans="1:13" ht="18.75">
      <c r="A25" s="409" t="s">
        <v>526</v>
      </c>
      <c r="B25" s="409"/>
      <c r="C25" s="409"/>
      <c r="D25" s="409"/>
      <c r="E25" s="409"/>
      <c r="F25" s="60"/>
      <c r="G25" s="410" t="s">
        <v>648</v>
      </c>
      <c r="H25" s="40"/>
      <c r="I25" s="40"/>
      <c r="J25" s="40"/>
      <c r="K25" s="40"/>
      <c r="L25" s="40"/>
      <c r="M25" s="40"/>
    </row>
    <row r="26" spans="1:13" ht="18.75">
      <c r="A26" s="409" t="s">
        <v>527</v>
      </c>
      <c r="B26" s="409"/>
      <c r="C26" s="409"/>
      <c r="D26" s="409"/>
      <c r="E26" s="409"/>
      <c r="F26" s="60"/>
      <c r="G26" s="410" t="s">
        <v>648</v>
      </c>
      <c r="H26" s="40"/>
      <c r="I26" s="40"/>
      <c r="J26" s="40"/>
      <c r="K26" s="40"/>
      <c r="L26" s="40"/>
      <c r="M26" s="40"/>
    </row>
    <row r="27" spans="1:13" ht="19.5">
      <c r="A27" s="409" t="s">
        <v>788</v>
      </c>
      <c r="B27" s="409"/>
      <c r="C27" s="409"/>
      <c r="D27" s="409"/>
      <c r="E27" s="409"/>
      <c r="F27" s="61">
        <v>324</v>
      </c>
      <c r="G27" s="411" t="s">
        <v>648</v>
      </c>
      <c r="H27" s="40"/>
      <c r="I27" s="40"/>
      <c r="J27" s="40"/>
      <c r="K27" s="40"/>
      <c r="L27" s="40"/>
      <c r="M27" s="40"/>
    </row>
    <row r="28" spans="1:13" ht="18.75">
      <c r="A28" s="409" t="s">
        <v>528</v>
      </c>
      <c r="B28" s="409"/>
      <c r="C28" s="409"/>
      <c r="D28" s="409"/>
      <c r="E28" s="409"/>
      <c r="F28" s="62">
        <f>SUM(F25:F27)</f>
        <v>324</v>
      </c>
      <c r="G28" s="412" t="s">
        <v>648</v>
      </c>
      <c r="H28" s="40"/>
      <c r="I28" s="40"/>
      <c r="J28" s="40"/>
      <c r="K28" s="40"/>
      <c r="L28" s="40"/>
      <c r="M28" s="40"/>
    </row>
    <row r="29" spans="1:13" ht="18.75">
      <c r="A29" s="409"/>
      <c r="B29" s="409"/>
      <c r="C29" s="409"/>
      <c r="D29" s="409"/>
      <c r="E29" s="409"/>
      <c r="F29" s="62"/>
      <c r="G29" s="412"/>
      <c r="H29" s="40"/>
      <c r="I29" s="40"/>
      <c r="J29" s="40"/>
      <c r="K29" s="40"/>
      <c r="L29" s="40"/>
      <c r="M29" s="40"/>
    </row>
    <row r="30" spans="1:13" ht="15.75">
      <c r="A30" s="402" t="s">
        <v>789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8.75">
      <c r="A31" s="409"/>
      <c r="B31" s="409"/>
      <c r="C31" s="409"/>
      <c r="D31" s="409"/>
      <c r="E31" s="409"/>
      <c r="F31" s="62"/>
      <c r="G31" s="412"/>
      <c r="H31" s="40"/>
      <c r="I31" s="40"/>
      <c r="J31" s="40"/>
      <c r="K31" s="40"/>
      <c r="L31" s="40"/>
      <c r="M31" s="40"/>
    </row>
    <row r="32" spans="1:13" ht="19.5" thickBot="1">
      <c r="A32" s="409"/>
      <c r="B32" s="409"/>
      <c r="C32" s="409"/>
      <c r="D32" s="409"/>
      <c r="E32" s="409"/>
      <c r="F32" s="62"/>
      <c r="G32" s="412"/>
      <c r="H32" s="40"/>
      <c r="I32" s="40"/>
      <c r="J32" s="40"/>
      <c r="K32" s="40"/>
      <c r="L32" s="40"/>
      <c r="M32" s="40"/>
    </row>
    <row r="33" spans="1:13" ht="16.5" thickBot="1">
      <c r="A33" s="1289" t="s">
        <v>637</v>
      </c>
      <c r="B33" s="1290"/>
      <c r="C33" s="1290"/>
      <c r="D33" s="1338" t="s">
        <v>878</v>
      </c>
      <c r="E33" s="1339"/>
      <c r="F33" s="1340"/>
      <c r="G33" s="1338" t="s">
        <v>638</v>
      </c>
      <c r="H33" s="1339"/>
      <c r="I33" s="1340"/>
      <c r="J33" s="1338" t="s">
        <v>639</v>
      </c>
      <c r="K33" s="1339"/>
      <c r="L33" s="1340"/>
      <c r="M33" s="1295" t="s">
        <v>640</v>
      </c>
    </row>
    <row r="34" spans="1:13" ht="15.75">
      <c r="A34" s="1291"/>
      <c r="B34" s="1292"/>
      <c r="C34" s="1292"/>
      <c r="D34" s="403" t="s">
        <v>641</v>
      </c>
      <c r="E34" s="404" t="s">
        <v>642</v>
      </c>
      <c r="F34" s="405" t="s">
        <v>643</v>
      </c>
      <c r="G34" s="404" t="s">
        <v>644</v>
      </c>
      <c r="H34" s="404" t="s">
        <v>642</v>
      </c>
      <c r="I34" s="405" t="s">
        <v>645</v>
      </c>
      <c r="J34" s="404" t="s">
        <v>644</v>
      </c>
      <c r="K34" s="405" t="s">
        <v>642</v>
      </c>
      <c r="L34" s="404" t="s">
        <v>645</v>
      </c>
      <c r="M34" s="1296"/>
    </row>
    <row r="35" spans="1:13" ht="16.5" thickBot="1">
      <c r="A35" s="1291"/>
      <c r="B35" s="1292"/>
      <c r="C35" s="1292"/>
      <c r="D35" s="406" t="s">
        <v>646</v>
      </c>
      <c r="E35" s="407" t="s">
        <v>647</v>
      </c>
      <c r="F35" s="290" t="s">
        <v>648</v>
      </c>
      <c r="G35" s="408" t="s">
        <v>646</v>
      </c>
      <c r="H35" s="407" t="s">
        <v>647</v>
      </c>
      <c r="I35" s="290" t="s">
        <v>648</v>
      </c>
      <c r="J35" s="408" t="s">
        <v>646</v>
      </c>
      <c r="K35" s="290" t="s">
        <v>647</v>
      </c>
      <c r="L35" s="407" t="s">
        <v>648</v>
      </c>
      <c r="M35" s="1297"/>
    </row>
    <row r="36" spans="1:13" ht="12.75">
      <c r="A36" s="1357" t="s">
        <v>529</v>
      </c>
      <c r="B36" s="1358"/>
      <c r="C36" s="1359"/>
      <c r="D36" s="1282" t="s">
        <v>530</v>
      </c>
      <c r="E36" s="1280"/>
      <c r="F36" s="1284"/>
      <c r="G36" s="1334"/>
      <c r="H36" s="1334"/>
      <c r="I36" s="1334"/>
      <c r="J36" s="1280"/>
      <c r="K36" s="1280"/>
      <c r="L36" s="1280"/>
      <c r="M36" s="1333">
        <f>L36+I36+F36</f>
        <v>0</v>
      </c>
    </row>
    <row r="37" spans="1:13" ht="12.75">
      <c r="A37" s="1360"/>
      <c r="B37" s="1361"/>
      <c r="C37" s="1362"/>
      <c r="D37" s="1335"/>
      <c r="E37" s="1285"/>
      <c r="F37" s="1298"/>
      <c r="G37" s="1334"/>
      <c r="H37" s="1334"/>
      <c r="I37" s="1334"/>
      <c r="J37" s="1285"/>
      <c r="K37" s="1285"/>
      <c r="L37" s="1285"/>
      <c r="M37" s="1285"/>
    </row>
    <row r="38" spans="1:13" ht="12.75">
      <c r="A38" s="1363"/>
      <c r="B38" s="1364"/>
      <c r="C38" s="1365"/>
      <c r="D38" s="1336"/>
      <c r="E38" s="1331"/>
      <c r="F38" s="1337"/>
      <c r="G38" s="1334"/>
      <c r="H38" s="1334"/>
      <c r="I38" s="1334"/>
      <c r="J38" s="1331"/>
      <c r="K38" s="1331"/>
      <c r="L38" s="1331"/>
      <c r="M38" s="1331"/>
    </row>
    <row r="39" spans="1:13" ht="12.75">
      <c r="A39" s="1341" t="s">
        <v>880</v>
      </c>
      <c r="B39" s="1342"/>
      <c r="C39" s="1343"/>
      <c r="D39" s="1282" t="s">
        <v>879</v>
      </c>
      <c r="E39" s="1280"/>
      <c r="F39" s="1284">
        <v>71</v>
      </c>
      <c r="G39" s="1280"/>
      <c r="H39" s="1280"/>
      <c r="I39" s="1280"/>
      <c r="J39" s="1280"/>
      <c r="K39" s="1280"/>
      <c r="L39" s="1280"/>
      <c r="M39" s="1280">
        <v>71</v>
      </c>
    </row>
    <row r="40" spans="1:13" ht="12.75">
      <c r="A40" s="1344"/>
      <c r="B40" s="1345"/>
      <c r="C40" s="1346"/>
      <c r="D40" s="1283"/>
      <c r="E40" s="1281"/>
      <c r="F40" s="1281"/>
      <c r="G40" s="1281"/>
      <c r="H40" s="1281"/>
      <c r="I40" s="1281"/>
      <c r="J40" s="1281"/>
      <c r="K40" s="1281"/>
      <c r="L40" s="1281"/>
      <c r="M40" s="1281"/>
    </row>
    <row r="41" spans="1:13" ht="12.75">
      <c r="A41" s="1357" t="s">
        <v>531</v>
      </c>
      <c r="B41" s="1358"/>
      <c r="C41" s="1359"/>
      <c r="D41" s="1282"/>
      <c r="E41" s="1280"/>
      <c r="F41" s="1284"/>
      <c r="G41" s="1366" t="s">
        <v>532</v>
      </c>
      <c r="H41" s="1334"/>
      <c r="I41" s="1332">
        <v>226</v>
      </c>
      <c r="J41" s="1280"/>
      <c r="K41" s="1280"/>
      <c r="L41" s="1280"/>
      <c r="M41" s="1333">
        <f>L41+I41+F41</f>
        <v>226</v>
      </c>
    </row>
    <row r="42" spans="1:13" ht="12.75">
      <c r="A42" s="1360"/>
      <c r="B42" s="1361"/>
      <c r="C42" s="1362"/>
      <c r="D42" s="1335"/>
      <c r="E42" s="1285"/>
      <c r="F42" s="1298"/>
      <c r="G42" s="1366"/>
      <c r="H42" s="1334"/>
      <c r="I42" s="1332"/>
      <c r="J42" s="1285"/>
      <c r="K42" s="1285"/>
      <c r="L42" s="1285"/>
      <c r="M42" s="1285"/>
    </row>
    <row r="43" spans="1:13" ht="13.5" thickBot="1">
      <c r="A43" s="1363"/>
      <c r="B43" s="1364"/>
      <c r="C43" s="1365"/>
      <c r="D43" s="1336"/>
      <c r="E43" s="1331"/>
      <c r="F43" s="1337"/>
      <c r="G43" s="1366"/>
      <c r="H43" s="1334"/>
      <c r="I43" s="1332"/>
      <c r="J43" s="1331"/>
      <c r="K43" s="1331"/>
      <c r="L43" s="1331"/>
      <c r="M43" s="1331"/>
    </row>
    <row r="44" spans="1:13" s="49" customFormat="1" ht="12.75">
      <c r="A44" s="1320" t="s">
        <v>705</v>
      </c>
      <c r="B44" s="1321"/>
      <c r="C44" s="1322"/>
      <c r="D44" s="1326"/>
      <c r="E44" s="1326"/>
      <c r="F44" s="1329">
        <f>SUM(F36:F43)</f>
        <v>71</v>
      </c>
      <c r="G44" s="1326"/>
      <c r="H44" s="1326"/>
      <c r="I44" s="1328">
        <f>SUM(I41:I43)</f>
        <v>226</v>
      </c>
      <c r="J44" s="1326"/>
      <c r="K44" s="1326"/>
      <c r="L44" s="1326"/>
      <c r="M44" s="1328">
        <f>SUM(M36:M43)</f>
        <v>297</v>
      </c>
    </row>
    <row r="45" spans="1:13" s="49" customFormat="1" ht="13.5" thickBot="1">
      <c r="A45" s="1323"/>
      <c r="B45" s="1324"/>
      <c r="C45" s="1325"/>
      <c r="D45" s="1327"/>
      <c r="E45" s="1327"/>
      <c r="F45" s="1330"/>
      <c r="G45" s="1327"/>
      <c r="H45" s="1327"/>
      <c r="I45" s="1327"/>
      <c r="J45" s="1327"/>
      <c r="K45" s="1327"/>
      <c r="L45" s="1327"/>
      <c r="M45" s="1327"/>
    </row>
    <row r="46" spans="1:13" ht="18.75">
      <c r="A46" s="409"/>
      <c r="B46" s="409"/>
      <c r="C46" s="409"/>
      <c r="D46" s="409"/>
      <c r="E46" s="409"/>
      <c r="F46" s="62"/>
      <c r="G46" s="412"/>
      <c r="H46" s="40"/>
      <c r="I46" s="40"/>
      <c r="J46" s="40"/>
      <c r="K46" s="40"/>
      <c r="L46" s="40"/>
      <c r="M46" s="40"/>
    </row>
    <row r="47" spans="1:13" ht="18.75">
      <c r="A47" s="409"/>
      <c r="B47" s="409"/>
      <c r="C47" s="409"/>
      <c r="D47" s="409"/>
      <c r="E47" s="409"/>
      <c r="F47" s="62"/>
      <c r="G47" s="412"/>
      <c r="H47" s="40"/>
      <c r="I47" s="40"/>
      <c r="J47" s="40"/>
      <c r="K47" s="40"/>
      <c r="L47" s="40"/>
      <c r="M47" s="40"/>
    </row>
    <row r="48" spans="1:13" ht="18.75">
      <c r="A48" s="409"/>
      <c r="B48" s="409"/>
      <c r="C48" s="409"/>
      <c r="D48" s="409"/>
      <c r="E48" s="409"/>
      <c r="F48" s="62"/>
      <c r="G48" s="412"/>
      <c r="H48" s="40"/>
      <c r="I48" s="40"/>
      <c r="J48" s="40"/>
      <c r="K48" s="40"/>
      <c r="L48" s="40"/>
      <c r="M48" s="40"/>
    </row>
    <row r="49" spans="1:13" ht="18.75">
      <c r="A49" s="409"/>
      <c r="B49" s="409"/>
      <c r="C49" s="409"/>
      <c r="D49" s="409"/>
      <c r="E49" s="409"/>
      <c r="F49" s="62"/>
      <c r="G49" s="412"/>
      <c r="H49" s="40"/>
      <c r="I49" s="40"/>
      <c r="J49" s="40"/>
      <c r="K49" s="40"/>
      <c r="L49" s="40"/>
      <c r="M49" s="40"/>
    </row>
    <row r="50" spans="1:13" ht="18.75">
      <c r="A50" s="409"/>
      <c r="B50" s="409"/>
      <c r="C50" s="409"/>
      <c r="D50" s="409"/>
      <c r="E50" s="409"/>
      <c r="F50" s="62"/>
      <c r="G50" s="412"/>
      <c r="H50" s="40"/>
      <c r="I50" s="40"/>
      <c r="J50" s="40"/>
      <c r="K50" s="40"/>
      <c r="L50" s="40"/>
      <c r="M50" s="40"/>
    </row>
    <row r="51" spans="1:13" ht="18.75">
      <c r="A51" s="409"/>
      <c r="B51" s="409"/>
      <c r="C51" s="409"/>
      <c r="D51" s="409"/>
      <c r="E51" s="409"/>
      <c r="F51" s="62"/>
      <c r="G51" s="412"/>
      <c r="H51" s="40"/>
      <c r="I51" s="40"/>
      <c r="J51" s="40"/>
      <c r="K51" s="40"/>
      <c r="L51" s="40"/>
      <c r="M51" s="40"/>
    </row>
    <row r="52" spans="1:13" ht="18.75">
      <c r="A52" s="409"/>
      <c r="B52" s="409"/>
      <c r="C52" s="409"/>
      <c r="D52" s="409"/>
      <c r="E52" s="409"/>
      <c r="F52" s="62"/>
      <c r="G52" s="412"/>
      <c r="H52" s="40"/>
      <c r="I52" s="40"/>
      <c r="J52" s="40"/>
      <c r="K52" s="40"/>
      <c r="L52" s="40"/>
      <c r="M52" s="40"/>
    </row>
    <row r="53" spans="1:13" ht="18.75">
      <c r="A53" s="409"/>
      <c r="B53" s="409"/>
      <c r="C53" s="409"/>
      <c r="D53" s="409"/>
      <c r="E53" s="409"/>
      <c r="F53" s="62"/>
      <c r="G53" s="412"/>
      <c r="H53" s="40"/>
      <c r="I53" s="40"/>
      <c r="J53" s="40"/>
      <c r="K53" s="40"/>
      <c r="L53" s="40"/>
      <c r="M53" s="40"/>
    </row>
    <row r="54" spans="1:13" ht="18.75">
      <c r="A54" s="409"/>
      <c r="B54" s="409"/>
      <c r="C54" s="409"/>
      <c r="D54" s="409"/>
      <c r="E54" s="409"/>
      <c r="F54" s="62"/>
      <c r="G54" s="412"/>
      <c r="H54" s="40"/>
      <c r="I54" s="40"/>
      <c r="J54" s="40"/>
      <c r="K54" s="40"/>
      <c r="L54" s="40"/>
      <c r="M54" s="40"/>
    </row>
    <row r="55" spans="1:13" ht="18.75">
      <c r="A55" s="409"/>
      <c r="B55" s="409"/>
      <c r="C55" s="409"/>
      <c r="D55" s="409"/>
      <c r="E55" s="409"/>
      <c r="F55" s="62"/>
      <c r="G55" s="412"/>
      <c r="H55" s="40"/>
      <c r="I55" s="40"/>
      <c r="J55" s="40"/>
      <c r="K55" s="40"/>
      <c r="L55" s="40"/>
      <c r="M55" s="40"/>
    </row>
    <row r="56" spans="1:13" ht="15.75">
      <c r="A56" s="36" t="s">
        <v>681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ht="18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1:13" ht="15.75">
      <c r="A58" s="36" t="s">
        <v>742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19.5" thickBo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11" ht="12.75">
      <c r="A60" s="1289" t="s">
        <v>637</v>
      </c>
      <c r="B60" s="1290"/>
      <c r="C60" s="1290"/>
      <c r="D60" s="1289" t="s">
        <v>682</v>
      </c>
      <c r="E60" s="1295"/>
      <c r="F60" s="1289" t="s">
        <v>743</v>
      </c>
      <c r="G60" s="1295"/>
      <c r="H60" s="1289" t="s">
        <v>683</v>
      </c>
      <c r="I60" s="1295"/>
      <c r="J60" s="1289" t="s">
        <v>555</v>
      </c>
      <c r="K60" s="1295"/>
    </row>
    <row r="61" spans="1:11" ht="12.75">
      <c r="A61" s="1291"/>
      <c r="B61" s="1292"/>
      <c r="C61" s="1292"/>
      <c r="D61" s="1291"/>
      <c r="E61" s="1296"/>
      <c r="F61" s="1291"/>
      <c r="G61" s="1296"/>
      <c r="H61" s="1291"/>
      <c r="I61" s="1296"/>
      <c r="J61" s="1291"/>
      <c r="K61" s="1296"/>
    </row>
    <row r="62" spans="1:11" ht="13.5" thickBot="1">
      <c r="A62" s="1293"/>
      <c r="B62" s="1294"/>
      <c r="C62" s="1294"/>
      <c r="D62" s="1293"/>
      <c r="E62" s="1297"/>
      <c r="F62" s="1293"/>
      <c r="G62" s="1297"/>
      <c r="H62" s="1293"/>
      <c r="I62" s="1297"/>
      <c r="J62" s="1293"/>
      <c r="K62" s="1297"/>
    </row>
    <row r="63" spans="1:12" s="41" customFormat="1" ht="16.5" thickBot="1">
      <c r="A63" s="1285" t="s">
        <v>684</v>
      </c>
      <c r="B63" s="1285"/>
      <c r="C63" s="1285"/>
      <c r="D63" s="1285" t="s">
        <v>688</v>
      </c>
      <c r="E63" s="1285"/>
      <c r="F63" s="1286" t="s">
        <v>688</v>
      </c>
      <c r="G63" s="1287"/>
      <c r="H63" s="1286" t="s">
        <v>688</v>
      </c>
      <c r="I63" s="1287"/>
      <c r="J63" s="1285" t="s">
        <v>688</v>
      </c>
      <c r="K63" s="1285"/>
      <c r="L63" s="42"/>
    </row>
    <row r="64" spans="1:13" s="49" customFormat="1" ht="12.75">
      <c r="A64" s="1320" t="s">
        <v>705</v>
      </c>
      <c r="B64" s="1321"/>
      <c r="C64" s="1322"/>
      <c r="D64" s="1320"/>
      <c r="E64" s="1322"/>
      <c r="F64" s="1320"/>
      <c r="G64" s="1322"/>
      <c r="H64" s="1320"/>
      <c r="I64" s="1322"/>
      <c r="J64" s="1320" t="s">
        <v>688</v>
      </c>
      <c r="K64" s="1322"/>
      <c r="L64" s="1319"/>
      <c r="M64" s="1319"/>
    </row>
    <row r="65" spans="1:13" s="49" customFormat="1" ht="13.5" thickBot="1">
      <c r="A65" s="1323"/>
      <c r="B65" s="1324"/>
      <c r="C65" s="1325"/>
      <c r="D65" s="1323"/>
      <c r="E65" s="1325"/>
      <c r="F65" s="1323"/>
      <c r="G65" s="1325"/>
      <c r="H65" s="1323"/>
      <c r="I65" s="1325"/>
      <c r="J65" s="1323"/>
      <c r="K65" s="1325"/>
      <c r="L65" s="1319"/>
      <c r="M65" s="1319"/>
    </row>
    <row r="67" spans="1:13" ht="15.75">
      <c r="A67" s="36" t="s">
        <v>685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ht="13.5" thickBot="1"/>
    <row r="69" spans="1:11" ht="12.75">
      <c r="A69" s="1289" t="s">
        <v>637</v>
      </c>
      <c r="B69" s="1290"/>
      <c r="C69" s="1290"/>
      <c r="D69" s="1289" t="s">
        <v>682</v>
      </c>
      <c r="E69" s="1295"/>
      <c r="F69" s="1289" t="s">
        <v>744</v>
      </c>
      <c r="G69" s="1295"/>
      <c r="H69" s="1289" t="s">
        <v>683</v>
      </c>
      <c r="I69" s="1295"/>
      <c r="J69" s="1289" t="s">
        <v>555</v>
      </c>
      <c r="K69" s="1295"/>
    </row>
    <row r="70" spans="1:11" ht="12.75">
      <c r="A70" s="1291"/>
      <c r="B70" s="1292"/>
      <c r="C70" s="1292"/>
      <c r="D70" s="1291"/>
      <c r="E70" s="1296"/>
      <c r="F70" s="1291"/>
      <c r="G70" s="1296"/>
      <c r="H70" s="1291"/>
      <c r="I70" s="1296"/>
      <c r="J70" s="1291"/>
      <c r="K70" s="1296"/>
    </row>
    <row r="71" spans="1:11" ht="13.5" thickBot="1">
      <c r="A71" s="1293"/>
      <c r="B71" s="1294"/>
      <c r="C71" s="1294"/>
      <c r="D71" s="1293"/>
      <c r="E71" s="1297"/>
      <c r="F71" s="1293"/>
      <c r="G71" s="1297"/>
      <c r="H71" s="1293"/>
      <c r="I71" s="1297"/>
      <c r="J71" s="1293"/>
      <c r="K71" s="1297"/>
    </row>
    <row r="72" spans="1:12" s="41" customFormat="1" ht="16.5" thickBot="1">
      <c r="A72" s="1285" t="s">
        <v>686</v>
      </c>
      <c r="B72" s="1285"/>
      <c r="C72" s="1285"/>
      <c r="D72" s="1285" t="s">
        <v>556</v>
      </c>
      <c r="E72" s="1285"/>
      <c r="F72" s="1317" t="s">
        <v>688</v>
      </c>
      <c r="G72" s="1318"/>
      <c r="H72" s="1317">
        <v>257</v>
      </c>
      <c r="I72" s="1318"/>
      <c r="J72" s="1298">
        <f>H72</f>
        <v>257</v>
      </c>
      <c r="K72" s="1298"/>
      <c r="L72" s="42"/>
    </row>
    <row r="73" spans="1:13" ht="12.75">
      <c r="A73" s="1303" t="s">
        <v>705</v>
      </c>
      <c r="B73" s="1304"/>
      <c r="C73" s="1305"/>
      <c r="D73" s="1309"/>
      <c r="E73" s="1310"/>
      <c r="F73" s="1313">
        <f>SUM(F72)</f>
        <v>0</v>
      </c>
      <c r="G73" s="1314"/>
      <c r="H73" s="1299">
        <f>SUM(H72)</f>
        <v>257</v>
      </c>
      <c r="I73" s="1300"/>
      <c r="J73" s="1299">
        <f>SUM(J72)</f>
        <v>257</v>
      </c>
      <c r="K73" s="1300"/>
      <c r="L73" s="1288"/>
      <c r="M73" s="1288"/>
    </row>
    <row r="74" spans="1:13" ht="13.5" thickBot="1">
      <c r="A74" s="1306"/>
      <c r="B74" s="1307"/>
      <c r="C74" s="1308"/>
      <c r="D74" s="1311"/>
      <c r="E74" s="1312"/>
      <c r="F74" s="1315"/>
      <c r="G74" s="1316"/>
      <c r="H74" s="1301"/>
      <c r="I74" s="1302"/>
      <c r="J74" s="1301"/>
      <c r="K74" s="1302"/>
      <c r="L74" s="1288"/>
      <c r="M74" s="1288"/>
    </row>
    <row r="76" spans="1:13" ht="15.75">
      <c r="A76" s="36" t="s">
        <v>687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ht="13.5" thickBot="1"/>
    <row r="78" spans="1:11" ht="12.75">
      <c r="A78" s="1289" t="s">
        <v>637</v>
      </c>
      <c r="B78" s="1290"/>
      <c r="C78" s="1290"/>
      <c r="D78" s="1289" t="s">
        <v>682</v>
      </c>
      <c r="E78" s="1295"/>
      <c r="F78" s="1289" t="s">
        <v>743</v>
      </c>
      <c r="G78" s="1295"/>
      <c r="H78" s="1289" t="s">
        <v>683</v>
      </c>
      <c r="I78" s="1295"/>
      <c r="J78" s="1289" t="s">
        <v>555</v>
      </c>
      <c r="K78" s="1295"/>
    </row>
    <row r="79" spans="1:11" ht="12.75">
      <c r="A79" s="1291"/>
      <c r="B79" s="1292"/>
      <c r="C79" s="1292"/>
      <c r="D79" s="1291"/>
      <c r="E79" s="1296"/>
      <c r="F79" s="1291"/>
      <c r="G79" s="1296"/>
      <c r="H79" s="1291"/>
      <c r="I79" s="1296"/>
      <c r="J79" s="1291"/>
      <c r="K79" s="1296"/>
    </row>
    <row r="80" spans="1:11" ht="13.5" thickBot="1">
      <c r="A80" s="1293"/>
      <c r="B80" s="1294"/>
      <c r="C80" s="1294"/>
      <c r="D80" s="1293"/>
      <c r="E80" s="1297"/>
      <c r="F80" s="1293"/>
      <c r="G80" s="1297"/>
      <c r="H80" s="1293"/>
      <c r="I80" s="1297"/>
      <c r="J80" s="1293"/>
      <c r="K80" s="1297"/>
    </row>
    <row r="81" spans="1:12" s="41" customFormat="1" ht="16.5" thickBot="1">
      <c r="A81" s="1285" t="s">
        <v>686</v>
      </c>
      <c r="B81" s="1285"/>
      <c r="C81" s="1285"/>
      <c r="D81" s="1285" t="s">
        <v>557</v>
      </c>
      <c r="E81" s="1285"/>
      <c r="F81" s="1286" t="s">
        <v>688</v>
      </c>
      <c r="G81" s="1287"/>
      <c r="H81" s="1286"/>
      <c r="I81" s="1287"/>
      <c r="J81" s="1285"/>
      <c r="K81" s="1285"/>
      <c r="L81" s="42"/>
    </row>
    <row r="82" spans="1:13" ht="12.75">
      <c r="A82" s="1303" t="s">
        <v>705</v>
      </c>
      <c r="B82" s="1304"/>
      <c r="C82" s="1305"/>
      <c r="D82" s="1309"/>
      <c r="E82" s="1310"/>
      <c r="F82" s="1309"/>
      <c r="G82" s="1310"/>
      <c r="H82" s="1320">
        <f>SUM(H81)</f>
        <v>0</v>
      </c>
      <c r="I82" s="1322"/>
      <c r="J82" s="1320">
        <f>SUM(J81)</f>
        <v>0</v>
      </c>
      <c r="K82" s="1322"/>
      <c r="L82" s="1288"/>
      <c r="M82" s="1288"/>
    </row>
    <row r="83" spans="1:13" ht="13.5" thickBot="1">
      <c r="A83" s="1306"/>
      <c r="B83" s="1307"/>
      <c r="C83" s="1308"/>
      <c r="D83" s="1311"/>
      <c r="E83" s="1312"/>
      <c r="F83" s="1311"/>
      <c r="G83" s="1312"/>
      <c r="H83" s="1323"/>
      <c r="I83" s="1325"/>
      <c r="J83" s="1323"/>
      <c r="K83" s="1325"/>
      <c r="L83" s="1288"/>
      <c r="M83" s="1288"/>
    </row>
    <row r="85" spans="1:13" ht="15.75">
      <c r="A85" s="36" t="s">
        <v>745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</row>
    <row r="86" ht="13.5" thickBot="1"/>
    <row r="87" spans="1:13" ht="12.75" customHeight="1">
      <c r="A87" s="1289" t="s">
        <v>637</v>
      </c>
      <c r="B87" s="1290"/>
      <c r="C87" s="1290"/>
      <c r="D87" s="1289" t="s">
        <v>682</v>
      </c>
      <c r="E87" s="1295"/>
      <c r="F87" s="1289" t="s">
        <v>743</v>
      </c>
      <c r="G87" s="1295"/>
      <c r="H87" s="1289" t="s">
        <v>683</v>
      </c>
      <c r="I87" s="1295"/>
      <c r="J87" s="1289" t="s">
        <v>746</v>
      </c>
      <c r="K87" s="1295"/>
      <c r="L87" s="291"/>
      <c r="M87" s="291"/>
    </row>
    <row r="88" spans="1:11" ht="12.75" customHeight="1">
      <c r="A88" s="1291"/>
      <c r="B88" s="1292"/>
      <c r="C88" s="1292"/>
      <c r="D88" s="1291"/>
      <c r="E88" s="1296"/>
      <c r="F88" s="1291"/>
      <c r="G88" s="1296"/>
      <c r="H88" s="1291"/>
      <c r="I88" s="1296"/>
      <c r="J88" s="1291"/>
      <c r="K88" s="1296"/>
    </row>
    <row r="89" spans="1:11" ht="13.5" customHeight="1" thickBot="1">
      <c r="A89" s="1293"/>
      <c r="B89" s="1294"/>
      <c r="C89" s="1294"/>
      <c r="D89" s="1293"/>
      <c r="E89" s="1297"/>
      <c r="F89" s="1293"/>
      <c r="G89" s="1297"/>
      <c r="H89" s="1293"/>
      <c r="I89" s="1297"/>
      <c r="J89" s="1293"/>
      <c r="K89" s="1297"/>
    </row>
    <row r="90" spans="1:12" s="41" customFormat="1" ht="25.5" customHeight="1" thickBot="1">
      <c r="A90" s="1285" t="s">
        <v>686</v>
      </c>
      <c r="B90" s="1285"/>
      <c r="C90" s="1285"/>
      <c r="D90" s="1285"/>
      <c r="E90" s="1285"/>
      <c r="F90" s="1286" t="s">
        <v>688</v>
      </c>
      <c r="G90" s="1287"/>
      <c r="H90" s="1286"/>
      <c r="I90" s="1287"/>
      <c r="J90" s="1285"/>
      <c r="K90" s="1285"/>
      <c r="L90" s="42"/>
    </row>
    <row r="91" spans="1:13" ht="12.75" customHeight="1">
      <c r="A91" s="1303" t="s">
        <v>705</v>
      </c>
      <c r="B91" s="1304"/>
      <c r="C91" s="1305"/>
      <c r="D91" s="1309"/>
      <c r="E91" s="1310"/>
      <c r="F91" s="1309"/>
      <c r="G91" s="1310"/>
      <c r="H91" s="1320">
        <f>SUM(H90)</f>
        <v>0</v>
      </c>
      <c r="I91" s="1322"/>
      <c r="J91" s="1320">
        <f>SUM(J90)</f>
        <v>0</v>
      </c>
      <c r="K91" s="1322"/>
      <c r="L91" s="1288"/>
      <c r="M91" s="1288"/>
    </row>
    <row r="92" spans="1:13" ht="13.5" customHeight="1" thickBot="1">
      <c r="A92" s="1306"/>
      <c r="B92" s="1307"/>
      <c r="C92" s="1308"/>
      <c r="D92" s="1311"/>
      <c r="E92" s="1312"/>
      <c r="F92" s="1311"/>
      <c r="G92" s="1312"/>
      <c r="H92" s="1323"/>
      <c r="I92" s="1325"/>
      <c r="J92" s="1323"/>
      <c r="K92" s="1325"/>
      <c r="L92" s="1288"/>
      <c r="M92" s="1288"/>
    </row>
  </sheetData>
  <sheetProtection/>
  <mergeCells count="149">
    <mergeCell ref="K21:K22"/>
    <mergeCell ref="L21:L22"/>
    <mergeCell ref="M21:M22"/>
    <mergeCell ref="I21:I22"/>
    <mergeCell ref="J21:J22"/>
    <mergeCell ref="M33:M35"/>
    <mergeCell ref="J33:L33"/>
    <mergeCell ref="A8:M8"/>
    <mergeCell ref="D15:F15"/>
    <mergeCell ref="G15:I15"/>
    <mergeCell ref="J15:L15"/>
    <mergeCell ref="L18:L20"/>
    <mergeCell ref="M18:M20"/>
    <mergeCell ref="H18:H20"/>
    <mergeCell ref="I18:I20"/>
    <mergeCell ref="A91:C92"/>
    <mergeCell ref="D91:E92"/>
    <mergeCell ref="F91:G92"/>
    <mergeCell ref="H91:I92"/>
    <mergeCell ref="J18:J20"/>
    <mergeCell ref="G18:G20"/>
    <mergeCell ref="A21:C22"/>
    <mergeCell ref="D21:D22"/>
    <mergeCell ref="E21:E22"/>
    <mergeCell ref="F21:F22"/>
    <mergeCell ref="A90:C90"/>
    <mergeCell ref="D90:E90"/>
    <mergeCell ref="A87:C89"/>
    <mergeCell ref="D87:E89"/>
    <mergeCell ref="F87:G89"/>
    <mergeCell ref="H87:I89"/>
    <mergeCell ref="F90:G90"/>
    <mergeCell ref="H90:I90"/>
    <mergeCell ref="J81:K81"/>
    <mergeCell ref="J82:K83"/>
    <mergeCell ref="L82:L83"/>
    <mergeCell ref="M82:M83"/>
    <mergeCell ref="J87:K89"/>
    <mergeCell ref="L91:L92"/>
    <mergeCell ref="M91:M92"/>
    <mergeCell ref="J90:K90"/>
    <mergeCell ref="J91:K92"/>
    <mergeCell ref="A82:C83"/>
    <mergeCell ref="D82:E83"/>
    <mergeCell ref="F82:G83"/>
    <mergeCell ref="H82:I83"/>
    <mergeCell ref="G21:G22"/>
    <mergeCell ref="H21:H22"/>
    <mergeCell ref="A41:C43"/>
    <mergeCell ref="G41:G43"/>
    <mergeCell ref="G33:I33"/>
    <mergeCell ref="A36:C38"/>
    <mergeCell ref="A3:M3"/>
    <mergeCell ref="M15:M17"/>
    <mergeCell ref="A15:C17"/>
    <mergeCell ref="K18:K20"/>
    <mergeCell ref="D18:D20"/>
    <mergeCell ref="E18:E20"/>
    <mergeCell ref="F18:F20"/>
    <mergeCell ref="A18:C20"/>
    <mergeCell ref="A7:M7"/>
    <mergeCell ref="A9:M9"/>
    <mergeCell ref="D36:D38"/>
    <mergeCell ref="E36:E38"/>
    <mergeCell ref="F36:F38"/>
    <mergeCell ref="A33:C35"/>
    <mergeCell ref="D33:F33"/>
    <mergeCell ref="L41:L43"/>
    <mergeCell ref="D41:D43"/>
    <mergeCell ref="E41:E43"/>
    <mergeCell ref="F41:F43"/>
    <mergeCell ref="A39:C40"/>
    <mergeCell ref="M41:M43"/>
    <mergeCell ref="G36:G38"/>
    <mergeCell ref="H36:H38"/>
    <mergeCell ref="I36:I38"/>
    <mergeCell ref="J36:J38"/>
    <mergeCell ref="J41:J43"/>
    <mergeCell ref="L36:L38"/>
    <mergeCell ref="M36:M38"/>
    <mergeCell ref="H41:H43"/>
    <mergeCell ref="K39:K40"/>
    <mergeCell ref="F44:F45"/>
    <mergeCell ref="K36:K38"/>
    <mergeCell ref="K41:K43"/>
    <mergeCell ref="J44:J45"/>
    <mergeCell ref="G44:G45"/>
    <mergeCell ref="H44:H45"/>
    <mergeCell ref="I44:I45"/>
    <mergeCell ref="K44:K45"/>
    <mergeCell ref="I41:I43"/>
    <mergeCell ref="J39:J40"/>
    <mergeCell ref="L44:L45"/>
    <mergeCell ref="M44:M45"/>
    <mergeCell ref="A60:C62"/>
    <mergeCell ref="D60:E62"/>
    <mergeCell ref="F60:G62"/>
    <mergeCell ref="H60:I62"/>
    <mergeCell ref="J60:K62"/>
    <mergeCell ref="A44:C45"/>
    <mergeCell ref="D44:D45"/>
    <mergeCell ref="E44:E45"/>
    <mergeCell ref="J63:K63"/>
    <mergeCell ref="A64:C65"/>
    <mergeCell ref="D64:E65"/>
    <mergeCell ref="F64:G65"/>
    <mergeCell ref="H64:I65"/>
    <mergeCell ref="J64:K65"/>
    <mergeCell ref="A63:C63"/>
    <mergeCell ref="D63:E63"/>
    <mergeCell ref="F63:G63"/>
    <mergeCell ref="H63:I63"/>
    <mergeCell ref="F72:G72"/>
    <mergeCell ref="H72:I72"/>
    <mergeCell ref="L64:L65"/>
    <mergeCell ref="M64:M65"/>
    <mergeCell ref="A69:C71"/>
    <mergeCell ref="D69:E71"/>
    <mergeCell ref="F69:G71"/>
    <mergeCell ref="H69:I71"/>
    <mergeCell ref="J69:K71"/>
    <mergeCell ref="H78:I80"/>
    <mergeCell ref="J78:K80"/>
    <mergeCell ref="J72:K72"/>
    <mergeCell ref="J73:K74"/>
    <mergeCell ref="A73:C74"/>
    <mergeCell ref="D73:E74"/>
    <mergeCell ref="F73:G74"/>
    <mergeCell ref="H73:I74"/>
    <mergeCell ref="A72:C72"/>
    <mergeCell ref="D72:E72"/>
    <mergeCell ref="A2:M2"/>
    <mergeCell ref="A81:C81"/>
    <mergeCell ref="D81:E81"/>
    <mergeCell ref="F81:G81"/>
    <mergeCell ref="H81:I81"/>
    <mergeCell ref="L73:L74"/>
    <mergeCell ref="M73:M74"/>
    <mergeCell ref="A78:C80"/>
    <mergeCell ref="D78:E80"/>
    <mergeCell ref="F78:G80"/>
    <mergeCell ref="L39:L40"/>
    <mergeCell ref="M39:M40"/>
    <mergeCell ref="D39:D40"/>
    <mergeCell ref="E39:E40"/>
    <mergeCell ref="F39:F40"/>
    <mergeCell ref="G39:G40"/>
    <mergeCell ref="H39:H40"/>
    <mergeCell ref="I39:I40"/>
  </mergeCells>
  <printOptions horizontalCentered="1"/>
  <pageMargins left="0" right="0" top="0" bottom="0" header="0.5118110236220472" footer="0.5118110236220472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00390625" style="39" customWidth="1"/>
    <col min="2" max="2" width="60.125" style="39" customWidth="1"/>
    <col min="3" max="7" width="13.00390625" style="39" customWidth="1"/>
    <col min="8" max="8" width="12.25390625" style="39" customWidth="1"/>
    <col min="9" max="9" width="11.875" style="39" customWidth="1"/>
    <col min="10" max="10" width="12.375" style="39" customWidth="1"/>
    <col min="11" max="16384" width="9.125" style="39" customWidth="1"/>
  </cols>
  <sheetData>
    <row r="1" spans="8:10" ht="12.75">
      <c r="H1" s="82"/>
      <c r="J1" s="82"/>
    </row>
    <row r="2" spans="1:8" ht="12.75">
      <c r="A2" s="1106"/>
      <c r="B2" s="1106"/>
      <c r="C2" s="1106"/>
      <c r="D2" s="1106"/>
      <c r="E2" s="1106"/>
      <c r="F2" s="1106"/>
      <c r="G2" s="1106"/>
      <c r="H2" s="1106"/>
    </row>
    <row r="3" spans="1:10" ht="12.75">
      <c r="A3" s="1384"/>
      <c r="B3" s="1384"/>
      <c r="C3" s="1384"/>
      <c r="D3" s="1384"/>
      <c r="E3" s="1384"/>
      <c r="F3" s="1384"/>
      <c r="G3" s="1384"/>
      <c r="H3" s="1384"/>
      <c r="I3" s="112"/>
      <c r="J3" s="112"/>
    </row>
    <row r="4" spans="1:8" s="67" customFormat="1" ht="12.75">
      <c r="A4" s="234" t="s">
        <v>1177</v>
      </c>
      <c r="B4" s="234"/>
      <c r="C4" s="234"/>
      <c r="E4" s="138"/>
      <c r="F4" s="51"/>
      <c r="G4" s="51"/>
      <c r="H4" s="51"/>
    </row>
    <row r="5" spans="1:12" ht="12.7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38"/>
      <c r="L5" s="38"/>
    </row>
    <row r="6" spans="1:11" s="41" customFormat="1" ht="15.75">
      <c r="A6" s="1383" t="s">
        <v>741</v>
      </c>
      <c r="B6" s="1383"/>
      <c r="C6" s="1383"/>
      <c r="D6" s="1383"/>
      <c r="E6" s="1383"/>
      <c r="F6" s="1383"/>
      <c r="G6" s="1383"/>
      <c r="H6" s="1383"/>
      <c r="I6" s="63"/>
      <c r="J6" s="63"/>
      <c r="K6" s="63"/>
    </row>
    <row r="7" spans="1:11" s="18" customFormat="1" ht="15.75">
      <c r="A7" s="1383" t="s">
        <v>533</v>
      </c>
      <c r="B7" s="1383"/>
      <c r="C7" s="1383"/>
      <c r="D7" s="1383"/>
      <c r="E7" s="1383"/>
      <c r="F7" s="1383"/>
      <c r="G7" s="1383"/>
      <c r="H7" s="1383"/>
      <c r="I7" s="63"/>
      <c r="J7" s="63"/>
      <c r="K7" s="63"/>
    </row>
    <row r="8" spans="1:11" s="18" customFormat="1" ht="15.75">
      <c r="A8" s="1383" t="s">
        <v>1027</v>
      </c>
      <c r="B8" s="1383"/>
      <c r="C8" s="1383"/>
      <c r="D8" s="1383"/>
      <c r="E8" s="1383"/>
      <c r="F8" s="1383"/>
      <c r="G8" s="1383"/>
      <c r="H8" s="1383"/>
      <c r="I8" s="63"/>
      <c r="J8" s="63"/>
      <c r="K8" s="63"/>
    </row>
    <row r="9" spans="1:11" s="6" customFormat="1" ht="15.75">
      <c r="A9" s="35"/>
      <c r="B9" s="35"/>
      <c r="C9" s="35"/>
      <c r="D9" s="35"/>
      <c r="E9" s="35"/>
      <c r="F9" s="35"/>
      <c r="G9" s="35"/>
      <c r="H9" s="35"/>
      <c r="I9" s="63"/>
      <c r="J9" s="63"/>
      <c r="K9" s="63"/>
    </row>
    <row r="10" spans="1:8" s="6" customFormat="1" ht="13.5" thickBot="1">
      <c r="A10" s="64"/>
      <c r="B10" s="64"/>
      <c r="C10" s="64"/>
      <c r="D10" s="64"/>
      <c r="E10" s="64"/>
      <c r="F10" s="64"/>
      <c r="G10" s="64"/>
      <c r="H10" s="56" t="s">
        <v>691</v>
      </c>
    </row>
    <row r="11" spans="1:8" s="67" customFormat="1" ht="22.5" customHeight="1" thickTop="1">
      <c r="A11" s="65" t="s">
        <v>657</v>
      </c>
      <c r="B11" s="66"/>
      <c r="C11" s="1377" t="s">
        <v>534</v>
      </c>
      <c r="D11" s="1377" t="s">
        <v>535</v>
      </c>
      <c r="E11" s="1377" t="s">
        <v>536</v>
      </c>
      <c r="F11" s="1377" t="s">
        <v>537</v>
      </c>
      <c r="G11" s="1377" t="s">
        <v>538</v>
      </c>
      <c r="H11" s="1380" t="s">
        <v>654</v>
      </c>
    </row>
    <row r="12" spans="1:8" s="67" customFormat="1" ht="12.75">
      <c r="A12" s="68"/>
      <c r="B12" s="69" t="s">
        <v>624</v>
      </c>
      <c r="C12" s="1378"/>
      <c r="D12" s="1378"/>
      <c r="E12" s="1378"/>
      <c r="F12" s="1378"/>
      <c r="G12" s="1378"/>
      <c r="H12" s="1381"/>
    </row>
    <row r="13" spans="1:8" s="67" customFormat="1" ht="13.5" thickBot="1">
      <c r="A13" s="70" t="s">
        <v>655</v>
      </c>
      <c r="B13" s="71"/>
      <c r="C13" s="1379"/>
      <c r="D13" s="1379"/>
      <c r="E13" s="1379"/>
      <c r="F13" s="1379"/>
      <c r="G13" s="1379"/>
      <c r="H13" s="1382"/>
    </row>
    <row r="14" spans="1:8" s="67" customFormat="1" ht="12.75">
      <c r="A14" s="1387" t="s">
        <v>658</v>
      </c>
      <c r="B14" s="1390" t="s">
        <v>625</v>
      </c>
      <c r="C14" s="1385">
        <v>2264</v>
      </c>
      <c r="D14" s="1385">
        <v>2264</v>
      </c>
      <c r="E14" s="1385">
        <v>2264</v>
      </c>
      <c r="F14" s="1385">
        <v>2265</v>
      </c>
      <c r="G14" s="1385">
        <v>2265</v>
      </c>
      <c r="H14" s="1392">
        <f>SUM(C14:G19)</f>
        <v>11322</v>
      </c>
    </row>
    <row r="15" spans="1:8" s="67" customFormat="1" ht="15" customHeight="1">
      <c r="A15" s="1388"/>
      <c r="B15" s="1391"/>
      <c r="C15" s="1386"/>
      <c r="D15" s="1386"/>
      <c r="E15" s="1386"/>
      <c r="F15" s="1386"/>
      <c r="G15" s="1386"/>
      <c r="H15" s="1393"/>
    </row>
    <row r="16" spans="1:8" s="67" customFormat="1" ht="15" customHeight="1">
      <c r="A16" s="1388"/>
      <c r="B16" s="72" t="s">
        <v>325</v>
      </c>
      <c r="C16" s="1386"/>
      <c r="D16" s="1386"/>
      <c r="E16" s="1386"/>
      <c r="F16" s="1386"/>
      <c r="G16" s="1386"/>
      <c r="H16" s="1393"/>
    </row>
    <row r="17" spans="1:8" s="67" customFormat="1" ht="25.5">
      <c r="A17" s="1388"/>
      <c r="B17" s="72" t="s">
        <v>626</v>
      </c>
      <c r="C17" s="1386"/>
      <c r="D17" s="1386"/>
      <c r="E17" s="1386"/>
      <c r="F17" s="1386"/>
      <c r="G17" s="1386"/>
      <c r="H17" s="1393"/>
    </row>
    <row r="18" spans="1:8" s="67" customFormat="1" ht="12.75">
      <c r="A18" s="1388"/>
      <c r="B18" s="73" t="s">
        <v>627</v>
      </c>
      <c r="C18" s="1386"/>
      <c r="D18" s="1386"/>
      <c r="E18" s="1386"/>
      <c r="F18" s="1386"/>
      <c r="G18" s="1386"/>
      <c r="H18" s="1393"/>
    </row>
    <row r="19" spans="1:8" s="67" customFormat="1" ht="13.5" thickBot="1">
      <c r="A19" s="1389"/>
      <c r="B19" s="74" t="s">
        <v>628</v>
      </c>
      <c r="C19" s="1386"/>
      <c r="D19" s="1386"/>
      <c r="E19" s="1386"/>
      <c r="F19" s="1386"/>
      <c r="G19" s="1386"/>
      <c r="H19" s="1393"/>
    </row>
    <row r="20" spans="1:9" s="29" customFormat="1" ht="40.5" customHeight="1" thickBot="1" thickTop="1">
      <c r="A20" s="745" t="s">
        <v>659</v>
      </c>
      <c r="B20" s="746" t="s">
        <v>1028</v>
      </c>
      <c r="C20" s="75">
        <f aca="true" t="shared" si="0" ref="C20:H20">SUM(C14:C19)</f>
        <v>2264</v>
      </c>
      <c r="D20" s="75">
        <f t="shared" si="0"/>
        <v>2264</v>
      </c>
      <c r="E20" s="75">
        <f t="shared" si="0"/>
        <v>2264</v>
      </c>
      <c r="F20" s="75">
        <f t="shared" si="0"/>
        <v>2265</v>
      </c>
      <c r="G20" s="75">
        <f t="shared" si="0"/>
        <v>2265</v>
      </c>
      <c r="H20" s="76">
        <f t="shared" si="0"/>
        <v>11322</v>
      </c>
      <c r="I20" s="77"/>
    </row>
    <row r="21" spans="1:9" s="29" customFormat="1" ht="27" customHeight="1">
      <c r="A21" s="78"/>
      <c r="B21" s="46"/>
      <c r="C21" s="79"/>
      <c r="D21" s="79"/>
      <c r="E21" s="79"/>
      <c r="F21" s="79"/>
      <c r="G21" s="79"/>
      <c r="H21" s="79"/>
      <c r="I21" s="79"/>
    </row>
  </sheetData>
  <sheetProtection/>
  <mergeCells count="19">
    <mergeCell ref="G14:G19"/>
    <mergeCell ref="A14:A19"/>
    <mergeCell ref="B14:B15"/>
    <mergeCell ref="C14:C19"/>
    <mergeCell ref="H14:H19"/>
    <mergeCell ref="C11:C13"/>
    <mergeCell ref="D14:D19"/>
    <mergeCell ref="E14:E19"/>
    <mergeCell ref="F14:F19"/>
    <mergeCell ref="A2:H2"/>
    <mergeCell ref="D11:D13"/>
    <mergeCell ref="E11:E13"/>
    <mergeCell ref="F11:F13"/>
    <mergeCell ref="G11:G13"/>
    <mergeCell ref="H11:H13"/>
    <mergeCell ref="A6:H6"/>
    <mergeCell ref="A3:H3"/>
    <mergeCell ref="A8:H8"/>
    <mergeCell ref="A7:H7"/>
  </mergeCells>
  <printOptions horizontalCentered="1"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5"/>
  <sheetViews>
    <sheetView zoomScalePageLayoutView="0" workbookViewId="0" topLeftCell="A1">
      <selection activeCell="E14" sqref="E14:E16"/>
    </sheetView>
  </sheetViews>
  <sheetFormatPr defaultColWidth="9.00390625" defaultRowHeight="12.75"/>
  <cols>
    <col min="1" max="1" width="5.75390625" style="27" customWidth="1"/>
    <col min="2" max="2" width="23.875" style="27" customWidth="1"/>
    <col min="3" max="3" width="7.00390625" style="27" customWidth="1"/>
    <col min="4" max="4" width="12.125" style="27" customWidth="1"/>
    <col min="5" max="12" width="12.00390625" style="27" customWidth="1"/>
    <col min="13" max="13" width="10.625" style="27" customWidth="1"/>
    <col min="14" max="16384" width="9.125" style="27" customWidth="1"/>
  </cols>
  <sheetData>
    <row r="1" spans="10:12" ht="12.75">
      <c r="J1" s="1413"/>
      <c r="K1" s="1413"/>
      <c r="L1" s="1413"/>
    </row>
    <row r="2" spans="1:12" ht="12.75">
      <c r="A2" s="1106"/>
      <c r="B2" s="1106"/>
      <c r="C2" s="1106"/>
      <c r="D2" s="1106"/>
      <c r="E2" s="1106"/>
      <c r="F2" s="1106"/>
      <c r="G2" s="1106"/>
      <c r="H2" s="1106"/>
      <c r="I2" s="1106"/>
      <c r="J2" s="1106"/>
      <c r="K2" s="1106"/>
      <c r="L2" s="1106"/>
    </row>
    <row r="3" spans="1:12" s="49" customFormat="1" ht="12.75">
      <c r="A3" s="1106"/>
      <c r="B3" s="1106"/>
      <c r="C3" s="1106"/>
      <c r="D3" s="1106"/>
      <c r="E3" s="1106"/>
      <c r="F3" s="1106"/>
      <c r="G3" s="1106"/>
      <c r="H3" s="1106"/>
      <c r="I3" s="1106"/>
      <c r="J3" s="1106"/>
      <c r="K3" s="1106"/>
      <c r="L3" s="1106"/>
    </row>
    <row r="4" spans="1:9" s="67" customFormat="1" ht="12.75">
      <c r="A4" s="234" t="s">
        <v>1178</v>
      </c>
      <c r="B4" s="234"/>
      <c r="C4" s="234"/>
      <c r="D4" s="234"/>
      <c r="F4" s="138"/>
      <c r="G4" s="51"/>
      <c r="H4" s="51"/>
      <c r="I4" s="51"/>
    </row>
    <row r="5" spans="1:9" s="67" customFormat="1" ht="12.75">
      <c r="A5" s="234"/>
      <c r="B5" s="234"/>
      <c r="C5" s="234"/>
      <c r="D5" s="234"/>
      <c r="F5" s="138"/>
      <c r="G5" s="51"/>
      <c r="H5" s="51"/>
      <c r="I5" s="51"/>
    </row>
    <row r="6" spans="1:12" s="49" customFormat="1" ht="12.75">
      <c r="A6" s="1106" t="s">
        <v>741</v>
      </c>
      <c r="B6" s="1106"/>
      <c r="C6" s="1106"/>
      <c r="D6" s="1106"/>
      <c r="E6" s="1106"/>
      <c r="F6" s="1106"/>
      <c r="G6" s="1106"/>
      <c r="H6" s="1106"/>
      <c r="I6" s="1106"/>
      <c r="J6" s="1106"/>
      <c r="K6" s="1106"/>
      <c r="L6" s="1106"/>
    </row>
    <row r="7" spans="1:12" ht="12.75">
      <c r="A7" s="1106" t="s">
        <v>1133</v>
      </c>
      <c r="B7" s="1106"/>
      <c r="C7" s="1106"/>
      <c r="D7" s="1106"/>
      <c r="E7" s="1106"/>
      <c r="F7" s="1106"/>
      <c r="G7" s="1106"/>
      <c r="H7" s="1106"/>
      <c r="I7" s="1106"/>
      <c r="J7" s="1106"/>
      <c r="K7" s="1106"/>
      <c r="L7" s="1106"/>
    </row>
    <row r="8" spans="4:9" ht="12.75">
      <c r="D8" s="1106" t="s">
        <v>1134</v>
      </c>
      <c r="E8" s="1122"/>
      <c r="F8" s="1122"/>
      <c r="G8" s="1122"/>
      <c r="H8" s="1122"/>
      <c r="I8" s="1122"/>
    </row>
    <row r="9" spans="12:13" ht="13.5" thickBot="1">
      <c r="L9" s="48"/>
      <c r="M9" s="48" t="s">
        <v>691</v>
      </c>
    </row>
    <row r="10" spans="1:13" ht="24.75" customHeight="1">
      <c r="A10" s="1423" t="s">
        <v>514</v>
      </c>
      <c r="B10" s="1423" t="s">
        <v>515</v>
      </c>
      <c r="C10" s="1205" t="s">
        <v>516</v>
      </c>
      <c r="D10" s="1428" t="s">
        <v>517</v>
      </c>
      <c r="E10" s="1416" t="s">
        <v>518</v>
      </c>
      <c r="F10" s="1417"/>
      <c r="G10" s="1417"/>
      <c r="H10" s="1416" t="s">
        <v>559</v>
      </c>
      <c r="I10" s="1419"/>
      <c r="J10" s="1416" t="s">
        <v>560</v>
      </c>
      <c r="K10" s="1417"/>
      <c r="L10" s="1202" t="s">
        <v>561</v>
      </c>
      <c r="M10" s="1205" t="s">
        <v>950</v>
      </c>
    </row>
    <row r="11" spans="1:13" ht="3.75" customHeight="1" thickBot="1">
      <c r="A11" s="1424"/>
      <c r="B11" s="1424"/>
      <c r="C11" s="1206"/>
      <c r="D11" s="1429"/>
      <c r="E11" s="1402"/>
      <c r="F11" s="1418"/>
      <c r="G11" s="1418"/>
      <c r="H11" s="1403"/>
      <c r="I11" s="1420"/>
      <c r="J11" s="1403"/>
      <c r="K11" s="1426"/>
      <c r="L11" s="1203"/>
      <c r="M11" s="1130"/>
    </row>
    <row r="12" spans="1:13" ht="16.5" customHeight="1">
      <c r="A12" s="1424"/>
      <c r="B12" s="1424"/>
      <c r="C12" s="1206"/>
      <c r="D12" s="1429"/>
      <c r="E12" s="1397" t="s">
        <v>519</v>
      </c>
      <c r="F12" s="1397" t="s">
        <v>520</v>
      </c>
      <c r="G12" s="1397" t="s">
        <v>654</v>
      </c>
      <c r="H12" s="1202" t="s">
        <v>521</v>
      </c>
      <c r="I12" s="1202" t="s">
        <v>522</v>
      </c>
      <c r="J12" s="1202" t="s">
        <v>523</v>
      </c>
      <c r="K12" s="1414" t="s">
        <v>522</v>
      </c>
      <c r="L12" s="1203"/>
      <c r="M12" s="1130"/>
    </row>
    <row r="13" spans="1:13" ht="20.25" customHeight="1" thickBot="1">
      <c r="A13" s="1425"/>
      <c r="B13" s="1425"/>
      <c r="C13" s="1207"/>
      <c r="D13" s="1430"/>
      <c r="E13" s="1398"/>
      <c r="F13" s="1398"/>
      <c r="G13" s="1398"/>
      <c r="H13" s="1204"/>
      <c r="I13" s="1204"/>
      <c r="J13" s="1204"/>
      <c r="K13" s="1415"/>
      <c r="L13" s="1204"/>
      <c r="M13" s="1131"/>
    </row>
    <row r="14" spans="1:13" ht="26.25" customHeight="1">
      <c r="A14" s="1402" t="s">
        <v>658</v>
      </c>
      <c r="B14" s="1421" t="s">
        <v>777</v>
      </c>
      <c r="C14" s="1407">
        <v>100</v>
      </c>
      <c r="D14" s="1410" t="s">
        <v>778</v>
      </c>
      <c r="E14" s="1399"/>
      <c r="F14" s="1399">
        <v>9910</v>
      </c>
      <c r="G14" s="1399">
        <v>9910</v>
      </c>
      <c r="H14" s="1399">
        <v>1310</v>
      </c>
      <c r="I14" s="1399">
        <v>2477</v>
      </c>
      <c r="J14" s="1399">
        <v>8600</v>
      </c>
      <c r="K14" s="1399">
        <v>7433</v>
      </c>
      <c r="L14" s="1399"/>
      <c r="M14" s="1394"/>
    </row>
    <row r="15" spans="1:13" ht="26.25" customHeight="1">
      <c r="A15" s="1402"/>
      <c r="B15" s="1421"/>
      <c r="C15" s="1408"/>
      <c r="D15" s="1411"/>
      <c r="E15" s="1400"/>
      <c r="F15" s="1400"/>
      <c r="G15" s="1400"/>
      <c r="H15" s="1400"/>
      <c r="I15" s="1400"/>
      <c r="J15" s="1400"/>
      <c r="K15" s="1400"/>
      <c r="L15" s="1400"/>
      <c r="M15" s="1395"/>
    </row>
    <row r="16" spans="1:13" s="50" customFormat="1" ht="26.25" customHeight="1" thickBot="1">
      <c r="A16" s="1403"/>
      <c r="B16" s="1422"/>
      <c r="C16" s="1409"/>
      <c r="D16" s="1412"/>
      <c r="E16" s="1401"/>
      <c r="F16" s="1401"/>
      <c r="G16" s="1401"/>
      <c r="H16" s="1401"/>
      <c r="I16" s="1401"/>
      <c r="J16" s="1401"/>
      <c r="K16" s="1401"/>
      <c r="L16" s="1401"/>
      <c r="M16" s="1396"/>
    </row>
    <row r="17" spans="1:13" ht="26.25" customHeight="1">
      <c r="A17" s="1402" t="s">
        <v>659</v>
      </c>
      <c r="B17" s="1421" t="s">
        <v>779</v>
      </c>
      <c r="C17" s="1407">
        <v>100</v>
      </c>
      <c r="D17" s="1410" t="s">
        <v>778</v>
      </c>
      <c r="E17" s="1399"/>
      <c r="F17" s="1399">
        <v>4390</v>
      </c>
      <c r="G17" s="1399">
        <v>4390</v>
      </c>
      <c r="H17" s="1399"/>
      <c r="I17" s="1399"/>
      <c r="J17" s="1399">
        <v>4385</v>
      </c>
      <c r="K17" s="1399">
        <v>4385</v>
      </c>
      <c r="L17" s="1399"/>
      <c r="M17" s="1394"/>
    </row>
    <row r="18" spans="1:13" ht="26.25" customHeight="1">
      <c r="A18" s="1402"/>
      <c r="B18" s="1421"/>
      <c r="C18" s="1408"/>
      <c r="D18" s="1411"/>
      <c r="E18" s="1400"/>
      <c r="F18" s="1400"/>
      <c r="G18" s="1400"/>
      <c r="H18" s="1400"/>
      <c r="I18" s="1400"/>
      <c r="J18" s="1400"/>
      <c r="K18" s="1400"/>
      <c r="L18" s="1400"/>
      <c r="M18" s="1395"/>
    </row>
    <row r="19" spans="1:13" s="50" customFormat="1" ht="26.25" customHeight="1" thickBot="1">
      <c r="A19" s="1403"/>
      <c r="B19" s="1422"/>
      <c r="C19" s="1409"/>
      <c r="D19" s="1412"/>
      <c r="E19" s="1401"/>
      <c r="F19" s="1401"/>
      <c r="G19" s="1401"/>
      <c r="H19" s="1401"/>
      <c r="I19" s="1401"/>
      <c r="J19" s="1401"/>
      <c r="K19" s="1401"/>
      <c r="L19" s="1401"/>
      <c r="M19" s="1396"/>
    </row>
    <row r="20" spans="1:13" ht="26.25" customHeight="1">
      <c r="A20" s="1402" t="s">
        <v>660</v>
      </c>
      <c r="B20" s="1404" t="s">
        <v>562</v>
      </c>
      <c r="C20" s="1407"/>
      <c r="D20" s="1410" t="s">
        <v>563</v>
      </c>
      <c r="E20" s="1399">
        <v>2816</v>
      </c>
      <c r="F20" s="1399">
        <v>9743</v>
      </c>
      <c r="G20" s="1399">
        <f>E20+F20</f>
        <v>12559</v>
      </c>
      <c r="H20" s="1399"/>
      <c r="I20" s="1399"/>
      <c r="J20" s="1399">
        <v>12559</v>
      </c>
      <c r="K20" s="1399"/>
      <c r="L20" s="1399">
        <v>9743</v>
      </c>
      <c r="M20" s="1394"/>
    </row>
    <row r="21" spans="1:13" ht="26.25" customHeight="1">
      <c r="A21" s="1402"/>
      <c r="B21" s="1405"/>
      <c r="C21" s="1408"/>
      <c r="D21" s="1411"/>
      <c r="E21" s="1400"/>
      <c r="F21" s="1400"/>
      <c r="G21" s="1400"/>
      <c r="H21" s="1400"/>
      <c r="I21" s="1400"/>
      <c r="J21" s="1400"/>
      <c r="K21" s="1400"/>
      <c r="L21" s="1400"/>
      <c r="M21" s="1395"/>
    </row>
    <row r="22" spans="1:13" s="50" customFormat="1" ht="26.25" customHeight="1" thickBot="1">
      <c r="A22" s="1403"/>
      <c r="B22" s="1406"/>
      <c r="C22" s="1409"/>
      <c r="D22" s="1412"/>
      <c r="E22" s="1401"/>
      <c r="F22" s="1401"/>
      <c r="G22" s="1401"/>
      <c r="H22" s="1401"/>
      <c r="I22" s="1401"/>
      <c r="J22" s="1401"/>
      <c r="K22" s="1401"/>
      <c r="L22" s="1401"/>
      <c r="M22" s="1396"/>
    </row>
    <row r="23" spans="1:13" ht="26.25" customHeight="1" thickTop="1">
      <c r="A23" s="1431" t="s">
        <v>524</v>
      </c>
      <c r="B23" s="1432"/>
      <c r="C23" s="1432"/>
      <c r="D23" s="1433"/>
      <c r="E23" s="1427">
        <f>E14+E17+E20</f>
        <v>2816</v>
      </c>
      <c r="F23" s="1427">
        <f aca="true" t="shared" si="0" ref="F23:L23">F14+F17+F20</f>
        <v>24043</v>
      </c>
      <c r="G23" s="1427">
        <f t="shared" si="0"/>
        <v>26859</v>
      </c>
      <c r="H23" s="1427">
        <f t="shared" si="0"/>
        <v>1310</v>
      </c>
      <c r="I23" s="1427">
        <f t="shared" si="0"/>
        <v>2477</v>
      </c>
      <c r="J23" s="1427">
        <f t="shared" si="0"/>
        <v>25544</v>
      </c>
      <c r="K23" s="1427">
        <f t="shared" si="0"/>
        <v>11818</v>
      </c>
      <c r="L23" s="1427">
        <f t="shared" si="0"/>
        <v>9743</v>
      </c>
      <c r="M23" s="1394"/>
    </row>
    <row r="24" spans="1:13" ht="26.25" customHeight="1">
      <c r="A24" s="1434"/>
      <c r="B24" s="1435"/>
      <c r="C24" s="1435"/>
      <c r="D24" s="1436"/>
      <c r="E24" s="1140"/>
      <c r="F24" s="1140"/>
      <c r="G24" s="1140"/>
      <c r="H24" s="1140"/>
      <c r="I24" s="1140"/>
      <c r="J24" s="1140"/>
      <c r="K24" s="1140"/>
      <c r="L24" s="1140"/>
      <c r="M24" s="1395"/>
    </row>
    <row r="25" spans="1:13" s="50" customFormat="1" ht="26.25" customHeight="1" thickBot="1">
      <c r="A25" s="1437"/>
      <c r="B25" s="1438"/>
      <c r="C25" s="1438"/>
      <c r="D25" s="1439"/>
      <c r="E25" s="1141"/>
      <c r="F25" s="1141"/>
      <c r="G25" s="1141"/>
      <c r="H25" s="1141"/>
      <c r="I25" s="1141"/>
      <c r="J25" s="1141"/>
      <c r="K25" s="1141"/>
      <c r="L25" s="1141"/>
      <c r="M25" s="1396"/>
    </row>
  </sheetData>
  <sheetProtection/>
  <mergeCells count="71">
    <mergeCell ref="L20:L22"/>
    <mergeCell ref="F17:F19"/>
    <mergeCell ref="L23:L25"/>
    <mergeCell ref="J17:J19"/>
    <mergeCell ref="K17:K19"/>
    <mergeCell ref="J20:J22"/>
    <mergeCell ref="L17:L19"/>
    <mergeCell ref="J23:J25"/>
    <mergeCell ref="K23:K25"/>
    <mergeCell ref="I23:I25"/>
    <mergeCell ref="A23:D25"/>
    <mergeCell ref="E23:E25"/>
    <mergeCell ref="F23:F25"/>
    <mergeCell ref="G23:G25"/>
    <mergeCell ref="A17:A19"/>
    <mergeCell ref="H17:H19"/>
    <mergeCell ref="C17:C19"/>
    <mergeCell ref="D17:D19"/>
    <mergeCell ref="F14:F16"/>
    <mergeCell ref="K20:K22"/>
    <mergeCell ref="H23:H25"/>
    <mergeCell ref="I20:I22"/>
    <mergeCell ref="E17:E19"/>
    <mergeCell ref="B10:B13"/>
    <mergeCell ref="C10:C13"/>
    <mergeCell ref="D10:D13"/>
    <mergeCell ref="B17:B19"/>
    <mergeCell ref="K14:K16"/>
    <mergeCell ref="G14:G16"/>
    <mergeCell ref="H14:H16"/>
    <mergeCell ref="I14:I16"/>
    <mergeCell ref="L10:L13"/>
    <mergeCell ref="J10:K11"/>
    <mergeCell ref="L14:L16"/>
    <mergeCell ref="J14:J16"/>
    <mergeCell ref="A14:A16"/>
    <mergeCell ref="B14:B16"/>
    <mergeCell ref="C14:C16"/>
    <mergeCell ref="D14:D16"/>
    <mergeCell ref="E14:E16"/>
    <mergeCell ref="A10:A13"/>
    <mergeCell ref="J1:L1"/>
    <mergeCell ref="A3:L3"/>
    <mergeCell ref="A7:L7"/>
    <mergeCell ref="I12:I13"/>
    <mergeCell ref="J12:J13"/>
    <mergeCell ref="K12:K13"/>
    <mergeCell ref="E10:G11"/>
    <mergeCell ref="H10:I11"/>
    <mergeCell ref="E12:E13"/>
    <mergeCell ref="F12:F13"/>
    <mergeCell ref="A2:L2"/>
    <mergeCell ref="A6:L6"/>
    <mergeCell ref="E20:E22"/>
    <mergeCell ref="F20:F22"/>
    <mergeCell ref="G20:G22"/>
    <mergeCell ref="H20:H22"/>
    <mergeCell ref="A20:A22"/>
    <mergeCell ref="B20:B22"/>
    <mergeCell ref="C20:C22"/>
    <mergeCell ref="D20:D22"/>
    <mergeCell ref="D8:I8"/>
    <mergeCell ref="M10:M13"/>
    <mergeCell ref="M14:M16"/>
    <mergeCell ref="M17:M19"/>
    <mergeCell ref="M20:M22"/>
    <mergeCell ref="M23:M25"/>
    <mergeCell ref="G12:G13"/>
    <mergeCell ref="H12:H13"/>
    <mergeCell ref="I17:I19"/>
    <mergeCell ref="G17:G19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40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5.75390625" style="85" customWidth="1"/>
    <col min="2" max="2" width="57.75390625" style="85" customWidth="1"/>
    <col min="3" max="4" width="20.75390625" style="85" customWidth="1"/>
    <col min="5" max="16384" width="9.125" style="41" customWidth="1"/>
  </cols>
  <sheetData>
    <row r="2" spans="1:4" ht="15.75">
      <c r="A2" s="1451"/>
      <c r="B2" s="1451"/>
      <c r="C2" s="1451"/>
      <c r="D2" s="1451"/>
    </row>
    <row r="3" spans="1:4" ht="15.75">
      <c r="A3" s="1453"/>
      <c r="B3" s="1453"/>
      <c r="C3" s="1453"/>
      <c r="D3" s="1453"/>
    </row>
    <row r="4" spans="1:9" s="67" customFormat="1" ht="12.75">
      <c r="A4" s="234" t="s">
        <v>1179</v>
      </c>
      <c r="B4" s="234"/>
      <c r="C4" s="234"/>
      <c r="D4" s="234"/>
      <c r="F4" s="138"/>
      <c r="G4" s="51"/>
      <c r="H4" s="51"/>
      <c r="I4" s="51"/>
    </row>
    <row r="5" spans="1:4" ht="15.75">
      <c r="A5" s="115"/>
      <c r="B5" s="115"/>
      <c r="C5" s="115"/>
      <c r="D5" s="115"/>
    </row>
    <row r="6" spans="1:4" ht="15.75">
      <c r="A6" s="1451" t="s">
        <v>438</v>
      </c>
      <c r="B6" s="1451"/>
      <c r="C6" s="1451"/>
      <c r="D6" s="1451"/>
    </row>
    <row r="7" spans="1:4" ht="15.75">
      <c r="A7" s="1452" t="s">
        <v>327</v>
      </c>
      <c r="B7" s="1452"/>
      <c r="C7" s="1452"/>
      <c r="D7" s="1452"/>
    </row>
    <row r="8" spans="1:4" ht="15.75">
      <c r="A8" s="1452" t="s">
        <v>328</v>
      </c>
      <c r="B8" s="1452"/>
      <c r="C8" s="1452"/>
      <c r="D8" s="1452"/>
    </row>
    <row r="9" spans="1:4" ht="15.75">
      <c r="A9" s="1452" t="s">
        <v>885</v>
      </c>
      <c r="B9" s="1452"/>
      <c r="C9" s="1452"/>
      <c r="D9" s="1452"/>
    </row>
    <row r="10" spans="1:4" ht="16.5" thickBot="1">
      <c r="A10" s="116"/>
      <c r="B10" s="116"/>
      <c r="C10" s="117"/>
      <c r="D10" s="41"/>
    </row>
    <row r="11" spans="1:4" s="39" customFormat="1" ht="15.75" customHeight="1">
      <c r="A11" s="372" t="s">
        <v>657</v>
      </c>
      <c r="B11" s="1440" t="s">
        <v>748</v>
      </c>
      <c r="C11" s="1443" t="s">
        <v>782</v>
      </c>
      <c r="D11" s="1444"/>
    </row>
    <row r="12" spans="1:4" s="39" customFormat="1" ht="35.25" customHeight="1" thickBot="1">
      <c r="A12" s="373"/>
      <c r="B12" s="1441"/>
      <c r="C12" s="1445"/>
      <c r="D12" s="1446"/>
    </row>
    <row r="13" spans="1:4" s="39" customFormat="1" ht="12.75">
      <c r="A13" s="373"/>
      <c r="B13" s="1441"/>
      <c r="C13" s="1447" t="s">
        <v>1019</v>
      </c>
      <c r="D13" s="1449" t="s">
        <v>1020</v>
      </c>
    </row>
    <row r="14" spans="1:4" s="39" customFormat="1" ht="27.75" customHeight="1" thickBot="1">
      <c r="A14" s="374" t="s">
        <v>655</v>
      </c>
      <c r="B14" s="1442"/>
      <c r="C14" s="1448"/>
      <c r="D14" s="1450"/>
    </row>
    <row r="15" spans="1:4" s="39" customFormat="1" ht="24" customHeight="1">
      <c r="A15" s="375" t="s">
        <v>658</v>
      </c>
      <c r="B15" s="86" t="s">
        <v>783</v>
      </c>
      <c r="C15" s="376">
        <v>7733000</v>
      </c>
      <c r="D15" s="376">
        <v>9252664</v>
      </c>
    </row>
    <row r="16" spans="1:4" s="39" customFormat="1" ht="25.5">
      <c r="A16" s="375" t="s">
        <v>659</v>
      </c>
      <c r="B16" s="365" t="s">
        <v>543</v>
      </c>
      <c r="C16" s="377"/>
      <c r="D16" s="377"/>
    </row>
    <row r="17" spans="1:4" s="379" customFormat="1" ht="12.75">
      <c r="A17" s="375" t="s">
        <v>660</v>
      </c>
      <c r="B17" s="366" t="s">
        <v>544</v>
      </c>
      <c r="C17" s="378"/>
      <c r="D17" s="378"/>
    </row>
    <row r="18" spans="1:4" s="379" customFormat="1" ht="25.5">
      <c r="A18" s="375" t="s">
        <v>661</v>
      </c>
      <c r="B18" s="365" t="s">
        <v>545</v>
      </c>
      <c r="C18" s="378"/>
      <c r="D18" s="378"/>
    </row>
    <row r="19" spans="1:4" s="379" customFormat="1" ht="12.75">
      <c r="A19" s="375" t="s">
        <v>662</v>
      </c>
      <c r="B19" s="366" t="s">
        <v>546</v>
      </c>
      <c r="C19" s="378">
        <v>80000</v>
      </c>
      <c r="D19" s="378">
        <v>15434</v>
      </c>
    </row>
    <row r="20" spans="1:4" s="379" customFormat="1" ht="12.75">
      <c r="A20" s="375" t="s">
        <v>699</v>
      </c>
      <c r="B20" s="367" t="s">
        <v>784</v>
      </c>
      <c r="C20" s="391"/>
      <c r="D20" s="391"/>
    </row>
    <row r="21" spans="1:4" s="390" customFormat="1" ht="13.5">
      <c r="A21" s="389" t="s">
        <v>663</v>
      </c>
      <c r="B21" s="368" t="s">
        <v>785</v>
      </c>
      <c r="C21" s="381">
        <f>SUM(C15:C20)</f>
        <v>7813000</v>
      </c>
      <c r="D21" s="381">
        <f>SUM(D15:D20)</f>
        <v>9268098</v>
      </c>
    </row>
    <row r="22" spans="1:4" s="395" customFormat="1" ht="24" customHeight="1">
      <c r="A22" s="392" t="s">
        <v>664</v>
      </c>
      <c r="B22" s="393" t="s">
        <v>786</v>
      </c>
      <c r="C22" s="394">
        <f>C21*0.5</f>
        <v>3906500</v>
      </c>
      <c r="D22" s="394">
        <f>D21*0.5</f>
        <v>4634049</v>
      </c>
    </row>
    <row r="23" spans="1:2" s="384" customFormat="1" ht="25.5">
      <c r="A23" s="383" t="s">
        <v>666</v>
      </c>
      <c r="B23" s="369" t="s">
        <v>547</v>
      </c>
    </row>
    <row r="24" spans="1:4" s="379" customFormat="1" ht="31.5" customHeight="1">
      <c r="A24" s="385" t="s">
        <v>668</v>
      </c>
      <c r="B24" s="369" t="s">
        <v>548</v>
      </c>
      <c r="C24" s="378"/>
      <c r="D24" s="378"/>
    </row>
    <row r="25" spans="1:4" s="379" customFormat="1" ht="12.75">
      <c r="A25" s="385" t="s">
        <v>669</v>
      </c>
      <c r="B25" s="249" t="s">
        <v>549</v>
      </c>
      <c r="C25" s="378"/>
      <c r="D25" s="378"/>
    </row>
    <row r="26" spans="1:4" s="379" customFormat="1" ht="25.5">
      <c r="A26" s="385" t="s">
        <v>700</v>
      </c>
      <c r="B26" s="370" t="s">
        <v>550</v>
      </c>
      <c r="C26" s="378"/>
      <c r="D26" s="378"/>
    </row>
    <row r="27" spans="1:4" s="379" customFormat="1" ht="38.25">
      <c r="A27" s="385" t="s">
        <v>670</v>
      </c>
      <c r="B27" s="370" t="s">
        <v>329</v>
      </c>
      <c r="C27" s="378"/>
      <c r="D27" s="378"/>
    </row>
    <row r="28" spans="1:4" s="379" customFormat="1" ht="25.5">
      <c r="A28" s="385" t="s">
        <v>671</v>
      </c>
      <c r="B28" s="370" t="s">
        <v>551</v>
      </c>
      <c r="C28" s="378"/>
      <c r="D28" s="378"/>
    </row>
    <row r="29" spans="1:4" s="379" customFormat="1" ht="25.5">
      <c r="A29" s="385" t="s">
        <v>672</v>
      </c>
      <c r="B29" s="370" t="s">
        <v>552</v>
      </c>
      <c r="C29" s="386"/>
      <c r="D29" s="386"/>
    </row>
    <row r="30" spans="1:4" s="382" customFormat="1" ht="13.5">
      <c r="A30" s="380" t="s">
        <v>674</v>
      </c>
      <c r="B30" s="371" t="s">
        <v>480</v>
      </c>
      <c r="C30" s="387">
        <f>SUM(C24:C29)</f>
        <v>0</v>
      </c>
      <c r="D30" s="387">
        <f>SUM(D24:D29)</f>
        <v>0</v>
      </c>
    </row>
    <row r="31" spans="1:4" s="399" customFormat="1" ht="29.25">
      <c r="A31" s="396" t="s">
        <v>675</v>
      </c>
      <c r="B31" s="397" t="s">
        <v>481</v>
      </c>
      <c r="C31" s="398">
        <f>C22-C30</f>
        <v>3906500</v>
      </c>
      <c r="D31" s="398">
        <f>D22-D30</f>
        <v>4634049</v>
      </c>
    </row>
    <row r="32" spans="1:4" s="120" customFormat="1" ht="15.75">
      <c r="A32" s="121"/>
      <c r="B32" s="118"/>
      <c r="C32" s="119"/>
      <c r="D32" s="119"/>
    </row>
    <row r="33" spans="1:4" s="120" customFormat="1" ht="15.75">
      <c r="A33" s="121"/>
      <c r="B33" s="118"/>
      <c r="C33" s="119"/>
      <c r="D33" s="119"/>
    </row>
    <row r="34" spans="1:4" s="120" customFormat="1" ht="15.75">
      <c r="A34" s="121"/>
      <c r="B34" s="118"/>
      <c r="C34" s="119"/>
      <c r="D34" s="119"/>
    </row>
    <row r="35" spans="1:4" s="120" customFormat="1" ht="15.75">
      <c r="A35" s="118"/>
      <c r="B35" s="118"/>
      <c r="C35" s="119"/>
      <c r="D35" s="119"/>
    </row>
    <row r="36" spans="1:4" s="120" customFormat="1" ht="15.75">
      <c r="A36" s="118"/>
      <c r="B36" s="118"/>
      <c r="C36" s="119"/>
      <c r="D36" s="119"/>
    </row>
    <row r="37" spans="1:4" s="120" customFormat="1" ht="15.75">
      <c r="A37" s="118"/>
      <c r="B37" s="118"/>
      <c r="C37" s="119"/>
      <c r="D37" s="119"/>
    </row>
    <row r="38" spans="1:4" s="120" customFormat="1" ht="15.75">
      <c r="A38" s="118"/>
      <c r="B38" s="122"/>
      <c r="C38" s="119"/>
      <c r="D38" s="119"/>
    </row>
    <row r="39" spans="1:4" s="120" customFormat="1" ht="15.75">
      <c r="A39" s="118"/>
      <c r="B39" s="118"/>
      <c r="C39" s="119"/>
      <c r="D39" s="119"/>
    </row>
    <row r="40" spans="1:4" s="120" customFormat="1" ht="15.75">
      <c r="A40" s="118"/>
      <c r="B40" s="118"/>
      <c r="C40" s="119"/>
      <c r="D40" s="119"/>
    </row>
  </sheetData>
  <sheetProtection/>
  <mergeCells count="10">
    <mergeCell ref="B11:B14"/>
    <mergeCell ref="C11:D12"/>
    <mergeCell ref="C13:C14"/>
    <mergeCell ref="D13:D14"/>
    <mergeCell ref="A2:D2"/>
    <mergeCell ref="A9:D9"/>
    <mergeCell ref="A3:D3"/>
    <mergeCell ref="A7:D7"/>
    <mergeCell ref="A8:D8"/>
    <mergeCell ref="A6:D6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5.75390625" style="0" customWidth="1"/>
    <col min="2" max="2" width="26.625" style="0" customWidth="1"/>
    <col min="3" max="8" width="15.75390625" style="0" customWidth="1"/>
  </cols>
  <sheetData>
    <row r="1" spans="1:8" ht="12.75">
      <c r="A1" s="1454" t="s">
        <v>1180</v>
      </c>
      <c r="B1" s="1454"/>
      <c r="C1" s="1454"/>
      <c r="D1" s="1454"/>
      <c r="E1" s="1454"/>
      <c r="F1" s="1454"/>
      <c r="G1" s="1454"/>
      <c r="H1" s="1454"/>
    </row>
    <row r="3" spans="1:8" ht="12.75">
      <c r="A3" s="1122"/>
      <c r="B3" s="1122"/>
      <c r="C3" s="1122"/>
      <c r="D3" s="1122"/>
      <c r="E3" s="1122"/>
      <c r="F3" s="1122"/>
      <c r="G3" s="1122"/>
      <c r="H3" s="1122"/>
    </row>
    <row r="4" spans="1:8" ht="15.75">
      <c r="A4" s="1455" t="s">
        <v>1090</v>
      </c>
      <c r="B4" s="1456"/>
      <c r="C4" s="1456"/>
      <c r="D4" s="1456"/>
      <c r="E4" s="1456"/>
      <c r="F4" s="1456"/>
      <c r="G4" s="1456"/>
      <c r="H4" s="1456"/>
    </row>
    <row r="5" spans="1:8" ht="12.75">
      <c r="A5" s="542"/>
      <c r="B5" s="542"/>
      <c r="C5" s="542"/>
      <c r="D5" s="542"/>
      <c r="E5" s="542"/>
      <c r="F5" s="542"/>
      <c r="G5" s="542"/>
      <c r="H5" s="542"/>
    </row>
    <row r="7" spans="1:8" ht="13.5">
      <c r="A7" s="1457" t="s">
        <v>1073</v>
      </c>
      <c r="B7" s="1458"/>
      <c r="C7" s="1458"/>
      <c r="D7" s="1458"/>
      <c r="E7" s="1458"/>
      <c r="F7" s="1458"/>
      <c r="G7" s="1458"/>
      <c r="H7" s="1458"/>
    </row>
    <row r="9" spans="1:8" ht="15" thickBot="1">
      <c r="A9" s="1459" t="s">
        <v>1074</v>
      </c>
      <c r="B9" s="1460"/>
      <c r="C9" s="1460"/>
      <c r="D9" s="1460"/>
      <c r="E9" s="1460"/>
      <c r="F9" s="1460"/>
      <c r="G9" s="1460"/>
      <c r="H9" s="1460"/>
    </row>
    <row r="10" spans="1:8" ht="45.75" thickBot="1">
      <c r="A10" s="866" t="s">
        <v>1075</v>
      </c>
      <c r="B10" s="866" t="s">
        <v>653</v>
      </c>
      <c r="C10" s="866" t="s">
        <v>1076</v>
      </c>
      <c r="D10" s="866" t="s">
        <v>1077</v>
      </c>
      <c r="E10" s="867" t="s">
        <v>1078</v>
      </c>
      <c r="F10" s="867" t="s">
        <v>1079</v>
      </c>
      <c r="G10" s="867" t="s">
        <v>1080</v>
      </c>
      <c r="H10" s="867" t="s">
        <v>1081</v>
      </c>
    </row>
    <row r="11" spans="1:8" ht="15.75" thickBot="1">
      <c r="A11" s="867">
        <v>1</v>
      </c>
      <c r="B11" s="867">
        <v>2</v>
      </c>
      <c r="C11" s="867">
        <v>3</v>
      </c>
      <c r="D11" s="867">
        <v>4</v>
      </c>
      <c r="E11" s="867">
        <v>5</v>
      </c>
      <c r="F11" s="867">
        <v>6</v>
      </c>
      <c r="G11" s="867">
        <v>7</v>
      </c>
      <c r="H11" s="867">
        <v>8</v>
      </c>
    </row>
    <row r="12" spans="1:8" ht="22.5" customHeight="1">
      <c r="A12" s="868" t="s">
        <v>1085</v>
      </c>
      <c r="B12" s="869" t="s">
        <v>119</v>
      </c>
      <c r="C12" s="870">
        <v>4500</v>
      </c>
      <c r="D12" s="870">
        <v>0</v>
      </c>
      <c r="E12" s="870">
        <v>0</v>
      </c>
      <c r="F12" s="870">
        <v>0</v>
      </c>
      <c r="G12" s="870"/>
      <c r="H12" s="871">
        <v>0</v>
      </c>
    </row>
    <row r="13" spans="1:8" ht="19.5" customHeight="1">
      <c r="A13" s="872" t="s">
        <v>1086</v>
      </c>
      <c r="B13" s="873" t="s">
        <v>373</v>
      </c>
      <c r="C13" s="874">
        <v>9000000</v>
      </c>
      <c r="D13" s="874">
        <v>7155000</v>
      </c>
      <c r="E13" s="874">
        <v>0</v>
      </c>
      <c r="F13" s="874">
        <v>0</v>
      </c>
      <c r="G13" s="874">
        <v>9000000</v>
      </c>
      <c r="H13" s="875">
        <v>7155000</v>
      </c>
    </row>
    <row r="14" spans="1:8" ht="19.5" customHeight="1">
      <c r="A14" s="872" t="s">
        <v>345</v>
      </c>
      <c r="B14" s="873" t="s">
        <v>509</v>
      </c>
      <c r="C14" s="874">
        <v>116122</v>
      </c>
      <c r="D14" s="874"/>
      <c r="E14" s="874"/>
      <c r="F14" s="874"/>
      <c r="G14" s="874">
        <v>136074</v>
      </c>
      <c r="H14" s="875"/>
    </row>
    <row r="15" spans="1:8" ht="30" customHeight="1">
      <c r="A15" s="872" t="s">
        <v>1087</v>
      </c>
      <c r="B15" s="873" t="s">
        <v>1082</v>
      </c>
      <c r="C15" s="874">
        <v>56977861</v>
      </c>
      <c r="D15" s="874">
        <v>0</v>
      </c>
      <c r="E15" s="874">
        <v>0</v>
      </c>
      <c r="F15" s="874">
        <v>0</v>
      </c>
      <c r="G15" s="874">
        <v>49852311</v>
      </c>
      <c r="H15" s="875">
        <v>0</v>
      </c>
    </row>
    <row r="16" spans="1:8" ht="56.25" customHeight="1" thickBot="1">
      <c r="A16" s="876" t="s">
        <v>1088</v>
      </c>
      <c r="B16" s="877" t="s">
        <v>1083</v>
      </c>
      <c r="C16" s="878">
        <v>5386865</v>
      </c>
      <c r="D16" s="878">
        <v>581309</v>
      </c>
      <c r="E16" s="878">
        <v>41646</v>
      </c>
      <c r="F16" s="878">
        <v>135064</v>
      </c>
      <c r="G16" s="878">
        <v>7048387</v>
      </c>
      <c r="H16" s="879">
        <v>487894</v>
      </c>
    </row>
    <row r="17" spans="1:8" ht="13.5" thickBot="1">
      <c r="A17" s="880" t="s">
        <v>1089</v>
      </c>
      <c r="B17" s="881" t="s">
        <v>1084</v>
      </c>
      <c r="C17" s="882">
        <f aca="true" t="shared" si="0" ref="C17:H17">SUM(C12:C16)</f>
        <v>71485348</v>
      </c>
      <c r="D17" s="882">
        <f t="shared" si="0"/>
        <v>7736309</v>
      </c>
      <c r="E17" s="882">
        <f t="shared" si="0"/>
        <v>41646</v>
      </c>
      <c r="F17" s="882">
        <f t="shared" si="0"/>
        <v>135064</v>
      </c>
      <c r="G17" s="882">
        <f>SUM(G12:G16)</f>
        <v>66036772</v>
      </c>
      <c r="H17" s="882">
        <f t="shared" si="0"/>
        <v>7642894</v>
      </c>
    </row>
  </sheetData>
  <sheetProtection/>
  <mergeCells count="5">
    <mergeCell ref="A1:H1"/>
    <mergeCell ref="A3:H3"/>
    <mergeCell ref="A4:H4"/>
    <mergeCell ref="A7:H7"/>
    <mergeCell ref="A9:H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2:H25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70.875" style="0" customWidth="1"/>
    <col min="3" max="3" width="21.625" style="0" customWidth="1"/>
  </cols>
  <sheetData>
    <row r="2" spans="1:8" ht="12.75">
      <c r="A2" s="1454" t="s">
        <v>1181</v>
      </c>
      <c r="B2" s="1454"/>
      <c r="C2" s="1454"/>
      <c r="D2" s="864"/>
      <c r="E2" s="864"/>
      <c r="F2" s="864"/>
      <c r="G2" s="864"/>
      <c r="H2" s="864"/>
    </row>
    <row r="4" spans="1:8" ht="12.75">
      <c r="A4" s="1122"/>
      <c r="B4" s="1461"/>
      <c r="C4" s="1461"/>
      <c r="D4" s="542"/>
      <c r="E4" s="542"/>
      <c r="F4" s="542"/>
      <c r="G4" s="542"/>
      <c r="H4" s="542"/>
    </row>
    <row r="5" spans="1:8" ht="36" customHeight="1">
      <c r="A5" s="1462" t="s">
        <v>1090</v>
      </c>
      <c r="B5" s="1463"/>
      <c r="C5" s="1463"/>
      <c r="D5" s="865"/>
      <c r="E5" s="865"/>
      <c r="F5" s="865"/>
      <c r="G5" s="865"/>
      <c r="H5" s="865"/>
    </row>
    <row r="8" spans="1:3" ht="19.5" customHeight="1">
      <c r="A8" s="1464" t="s">
        <v>1091</v>
      </c>
      <c r="B8" s="1465"/>
      <c r="C8" s="1465"/>
    </row>
    <row r="9" spans="1:3" ht="15">
      <c r="A9" s="883"/>
      <c r="B9" s="884"/>
      <c r="C9" s="884"/>
    </row>
    <row r="10" spans="1:3" ht="15">
      <c r="A10" s="883"/>
      <c r="B10" s="884"/>
      <c r="C10" s="884"/>
    </row>
    <row r="11" spans="1:3" ht="13.5" thickBot="1">
      <c r="A11" s="1466" t="s">
        <v>1074</v>
      </c>
      <c r="B11" s="1467"/>
      <c r="C11" s="1467"/>
    </row>
    <row r="12" spans="1:3" ht="19.5" customHeight="1">
      <c r="A12" s="885" t="s">
        <v>1092</v>
      </c>
      <c r="B12" s="886" t="s">
        <v>653</v>
      </c>
      <c r="C12" s="887" t="s">
        <v>1093</v>
      </c>
    </row>
    <row r="13" spans="1:3" ht="15.75" thickBot="1">
      <c r="A13" s="888">
        <v>1</v>
      </c>
      <c r="B13" s="889">
        <v>2</v>
      </c>
      <c r="C13" s="890">
        <v>3</v>
      </c>
    </row>
    <row r="14" spans="1:3" ht="27" customHeight="1" thickBot="1">
      <c r="A14" s="895" t="s">
        <v>342</v>
      </c>
      <c r="B14" s="896" t="s">
        <v>1103</v>
      </c>
      <c r="C14" s="897">
        <v>88071</v>
      </c>
    </row>
    <row r="15" spans="1:3" ht="24" customHeight="1" thickBot="1">
      <c r="A15" s="898" t="s">
        <v>343</v>
      </c>
      <c r="B15" s="896" t="s">
        <v>1104</v>
      </c>
      <c r="C15" s="899">
        <v>4</v>
      </c>
    </row>
    <row r="16" spans="1:3" ht="58.5" customHeight="1">
      <c r="A16" s="868" t="s">
        <v>1089</v>
      </c>
      <c r="B16" s="869" t="s">
        <v>1094</v>
      </c>
      <c r="C16" s="871">
        <v>1260057</v>
      </c>
    </row>
    <row r="17" spans="1:3" ht="38.25">
      <c r="A17" s="872" t="s">
        <v>1095</v>
      </c>
      <c r="B17" s="873" t="s">
        <v>1096</v>
      </c>
      <c r="C17" s="875">
        <v>378917</v>
      </c>
    </row>
    <row r="18" spans="1:3" ht="38.25">
      <c r="A18" s="872" t="s">
        <v>1097</v>
      </c>
      <c r="B18" s="873" t="s">
        <v>1098</v>
      </c>
      <c r="C18" s="875">
        <v>1329857</v>
      </c>
    </row>
    <row r="19" spans="1:3" ht="56.25" customHeight="1">
      <c r="A19" s="876" t="s">
        <v>1099</v>
      </c>
      <c r="B19" s="873" t="s">
        <v>1100</v>
      </c>
      <c r="C19" s="879">
        <v>334352</v>
      </c>
    </row>
    <row r="20" spans="1:3" ht="39" customHeight="1">
      <c r="A20" s="876" t="s">
        <v>677</v>
      </c>
      <c r="B20" s="963" t="s">
        <v>1131</v>
      </c>
      <c r="C20" s="879">
        <v>293274</v>
      </c>
    </row>
    <row r="21" spans="1:3" ht="42" customHeight="1">
      <c r="A21" s="876" t="s">
        <v>678</v>
      </c>
      <c r="B21" s="877" t="s">
        <v>1132</v>
      </c>
      <c r="C21" s="879">
        <v>49547</v>
      </c>
    </row>
    <row r="22" spans="1:3" ht="17.25" customHeight="1">
      <c r="A22" s="905" t="s">
        <v>679</v>
      </c>
      <c r="B22" s="904" t="s">
        <v>1105</v>
      </c>
      <c r="C22" s="879">
        <v>523146</v>
      </c>
    </row>
    <row r="23" spans="1:3" ht="20.25" customHeight="1">
      <c r="A23" s="902" t="s">
        <v>347</v>
      </c>
      <c r="B23" s="903" t="s">
        <v>1101</v>
      </c>
      <c r="C23" s="893">
        <v>555577</v>
      </c>
    </row>
    <row r="24" spans="1:3" ht="20.25" customHeight="1">
      <c r="A24" s="891" t="s">
        <v>348</v>
      </c>
      <c r="B24" s="892" t="s">
        <v>1102</v>
      </c>
      <c r="C24" s="900">
        <v>29406530</v>
      </c>
    </row>
    <row r="25" spans="1:3" ht="20.25" customHeight="1" thickBot="1">
      <c r="A25" s="906" t="s">
        <v>350</v>
      </c>
      <c r="B25" s="901" t="s">
        <v>1102</v>
      </c>
      <c r="C25" s="894">
        <v>28100</v>
      </c>
    </row>
  </sheetData>
  <sheetProtection/>
  <mergeCells count="5">
    <mergeCell ref="A2:C2"/>
    <mergeCell ref="A4:C4"/>
    <mergeCell ref="A5:C5"/>
    <mergeCell ref="A8:C8"/>
    <mergeCell ref="A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2:C15"/>
  <sheetViews>
    <sheetView zoomScalePageLayoutView="0" workbookViewId="0" topLeftCell="A1">
      <selection activeCell="A2" sqref="A2:C2"/>
    </sheetView>
  </sheetViews>
  <sheetFormatPr defaultColWidth="9.00390625" defaultRowHeight="12.75"/>
  <cols>
    <col min="2" max="2" width="64.375" style="0" customWidth="1"/>
    <col min="3" max="3" width="18.00390625" style="0" customWidth="1"/>
  </cols>
  <sheetData>
    <row r="2" spans="1:3" ht="12.75">
      <c r="A2" s="1454" t="s">
        <v>1182</v>
      </c>
      <c r="B2" s="1454"/>
      <c r="C2" s="1454"/>
    </row>
    <row r="3" ht="15" customHeight="1"/>
    <row r="4" spans="1:3" ht="12.75">
      <c r="A4" s="1122"/>
      <c r="B4" s="1461"/>
      <c r="C4" s="1461"/>
    </row>
    <row r="5" spans="1:3" ht="42.75" customHeight="1">
      <c r="A5" s="1462" t="s">
        <v>1090</v>
      </c>
      <c r="B5" s="1463"/>
      <c r="C5" s="1463"/>
    </row>
    <row r="8" spans="1:3" ht="41.25" customHeight="1">
      <c r="A8" s="1468" t="s">
        <v>1106</v>
      </c>
      <c r="B8" s="1469"/>
      <c r="C8" s="1469"/>
    </row>
    <row r="9" spans="1:3" ht="15.75" customHeight="1">
      <c r="A9" s="907"/>
      <c r="B9" s="908"/>
      <c r="C9" s="908"/>
    </row>
    <row r="10" spans="1:3" ht="12.75" customHeight="1" thickBot="1">
      <c r="A10" s="1470" t="s">
        <v>1074</v>
      </c>
      <c r="B10" s="1471"/>
      <c r="C10" s="1471"/>
    </row>
    <row r="11" spans="1:3" ht="15.75" thickBot="1">
      <c r="A11" s="867" t="s">
        <v>1107</v>
      </c>
      <c r="B11" s="867" t="s">
        <v>653</v>
      </c>
      <c r="C11" s="867" t="s">
        <v>1093</v>
      </c>
    </row>
    <row r="12" spans="1:3" ht="15.75" thickBot="1">
      <c r="A12" s="867">
        <v>1</v>
      </c>
      <c r="B12" s="867">
        <v>2</v>
      </c>
      <c r="C12" s="867">
        <v>3</v>
      </c>
    </row>
    <row r="13" spans="1:3" ht="39" customHeight="1">
      <c r="A13" s="909">
        <v>2</v>
      </c>
      <c r="B13" s="910" t="s">
        <v>1129</v>
      </c>
      <c r="C13" s="911">
        <v>65080</v>
      </c>
    </row>
    <row r="14" spans="1:3" ht="39" thickBot="1">
      <c r="A14" s="913" t="s">
        <v>1108</v>
      </c>
      <c r="B14" s="912" t="s">
        <v>1109</v>
      </c>
      <c r="C14" s="914">
        <v>4657275</v>
      </c>
    </row>
    <row r="15" spans="1:3" ht="30" customHeight="1" thickBot="1">
      <c r="A15" s="915" t="s">
        <v>1110</v>
      </c>
      <c r="B15" s="916" t="s">
        <v>1130</v>
      </c>
      <c r="C15" s="917">
        <f>C13</f>
        <v>65080</v>
      </c>
    </row>
  </sheetData>
  <sheetProtection/>
  <mergeCells count="5">
    <mergeCell ref="A2:C2"/>
    <mergeCell ref="A4:C4"/>
    <mergeCell ref="A5:C5"/>
    <mergeCell ref="A8:C8"/>
    <mergeCell ref="A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2:I24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5.25390625" style="0" customWidth="1"/>
    <col min="2" max="2" width="40.25390625" style="0" customWidth="1"/>
    <col min="3" max="3" width="12.25390625" style="0" customWidth="1"/>
    <col min="4" max="4" width="16.00390625" style="0" customWidth="1"/>
    <col min="5" max="5" width="16.75390625" style="0" customWidth="1"/>
    <col min="6" max="6" width="7.875" style="0" customWidth="1"/>
    <col min="7" max="7" width="14.625" style="0" customWidth="1"/>
    <col min="8" max="8" width="16.00390625" style="0" customWidth="1"/>
    <col min="9" max="9" width="17.25390625" style="0" customWidth="1"/>
  </cols>
  <sheetData>
    <row r="2" spans="1:3" ht="12.75">
      <c r="A2" s="999" t="s">
        <v>1183</v>
      </c>
      <c r="B2" s="999"/>
      <c r="C2" s="999"/>
    </row>
    <row r="4" spans="1:9" ht="16.5" customHeight="1">
      <c r="A4" s="1122"/>
      <c r="B4" s="1461"/>
      <c r="C4" s="1461"/>
      <c r="D4" s="1038"/>
      <c r="E4" s="1038"/>
      <c r="F4" s="1038"/>
      <c r="G4" s="1038"/>
      <c r="H4" s="1038"/>
      <c r="I4" s="1038"/>
    </row>
    <row r="5" spans="1:9" ht="25.5" customHeight="1">
      <c r="A5" s="1462" t="s">
        <v>1090</v>
      </c>
      <c r="B5" s="1463"/>
      <c r="C5" s="1463"/>
      <c r="D5" s="1038"/>
      <c r="E5" s="1038"/>
      <c r="F5" s="1038"/>
      <c r="G5" s="1038"/>
      <c r="H5" s="1038"/>
      <c r="I5" s="1038"/>
    </row>
    <row r="7" spans="1:9" ht="12.75">
      <c r="A7" s="1472" t="s">
        <v>1111</v>
      </c>
      <c r="B7" s="1472"/>
      <c r="C7" s="1472"/>
      <c r="D7" s="1472"/>
      <c r="E7" s="1472"/>
      <c r="F7" s="1472"/>
      <c r="G7" s="1472"/>
      <c r="H7" s="1472"/>
      <c r="I7" s="1472"/>
    </row>
    <row r="9" spans="1:9" ht="18" customHeight="1" thickBot="1">
      <c r="A9" s="1467" t="s">
        <v>1074</v>
      </c>
      <c r="B9" s="1467"/>
      <c r="C9" s="1467"/>
      <c r="D9" s="1467"/>
      <c r="E9" s="1467"/>
      <c r="F9" s="1467"/>
      <c r="G9" s="1467"/>
      <c r="H9" s="1467"/>
      <c r="I9" s="1467"/>
    </row>
    <row r="10" spans="1:9" ht="53.25" customHeight="1">
      <c r="A10" s="918" t="s">
        <v>1033</v>
      </c>
      <c r="B10" s="919" t="s">
        <v>653</v>
      </c>
      <c r="C10" s="919" t="s">
        <v>366</v>
      </c>
      <c r="D10" s="919" t="s">
        <v>1112</v>
      </c>
      <c r="E10" s="919" t="s">
        <v>1113</v>
      </c>
      <c r="F10" s="919" t="s">
        <v>502</v>
      </c>
      <c r="G10" s="919" t="s">
        <v>1114</v>
      </c>
      <c r="H10" s="919" t="s">
        <v>379</v>
      </c>
      <c r="I10" s="920" t="s">
        <v>1115</v>
      </c>
    </row>
    <row r="11" spans="1:9" ht="13.5" thickBot="1">
      <c r="A11" s="921">
        <v>1</v>
      </c>
      <c r="B11" s="922">
        <v>2</v>
      </c>
      <c r="C11" s="922">
        <v>3</v>
      </c>
      <c r="D11" s="922">
        <v>4</v>
      </c>
      <c r="E11" s="922">
        <v>5</v>
      </c>
      <c r="F11" s="922">
        <v>6</v>
      </c>
      <c r="G11" s="922">
        <v>7</v>
      </c>
      <c r="H11" s="922">
        <v>8</v>
      </c>
      <c r="I11" s="923">
        <v>9</v>
      </c>
    </row>
    <row r="12" spans="1:9" ht="30.75" customHeight="1">
      <c r="A12" s="924">
        <v>1</v>
      </c>
      <c r="B12" s="925" t="s">
        <v>1116</v>
      </c>
      <c r="C12" s="926">
        <v>1761709</v>
      </c>
      <c r="D12" s="926">
        <v>689054268</v>
      </c>
      <c r="E12" s="926">
        <v>16006749</v>
      </c>
      <c r="F12" s="927">
        <v>0</v>
      </c>
      <c r="G12" s="926">
        <v>4175800</v>
      </c>
      <c r="H12" s="927">
        <v>0</v>
      </c>
      <c r="I12" s="928">
        <f>C12+D12+E12+F12+G12</f>
        <v>710998526</v>
      </c>
    </row>
    <row r="13" spans="1:9" ht="30.75" customHeight="1">
      <c r="A13" s="949" t="s">
        <v>659</v>
      </c>
      <c r="B13" s="950" t="s">
        <v>1126</v>
      </c>
      <c r="C13" s="951">
        <v>250000</v>
      </c>
      <c r="D13" s="951"/>
      <c r="E13" s="951"/>
      <c r="F13" s="952"/>
      <c r="G13" s="951"/>
      <c r="H13" s="952"/>
      <c r="I13" s="961">
        <f>C13+D13+E13+F13+G13</f>
        <v>250000</v>
      </c>
    </row>
    <row r="14" spans="1:9" ht="21.75" customHeight="1" thickBot="1">
      <c r="A14" s="953">
        <v>4</v>
      </c>
      <c r="B14" s="954" t="s">
        <v>1117</v>
      </c>
      <c r="C14" s="955">
        <v>0</v>
      </c>
      <c r="D14" s="956">
        <v>21415415</v>
      </c>
      <c r="E14" s="956">
        <v>678747</v>
      </c>
      <c r="F14" s="955">
        <v>0</v>
      </c>
      <c r="G14" s="955">
        <v>0</v>
      </c>
      <c r="H14" s="955">
        <v>0</v>
      </c>
      <c r="I14" s="962">
        <f>C14+D14+E14+F14+G14</f>
        <v>22094162</v>
      </c>
    </row>
    <row r="15" spans="1:9" ht="22.5" customHeight="1" thickBot="1">
      <c r="A15" s="936">
        <v>8</v>
      </c>
      <c r="B15" s="937" t="s">
        <v>1118</v>
      </c>
      <c r="C15" s="938">
        <f>C13+C14</f>
        <v>250000</v>
      </c>
      <c r="D15" s="938">
        <f>D13+D14</f>
        <v>21415415</v>
      </c>
      <c r="E15" s="938">
        <f>E13+E14</f>
        <v>678747</v>
      </c>
      <c r="F15" s="939">
        <v>0</v>
      </c>
      <c r="G15" s="938">
        <f>G13+G14</f>
        <v>0</v>
      </c>
      <c r="H15" s="939">
        <v>0</v>
      </c>
      <c r="I15" s="938">
        <f>I13+I14</f>
        <v>22344162</v>
      </c>
    </row>
    <row r="16" spans="1:9" ht="22.5" customHeight="1" thickBot="1">
      <c r="A16" s="957" t="s">
        <v>666</v>
      </c>
      <c r="B16" s="958" t="s">
        <v>1127</v>
      </c>
      <c r="C16" s="959"/>
      <c r="D16" s="959">
        <v>2128900</v>
      </c>
      <c r="E16" s="959"/>
      <c r="F16" s="960"/>
      <c r="G16" s="960"/>
      <c r="H16" s="960"/>
      <c r="I16" s="962">
        <f>C16+D16+E16+F16+G16</f>
        <v>2128900</v>
      </c>
    </row>
    <row r="17" spans="1:9" ht="22.5" customHeight="1" thickBot="1">
      <c r="A17" s="936" t="s">
        <v>671</v>
      </c>
      <c r="B17" s="937" t="s">
        <v>1128</v>
      </c>
      <c r="C17" s="938"/>
      <c r="D17" s="938">
        <f>D16</f>
        <v>2128900</v>
      </c>
      <c r="E17" s="938"/>
      <c r="F17" s="939"/>
      <c r="G17" s="939"/>
      <c r="H17" s="939"/>
      <c r="I17" s="940">
        <f>C17+D17+E17+F17+G17</f>
        <v>2128900</v>
      </c>
    </row>
    <row r="18" spans="1:9" ht="24.75" customHeight="1" thickBot="1">
      <c r="A18" s="936">
        <v>15</v>
      </c>
      <c r="B18" s="937" t="s">
        <v>1119</v>
      </c>
      <c r="C18" s="938">
        <f>C12+C15-C17</f>
        <v>2011709</v>
      </c>
      <c r="D18" s="938">
        <f>D12+D15-D17</f>
        <v>708340783</v>
      </c>
      <c r="E18" s="938">
        <f>E12+E15-E17</f>
        <v>16685496</v>
      </c>
      <c r="F18" s="939">
        <v>0</v>
      </c>
      <c r="G18" s="938">
        <f>G12+G15-G17</f>
        <v>4175800</v>
      </c>
      <c r="H18" s="939">
        <v>0</v>
      </c>
      <c r="I18" s="938">
        <f>I12+I15-I17</f>
        <v>731213788</v>
      </c>
    </row>
    <row r="19" spans="1:9" ht="34.5" customHeight="1">
      <c r="A19" s="924">
        <v>16</v>
      </c>
      <c r="B19" s="925" t="s">
        <v>1120</v>
      </c>
      <c r="C19" s="926">
        <v>1663601</v>
      </c>
      <c r="D19" s="926">
        <v>113945050</v>
      </c>
      <c r="E19" s="926">
        <v>8196029</v>
      </c>
      <c r="F19" s="927">
        <v>0</v>
      </c>
      <c r="G19" s="927">
        <v>0</v>
      </c>
      <c r="H19" s="927">
        <v>0</v>
      </c>
      <c r="I19" s="962">
        <f>C19+D19+E19+F19+G19</f>
        <v>123804680</v>
      </c>
    </row>
    <row r="20" spans="1:9" ht="24.75" customHeight="1">
      <c r="A20" s="929">
        <v>17</v>
      </c>
      <c r="B20" s="930" t="s">
        <v>1121</v>
      </c>
      <c r="C20" s="931">
        <v>51466</v>
      </c>
      <c r="D20" s="932">
        <v>18614554</v>
      </c>
      <c r="E20" s="932">
        <v>2511008</v>
      </c>
      <c r="F20" s="931">
        <v>0</v>
      </c>
      <c r="G20" s="931">
        <v>0</v>
      </c>
      <c r="H20" s="931">
        <v>0</v>
      </c>
      <c r="I20" s="962">
        <f>C20+D20+E20+F20+G20</f>
        <v>21177028</v>
      </c>
    </row>
    <row r="21" spans="1:9" ht="34.5" customHeight="1">
      <c r="A21" s="941">
        <v>19</v>
      </c>
      <c r="B21" s="942" t="s">
        <v>1122</v>
      </c>
      <c r="C21" s="943">
        <f>C19+C20</f>
        <v>1715067</v>
      </c>
      <c r="D21" s="943">
        <f aca="true" t="shared" si="0" ref="D21:I21">D19+D20</f>
        <v>132559604</v>
      </c>
      <c r="E21" s="943">
        <f>E19+E20</f>
        <v>10707037</v>
      </c>
      <c r="F21" s="943">
        <f t="shared" si="0"/>
        <v>0</v>
      </c>
      <c r="G21" s="943">
        <f t="shared" si="0"/>
        <v>0</v>
      </c>
      <c r="H21" s="943">
        <f t="shared" si="0"/>
        <v>0</v>
      </c>
      <c r="I21" s="943">
        <f t="shared" si="0"/>
        <v>144981708</v>
      </c>
    </row>
    <row r="22" spans="1:9" ht="23.25" customHeight="1" thickBot="1">
      <c r="A22" s="933">
        <v>24</v>
      </c>
      <c r="B22" s="934" t="s">
        <v>1123</v>
      </c>
      <c r="C22" s="935">
        <f>C21</f>
        <v>1715067</v>
      </c>
      <c r="D22" s="935">
        <f aca="true" t="shared" si="1" ref="D22:I22">D21</f>
        <v>132559604</v>
      </c>
      <c r="E22" s="935">
        <f t="shared" si="1"/>
        <v>10707037</v>
      </c>
      <c r="F22" s="935">
        <f t="shared" si="1"/>
        <v>0</v>
      </c>
      <c r="G22" s="935">
        <f t="shared" si="1"/>
        <v>0</v>
      </c>
      <c r="H22" s="935">
        <f t="shared" si="1"/>
        <v>0</v>
      </c>
      <c r="I22" s="935">
        <f t="shared" si="1"/>
        <v>144981708</v>
      </c>
    </row>
    <row r="23" spans="1:9" ht="24" customHeight="1" thickBot="1">
      <c r="A23" s="936">
        <v>25</v>
      </c>
      <c r="B23" s="937" t="s">
        <v>1124</v>
      </c>
      <c r="C23" s="938">
        <f>C18-C22</f>
        <v>296642</v>
      </c>
      <c r="D23" s="938">
        <f aca="true" t="shared" si="2" ref="D23:I23">D18-D22</f>
        <v>575781179</v>
      </c>
      <c r="E23" s="938">
        <f t="shared" si="2"/>
        <v>5978459</v>
      </c>
      <c r="F23" s="938">
        <f t="shared" si="2"/>
        <v>0</v>
      </c>
      <c r="G23" s="938">
        <f t="shared" si="2"/>
        <v>4175800</v>
      </c>
      <c r="H23" s="938">
        <f t="shared" si="2"/>
        <v>0</v>
      </c>
      <c r="I23" s="938">
        <f t="shared" si="2"/>
        <v>586232080</v>
      </c>
    </row>
    <row r="24" spans="1:9" ht="24" customHeight="1" thickBot="1">
      <c r="A24" s="944">
        <v>26</v>
      </c>
      <c r="B24" s="945" t="s">
        <v>1125</v>
      </c>
      <c r="C24" s="946">
        <v>1481000</v>
      </c>
      <c r="D24" s="947">
        <v>115000</v>
      </c>
      <c r="E24" s="946">
        <v>5779566</v>
      </c>
      <c r="F24" s="947">
        <v>0</v>
      </c>
      <c r="G24" s="947">
        <v>0</v>
      </c>
      <c r="H24" s="947">
        <v>0</v>
      </c>
      <c r="I24" s="948">
        <f>C24+D24+E24+F24+G24+H24</f>
        <v>7375566</v>
      </c>
    </row>
  </sheetData>
  <sheetProtection/>
  <mergeCells count="5">
    <mergeCell ref="A2:C2"/>
    <mergeCell ref="A4:I4"/>
    <mergeCell ref="A5:I5"/>
    <mergeCell ref="A7:I7"/>
    <mergeCell ref="A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G56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4.625" style="569" customWidth="1"/>
    <col min="2" max="2" width="14.125" style="570" customWidth="1"/>
    <col min="3" max="3" width="4.875" style="569" customWidth="1"/>
    <col min="4" max="4" width="17.75390625" style="570" customWidth="1"/>
    <col min="5" max="5" width="5.25390625" style="569" customWidth="1"/>
    <col min="6" max="6" width="9.125" style="569" customWidth="1"/>
    <col min="7" max="7" width="14.25390625" style="569" bestFit="1" customWidth="1"/>
    <col min="8" max="16384" width="9.125" style="569" customWidth="1"/>
  </cols>
  <sheetData>
    <row r="1" spans="1:5" ht="15">
      <c r="A1" s="1473" t="s">
        <v>1184</v>
      </c>
      <c r="B1" s="1473"/>
      <c r="C1" s="1473"/>
      <c r="D1" s="1473"/>
      <c r="E1" s="1473"/>
    </row>
    <row r="2" spans="1:5" ht="15">
      <c r="A2" s="568"/>
      <c r="B2" s="568"/>
      <c r="C2" s="568"/>
      <c r="D2" s="568"/>
      <c r="E2" s="568"/>
    </row>
    <row r="3" spans="1:5" ht="15">
      <c r="A3" s="1473" t="s">
        <v>883</v>
      </c>
      <c r="B3" s="1473"/>
      <c r="C3" s="1473"/>
      <c r="D3" s="1473"/>
      <c r="E3" s="1473"/>
    </row>
    <row r="4" spans="1:5" ht="15">
      <c r="A4" s="568"/>
      <c r="B4" s="568"/>
      <c r="C4" s="568"/>
      <c r="D4" s="568"/>
      <c r="E4" s="568"/>
    </row>
    <row r="5" spans="1:5" s="41" customFormat="1" ht="15.75">
      <c r="A5" s="1384"/>
      <c r="B5" s="1384"/>
      <c r="C5" s="1384"/>
      <c r="D5" s="1384"/>
      <c r="E5" s="1384"/>
    </row>
    <row r="6" spans="1:5" s="41" customFormat="1" ht="15.75">
      <c r="A6" s="1474" t="s">
        <v>741</v>
      </c>
      <c r="B6" s="1474"/>
      <c r="C6" s="1474"/>
      <c r="D6" s="1474"/>
      <c r="E6" s="1474"/>
    </row>
    <row r="7" spans="1:5" ht="15.75">
      <c r="A7" s="1474" t="s">
        <v>884</v>
      </c>
      <c r="B7" s="1474"/>
      <c r="C7" s="1474"/>
      <c r="D7" s="1474"/>
      <c r="E7" s="1474"/>
    </row>
    <row r="8" spans="1:5" ht="12.75" customHeight="1">
      <c r="A8" s="1475" t="s">
        <v>885</v>
      </c>
      <c r="B8" s="1475"/>
      <c r="C8" s="1475"/>
      <c r="D8" s="1475"/>
      <c r="E8" s="1475"/>
    </row>
    <row r="9" spans="1:5" s="39" customFormat="1" ht="15">
      <c r="A9" s="569"/>
      <c r="B9" s="570"/>
      <c r="C9" s="569"/>
      <c r="D9" s="214"/>
      <c r="E9" s="569"/>
    </row>
    <row r="10" spans="1:4" s="39" customFormat="1" ht="18.75">
      <c r="A10" s="571" t="s">
        <v>886</v>
      </c>
      <c r="B10" s="247"/>
      <c r="D10" s="49"/>
    </row>
    <row r="11" spans="1:5" ht="15.75">
      <c r="A11" s="36" t="s">
        <v>887</v>
      </c>
      <c r="B11" s="247"/>
      <c r="C11" s="39"/>
      <c r="D11" s="572">
        <f>B12+B13</f>
        <v>31452609</v>
      </c>
      <c r="E11" s="39" t="s">
        <v>888</v>
      </c>
    </row>
    <row r="12" spans="1:7" ht="15.75">
      <c r="A12" s="573" t="s">
        <v>889</v>
      </c>
      <c r="B12" s="574">
        <f>'[1]2.mell - bevétel'!H68</f>
        <v>29416624</v>
      </c>
      <c r="C12" s="569" t="s">
        <v>888</v>
      </c>
      <c r="D12" s="214"/>
      <c r="G12" s="575"/>
    </row>
    <row r="13" spans="1:5" s="39" customFormat="1" ht="15.75" customHeight="1">
      <c r="A13" s="573" t="s">
        <v>890</v>
      </c>
      <c r="B13" s="574">
        <f>'[1]2.mell - bevétel'!H74</f>
        <v>2035985</v>
      </c>
      <c r="C13" s="569" t="s">
        <v>888</v>
      </c>
      <c r="D13" s="214"/>
      <c r="E13" s="569"/>
    </row>
    <row r="14" spans="1:4" s="39" customFormat="1" ht="15.75">
      <c r="A14" s="36"/>
      <c r="B14" s="247"/>
      <c r="D14" s="147"/>
    </row>
    <row r="15" spans="1:5" s="39" customFormat="1" ht="15.75">
      <c r="A15" s="36" t="s">
        <v>891</v>
      </c>
      <c r="B15" s="247"/>
      <c r="D15" s="964">
        <f>'[1]2.mell - bevétel'!H86</f>
        <v>10000000</v>
      </c>
      <c r="E15" s="39" t="s">
        <v>888</v>
      </c>
    </row>
    <row r="16" spans="1:5" s="39" customFormat="1" ht="15.75">
      <c r="A16" s="36" t="s">
        <v>824</v>
      </c>
      <c r="B16" s="247"/>
      <c r="D16" s="576">
        <f>'[1]2.mell - bevétel'!H113</f>
        <v>7813000</v>
      </c>
      <c r="E16" s="39" t="s">
        <v>888</v>
      </c>
    </row>
    <row r="17" spans="1:5" s="39" customFormat="1" ht="15.75">
      <c r="A17" s="36" t="s">
        <v>760</v>
      </c>
      <c r="B17" s="247"/>
      <c r="D17" s="576">
        <f>'[1]2.mell - bevétel'!H137</f>
        <v>10908000</v>
      </c>
      <c r="E17" s="39" t="s">
        <v>888</v>
      </c>
    </row>
    <row r="18" spans="1:5" s="39" customFormat="1" ht="15.75">
      <c r="A18" s="36" t="s">
        <v>892</v>
      </c>
      <c r="B18" s="247"/>
      <c r="D18" s="576">
        <v>0</v>
      </c>
      <c r="E18" s="39" t="s">
        <v>888</v>
      </c>
    </row>
    <row r="19" spans="1:5" s="39" customFormat="1" ht="15.75">
      <c r="A19" s="36" t="s">
        <v>852</v>
      </c>
      <c r="D19" s="576">
        <f>B20+B21</f>
        <v>0</v>
      </c>
      <c r="E19" s="39" t="s">
        <v>888</v>
      </c>
    </row>
    <row r="20" spans="1:7" s="578" customFormat="1" ht="32.25">
      <c r="A20" s="573" t="s">
        <v>893</v>
      </c>
      <c r="B20" s="250">
        <v>0</v>
      </c>
      <c r="C20" s="39" t="s">
        <v>888</v>
      </c>
      <c r="D20" s="576"/>
      <c r="E20" s="39"/>
      <c r="F20" s="39"/>
      <c r="G20" s="577"/>
    </row>
    <row r="21" spans="1:7" ht="18.75">
      <c r="A21" s="41" t="s">
        <v>894</v>
      </c>
      <c r="B21" s="247">
        <v>0</v>
      </c>
      <c r="C21" s="39" t="s">
        <v>888</v>
      </c>
      <c r="D21" s="576"/>
      <c r="E21" s="39"/>
      <c r="F21" s="578"/>
      <c r="G21" s="579"/>
    </row>
    <row r="22" spans="1:5" s="39" customFormat="1" ht="15.75">
      <c r="A22" s="36" t="s">
        <v>2</v>
      </c>
      <c r="B22" s="247"/>
      <c r="D22" s="576">
        <f>B23+B24</f>
        <v>62000</v>
      </c>
      <c r="E22" s="39" t="s">
        <v>888</v>
      </c>
    </row>
    <row r="23" spans="1:4" s="39" customFormat="1" ht="31.5">
      <c r="A23" s="573" t="s">
        <v>895</v>
      </c>
      <c r="B23" s="580">
        <f>'[1]2.mell - bevétel'!H144</f>
        <v>62000</v>
      </c>
      <c r="C23" s="39" t="s">
        <v>888</v>
      </c>
      <c r="D23" s="576"/>
    </row>
    <row r="24" spans="1:4" s="39" customFormat="1" ht="15.75">
      <c r="A24" s="41" t="s">
        <v>896</v>
      </c>
      <c r="B24" s="580">
        <v>0</v>
      </c>
      <c r="C24" s="39" t="s">
        <v>888</v>
      </c>
      <c r="D24" s="576"/>
    </row>
    <row r="25" spans="1:5" s="39" customFormat="1" ht="15.75">
      <c r="A25" s="36" t="s">
        <v>897</v>
      </c>
      <c r="B25" s="581"/>
      <c r="D25" s="582">
        <f>SUM(D11:D24)</f>
        <v>60235609</v>
      </c>
      <c r="E25" s="49" t="s">
        <v>888</v>
      </c>
    </row>
    <row r="26" spans="1:4" s="39" customFormat="1" ht="15.75">
      <c r="A26" s="41"/>
      <c r="B26" s="581"/>
      <c r="D26" s="582"/>
    </row>
    <row r="27" spans="1:4" s="39" customFormat="1" ht="18.75">
      <c r="A27" s="571" t="s">
        <v>898</v>
      </c>
      <c r="B27" s="581"/>
      <c r="D27" s="582"/>
    </row>
    <row r="28" spans="1:5" s="39" customFormat="1" ht="15.75">
      <c r="A28" s="28" t="s">
        <v>899</v>
      </c>
      <c r="B28" s="580"/>
      <c r="D28" s="576">
        <f>B30+B31+B32+B33+B34</f>
        <v>85846040</v>
      </c>
      <c r="E28" s="39" t="s">
        <v>888</v>
      </c>
    </row>
    <row r="29" spans="1:4" s="39" customFormat="1" ht="15.75">
      <c r="A29" s="18" t="s">
        <v>900</v>
      </c>
      <c r="B29" s="580"/>
      <c r="D29" s="576"/>
    </row>
    <row r="30" spans="1:4" s="39" customFormat="1" ht="15.75">
      <c r="A30" s="41" t="s">
        <v>901</v>
      </c>
      <c r="B30" s="580">
        <f>'[1]4.mell. - kiadás'!D43</f>
        <v>19942600</v>
      </c>
      <c r="C30" s="39" t="s">
        <v>888</v>
      </c>
      <c r="D30" s="576"/>
    </row>
    <row r="31" spans="1:4" s="39" customFormat="1" ht="15.75">
      <c r="A31" s="41" t="s">
        <v>902</v>
      </c>
      <c r="B31" s="580">
        <f>'[1]4.mell. - kiadás'!E43</f>
        <v>4882695</v>
      </c>
      <c r="C31" s="39" t="s">
        <v>888</v>
      </c>
      <c r="D31" s="576"/>
    </row>
    <row r="32" spans="1:4" s="39" customFormat="1" ht="15.75">
      <c r="A32" s="41" t="s">
        <v>903</v>
      </c>
      <c r="B32" s="580">
        <f>'[1]4.mell. - kiadás'!F43-640000</f>
        <v>20913968</v>
      </c>
      <c r="C32" s="39" t="s">
        <v>888</v>
      </c>
      <c r="D32" s="576"/>
    </row>
    <row r="33" spans="1:4" s="39" customFormat="1" ht="15.75">
      <c r="A33" s="583" t="s">
        <v>904</v>
      </c>
      <c r="B33" s="580">
        <f>'[1]4.mell. - kiadás'!G43</f>
        <v>3411000</v>
      </c>
      <c r="C33" s="39" t="s">
        <v>888</v>
      </c>
      <c r="D33" s="576"/>
    </row>
    <row r="34" spans="1:4" s="39" customFormat="1" ht="15.75">
      <c r="A34" s="41" t="s">
        <v>905</v>
      </c>
      <c r="B34" s="580">
        <f>'[1]4.mell. - kiadás'!H43+640000</f>
        <v>36695777</v>
      </c>
      <c r="C34" s="39" t="s">
        <v>888</v>
      </c>
      <c r="D34" s="576"/>
    </row>
    <row r="35" spans="1:4" s="39" customFormat="1" ht="15.75">
      <c r="A35" s="41"/>
      <c r="B35" s="584"/>
      <c r="D35" s="576"/>
    </row>
    <row r="36" spans="1:5" s="39" customFormat="1" ht="15.75">
      <c r="A36" s="28" t="s">
        <v>906</v>
      </c>
      <c r="B36" s="580"/>
      <c r="D36" s="585">
        <f>B38+B39+B40</f>
        <v>43474810</v>
      </c>
      <c r="E36" s="39" t="s">
        <v>888</v>
      </c>
    </row>
    <row r="37" spans="1:4" s="39" customFormat="1" ht="15.75">
      <c r="A37" s="18" t="s">
        <v>900</v>
      </c>
      <c r="B37" s="580"/>
      <c r="D37" s="576"/>
    </row>
    <row r="38" spans="1:4" s="39" customFormat="1" ht="15.75">
      <c r="A38" s="41" t="s">
        <v>907</v>
      </c>
      <c r="B38" s="584">
        <f>'[1]4.mell. - kiadás'!J43</f>
        <v>8644810</v>
      </c>
      <c r="C38" s="39" t="s">
        <v>888</v>
      </c>
      <c r="D38" s="576"/>
    </row>
    <row r="39" spans="1:4" s="39" customFormat="1" ht="15.75">
      <c r="A39" s="41" t="s">
        <v>908</v>
      </c>
      <c r="B39" s="584">
        <f>'[1]4.mell. - kiadás'!K43</f>
        <v>33630000</v>
      </c>
      <c r="C39" s="39" t="s">
        <v>888</v>
      </c>
      <c r="D39" s="576"/>
    </row>
    <row r="40" spans="1:6" ht="15.75">
      <c r="A40" s="41" t="s">
        <v>909</v>
      </c>
      <c r="B40" s="584">
        <f>'[1]4.mell. - kiadás'!L43</f>
        <v>1200000</v>
      </c>
      <c r="C40" s="39" t="s">
        <v>888</v>
      </c>
      <c r="D40" s="576"/>
      <c r="E40" s="39"/>
      <c r="F40" s="39"/>
    </row>
    <row r="41" spans="1:4" s="39" customFormat="1" ht="15.75">
      <c r="A41" s="41"/>
      <c r="B41" s="584"/>
      <c r="D41" s="576"/>
    </row>
    <row r="42" spans="1:5" s="39" customFormat="1" ht="15.75">
      <c r="A42" s="12" t="s">
        <v>910</v>
      </c>
      <c r="B42" s="584"/>
      <c r="D42" s="576">
        <f>B43+B44+B45</f>
        <v>2439968</v>
      </c>
      <c r="E42" s="39" t="s">
        <v>888</v>
      </c>
    </row>
    <row r="43" spans="1:4" s="39" customFormat="1" ht="15.75">
      <c r="A43" s="41" t="s">
        <v>911</v>
      </c>
      <c r="B43" s="580"/>
      <c r="C43" s="39" t="s">
        <v>888</v>
      </c>
      <c r="D43" s="576"/>
    </row>
    <row r="44" spans="1:6" s="578" customFormat="1" ht="18.75">
      <c r="A44" s="41" t="s">
        <v>912</v>
      </c>
      <c r="B44" s="580"/>
      <c r="C44" s="39" t="s">
        <v>888</v>
      </c>
      <c r="D44" s="576"/>
      <c r="E44" s="39"/>
      <c r="F44" s="569"/>
    </row>
    <row r="45" spans="1:6" ht="15.75">
      <c r="A45" s="41" t="s">
        <v>913</v>
      </c>
      <c r="B45" s="584">
        <f>1318759+1121209</f>
        <v>2439968</v>
      </c>
      <c r="C45" s="39" t="s">
        <v>888</v>
      </c>
      <c r="D45" s="576"/>
      <c r="E45" s="39"/>
      <c r="F45" s="39"/>
    </row>
    <row r="46" spans="1:6" ht="15.75">
      <c r="A46" s="36" t="s">
        <v>914</v>
      </c>
      <c r="B46" s="584"/>
      <c r="C46" s="39"/>
      <c r="D46" s="586">
        <f>SUM(D28:D45)</f>
        <v>131760818</v>
      </c>
      <c r="E46" s="569" t="s">
        <v>888</v>
      </c>
      <c r="F46" s="39"/>
    </row>
    <row r="47" spans="1:6" ht="15.75">
      <c r="A47" s="41"/>
      <c r="B47" s="247"/>
      <c r="C47" s="39"/>
      <c r="D47" s="585"/>
      <c r="E47" s="39"/>
      <c r="F47" s="39"/>
    </row>
    <row r="48" spans="1:6" ht="18.75">
      <c r="A48" s="36" t="s">
        <v>915</v>
      </c>
      <c r="B48" s="247"/>
      <c r="C48" s="39"/>
      <c r="D48" s="586">
        <f>D25-D46</f>
        <v>-71525209</v>
      </c>
      <c r="E48" s="569" t="s">
        <v>888</v>
      </c>
      <c r="F48" s="578"/>
    </row>
    <row r="49" spans="1:4" ht="15.75">
      <c r="A49" s="41"/>
      <c r="B49" s="247"/>
      <c r="C49" s="39"/>
      <c r="D49" s="586"/>
    </row>
    <row r="50" spans="1:5" ht="48">
      <c r="A50" s="587" t="s">
        <v>916</v>
      </c>
      <c r="B50" s="588"/>
      <c r="C50" s="578"/>
      <c r="D50" s="586">
        <v>29614876</v>
      </c>
      <c r="E50" s="569" t="s">
        <v>888</v>
      </c>
    </row>
    <row r="51" spans="1:6" s="39" customFormat="1" ht="15.75">
      <c r="A51" s="589" t="s">
        <v>917</v>
      </c>
      <c r="B51" s="570"/>
      <c r="C51" s="569"/>
      <c r="D51" s="586">
        <v>40789124</v>
      </c>
      <c r="E51" s="569" t="s">
        <v>888</v>
      </c>
      <c r="F51" s="569"/>
    </row>
    <row r="52" spans="1:6" s="39" customFormat="1" ht="15.75">
      <c r="A52" s="589" t="s">
        <v>1138</v>
      </c>
      <c r="B52" s="570"/>
      <c r="C52" s="569"/>
      <c r="D52" s="586">
        <v>1121209</v>
      </c>
      <c r="E52" s="569" t="s">
        <v>888</v>
      </c>
      <c r="F52" s="569"/>
    </row>
    <row r="53" spans="1:5" ht="15.75">
      <c r="A53" s="36" t="s">
        <v>918</v>
      </c>
      <c r="D53" s="590">
        <f>D48+D50+D51+D52</f>
        <v>0</v>
      </c>
      <c r="E53" s="569" t="s">
        <v>888</v>
      </c>
    </row>
    <row r="54" spans="1:4" s="39" customFormat="1" ht="10.5" customHeight="1">
      <c r="A54" s="6"/>
      <c r="B54" s="247"/>
      <c r="D54" s="591"/>
    </row>
    <row r="55" spans="1:5" ht="15.75">
      <c r="A55" s="6"/>
      <c r="B55" s="247"/>
      <c r="C55" s="39"/>
      <c r="D55" s="591"/>
      <c r="E55" s="36"/>
    </row>
    <row r="56" spans="1:5" ht="15.75">
      <c r="A56" s="36"/>
      <c r="D56" s="592"/>
      <c r="E56" s="36"/>
    </row>
  </sheetData>
  <sheetProtection/>
  <mergeCells count="6">
    <mergeCell ref="A1:E1"/>
    <mergeCell ref="A3:E3"/>
    <mergeCell ref="A5:E5"/>
    <mergeCell ref="A6:E6"/>
    <mergeCell ref="A7:E7"/>
    <mergeCell ref="A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G33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4.125" style="27" customWidth="1"/>
    <col min="2" max="2" width="9.125" style="27" customWidth="1"/>
    <col min="3" max="3" width="61.125" style="27" customWidth="1"/>
    <col min="4" max="4" width="25.00390625" style="27" customWidth="1"/>
    <col min="5" max="5" width="23.875" style="27" customWidth="1"/>
    <col min="6" max="6" width="24.625" style="27" customWidth="1"/>
    <col min="7" max="7" width="26.25390625" style="27" customWidth="1"/>
    <col min="8" max="16384" width="9.125" style="27" customWidth="1"/>
  </cols>
  <sheetData>
    <row r="3" spans="2:7" s="67" customFormat="1" ht="15" customHeight="1">
      <c r="B3" s="997"/>
      <c r="C3" s="997"/>
      <c r="D3" s="997"/>
      <c r="E3" s="997"/>
      <c r="F3" s="997"/>
      <c r="G3" s="997"/>
    </row>
    <row r="4" spans="1:7" s="177" customFormat="1" ht="15.75">
      <c r="A4" s="1037" t="s">
        <v>1158</v>
      </c>
      <c r="B4" s="1038"/>
      <c r="C4" s="1038"/>
      <c r="D4" s="178"/>
      <c r="E4" s="179"/>
      <c r="F4" s="179"/>
      <c r="G4" s="179"/>
    </row>
    <row r="5" spans="4:7" s="95" customFormat="1" ht="15" customHeight="1">
      <c r="D5" s="94"/>
      <c r="E5" s="180"/>
      <c r="F5" s="180"/>
      <c r="G5" s="180"/>
    </row>
    <row r="6" spans="3:7" s="17" customFormat="1" ht="15" customHeight="1">
      <c r="C6" s="1039" t="s">
        <v>741</v>
      </c>
      <c r="D6" s="1039"/>
      <c r="E6" s="1039"/>
      <c r="F6" s="1039"/>
      <c r="G6" s="1039"/>
    </row>
    <row r="7" spans="3:7" s="17" customFormat="1" ht="15.75">
      <c r="C7" s="1040" t="s">
        <v>14</v>
      </c>
      <c r="D7" s="1040"/>
      <c r="E7" s="1040"/>
      <c r="F7" s="1040"/>
      <c r="G7" s="1040"/>
    </row>
    <row r="8" spans="3:7" s="17" customFormat="1" ht="15" customHeight="1">
      <c r="C8" s="1039" t="s">
        <v>950</v>
      </c>
      <c r="D8" s="1039"/>
      <c r="E8" s="1039"/>
      <c r="F8" s="1039"/>
      <c r="G8" s="1039"/>
    </row>
    <row r="9" spans="3:7" s="17" customFormat="1" ht="15" customHeight="1">
      <c r="C9" s="94"/>
      <c r="D9" s="94"/>
      <c r="E9" s="94"/>
      <c r="F9" s="94"/>
      <c r="G9" s="94"/>
    </row>
    <row r="10" spans="3:7" s="177" customFormat="1" ht="12" customHeight="1" thickBot="1">
      <c r="C10" s="178"/>
      <c r="D10" s="181"/>
      <c r="E10" s="182"/>
      <c r="F10" s="182"/>
      <c r="G10" s="498" t="s">
        <v>920</v>
      </c>
    </row>
    <row r="11" spans="1:7" s="177" customFormat="1" ht="16.5" customHeight="1" thickBot="1">
      <c r="A11" s="1041" t="s">
        <v>1033</v>
      </c>
      <c r="B11" s="1044" t="s">
        <v>15</v>
      </c>
      <c r="C11" s="1020" t="s">
        <v>16</v>
      </c>
      <c r="D11" s="1023" t="s">
        <v>17</v>
      </c>
      <c r="E11" s="1026" t="s">
        <v>18</v>
      </c>
      <c r="F11" s="1026"/>
      <c r="G11" s="1027"/>
    </row>
    <row r="12" spans="1:7" s="177" customFormat="1" ht="33" customHeight="1" thickBot="1">
      <c r="A12" s="1042"/>
      <c r="B12" s="1045"/>
      <c r="C12" s="1021"/>
      <c r="D12" s="1024"/>
      <c r="E12" s="470" t="s">
        <v>19</v>
      </c>
      <c r="F12" s="488" t="s">
        <v>20</v>
      </c>
      <c r="G12" s="489" t="s">
        <v>21</v>
      </c>
    </row>
    <row r="13" spans="1:7" s="177" customFormat="1" ht="22.5" customHeight="1">
      <c r="A13" s="1042"/>
      <c r="B13" s="1045"/>
      <c r="C13" s="1021"/>
      <c r="D13" s="1024"/>
      <c r="E13" s="1028" t="s">
        <v>22</v>
      </c>
      <c r="F13" s="1029"/>
      <c r="G13" s="1030"/>
    </row>
    <row r="14" spans="1:7" ht="13.5" thickBot="1">
      <c r="A14" s="1043"/>
      <c r="B14" s="1045"/>
      <c r="C14" s="1021"/>
      <c r="D14" s="1024"/>
      <c r="E14" s="1031"/>
      <c r="F14" s="1032"/>
      <c r="G14" s="1033"/>
    </row>
    <row r="15" spans="1:7" ht="3" customHeight="1" thickBot="1">
      <c r="A15" s="856"/>
      <c r="B15" s="1046"/>
      <c r="C15" s="1022"/>
      <c r="D15" s="1025"/>
      <c r="E15" s="1034"/>
      <c r="F15" s="1035"/>
      <c r="G15" s="1036"/>
    </row>
    <row r="16" spans="1:7" s="110" customFormat="1" ht="30">
      <c r="A16" s="854" t="s">
        <v>342</v>
      </c>
      <c r="B16" s="185" t="s">
        <v>23</v>
      </c>
      <c r="C16" s="186" t="s">
        <v>24</v>
      </c>
      <c r="D16" s="484">
        <f>SUM(E16:G16)</f>
        <v>345433</v>
      </c>
      <c r="E16" s="484">
        <v>345433</v>
      </c>
      <c r="F16" s="484"/>
      <c r="G16" s="485"/>
    </row>
    <row r="17" spans="1:7" s="110" customFormat="1" ht="15">
      <c r="A17" s="855" t="s">
        <v>343</v>
      </c>
      <c r="B17" s="189" t="s">
        <v>332</v>
      </c>
      <c r="C17" s="190" t="s">
        <v>732</v>
      </c>
      <c r="D17" s="486">
        <f aca="true" t="shared" si="0" ref="D17:D32">SUM(E17:G17)</f>
        <v>33000</v>
      </c>
      <c r="E17" s="486">
        <v>33000</v>
      </c>
      <c r="F17" s="486"/>
      <c r="G17" s="487"/>
    </row>
    <row r="18" spans="1:7" s="110" customFormat="1" ht="15">
      <c r="A18" s="854" t="s">
        <v>344</v>
      </c>
      <c r="B18" s="189" t="s">
        <v>333</v>
      </c>
      <c r="C18" s="190" t="s">
        <v>334</v>
      </c>
      <c r="D18" s="486">
        <f t="shared" si="0"/>
        <v>6228392</v>
      </c>
      <c r="E18" s="486">
        <v>1054642</v>
      </c>
      <c r="F18" s="486">
        <v>5173750</v>
      </c>
      <c r="G18" s="487"/>
    </row>
    <row r="19" spans="1:7" s="110" customFormat="1" ht="15">
      <c r="A19" s="855" t="s">
        <v>345</v>
      </c>
      <c r="B19" s="189" t="s">
        <v>335</v>
      </c>
      <c r="C19" s="190" t="s">
        <v>336</v>
      </c>
      <c r="D19" s="486">
        <f t="shared" si="0"/>
        <v>40537833</v>
      </c>
      <c r="E19" s="486">
        <v>40537833</v>
      </c>
      <c r="F19" s="486"/>
      <c r="G19" s="487"/>
    </row>
    <row r="20" spans="1:7" s="110" customFormat="1" ht="15">
      <c r="A20" s="854" t="s">
        <v>346</v>
      </c>
      <c r="B20" s="189" t="s">
        <v>872</v>
      </c>
      <c r="C20" s="190" t="s">
        <v>873</v>
      </c>
      <c r="D20" s="486">
        <f t="shared" si="0"/>
        <v>70404000</v>
      </c>
      <c r="E20" s="486">
        <v>70404000</v>
      </c>
      <c r="F20" s="486"/>
      <c r="G20" s="487"/>
    </row>
    <row r="21" spans="1:7" s="110" customFormat="1" ht="15">
      <c r="A21" s="855" t="s">
        <v>368</v>
      </c>
      <c r="B21" s="189" t="s">
        <v>338</v>
      </c>
      <c r="C21" s="190" t="s">
        <v>339</v>
      </c>
      <c r="D21" s="486">
        <f t="shared" si="0"/>
        <v>1800277</v>
      </c>
      <c r="E21" s="486"/>
      <c r="F21" s="486">
        <v>1800277</v>
      </c>
      <c r="G21" s="487"/>
    </row>
    <row r="22" spans="1:7" s="110" customFormat="1" ht="15">
      <c r="A22" s="855" t="s">
        <v>369</v>
      </c>
      <c r="B22" s="189" t="s">
        <v>386</v>
      </c>
      <c r="C22" s="190" t="s">
        <v>387</v>
      </c>
      <c r="D22" s="486">
        <f t="shared" si="0"/>
        <v>2622303</v>
      </c>
      <c r="E22" s="486">
        <v>2622303</v>
      </c>
      <c r="F22" s="486"/>
      <c r="G22" s="487"/>
    </row>
    <row r="23" spans="1:7" s="110" customFormat="1" ht="15">
      <c r="A23" s="855" t="s">
        <v>370</v>
      </c>
      <c r="B23" s="189" t="s">
        <v>388</v>
      </c>
      <c r="C23" s="190" t="s">
        <v>728</v>
      </c>
      <c r="D23" s="486">
        <f t="shared" si="0"/>
        <v>0</v>
      </c>
      <c r="E23" s="486"/>
      <c r="F23" s="486"/>
      <c r="G23" s="487"/>
    </row>
    <row r="24" spans="1:7" s="110" customFormat="1" ht="15">
      <c r="A24" s="855" t="s">
        <v>371</v>
      </c>
      <c r="B24" s="189" t="s">
        <v>389</v>
      </c>
      <c r="C24" s="190" t="s">
        <v>390</v>
      </c>
      <c r="D24" s="486">
        <f t="shared" si="0"/>
        <v>0</v>
      </c>
      <c r="E24" s="486"/>
      <c r="F24" s="486"/>
      <c r="G24" s="487"/>
    </row>
    <row r="25" spans="1:7" s="110" customFormat="1" ht="15">
      <c r="A25" s="855" t="s">
        <v>668</v>
      </c>
      <c r="B25" s="189" t="s">
        <v>392</v>
      </c>
      <c r="C25" s="190" t="s">
        <v>393</v>
      </c>
      <c r="D25" s="486">
        <f t="shared" si="0"/>
        <v>0</v>
      </c>
      <c r="E25" s="486"/>
      <c r="F25" s="486"/>
      <c r="G25" s="487"/>
    </row>
    <row r="26" spans="1:7" s="110" customFormat="1" ht="15">
      <c r="A26" s="855" t="s">
        <v>669</v>
      </c>
      <c r="B26" s="191" t="s">
        <v>853</v>
      </c>
      <c r="C26" s="205" t="s">
        <v>854</v>
      </c>
      <c r="D26" s="486">
        <f t="shared" si="0"/>
        <v>466884</v>
      </c>
      <c r="E26" s="486">
        <v>466884</v>
      </c>
      <c r="F26" s="486"/>
      <c r="G26" s="487"/>
    </row>
    <row r="27" spans="1:7" s="110" customFormat="1" ht="15">
      <c r="A27" s="855" t="s">
        <v>700</v>
      </c>
      <c r="B27" s="191" t="s">
        <v>855</v>
      </c>
      <c r="C27" s="192" t="s">
        <v>856</v>
      </c>
      <c r="D27" s="486">
        <f>SUM(E27:G27)</f>
        <v>384099</v>
      </c>
      <c r="E27" s="486">
        <v>384099</v>
      </c>
      <c r="F27" s="486"/>
      <c r="G27" s="487"/>
    </row>
    <row r="28" spans="1:7" s="110" customFormat="1" ht="15">
      <c r="A28" s="855" t="s">
        <v>670</v>
      </c>
      <c r="B28" s="191" t="s">
        <v>855</v>
      </c>
      <c r="C28" s="192" t="s">
        <v>871</v>
      </c>
      <c r="D28" s="486">
        <f>SUM(E28:G28)</f>
        <v>903055</v>
      </c>
      <c r="E28" s="486">
        <v>903055</v>
      </c>
      <c r="F28" s="486"/>
      <c r="G28" s="487"/>
    </row>
    <row r="29" spans="1:7" s="110" customFormat="1" ht="15">
      <c r="A29" s="855" t="s">
        <v>671</v>
      </c>
      <c r="B29" s="191">
        <v>104051</v>
      </c>
      <c r="C29" s="192" t="s">
        <v>395</v>
      </c>
      <c r="D29" s="486">
        <f>SUM(E29:G29)</f>
        <v>23200</v>
      </c>
      <c r="E29" s="486"/>
      <c r="F29" s="486"/>
      <c r="G29" s="487">
        <v>23200</v>
      </c>
    </row>
    <row r="30" spans="1:7" s="110" customFormat="1" ht="15">
      <c r="A30" s="855" t="s">
        <v>672</v>
      </c>
      <c r="B30" s="189" t="s">
        <v>396</v>
      </c>
      <c r="C30" s="194" t="s">
        <v>707</v>
      </c>
      <c r="D30" s="486">
        <f t="shared" si="0"/>
        <v>1708525</v>
      </c>
      <c r="E30" s="486">
        <v>1708525</v>
      </c>
      <c r="F30" s="486"/>
      <c r="G30" s="487"/>
    </row>
    <row r="31" spans="1:7" s="110" customFormat="1" ht="15">
      <c r="A31" s="855" t="s">
        <v>674</v>
      </c>
      <c r="B31" s="189">
        <v>107060</v>
      </c>
      <c r="C31" s="194" t="s">
        <v>397</v>
      </c>
      <c r="D31" s="486">
        <f t="shared" si="0"/>
        <v>0</v>
      </c>
      <c r="E31" s="486"/>
      <c r="F31" s="486"/>
      <c r="G31" s="487"/>
    </row>
    <row r="32" spans="1:7" s="110" customFormat="1" ht="15.75" thickBot="1">
      <c r="A32" s="857" t="s">
        <v>675</v>
      </c>
      <c r="B32" s="189">
        <v>900020</v>
      </c>
      <c r="C32" s="194" t="s">
        <v>398</v>
      </c>
      <c r="D32" s="486">
        <f t="shared" si="0"/>
        <v>9268098</v>
      </c>
      <c r="E32" s="486">
        <v>9268098</v>
      </c>
      <c r="F32" s="486">
        <v>0</v>
      </c>
      <c r="G32" s="487"/>
    </row>
    <row r="33" spans="1:7" s="110" customFormat="1" ht="33" customHeight="1" thickBot="1">
      <c r="A33" s="858" t="s">
        <v>676</v>
      </c>
      <c r="B33" s="196"/>
      <c r="C33" s="197" t="s">
        <v>705</v>
      </c>
      <c r="D33" s="471">
        <f>SUM(D16:D32)</f>
        <v>134725099</v>
      </c>
      <c r="E33" s="471">
        <f>SUM(E16:E32)</f>
        <v>127727872</v>
      </c>
      <c r="F33" s="471">
        <f>SUM(F16:F32)</f>
        <v>6974027</v>
      </c>
      <c r="G33" s="471">
        <f>SUM(G16:G32)</f>
        <v>23200</v>
      </c>
    </row>
  </sheetData>
  <sheetProtection/>
  <mergeCells count="11">
    <mergeCell ref="B11:B15"/>
    <mergeCell ref="C11:C15"/>
    <mergeCell ref="D11:D15"/>
    <mergeCell ref="E11:G11"/>
    <mergeCell ref="E13:G15"/>
    <mergeCell ref="A4:C4"/>
    <mergeCell ref="B3:G3"/>
    <mergeCell ref="C6:G6"/>
    <mergeCell ref="C7:G7"/>
    <mergeCell ref="C8:G8"/>
    <mergeCell ref="A11:A14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T43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5.25390625" style="233" customWidth="1"/>
    <col min="2" max="2" width="9.125" style="233" customWidth="1"/>
    <col min="3" max="3" width="44.125" style="233" customWidth="1"/>
    <col min="4" max="4" width="13.00390625" style="233" customWidth="1"/>
    <col min="5" max="5" width="12.625" style="233" customWidth="1"/>
    <col min="6" max="6" width="10.375" style="233" customWidth="1"/>
    <col min="7" max="7" width="12.125" style="233" customWidth="1"/>
    <col min="8" max="8" width="10.375" style="233" customWidth="1"/>
    <col min="9" max="9" width="11.375" style="233" customWidth="1"/>
    <col min="10" max="10" width="11.75390625" style="233" customWidth="1"/>
    <col min="11" max="11" width="10.25390625" style="233" customWidth="1"/>
    <col min="12" max="12" width="11.875" style="233" customWidth="1"/>
    <col min="13" max="13" width="10.625" style="233" customWidth="1"/>
    <col min="14" max="14" width="12.125" style="233" customWidth="1"/>
    <col min="15" max="15" width="15.25390625" style="233" customWidth="1"/>
    <col min="16" max="16" width="9.875" style="233" customWidth="1"/>
    <col min="17" max="17" width="10.625" style="233" customWidth="1"/>
    <col min="18" max="18" width="11.625" style="233" customWidth="1"/>
    <col min="19" max="16384" width="9.125" style="233" customWidth="1"/>
  </cols>
  <sheetData>
    <row r="1" spans="2:20" ht="15.75">
      <c r="B1" s="176" t="s">
        <v>1185</v>
      </c>
      <c r="L1" s="1511"/>
      <c r="M1" s="1511"/>
      <c r="N1" s="1511"/>
      <c r="O1" s="1511"/>
      <c r="P1" s="1511"/>
      <c r="Q1" s="1511"/>
      <c r="R1" s="1511"/>
      <c r="S1" s="1511"/>
      <c r="T1" s="1511"/>
    </row>
    <row r="2" spans="2:20" ht="15.75">
      <c r="B2" s="176"/>
      <c r="L2" s="593"/>
      <c r="M2" s="593"/>
      <c r="N2" s="593"/>
      <c r="O2" s="593"/>
      <c r="P2" s="593"/>
      <c r="Q2" s="593"/>
      <c r="R2" s="593"/>
      <c r="S2" s="593"/>
      <c r="T2" s="593"/>
    </row>
    <row r="3" spans="2:17" ht="15.75" customHeight="1">
      <c r="B3" s="1512" t="s">
        <v>919</v>
      </c>
      <c r="C3" s="1512"/>
      <c r="D3" s="1512"/>
      <c r="E3" s="1512"/>
      <c r="F3" s="1512"/>
      <c r="G3" s="1512"/>
      <c r="H3" s="1512"/>
      <c r="I3" s="1512"/>
      <c r="J3" s="1512"/>
      <c r="K3" s="1512"/>
      <c r="L3" s="1512"/>
      <c r="M3" s="1512"/>
      <c r="N3" s="1512"/>
      <c r="O3" s="1512"/>
      <c r="P3" s="1512"/>
      <c r="Q3" s="1512"/>
    </row>
    <row r="4" spans="2:20" s="203" customFormat="1" ht="15.75" customHeight="1">
      <c r="B4" s="1050"/>
      <c r="C4" s="1050"/>
      <c r="D4" s="1050"/>
      <c r="E4" s="1050"/>
      <c r="F4" s="1050"/>
      <c r="G4" s="1050"/>
      <c r="H4" s="1050"/>
      <c r="I4" s="1050"/>
      <c r="J4" s="1050"/>
      <c r="K4" s="1050"/>
      <c r="L4" s="1050"/>
      <c r="M4" s="1050"/>
      <c r="N4" s="1050"/>
      <c r="O4" s="1050"/>
      <c r="P4" s="1050"/>
      <c r="Q4" s="1050"/>
      <c r="R4" s="1050"/>
      <c r="S4" s="1050"/>
      <c r="T4" s="1050"/>
    </row>
    <row r="5" spans="2:17" s="203" customFormat="1" ht="15.75" customHeight="1"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</row>
    <row r="6" spans="2:20" s="203" customFormat="1" ht="15.75" customHeight="1">
      <c r="B6" s="1050" t="s">
        <v>741</v>
      </c>
      <c r="C6" s="1050"/>
      <c r="D6" s="1050"/>
      <c r="E6" s="1050"/>
      <c r="F6" s="1050"/>
      <c r="G6" s="1050"/>
      <c r="H6" s="1050"/>
      <c r="I6" s="1050"/>
      <c r="J6" s="1050"/>
      <c r="K6" s="1050"/>
      <c r="L6" s="1050"/>
      <c r="M6" s="1050"/>
      <c r="N6" s="1050"/>
      <c r="O6" s="1050"/>
      <c r="P6" s="1050"/>
      <c r="Q6" s="1050"/>
      <c r="R6" s="1050"/>
      <c r="S6" s="1050"/>
      <c r="T6" s="1050"/>
    </row>
    <row r="7" spans="2:20" s="203" customFormat="1" ht="15.75" customHeight="1">
      <c r="B7" s="1050" t="s">
        <v>414</v>
      </c>
      <c r="C7" s="1050"/>
      <c r="D7" s="1050"/>
      <c r="E7" s="1050"/>
      <c r="F7" s="1050"/>
      <c r="G7" s="1050"/>
      <c r="H7" s="1050"/>
      <c r="I7" s="1050"/>
      <c r="J7" s="1050"/>
      <c r="K7" s="1050"/>
      <c r="L7" s="1050"/>
      <c r="M7" s="1050"/>
      <c r="N7" s="1050"/>
      <c r="O7" s="1050"/>
      <c r="P7" s="1050"/>
      <c r="Q7" s="1050"/>
      <c r="R7" s="1050"/>
      <c r="S7" s="1050"/>
      <c r="T7" s="1050"/>
    </row>
    <row r="8" spans="2:20" s="203" customFormat="1" ht="15.75" customHeight="1">
      <c r="B8" s="1050" t="s">
        <v>885</v>
      </c>
      <c r="C8" s="1050"/>
      <c r="D8" s="1050"/>
      <c r="E8" s="1050"/>
      <c r="F8" s="1050"/>
      <c r="G8" s="1050"/>
      <c r="H8" s="1050"/>
      <c r="I8" s="1050"/>
      <c r="J8" s="1050"/>
      <c r="K8" s="1050"/>
      <c r="L8" s="1050"/>
      <c r="M8" s="1050"/>
      <c r="N8" s="1050"/>
      <c r="O8" s="1050"/>
      <c r="P8" s="1050"/>
      <c r="Q8" s="1050"/>
      <c r="R8" s="1050"/>
      <c r="S8" s="1050"/>
      <c r="T8" s="1050"/>
    </row>
    <row r="9" spans="19:20" s="203" customFormat="1" ht="15.75" thickBot="1">
      <c r="S9" s="1493" t="s">
        <v>920</v>
      </c>
      <c r="T9" s="1493"/>
    </row>
    <row r="10" spans="1:20" s="594" customFormat="1" ht="20.25" customHeight="1" thickBot="1">
      <c r="A10" s="1476" t="s">
        <v>1032</v>
      </c>
      <c r="B10" s="1494" t="s">
        <v>15</v>
      </c>
      <c r="C10" s="1497" t="s">
        <v>16</v>
      </c>
      <c r="D10" s="1477" t="s">
        <v>921</v>
      </c>
      <c r="E10" s="1500" t="s">
        <v>922</v>
      </c>
      <c r="F10" s="1501"/>
      <c r="G10" s="1501"/>
      <c r="H10" s="1501"/>
      <c r="I10" s="1501"/>
      <c r="J10" s="1501"/>
      <c r="K10" s="1501"/>
      <c r="L10" s="1501"/>
      <c r="M10" s="1501"/>
      <c r="N10" s="1501"/>
      <c r="O10" s="1501"/>
      <c r="P10" s="1501"/>
      <c r="Q10" s="1501"/>
      <c r="R10" s="1502"/>
      <c r="S10" s="1503" t="s">
        <v>923</v>
      </c>
      <c r="T10" s="1504"/>
    </row>
    <row r="11" spans="1:20" s="594" customFormat="1" ht="38.25" customHeight="1" thickBot="1">
      <c r="A11" s="1090"/>
      <c r="B11" s="1495"/>
      <c r="C11" s="1498"/>
      <c r="D11" s="1478"/>
      <c r="E11" s="1505" t="s">
        <v>924</v>
      </c>
      <c r="F11" s="1506"/>
      <c r="G11" s="1506"/>
      <c r="H11" s="1506"/>
      <c r="I11" s="1506"/>
      <c r="J11" s="1507"/>
      <c r="K11" s="1500" t="s">
        <v>925</v>
      </c>
      <c r="L11" s="1501"/>
      <c r="M11" s="1501"/>
      <c r="N11" s="1502"/>
      <c r="O11" s="1508" t="s">
        <v>926</v>
      </c>
      <c r="P11" s="1509"/>
      <c r="Q11" s="1509"/>
      <c r="R11" s="1510"/>
      <c r="S11" s="1485" t="s">
        <v>927</v>
      </c>
      <c r="T11" s="1486"/>
    </row>
    <row r="12" spans="1:20" s="594" customFormat="1" ht="21" customHeight="1" thickBot="1">
      <c r="A12" s="1090"/>
      <c r="B12" s="1495"/>
      <c r="C12" s="1498"/>
      <c r="D12" s="1478"/>
      <c r="E12" s="1477" t="s">
        <v>928</v>
      </c>
      <c r="F12" s="1477" t="s">
        <v>929</v>
      </c>
      <c r="G12" s="1477" t="s">
        <v>930</v>
      </c>
      <c r="H12" s="1477" t="s">
        <v>415</v>
      </c>
      <c r="I12" s="1477" t="s">
        <v>416</v>
      </c>
      <c r="J12" s="1490" t="s">
        <v>931</v>
      </c>
      <c r="K12" s="1487" t="s">
        <v>771</v>
      </c>
      <c r="L12" s="1487" t="s">
        <v>772</v>
      </c>
      <c r="M12" s="1477" t="s">
        <v>421</v>
      </c>
      <c r="N12" s="1480" t="s">
        <v>932</v>
      </c>
      <c r="O12" s="1477" t="s">
        <v>933</v>
      </c>
      <c r="P12" s="1477" t="s">
        <v>934</v>
      </c>
      <c r="Q12" s="1477" t="s">
        <v>935</v>
      </c>
      <c r="R12" s="1480" t="s">
        <v>936</v>
      </c>
      <c r="S12" s="595" t="s">
        <v>937</v>
      </c>
      <c r="T12" s="596" t="s">
        <v>938</v>
      </c>
    </row>
    <row r="13" spans="1:20" s="594" customFormat="1" ht="18.75" customHeight="1">
      <c r="A13" s="1090"/>
      <c r="B13" s="1495"/>
      <c r="C13" s="1498"/>
      <c r="D13" s="1478"/>
      <c r="E13" s="1478"/>
      <c r="F13" s="1478"/>
      <c r="G13" s="1478"/>
      <c r="H13" s="1478"/>
      <c r="I13" s="1478"/>
      <c r="J13" s="1491"/>
      <c r="K13" s="1488"/>
      <c r="L13" s="1488"/>
      <c r="M13" s="1478"/>
      <c r="N13" s="1481"/>
      <c r="O13" s="1478"/>
      <c r="P13" s="1478"/>
      <c r="Q13" s="1478"/>
      <c r="R13" s="1481"/>
      <c r="S13" s="1483" t="s">
        <v>939</v>
      </c>
      <c r="T13" s="1484"/>
    </row>
    <row r="14" spans="1:20" s="594" customFormat="1" ht="20.25" customHeight="1" thickBot="1">
      <c r="A14" s="1091"/>
      <c r="B14" s="1496"/>
      <c r="C14" s="1499"/>
      <c r="D14" s="1479"/>
      <c r="E14" s="1479"/>
      <c r="F14" s="1479"/>
      <c r="G14" s="1479"/>
      <c r="H14" s="1479"/>
      <c r="I14" s="1479"/>
      <c r="J14" s="1492"/>
      <c r="K14" s="1489"/>
      <c r="L14" s="1489"/>
      <c r="M14" s="1479"/>
      <c r="N14" s="1482"/>
      <c r="O14" s="1479"/>
      <c r="P14" s="1479"/>
      <c r="Q14" s="1479"/>
      <c r="R14" s="1482"/>
      <c r="S14" s="1485"/>
      <c r="T14" s="1486"/>
    </row>
    <row r="15" spans="1:20" s="203" customFormat="1" ht="30">
      <c r="A15" s="782" t="s">
        <v>342</v>
      </c>
      <c r="B15" s="199" t="s">
        <v>23</v>
      </c>
      <c r="C15" s="192" t="s">
        <v>24</v>
      </c>
      <c r="D15" s="597">
        <f>J15+N15+P15+Q15</f>
        <v>50576750</v>
      </c>
      <c r="E15" s="598">
        <v>9724090</v>
      </c>
      <c r="F15" s="599">
        <v>2637628</v>
      </c>
      <c r="G15" s="599">
        <v>3812702</v>
      </c>
      <c r="H15" s="599"/>
      <c r="I15" s="599">
        <v>34122478</v>
      </c>
      <c r="J15" s="600">
        <f aca="true" t="shared" si="0" ref="J15:J42">SUM(E15:I15)</f>
        <v>50296898</v>
      </c>
      <c r="K15" s="601">
        <v>39852</v>
      </c>
      <c r="L15" s="601"/>
      <c r="M15" s="601">
        <v>240000</v>
      </c>
      <c r="N15" s="602">
        <f>SUM(K15:M15)</f>
        <v>279852</v>
      </c>
      <c r="O15" s="602"/>
      <c r="P15" s="603"/>
      <c r="Q15" s="604"/>
      <c r="R15" s="604"/>
      <c r="S15" s="605">
        <f>0.5+0.1+0.2-0.3</f>
        <v>0.5</v>
      </c>
      <c r="T15" s="606">
        <v>0.5</v>
      </c>
    </row>
    <row r="16" spans="1:20" s="203" customFormat="1" ht="15">
      <c r="A16" s="780" t="s">
        <v>343</v>
      </c>
      <c r="B16" s="191" t="s">
        <v>332</v>
      </c>
      <c r="C16" s="192" t="s">
        <v>732</v>
      </c>
      <c r="D16" s="597">
        <f aca="true" t="shared" si="1" ref="D16:D42">J16+N16+P16+Q16</f>
        <v>64000</v>
      </c>
      <c r="E16" s="598"/>
      <c r="F16" s="599"/>
      <c r="G16" s="599">
        <v>64000</v>
      </c>
      <c r="H16" s="599"/>
      <c r="I16" s="599"/>
      <c r="J16" s="600">
        <f t="shared" si="0"/>
        <v>64000</v>
      </c>
      <c r="K16" s="601"/>
      <c r="L16" s="601"/>
      <c r="M16" s="601"/>
      <c r="N16" s="602"/>
      <c r="O16" s="602"/>
      <c r="P16" s="603"/>
      <c r="Q16" s="604"/>
      <c r="R16" s="604"/>
      <c r="S16" s="607"/>
      <c r="T16" s="608"/>
    </row>
    <row r="17" spans="1:20" s="203" customFormat="1" ht="29.25" customHeight="1">
      <c r="A17" s="781" t="s">
        <v>344</v>
      </c>
      <c r="B17" s="191" t="s">
        <v>333</v>
      </c>
      <c r="C17" s="192" t="s">
        <v>334</v>
      </c>
      <c r="D17" s="597">
        <f>J17+N17+R17</f>
        <v>5467032</v>
      </c>
      <c r="E17" s="598"/>
      <c r="F17" s="599"/>
      <c r="G17" s="599">
        <v>489832</v>
      </c>
      <c r="H17" s="599"/>
      <c r="I17" s="599"/>
      <c r="J17" s="600">
        <f t="shared" si="0"/>
        <v>489832</v>
      </c>
      <c r="K17" s="601">
        <f>2000000+2596200+381000</f>
        <v>4977200</v>
      </c>
      <c r="L17" s="601"/>
      <c r="M17" s="601"/>
      <c r="N17" s="602">
        <f>SUM(K17:M17)</f>
        <v>4977200</v>
      </c>
      <c r="O17" s="602"/>
      <c r="P17" s="603"/>
      <c r="Q17" s="604"/>
      <c r="R17" s="604"/>
      <c r="S17" s="609"/>
      <c r="T17" s="608"/>
    </row>
    <row r="18" spans="1:20" s="203" customFormat="1" ht="30" customHeight="1">
      <c r="A18" s="780" t="s">
        <v>345</v>
      </c>
      <c r="B18" s="191" t="s">
        <v>335</v>
      </c>
      <c r="C18" s="192" t="s">
        <v>336</v>
      </c>
      <c r="D18" s="597">
        <f>J18+N18+R18</f>
        <v>3358267</v>
      </c>
      <c r="E18" s="598"/>
      <c r="F18" s="599"/>
      <c r="G18" s="599"/>
      <c r="H18" s="599"/>
      <c r="I18" s="599">
        <v>918299</v>
      </c>
      <c r="J18" s="600">
        <f t="shared" si="0"/>
        <v>918299</v>
      </c>
      <c r="K18" s="601"/>
      <c r="L18" s="601"/>
      <c r="M18" s="601"/>
      <c r="N18" s="602"/>
      <c r="O18" s="602">
        <f>1139077+179682+1121209</f>
        <v>2439968</v>
      </c>
      <c r="P18" s="603"/>
      <c r="Q18" s="604"/>
      <c r="R18" s="604">
        <f>O18+P18+Q18</f>
        <v>2439968</v>
      </c>
      <c r="S18" s="605"/>
      <c r="T18" s="608"/>
    </row>
    <row r="19" spans="1:20" s="203" customFormat="1" ht="24" customHeight="1">
      <c r="A19" s="780" t="s">
        <v>346</v>
      </c>
      <c r="B19" s="191" t="s">
        <v>400</v>
      </c>
      <c r="C19" s="192" t="s">
        <v>940</v>
      </c>
      <c r="D19" s="597">
        <f>J19+N19+R19</f>
        <v>10396875</v>
      </c>
      <c r="E19" s="598"/>
      <c r="F19" s="599"/>
      <c r="G19" s="599">
        <v>396875</v>
      </c>
      <c r="H19" s="599"/>
      <c r="I19" s="599"/>
      <c r="J19" s="600">
        <f t="shared" si="0"/>
        <v>396875</v>
      </c>
      <c r="K19" s="601"/>
      <c r="L19" s="601">
        <v>10000000</v>
      </c>
      <c r="M19" s="601"/>
      <c r="N19" s="602">
        <f>SUM(K19:M19)</f>
        <v>10000000</v>
      </c>
      <c r="O19" s="602"/>
      <c r="P19" s="603"/>
      <c r="Q19" s="604"/>
      <c r="R19" s="604"/>
      <c r="S19" s="605"/>
      <c r="T19" s="608"/>
    </row>
    <row r="20" spans="1:20" s="203" customFormat="1" ht="14.25" customHeight="1">
      <c r="A20" s="780" t="s">
        <v>368</v>
      </c>
      <c r="B20" s="191" t="s">
        <v>338</v>
      </c>
      <c r="C20" s="192" t="s">
        <v>339</v>
      </c>
      <c r="D20" s="597">
        <f>J20+N20+R20</f>
        <v>1948820</v>
      </c>
      <c r="E20" s="598">
        <f>15000+618705+26385+308019+22877+7867+316620+277044+5037+60000</f>
        <v>1657554</v>
      </c>
      <c r="F20" s="599">
        <v>291266</v>
      </c>
      <c r="G20" s="599"/>
      <c r="H20" s="599"/>
      <c r="I20" s="599"/>
      <c r="J20" s="600">
        <f t="shared" si="0"/>
        <v>1948820</v>
      </c>
      <c r="K20" s="601"/>
      <c r="L20" s="601"/>
      <c r="M20" s="601"/>
      <c r="N20" s="602"/>
      <c r="O20" s="602"/>
      <c r="P20" s="603"/>
      <c r="Q20" s="604"/>
      <c r="R20" s="604"/>
      <c r="S20" s="605">
        <v>2</v>
      </c>
      <c r="T20" s="608">
        <v>2</v>
      </c>
    </row>
    <row r="21" spans="1:20" s="203" customFormat="1" ht="19.5" customHeight="1">
      <c r="A21" s="781" t="s">
        <v>369</v>
      </c>
      <c r="B21" s="191" t="s">
        <v>419</v>
      </c>
      <c r="C21" s="192" t="s">
        <v>941</v>
      </c>
      <c r="D21" s="597">
        <f>J21+N21+R21</f>
        <v>19021</v>
      </c>
      <c r="E21" s="598"/>
      <c r="F21" s="599"/>
      <c r="G21" s="599">
        <v>19021</v>
      </c>
      <c r="H21" s="599"/>
      <c r="I21" s="599"/>
      <c r="J21" s="600">
        <f t="shared" si="0"/>
        <v>19021</v>
      </c>
      <c r="K21" s="601"/>
      <c r="L21" s="601"/>
      <c r="M21" s="601"/>
      <c r="N21" s="602"/>
      <c r="O21" s="602"/>
      <c r="P21" s="603"/>
      <c r="Q21" s="604"/>
      <c r="R21" s="604"/>
      <c r="S21" s="605"/>
      <c r="T21" s="608"/>
    </row>
    <row r="22" spans="1:20" s="203" customFormat="1" ht="30">
      <c r="A22" s="781" t="s">
        <v>370</v>
      </c>
      <c r="B22" s="191" t="s">
        <v>401</v>
      </c>
      <c r="C22" s="192" t="s">
        <v>402</v>
      </c>
      <c r="D22" s="597">
        <f>J22+N22+P22+Q22</f>
        <v>27000</v>
      </c>
      <c r="E22" s="598"/>
      <c r="F22" s="599"/>
      <c r="G22" s="599">
        <v>27000</v>
      </c>
      <c r="H22" s="599"/>
      <c r="I22" s="599"/>
      <c r="J22" s="600">
        <f t="shared" si="0"/>
        <v>27000</v>
      </c>
      <c r="K22" s="601"/>
      <c r="L22" s="601"/>
      <c r="M22" s="601"/>
      <c r="N22" s="602"/>
      <c r="O22" s="602"/>
      <c r="P22" s="603"/>
      <c r="Q22" s="604"/>
      <c r="R22" s="604"/>
      <c r="S22" s="605"/>
      <c r="T22" s="608"/>
    </row>
    <row r="23" spans="1:20" s="203" customFormat="1" ht="30">
      <c r="A23" s="780" t="s">
        <v>371</v>
      </c>
      <c r="B23" s="191" t="s">
        <v>386</v>
      </c>
      <c r="C23" s="192" t="s">
        <v>387</v>
      </c>
      <c r="D23" s="597">
        <f>J23+N23+P23+Q23</f>
        <v>6014000</v>
      </c>
      <c r="E23" s="598"/>
      <c r="F23" s="599"/>
      <c r="G23" s="599">
        <v>3474000</v>
      </c>
      <c r="H23" s="599"/>
      <c r="I23" s="599"/>
      <c r="J23" s="600">
        <f t="shared" si="0"/>
        <v>3474000</v>
      </c>
      <c r="K23" s="601">
        <v>2540000</v>
      </c>
      <c r="L23" s="601"/>
      <c r="M23" s="601"/>
      <c r="N23" s="602">
        <f>SUM(K23:M23)</f>
        <v>2540000</v>
      </c>
      <c r="O23" s="602"/>
      <c r="P23" s="603"/>
      <c r="Q23" s="604"/>
      <c r="R23" s="604"/>
      <c r="S23" s="609"/>
      <c r="T23" s="608"/>
    </row>
    <row r="24" spans="1:20" s="203" customFormat="1" ht="15">
      <c r="A24" s="780" t="s">
        <v>668</v>
      </c>
      <c r="B24" s="191" t="s">
        <v>403</v>
      </c>
      <c r="C24" s="192" t="s">
        <v>404</v>
      </c>
      <c r="D24" s="597">
        <f>J24+N24+P24+Q24</f>
        <v>960000</v>
      </c>
      <c r="E24" s="598"/>
      <c r="F24" s="599"/>
      <c r="G24" s="599"/>
      <c r="H24" s="599"/>
      <c r="I24" s="599"/>
      <c r="J24" s="600"/>
      <c r="K24" s="601"/>
      <c r="L24" s="601"/>
      <c r="M24" s="601">
        <f>600000-240000+600000</f>
        <v>960000</v>
      </c>
      <c r="N24" s="602">
        <f>SUM(K24:M24)</f>
        <v>960000</v>
      </c>
      <c r="O24" s="602"/>
      <c r="P24" s="603"/>
      <c r="Q24" s="604"/>
      <c r="R24" s="604"/>
      <c r="S24" s="609"/>
      <c r="T24" s="608"/>
    </row>
    <row r="25" spans="1:20" s="203" customFormat="1" ht="15">
      <c r="A25" s="780" t="s">
        <v>669</v>
      </c>
      <c r="B25" s="191" t="s">
        <v>388</v>
      </c>
      <c r="C25" s="192" t="s">
        <v>728</v>
      </c>
      <c r="D25" s="597">
        <f t="shared" si="1"/>
        <v>1900000</v>
      </c>
      <c r="E25" s="598"/>
      <c r="F25" s="599"/>
      <c r="G25" s="599">
        <v>1900000</v>
      </c>
      <c r="H25" s="601"/>
      <c r="I25" s="599"/>
      <c r="J25" s="600">
        <f t="shared" si="0"/>
        <v>1900000</v>
      </c>
      <c r="K25" s="601"/>
      <c r="L25" s="601"/>
      <c r="M25" s="601"/>
      <c r="N25" s="602"/>
      <c r="O25" s="602"/>
      <c r="P25" s="603"/>
      <c r="Q25" s="604"/>
      <c r="R25" s="604"/>
      <c r="S25" s="609"/>
      <c r="T25" s="608"/>
    </row>
    <row r="26" spans="1:20" s="203" customFormat="1" ht="15">
      <c r="A26" s="780" t="s">
        <v>700</v>
      </c>
      <c r="B26" s="191" t="s">
        <v>405</v>
      </c>
      <c r="C26" s="192" t="s">
        <v>727</v>
      </c>
      <c r="D26" s="597">
        <f t="shared" si="1"/>
        <v>635000</v>
      </c>
      <c r="E26" s="598"/>
      <c r="F26" s="599"/>
      <c r="G26" s="599">
        <v>635000</v>
      </c>
      <c r="H26" s="601"/>
      <c r="I26" s="599"/>
      <c r="J26" s="600">
        <f t="shared" si="0"/>
        <v>635000</v>
      </c>
      <c r="K26" s="601"/>
      <c r="L26" s="601"/>
      <c r="M26" s="601"/>
      <c r="N26" s="602"/>
      <c r="O26" s="602"/>
      <c r="P26" s="603"/>
      <c r="Q26" s="604"/>
      <c r="R26" s="604"/>
      <c r="S26" s="609"/>
      <c r="T26" s="608"/>
    </row>
    <row r="27" spans="1:20" s="203" customFormat="1" ht="30">
      <c r="A27" s="780" t="s">
        <v>670</v>
      </c>
      <c r="B27" s="191" t="s">
        <v>389</v>
      </c>
      <c r="C27" s="192" t="s">
        <v>390</v>
      </c>
      <c r="D27" s="597">
        <f t="shared" si="1"/>
        <v>2375049</v>
      </c>
      <c r="E27" s="598">
        <v>749494</v>
      </c>
      <c r="F27" s="599">
        <v>103555</v>
      </c>
      <c r="G27" s="599">
        <v>889000</v>
      </c>
      <c r="H27" s="601"/>
      <c r="I27" s="599"/>
      <c r="J27" s="600">
        <f t="shared" si="0"/>
        <v>1742049</v>
      </c>
      <c r="K27" s="601">
        <v>633000</v>
      </c>
      <c r="L27" s="601"/>
      <c r="M27" s="601"/>
      <c r="N27" s="602">
        <f>SUM(K27:M27)</f>
        <v>633000</v>
      </c>
      <c r="O27" s="602"/>
      <c r="P27" s="603"/>
      <c r="Q27" s="604"/>
      <c r="R27" s="604"/>
      <c r="S27" s="609">
        <v>0.5</v>
      </c>
      <c r="T27" s="608">
        <v>0.5</v>
      </c>
    </row>
    <row r="28" spans="1:20" s="203" customFormat="1" ht="15">
      <c r="A28" s="780" t="s">
        <v>671</v>
      </c>
      <c r="B28" s="191" t="s">
        <v>406</v>
      </c>
      <c r="C28" s="192" t="s">
        <v>729</v>
      </c>
      <c r="D28" s="597">
        <f t="shared" si="1"/>
        <v>24028856</v>
      </c>
      <c r="E28" s="598"/>
      <c r="F28" s="599"/>
      <c r="G28" s="599">
        <v>223758</v>
      </c>
      <c r="H28" s="601"/>
      <c r="I28" s="599"/>
      <c r="J28" s="600">
        <f t="shared" si="0"/>
        <v>223758</v>
      </c>
      <c r="K28" s="601">
        <v>175098</v>
      </c>
      <c r="L28" s="601">
        <f>23205000+425000</f>
        <v>23630000</v>
      </c>
      <c r="M28" s="601"/>
      <c r="N28" s="602">
        <f aca="true" t="shared" si="2" ref="N28:N42">SUM(K28:M28)</f>
        <v>23805098</v>
      </c>
      <c r="O28" s="602"/>
      <c r="P28" s="603"/>
      <c r="Q28" s="604"/>
      <c r="R28" s="604"/>
      <c r="S28" s="609"/>
      <c r="T28" s="608"/>
    </row>
    <row r="29" spans="1:20" s="203" customFormat="1" ht="31.5" customHeight="1">
      <c r="A29" s="780" t="s">
        <v>672</v>
      </c>
      <c r="B29" s="191" t="s">
        <v>407</v>
      </c>
      <c r="C29" s="192" t="s">
        <v>408</v>
      </c>
      <c r="D29" s="597">
        <f t="shared" si="1"/>
        <v>675000</v>
      </c>
      <c r="E29" s="598"/>
      <c r="F29" s="599"/>
      <c r="G29" s="599"/>
      <c r="H29" s="599"/>
      <c r="I29" s="599">
        <v>675000</v>
      </c>
      <c r="J29" s="600">
        <f t="shared" si="0"/>
        <v>675000</v>
      </c>
      <c r="K29" s="601"/>
      <c r="L29" s="601"/>
      <c r="M29" s="601"/>
      <c r="N29" s="602">
        <f t="shared" si="2"/>
        <v>0</v>
      </c>
      <c r="O29" s="602"/>
      <c r="P29" s="603"/>
      <c r="Q29" s="604"/>
      <c r="R29" s="604"/>
      <c r="S29" s="609"/>
      <c r="T29" s="608"/>
    </row>
    <row r="30" spans="1:20" s="203" customFormat="1" ht="15">
      <c r="A30" s="780" t="s">
        <v>674</v>
      </c>
      <c r="B30" s="191" t="s">
        <v>391</v>
      </c>
      <c r="C30" s="192" t="s">
        <v>731</v>
      </c>
      <c r="D30" s="597">
        <f t="shared" si="1"/>
        <v>878560</v>
      </c>
      <c r="E30" s="598">
        <v>484580</v>
      </c>
      <c r="F30" s="599">
        <v>132320</v>
      </c>
      <c r="G30" s="599">
        <v>83000</v>
      </c>
      <c r="H30" s="599"/>
      <c r="I30" s="599"/>
      <c r="J30" s="600">
        <f t="shared" si="0"/>
        <v>699900</v>
      </c>
      <c r="K30" s="601">
        <v>178660</v>
      </c>
      <c r="L30" s="601"/>
      <c r="M30" s="601"/>
      <c r="N30" s="602">
        <f t="shared" si="2"/>
        <v>178660</v>
      </c>
      <c r="O30" s="602"/>
      <c r="P30" s="603"/>
      <c r="Q30" s="604"/>
      <c r="R30" s="604"/>
      <c r="S30" s="609">
        <v>0.2</v>
      </c>
      <c r="T30" s="608">
        <v>0.2</v>
      </c>
    </row>
    <row r="31" spans="1:20" s="203" customFormat="1" ht="30">
      <c r="A31" s="780" t="s">
        <v>675</v>
      </c>
      <c r="B31" s="191" t="s">
        <v>942</v>
      </c>
      <c r="C31" s="192" t="s">
        <v>943</v>
      </c>
      <c r="D31" s="597">
        <f t="shared" si="1"/>
        <v>2756072</v>
      </c>
      <c r="E31" s="598">
        <v>1837776</v>
      </c>
      <c r="F31" s="599">
        <v>507296</v>
      </c>
      <c r="G31" s="599">
        <v>411000</v>
      </c>
      <c r="H31" s="599"/>
      <c r="I31" s="599"/>
      <c r="J31" s="600">
        <f>SUM(E31:I31)</f>
        <v>2756072</v>
      </c>
      <c r="K31" s="601"/>
      <c r="L31" s="601"/>
      <c r="M31" s="601"/>
      <c r="N31" s="602">
        <f t="shared" si="2"/>
        <v>0</v>
      </c>
      <c r="O31" s="602"/>
      <c r="P31" s="603"/>
      <c r="Q31" s="604"/>
      <c r="R31" s="604"/>
      <c r="S31" s="609"/>
      <c r="T31" s="608"/>
    </row>
    <row r="32" spans="1:20" s="203" customFormat="1" ht="15">
      <c r="A32" s="780" t="s">
        <v>676</v>
      </c>
      <c r="B32" s="191" t="s">
        <v>417</v>
      </c>
      <c r="C32" s="192" t="s">
        <v>944</v>
      </c>
      <c r="D32" s="597">
        <f t="shared" si="1"/>
        <v>380579</v>
      </c>
      <c r="E32" s="598">
        <f>291000+15177</f>
        <v>306177</v>
      </c>
      <c r="F32" s="599">
        <v>74402</v>
      </c>
      <c r="G32" s="599"/>
      <c r="H32" s="599"/>
      <c r="I32" s="599"/>
      <c r="J32" s="600">
        <f>SUM(E32:I32)</f>
        <v>380579</v>
      </c>
      <c r="K32" s="601"/>
      <c r="L32" s="601"/>
      <c r="M32" s="601"/>
      <c r="N32" s="602">
        <f t="shared" si="2"/>
        <v>0</v>
      </c>
      <c r="O32" s="602"/>
      <c r="P32" s="603"/>
      <c r="Q32" s="604"/>
      <c r="R32" s="604"/>
      <c r="S32" s="609"/>
      <c r="T32" s="608"/>
    </row>
    <row r="33" spans="1:20" s="203" customFormat="1" ht="15">
      <c r="A33" s="780" t="s">
        <v>677</v>
      </c>
      <c r="B33" s="191" t="s">
        <v>409</v>
      </c>
      <c r="C33" s="192" t="s">
        <v>730</v>
      </c>
      <c r="D33" s="597">
        <f t="shared" si="1"/>
        <v>340000</v>
      </c>
      <c r="E33" s="598"/>
      <c r="F33" s="599"/>
      <c r="G33" s="599"/>
      <c r="H33" s="599"/>
      <c r="I33" s="599">
        <f>240000+100000</f>
        <v>340000</v>
      </c>
      <c r="J33" s="600">
        <f t="shared" si="0"/>
        <v>340000</v>
      </c>
      <c r="K33" s="601"/>
      <c r="L33" s="601"/>
      <c r="M33" s="601"/>
      <c r="N33" s="602">
        <f t="shared" si="2"/>
        <v>0</v>
      </c>
      <c r="O33" s="602"/>
      <c r="P33" s="603"/>
      <c r="Q33" s="604"/>
      <c r="R33" s="604"/>
      <c r="S33" s="609"/>
      <c r="T33" s="608"/>
    </row>
    <row r="34" spans="1:20" s="203" customFormat="1" ht="15">
      <c r="A34" s="780" t="s">
        <v>678</v>
      </c>
      <c r="B34" s="191" t="s">
        <v>410</v>
      </c>
      <c r="C34" s="192" t="s">
        <v>411</v>
      </c>
      <c r="D34" s="597">
        <f t="shared" si="1"/>
        <v>50000</v>
      </c>
      <c r="E34" s="598"/>
      <c r="F34" s="599"/>
      <c r="G34" s="599"/>
      <c r="H34" s="599">
        <v>50000</v>
      </c>
      <c r="I34" s="599"/>
      <c r="J34" s="600">
        <f t="shared" si="0"/>
        <v>50000</v>
      </c>
      <c r="K34" s="601"/>
      <c r="L34" s="601"/>
      <c r="M34" s="601"/>
      <c r="N34" s="602">
        <f t="shared" si="2"/>
        <v>0</v>
      </c>
      <c r="O34" s="602"/>
      <c r="P34" s="603"/>
      <c r="Q34" s="604"/>
      <c r="R34" s="604"/>
      <c r="S34" s="609"/>
      <c r="T34" s="608"/>
    </row>
    <row r="35" spans="1:20" s="203" customFormat="1" ht="15">
      <c r="A35" s="780" t="s">
        <v>679</v>
      </c>
      <c r="B35" s="191" t="s">
        <v>853</v>
      </c>
      <c r="C35" s="192" t="s">
        <v>854</v>
      </c>
      <c r="D35" s="597">
        <f t="shared" si="1"/>
        <v>7012920</v>
      </c>
      <c r="E35" s="598">
        <f>2567000+101750-94500+51975+154205+14730</f>
        <v>2795160</v>
      </c>
      <c r="F35" s="599">
        <v>545535</v>
      </c>
      <c r="G35" s="599">
        <f>3448000+22225+150000</f>
        <v>3620225</v>
      </c>
      <c r="H35" s="599"/>
      <c r="I35" s="599"/>
      <c r="J35" s="600">
        <f t="shared" si="0"/>
        <v>6960920</v>
      </c>
      <c r="K35" s="601">
        <v>52000</v>
      </c>
      <c r="L35" s="601"/>
      <c r="M35" s="601"/>
      <c r="N35" s="602">
        <f t="shared" si="2"/>
        <v>52000</v>
      </c>
      <c r="O35" s="602"/>
      <c r="P35" s="603"/>
      <c r="Q35" s="604"/>
      <c r="R35" s="604"/>
      <c r="S35" s="610">
        <v>1</v>
      </c>
      <c r="T35" s="611">
        <v>1</v>
      </c>
    </row>
    <row r="36" spans="1:20" s="203" customFormat="1" ht="30">
      <c r="A36" s="780" t="s">
        <v>347</v>
      </c>
      <c r="B36" s="191" t="s">
        <v>855</v>
      </c>
      <c r="C36" s="192" t="s">
        <v>945</v>
      </c>
      <c r="D36" s="597">
        <f t="shared" si="1"/>
        <v>1344959</v>
      </c>
      <c r="E36" s="598">
        <f>453000+20350+10395+2840-40936</f>
        <v>445649</v>
      </c>
      <c r="F36" s="599">
        <v>105157</v>
      </c>
      <c r="G36" s="599">
        <v>785153</v>
      </c>
      <c r="H36" s="599"/>
      <c r="I36" s="599"/>
      <c r="J36" s="600">
        <f t="shared" si="0"/>
        <v>1335959</v>
      </c>
      <c r="K36" s="601">
        <v>9000</v>
      </c>
      <c r="L36" s="601"/>
      <c r="M36" s="601"/>
      <c r="N36" s="602">
        <f t="shared" si="2"/>
        <v>9000</v>
      </c>
      <c r="O36" s="602"/>
      <c r="P36" s="603"/>
      <c r="Q36" s="604"/>
      <c r="R36" s="604"/>
      <c r="S36" s="609"/>
      <c r="T36" s="608"/>
    </row>
    <row r="37" spans="1:20" s="203" customFormat="1" ht="15">
      <c r="A37" s="780" t="s">
        <v>348</v>
      </c>
      <c r="B37" s="191" t="s">
        <v>855</v>
      </c>
      <c r="C37" s="193" t="s">
        <v>946</v>
      </c>
      <c r="D37" s="597">
        <f>J37+N37+P37+Q37</f>
        <v>1750338</v>
      </c>
      <c r="E37" s="598">
        <f>654000+46250+8505-11200-50499-15177-99862</f>
        <v>532017</v>
      </c>
      <c r="F37" s="599">
        <v>164710</v>
      </c>
      <c r="G37" s="599">
        <v>1040611</v>
      </c>
      <c r="H37" s="599"/>
      <c r="I37" s="599"/>
      <c r="J37" s="600">
        <f>SUM(E37:I37)</f>
        <v>1737338</v>
      </c>
      <c r="K37" s="601">
        <v>13000</v>
      </c>
      <c r="L37" s="601"/>
      <c r="M37" s="601"/>
      <c r="N37" s="602">
        <f>SUM(K37:M37)</f>
        <v>13000</v>
      </c>
      <c r="O37" s="602"/>
      <c r="P37" s="603"/>
      <c r="Q37" s="604"/>
      <c r="R37" s="604"/>
      <c r="S37" s="609"/>
      <c r="T37" s="608"/>
    </row>
    <row r="38" spans="1:20" s="203" customFormat="1" ht="30">
      <c r="A38" s="780" t="s">
        <v>349</v>
      </c>
      <c r="B38" s="191">
        <v>104051</v>
      </c>
      <c r="C38" s="192" t="s">
        <v>947</v>
      </c>
      <c r="D38" s="597">
        <f t="shared" si="1"/>
        <v>46000</v>
      </c>
      <c r="E38" s="598"/>
      <c r="F38" s="599"/>
      <c r="G38" s="599"/>
      <c r="H38" s="599">
        <v>46000</v>
      </c>
      <c r="I38" s="599"/>
      <c r="J38" s="600">
        <f t="shared" si="0"/>
        <v>46000</v>
      </c>
      <c r="K38" s="601"/>
      <c r="L38" s="601"/>
      <c r="M38" s="601"/>
      <c r="N38" s="602">
        <f t="shared" si="2"/>
        <v>0</v>
      </c>
      <c r="O38" s="602"/>
      <c r="P38" s="603"/>
      <c r="Q38" s="604"/>
      <c r="R38" s="604"/>
      <c r="S38" s="609"/>
      <c r="T38" s="608"/>
    </row>
    <row r="39" spans="1:20" s="203" customFormat="1" ht="30">
      <c r="A39" s="780" t="s">
        <v>350</v>
      </c>
      <c r="B39" s="191">
        <v>106020</v>
      </c>
      <c r="C39" s="192" t="s">
        <v>412</v>
      </c>
      <c r="D39" s="597">
        <f t="shared" si="1"/>
        <v>600000</v>
      </c>
      <c r="E39" s="598"/>
      <c r="F39" s="599"/>
      <c r="G39" s="599"/>
      <c r="H39" s="599">
        <v>600000</v>
      </c>
      <c r="I39" s="599"/>
      <c r="J39" s="600">
        <f t="shared" si="0"/>
        <v>600000</v>
      </c>
      <c r="K39" s="601"/>
      <c r="L39" s="601"/>
      <c r="M39" s="601"/>
      <c r="N39" s="602">
        <f t="shared" si="2"/>
        <v>0</v>
      </c>
      <c r="O39" s="602"/>
      <c r="P39" s="603"/>
      <c r="Q39" s="604"/>
      <c r="R39" s="604"/>
      <c r="S39" s="609">
        <v>0.6</v>
      </c>
      <c r="T39" s="608">
        <v>0.6</v>
      </c>
    </row>
    <row r="40" spans="1:20" s="203" customFormat="1" ht="15">
      <c r="A40" s="780" t="s">
        <v>351</v>
      </c>
      <c r="B40" s="191" t="s">
        <v>396</v>
      </c>
      <c r="C40" s="193" t="s">
        <v>948</v>
      </c>
      <c r="D40" s="597">
        <f t="shared" si="1"/>
        <v>4091020</v>
      </c>
      <c r="E40" s="598">
        <f>1359000+16650+23625+29600+6978-25750</f>
        <v>1410103</v>
      </c>
      <c r="F40" s="599">
        <v>320826</v>
      </c>
      <c r="G40" s="599">
        <f>2108000+95250+84000+45841</f>
        <v>2333091</v>
      </c>
      <c r="H40" s="599"/>
      <c r="I40" s="599"/>
      <c r="J40" s="600">
        <f t="shared" si="0"/>
        <v>4064020</v>
      </c>
      <c r="K40" s="601">
        <v>27000</v>
      </c>
      <c r="L40" s="601"/>
      <c r="M40" s="601"/>
      <c r="N40" s="602">
        <f t="shared" si="2"/>
        <v>27000</v>
      </c>
      <c r="O40" s="602"/>
      <c r="P40" s="603"/>
      <c r="Q40" s="604"/>
      <c r="R40" s="604"/>
      <c r="S40" s="609"/>
      <c r="T40" s="608"/>
    </row>
    <row r="41" spans="1:20" s="203" customFormat="1" ht="15">
      <c r="A41" s="780" t="s">
        <v>352</v>
      </c>
      <c r="B41" s="191">
        <v>107052</v>
      </c>
      <c r="C41" s="195" t="s">
        <v>493</v>
      </c>
      <c r="D41" s="597">
        <f t="shared" si="1"/>
        <v>702000</v>
      </c>
      <c r="E41" s="598"/>
      <c r="F41" s="599"/>
      <c r="G41" s="599">
        <v>62000</v>
      </c>
      <c r="H41" s="599"/>
      <c r="I41" s="599">
        <v>640000</v>
      </c>
      <c r="J41" s="600">
        <f t="shared" si="0"/>
        <v>702000</v>
      </c>
      <c r="K41" s="601"/>
      <c r="L41" s="601"/>
      <c r="M41" s="601"/>
      <c r="N41" s="602">
        <f t="shared" si="2"/>
        <v>0</v>
      </c>
      <c r="O41" s="602"/>
      <c r="P41" s="603"/>
      <c r="Q41" s="604"/>
      <c r="R41" s="604"/>
      <c r="S41" s="609"/>
      <c r="T41" s="608"/>
    </row>
    <row r="42" spans="1:20" s="203" customFormat="1" ht="27.75" customHeight="1" thickBot="1">
      <c r="A42" s="783" t="s">
        <v>353</v>
      </c>
      <c r="B42" s="191">
        <v>107060</v>
      </c>
      <c r="C42" s="192" t="s">
        <v>413</v>
      </c>
      <c r="D42" s="597">
        <f t="shared" si="1"/>
        <v>3362700</v>
      </c>
      <c r="E42" s="598"/>
      <c r="F42" s="599"/>
      <c r="G42" s="599">
        <f>604520+43180</f>
        <v>647700</v>
      </c>
      <c r="H42" s="599">
        <v>2715000</v>
      </c>
      <c r="I42" s="599"/>
      <c r="J42" s="600">
        <f t="shared" si="0"/>
        <v>3362700</v>
      </c>
      <c r="K42" s="601"/>
      <c r="L42" s="601"/>
      <c r="M42" s="601"/>
      <c r="N42" s="602">
        <f t="shared" si="2"/>
        <v>0</v>
      </c>
      <c r="O42" s="602"/>
      <c r="P42" s="603"/>
      <c r="Q42" s="604"/>
      <c r="R42" s="604"/>
      <c r="S42" s="605">
        <v>0.4</v>
      </c>
      <c r="T42" s="608">
        <v>0.4</v>
      </c>
    </row>
    <row r="43" spans="1:20" s="616" customFormat="1" ht="18.75" customHeight="1" thickBot="1">
      <c r="A43" s="784" t="s">
        <v>354</v>
      </c>
      <c r="B43" s="612"/>
      <c r="C43" s="613" t="s">
        <v>881</v>
      </c>
      <c r="D43" s="614">
        <f aca="true" t="shared" si="3" ref="D43:T43">SUM(D15:D42)</f>
        <v>131760818</v>
      </c>
      <c r="E43" s="614">
        <f t="shared" si="3"/>
        <v>19942600</v>
      </c>
      <c r="F43" s="614">
        <f t="shared" si="3"/>
        <v>4882695</v>
      </c>
      <c r="G43" s="614">
        <f t="shared" si="3"/>
        <v>20913968</v>
      </c>
      <c r="H43" s="614">
        <f t="shared" si="3"/>
        <v>3411000</v>
      </c>
      <c r="I43" s="614">
        <f t="shared" si="3"/>
        <v>36695777</v>
      </c>
      <c r="J43" s="614">
        <f t="shared" si="3"/>
        <v>85846040</v>
      </c>
      <c r="K43" s="614">
        <f>SUM(K15:K42)</f>
        <v>8644810</v>
      </c>
      <c r="L43" s="614">
        <f t="shared" si="3"/>
        <v>33630000</v>
      </c>
      <c r="M43" s="614">
        <f t="shared" si="3"/>
        <v>1200000</v>
      </c>
      <c r="N43" s="614">
        <f t="shared" si="3"/>
        <v>43474810</v>
      </c>
      <c r="O43" s="614">
        <f t="shared" si="3"/>
        <v>2439968</v>
      </c>
      <c r="P43" s="614">
        <f t="shared" si="3"/>
        <v>0</v>
      </c>
      <c r="Q43" s="614">
        <f t="shared" si="3"/>
        <v>0</v>
      </c>
      <c r="R43" s="614">
        <f t="shared" si="3"/>
        <v>2439968</v>
      </c>
      <c r="S43" s="615">
        <f t="shared" si="3"/>
        <v>5.2</v>
      </c>
      <c r="T43" s="615">
        <f t="shared" si="3"/>
        <v>5.2</v>
      </c>
    </row>
  </sheetData>
  <sheetProtection/>
  <mergeCells count="32">
    <mergeCell ref="L1:T1"/>
    <mergeCell ref="B3:Q3"/>
    <mergeCell ref="B4:T4"/>
    <mergeCell ref="B6:T6"/>
    <mergeCell ref="B7:T7"/>
    <mergeCell ref="B8:T8"/>
    <mergeCell ref="S9:T9"/>
    <mergeCell ref="B10:B14"/>
    <mergeCell ref="C10:C14"/>
    <mergeCell ref="D10:D14"/>
    <mergeCell ref="E10:R10"/>
    <mergeCell ref="S10:T10"/>
    <mergeCell ref="E11:J11"/>
    <mergeCell ref="K11:N11"/>
    <mergeCell ref="O11:R11"/>
    <mergeCell ref="S11:T11"/>
    <mergeCell ref="E12:E14"/>
    <mergeCell ref="F12:F14"/>
    <mergeCell ref="G12:G14"/>
    <mergeCell ref="H12:H14"/>
    <mergeCell ref="I12:I14"/>
    <mergeCell ref="J12:J14"/>
    <mergeCell ref="A10:A14"/>
    <mergeCell ref="Q12:Q14"/>
    <mergeCell ref="R12:R14"/>
    <mergeCell ref="S13:T14"/>
    <mergeCell ref="K12:K14"/>
    <mergeCell ref="L12:L14"/>
    <mergeCell ref="M12:M14"/>
    <mergeCell ref="N12:N14"/>
    <mergeCell ref="O12:O14"/>
    <mergeCell ref="P12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</sheetPr>
  <dimension ref="A1:M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7" customWidth="1"/>
    <col min="2" max="2" width="63.125" style="27" customWidth="1"/>
    <col min="3" max="6" width="26.25390625" style="27" customWidth="1"/>
    <col min="7" max="16384" width="9.125" style="27" customWidth="1"/>
  </cols>
  <sheetData>
    <row r="1" spans="1:6" s="177" customFormat="1" ht="15.75">
      <c r="A1" s="176" t="s">
        <v>1186</v>
      </c>
      <c r="C1" s="178"/>
      <c r="D1" s="179"/>
      <c r="E1" s="179"/>
      <c r="F1" s="179"/>
    </row>
    <row r="2" spans="1:6" s="177" customFormat="1" ht="15.75">
      <c r="A2" s="176"/>
      <c r="C2" s="178"/>
      <c r="D2" s="179"/>
      <c r="E2" s="179"/>
      <c r="F2" s="179"/>
    </row>
    <row r="3" spans="1:6" s="67" customFormat="1" ht="15" customHeight="1">
      <c r="A3" s="1037" t="s">
        <v>949</v>
      </c>
      <c r="B3" s="1038"/>
      <c r="C3" s="1038"/>
      <c r="D3" s="1038"/>
      <c r="E3" s="1038"/>
      <c r="F3" s="1038"/>
    </row>
    <row r="4" spans="2:6" s="95" customFormat="1" ht="15" customHeight="1">
      <c r="B4" s="1039"/>
      <c r="C4" s="1461"/>
      <c r="D4" s="1461"/>
      <c r="E4" s="1461"/>
      <c r="F4" s="1461"/>
    </row>
    <row r="5" spans="2:6" s="17" customFormat="1" ht="15" customHeight="1">
      <c r="B5" s="1039" t="s">
        <v>741</v>
      </c>
      <c r="C5" s="1039"/>
      <c r="D5" s="1039"/>
      <c r="E5" s="1039"/>
      <c r="F5" s="1039"/>
    </row>
    <row r="6" spans="2:6" s="17" customFormat="1" ht="15.75">
      <c r="B6" s="1040" t="s">
        <v>422</v>
      </c>
      <c r="C6" s="1040"/>
      <c r="D6" s="1040"/>
      <c r="E6" s="1040"/>
      <c r="F6" s="1040"/>
    </row>
    <row r="7" spans="2:6" s="17" customFormat="1" ht="15" customHeight="1">
      <c r="B7" s="1039" t="s">
        <v>950</v>
      </c>
      <c r="C7" s="1039"/>
      <c r="D7" s="1039"/>
      <c r="E7" s="1039"/>
      <c r="F7" s="1039"/>
    </row>
    <row r="8" spans="2:6" s="177" customFormat="1" ht="12" customHeight="1" thickBot="1">
      <c r="B8" s="178"/>
      <c r="C8" s="181"/>
      <c r="D8" s="182"/>
      <c r="E8" s="182"/>
      <c r="F8" s="500" t="s">
        <v>951</v>
      </c>
    </row>
    <row r="9" spans="1:6" s="177" customFormat="1" ht="16.5" customHeight="1" thickBot="1">
      <c r="A9" s="1044" t="s">
        <v>15</v>
      </c>
      <c r="B9" s="1020" t="s">
        <v>16</v>
      </c>
      <c r="C9" s="1110" t="s">
        <v>423</v>
      </c>
      <c r="D9" s="1095" t="s">
        <v>18</v>
      </c>
      <c r="E9" s="1095"/>
      <c r="F9" s="1096"/>
    </row>
    <row r="10" spans="1:6" s="177" customFormat="1" ht="33" customHeight="1" thickBot="1">
      <c r="A10" s="1045"/>
      <c r="B10" s="1021"/>
      <c r="C10" s="1111"/>
      <c r="D10" s="128" t="s">
        <v>19</v>
      </c>
      <c r="E10" s="183" t="s">
        <v>20</v>
      </c>
      <c r="F10" s="184" t="s">
        <v>21</v>
      </c>
    </row>
    <row r="11" spans="1:6" s="177" customFormat="1" ht="22.5" customHeight="1">
      <c r="A11" s="1045"/>
      <c r="B11" s="1021"/>
      <c r="C11" s="1111"/>
      <c r="D11" s="1097" t="s">
        <v>22</v>
      </c>
      <c r="E11" s="1098"/>
      <c r="F11" s="1099"/>
    </row>
    <row r="12" spans="1:6" ht="12.75">
      <c r="A12" s="1045"/>
      <c r="B12" s="1021"/>
      <c r="C12" s="1111"/>
      <c r="D12" s="1100"/>
      <c r="E12" s="1101"/>
      <c r="F12" s="1102"/>
    </row>
    <row r="13" spans="1:6" ht="3" customHeight="1" thickBot="1">
      <c r="A13" s="1046"/>
      <c r="B13" s="1022"/>
      <c r="C13" s="1112"/>
      <c r="D13" s="1103"/>
      <c r="E13" s="1104"/>
      <c r="F13" s="1105"/>
    </row>
    <row r="14" spans="1:6" ht="30">
      <c r="A14" s="199" t="s">
        <v>23</v>
      </c>
      <c r="B14" s="192" t="s">
        <v>24</v>
      </c>
      <c r="C14" s="187">
        <f>SUM(D14:F14)</f>
        <v>50576750</v>
      </c>
      <c r="D14" s="187">
        <f>13849000+40900494+15556-396875-2596200-425000+13032+3000-381000-600000-116030-149900+116030+6700+1808+149376+40332-11800-100000-797404+98631</f>
        <v>49619750</v>
      </c>
      <c r="E14" s="187">
        <f>717000+240000</f>
        <v>957000</v>
      </c>
      <c r="F14" s="187"/>
    </row>
    <row r="15" spans="1:6" ht="15">
      <c r="A15" s="191" t="s">
        <v>332</v>
      </c>
      <c r="B15" s="192" t="s">
        <v>732</v>
      </c>
      <c r="C15" s="53">
        <f aca="true" t="shared" si="0" ref="C15:C40">SUM(D15:F15)</f>
        <v>64000</v>
      </c>
      <c r="D15" s="53">
        <v>64000</v>
      </c>
      <c r="E15" s="53"/>
      <c r="F15" s="53"/>
    </row>
    <row r="16" spans="1:6" ht="15">
      <c r="A16" s="191" t="s">
        <v>333</v>
      </c>
      <c r="B16" s="192" t="s">
        <v>334</v>
      </c>
      <c r="C16" s="53">
        <f t="shared" si="0"/>
        <v>5467032</v>
      </c>
      <c r="D16" s="53">
        <f>245000+381000-158750+403582</f>
        <v>870832</v>
      </c>
      <c r="E16" s="53">
        <f>2000000+2596200</f>
        <v>4596200</v>
      </c>
      <c r="F16" s="53"/>
    </row>
    <row r="17" spans="1:6" ht="15">
      <c r="A17" s="191" t="s">
        <v>335</v>
      </c>
      <c r="B17" s="192" t="s">
        <v>336</v>
      </c>
      <c r="C17" s="53">
        <f>SUM(D17:F17)</f>
        <v>3358267</v>
      </c>
      <c r="D17" s="53">
        <f>1139000+179759+884145+1121209+34154</f>
        <v>3358267</v>
      </c>
      <c r="E17" s="53"/>
      <c r="F17" s="53"/>
    </row>
    <row r="18" spans="1:6" ht="15">
      <c r="A18" s="191" t="s">
        <v>338</v>
      </c>
      <c r="B18" s="192" t="s">
        <v>339</v>
      </c>
      <c r="C18" s="53">
        <f>SUM(D18:F18)</f>
        <v>1948820</v>
      </c>
      <c r="D18" s="53"/>
      <c r="E18" s="53">
        <f>777025+359998+7867+34595+316620+42744+405887+4084</f>
        <v>1948820</v>
      </c>
      <c r="F18" s="53"/>
    </row>
    <row r="19" spans="1:6" ht="15">
      <c r="A19" s="191" t="s">
        <v>400</v>
      </c>
      <c r="B19" s="192" t="s">
        <v>952</v>
      </c>
      <c r="C19" s="53">
        <f>SUM(D19:F19)</f>
        <v>10396875</v>
      </c>
      <c r="D19" s="53">
        <f>396875+10000000</f>
        <v>10396875</v>
      </c>
      <c r="E19" s="53"/>
      <c r="F19" s="53"/>
    </row>
    <row r="20" spans="1:6" ht="27" customHeight="1">
      <c r="A20" s="191" t="s">
        <v>401</v>
      </c>
      <c r="B20" s="192" t="s">
        <v>402</v>
      </c>
      <c r="C20" s="53">
        <f t="shared" si="0"/>
        <v>27000</v>
      </c>
      <c r="D20" s="53">
        <v>27000</v>
      </c>
      <c r="E20" s="53"/>
      <c r="F20" s="53"/>
    </row>
    <row r="21" spans="1:6" ht="15">
      <c r="A21" s="191" t="s">
        <v>419</v>
      </c>
      <c r="B21" s="192" t="s">
        <v>941</v>
      </c>
      <c r="C21" s="53">
        <f t="shared" si="0"/>
        <v>19021</v>
      </c>
      <c r="D21" s="617">
        <v>19021</v>
      </c>
      <c r="E21" s="618"/>
      <c r="F21" s="618"/>
    </row>
    <row r="22" spans="1:6" ht="15">
      <c r="A22" s="191" t="s">
        <v>386</v>
      </c>
      <c r="B22" s="192" t="s">
        <v>387</v>
      </c>
      <c r="C22" s="53">
        <f t="shared" si="0"/>
        <v>6014000</v>
      </c>
      <c r="D22" s="53">
        <f>6313000-299000</f>
        <v>6014000</v>
      </c>
      <c r="E22" s="53"/>
      <c r="F22" s="53"/>
    </row>
    <row r="23" spans="1:6" ht="15">
      <c r="A23" s="191" t="s">
        <v>403</v>
      </c>
      <c r="B23" s="192" t="s">
        <v>404</v>
      </c>
      <c r="C23" s="53">
        <f t="shared" si="0"/>
        <v>960000</v>
      </c>
      <c r="D23" s="53"/>
      <c r="E23" s="53">
        <f>600000-240000+600000</f>
        <v>960000</v>
      </c>
      <c r="F23" s="53"/>
    </row>
    <row r="24" spans="1:6" ht="15">
      <c r="A24" s="191" t="s">
        <v>388</v>
      </c>
      <c r="B24" s="192" t="s">
        <v>728</v>
      </c>
      <c r="C24" s="53">
        <f t="shared" si="0"/>
        <v>1900000</v>
      </c>
      <c r="D24" s="53">
        <v>1900000</v>
      </c>
      <c r="E24" s="53"/>
      <c r="F24" s="53"/>
    </row>
    <row r="25" spans="1:6" ht="15">
      <c r="A25" s="191" t="s">
        <v>405</v>
      </c>
      <c r="B25" s="192" t="s">
        <v>727</v>
      </c>
      <c r="C25" s="53">
        <f t="shared" si="0"/>
        <v>635000</v>
      </c>
      <c r="D25" s="53">
        <v>635000</v>
      </c>
      <c r="E25" s="53"/>
      <c r="F25" s="53"/>
    </row>
    <row r="26" spans="1:6" ht="15">
      <c r="A26" s="191" t="s">
        <v>389</v>
      </c>
      <c r="B26" s="192" t="s">
        <v>390</v>
      </c>
      <c r="C26" s="53">
        <f t="shared" si="0"/>
        <v>2375049</v>
      </c>
      <c r="D26" s="53">
        <f>2281000+61348+2667+149900+11800+4084-172750</f>
        <v>2338049</v>
      </c>
      <c r="E26" s="53">
        <v>37000</v>
      </c>
      <c r="F26" s="53"/>
    </row>
    <row r="27" spans="1:6" ht="15">
      <c r="A27" s="191" t="s">
        <v>406</v>
      </c>
      <c r="B27" s="192" t="s">
        <v>729</v>
      </c>
      <c r="C27" s="53">
        <f t="shared" si="0"/>
        <v>24028856</v>
      </c>
      <c r="D27" s="53">
        <f>23265000+425000+229890+108966</f>
        <v>24028856</v>
      </c>
      <c r="E27" s="53"/>
      <c r="F27" s="53"/>
    </row>
    <row r="28" spans="1:6" ht="15">
      <c r="A28" s="191" t="s">
        <v>407</v>
      </c>
      <c r="B28" s="192" t="s">
        <v>408</v>
      </c>
      <c r="C28" s="53">
        <f t="shared" si="0"/>
        <v>675000</v>
      </c>
      <c r="D28" s="53">
        <v>675000</v>
      </c>
      <c r="E28" s="53"/>
      <c r="F28" s="53"/>
    </row>
    <row r="29" spans="1:6" ht="15">
      <c r="A29" s="191" t="s">
        <v>391</v>
      </c>
      <c r="B29" s="192" t="s">
        <v>731</v>
      </c>
      <c r="C29" s="53">
        <f t="shared" si="0"/>
        <v>878560</v>
      </c>
      <c r="D29" s="53">
        <f>833000+5690+6224+2680+724+14453+789</f>
        <v>863560</v>
      </c>
      <c r="E29" s="53">
        <v>15000</v>
      </c>
      <c r="F29" s="53"/>
    </row>
    <row r="30" spans="1:6" ht="15">
      <c r="A30" s="191" t="s">
        <v>942</v>
      </c>
      <c r="B30" s="192" t="s">
        <v>953</v>
      </c>
      <c r="C30" s="53">
        <f t="shared" si="0"/>
        <v>2756072</v>
      </c>
      <c r="D30" s="53">
        <f>2463000+18821+23051+11200+9420+2544+66127+84909</f>
        <v>2679072</v>
      </c>
      <c r="E30" s="53">
        <v>77000</v>
      </c>
      <c r="F30" s="53"/>
    </row>
    <row r="31" spans="1:6" ht="15">
      <c r="A31" s="191" t="s">
        <v>417</v>
      </c>
      <c r="B31" s="192" t="s">
        <v>954</v>
      </c>
      <c r="C31" s="53">
        <f t="shared" si="0"/>
        <v>380579</v>
      </c>
      <c r="D31" s="53">
        <f>362000+15177+3402</f>
        <v>380579</v>
      </c>
      <c r="E31" s="53"/>
      <c r="F31" s="53"/>
    </row>
    <row r="32" spans="1:6" ht="15">
      <c r="A32" s="191" t="s">
        <v>409</v>
      </c>
      <c r="B32" s="192" t="s">
        <v>730</v>
      </c>
      <c r="C32" s="53">
        <f t="shared" si="0"/>
        <v>340000</v>
      </c>
      <c r="D32" s="53"/>
      <c r="E32" s="53">
        <f>240000+100000</f>
        <v>340000</v>
      </c>
      <c r="F32" s="53"/>
    </row>
    <row r="33" spans="1:6" ht="15">
      <c r="A33" s="191" t="s">
        <v>410</v>
      </c>
      <c r="B33" s="192" t="s">
        <v>411</v>
      </c>
      <c r="C33" s="53">
        <f t="shared" si="0"/>
        <v>50000</v>
      </c>
      <c r="D33" s="53"/>
      <c r="E33" s="53">
        <v>50000</v>
      </c>
      <c r="F33" s="53"/>
    </row>
    <row r="34" spans="1:6" ht="15">
      <c r="A34" s="191" t="s">
        <v>853</v>
      </c>
      <c r="B34" s="192" t="s">
        <v>854</v>
      </c>
      <c r="C34" s="53">
        <f t="shared" si="0"/>
        <v>7012920</v>
      </c>
      <c r="D34" s="53">
        <f>6654000+59225+195840+22225+168630-200000</f>
        <v>6899920</v>
      </c>
      <c r="E34" s="53">
        <v>113000</v>
      </c>
      <c r="F34" s="53"/>
    </row>
    <row r="35" spans="1:6" ht="15">
      <c r="A35" s="191" t="s">
        <v>855</v>
      </c>
      <c r="B35" s="192" t="s">
        <v>945</v>
      </c>
      <c r="C35" s="53">
        <f t="shared" si="0"/>
        <v>1344959</v>
      </c>
      <c r="D35" s="53"/>
      <c r="E35" s="53">
        <f>1226000+30745+22225+12801+53188</f>
        <v>1344959</v>
      </c>
      <c r="F35" s="53"/>
    </row>
    <row r="36" spans="1:6" ht="15">
      <c r="A36" s="191" t="s">
        <v>855</v>
      </c>
      <c r="B36" s="192" t="s">
        <v>955</v>
      </c>
      <c r="C36" s="53">
        <f t="shared" si="0"/>
        <v>1750338</v>
      </c>
      <c r="D36" s="53"/>
      <c r="E36" s="53">
        <f>1877000+54755-11200-50499-37595+19050-47985-53188</f>
        <v>1750338</v>
      </c>
      <c r="F36" s="53"/>
    </row>
    <row r="37" spans="1:6" ht="15">
      <c r="A37" s="191">
        <v>104051</v>
      </c>
      <c r="B37" s="195" t="s">
        <v>947</v>
      </c>
      <c r="C37" s="53">
        <f t="shared" si="0"/>
        <v>46000</v>
      </c>
      <c r="D37" s="53"/>
      <c r="E37" s="53"/>
      <c r="F37" s="53">
        <v>46000</v>
      </c>
    </row>
    <row r="38" spans="1:6" ht="15">
      <c r="A38" s="191">
        <v>106020</v>
      </c>
      <c r="B38" s="192" t="s">
        <v>412</v>
      </c>
      <c r="C38" s="53">
        <f t="shared" si="0"/>
        <v>600000</v>
      </c>
      <c r="D38" s="53">
        <v>600000</v>
      </c>
      <c r="E38" s="53"/>
      <c r="F38" s="53"/>
    </row>
    <row r="39" spans="1:13" ht="15">
      <c r="A39" s="191" t="s">
        <v>396</v>
      </c>
      <c r="B39" s="193" t="s">
        <v>948</v>
      </c>
      <c r="C39" s="53">
        <f t="shared" si="0"/>
        <v>4091020</v>
      </c>
      <c r="D39" s="53">
        <f>3806000+40275+29600+95250+127662-66767</f>
        <v>4032020</v>
      </c>
      <c r="E39" s="53">
        <v>59000</v>
      </c>
      <c r="F39" s="53"/>
      <c r="G39" s="388"/>
      <c r="H39" s="388"/>
      <c r="I39" s="388"/>
      <c r="J39" s="388"/>
      <c r="K39" s="388"/>
      <c r="L39" s="388"/>
      <c r="M39" s="388"/>
    </row>
    <row r="40" spans="1:13" ht="15">
      <c r="A40" s="191">
        <v>107052</v>
      </c>
      <c r="B40" s="195" t="s">
        <v>493</v>
      </c>
      <c r="C40" s="53">
        <f t="shared" si="0"/>
        <v>702000</v>
      </c>
      <c r="D40" s="619">
        <v>702000</v>
      </c>
      <c r="E40" s="618"/>
      <c r="F40" s="618"/>
      <c r="G40" s="620"/>
      <c r="H40" s="620"/>
      <c r="I40" s="621"/>
      <c r="J40" s="622"/>
      <c r="K40" s="622"/>
      <c r="L40" s="622"/>
      <c r="M40" s="621"/>
    </row>
    <row r="41" spans="1:6" ht="15.75" thickBot="1">
      <c r="A41" s="191">
        <v>107060</v>
      </c>
      <c r="B41" s="192" t="s">
        <v>413</v>
      </c>
      <c r="C41" s="53">
        <f>SUM(D41:F41)</f>
        <v>3362700</v>
      </c>
      <c r="D41" s="53">
        <f>647700+2715000</f>
        <v>3362700</v>
      </c>
      <c r="E41" s="53"/>
      <c r="F41" s="53"/>
    </row>
    <row r="42" spans="1:6" ht="33" customHeight="1" thickBot="1">
      <c r="A42" s="196"/>
      <c r="B42" s="197" t="s">
        <v>705</v>
      </c>
      <c r="C42" s="198">
        <f>SUM(C14:C41)</f>
        <v>131760818</v>
      </c>
      <c r="D42" s="198">
        <f>SUM(D14:D41)</f>
        <v>119466501</v>
      </c>
      <c r="E42" s="198">
        <f>SUM(E14:E41)</f>
        <v>12248317</v>
      </c>
      <c r="F42" s="198">
        <f>SUM(F14:F41)</f>
        <v>46000</v>
      </c>
    </row>
  </sheetData>
  <sheetProtection/>
  <mergeCells count="10">
    <mergeCell ref="A3:F3"/>
    <mergeCell ref="B4:F4"/>
    <mergeCell ref="B5:F5"/>
    <mergeCell ref="B6:F6"/>
    <mergeCell ref="B7:F7"/>
    <mergeCell ref="A9:A13"/>
    <mergeCell ref="B9:B13"/>
    <mergeCell ref="C9:C13"/>
    <mergeCell ref="D9:F9"/>
    <mergeCell ref="D11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2:J48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6.875" style="0" customWidth="1"/>
    <col min="4" max="4" width="30.875" style="0" customWidth="1"/>
    <col min="5" max="5" width="15.00390625" style="0" customWidth="1"/>
    <col min="6" max="6" width="14.625" style="0" customWidth="1"/>
    <col min="7" max="7" width="6.125" style="0" customWidth="1"/>
    <col min="8" max="8" width="1.37890625" style="0" customWidth="1"/>
    <col min="9" max="9" width="2.875" style="0" hidden="1" customWidth="1"/>
  </cols>
  <sheetData>
    <row r="2" ht="12.75">
      <c r="A2" t="s">
        <v>1187</v>
      </c>
    </row>
    <row r="4" ht="12.75">
      <c r="A4" t="s">
        <v>956</v>
      </c>
    </row>
    <row r="6" spans="1:9" ht="12.75">
      <c r="A6" s="1122"/>
      <c r="B6" s="1122"/>
      <c r="C6" s="1122"/>
      <c r="D6" s="1122"/>
      <c r="E6" s="1122"/>
      <c r="F6" s="1122"/>
      <c r="G6" s="1122"/>
      <c r="H6" s="1122"/>
      <c r="I6" s="1122"/>
    </row>
    <row r="8" spans="1:9" ht="16.5" customHeight="1">
      <c r="A8" s="1455" t="s">
        <v>957</v>
      </c>
      <c r="B8" s="1455"/>
      <c r="C8" s="1455"/>
      <c r="D8" s="1455"/>
      <c r="E8" s="1455"/>
      <c r="F8" s="1455"/>
      <c r="G8" s="1455"/>
      <c r="H8" s="1455"/>
      <c r="I8" s="1455"/>
    </row>
    <row r="9" spans="1:9" ht="15" customHeight="1">
      <c r="A9" s="1455" t="s">
        <v>958</v>
      </c>
      <c r="B9" s="1455"/>
      <c r="C9" s="1455"/>
      <c r="D9" s="1455"/>
      <c r="E9" s="1455"/>
      <c r="F9" s="1455"/>
      <c r="G9" s="1455"/>
      <c r="H9" s="1455"/>
      <c r="I9" s="1455"/>
    </row>
    <row r="10" spans="1:9" ht="15" customHeight="1">
      <c r="A10" s="1455" t="s">
        <v>959</v>
      </c>
      <c r="B10" s="1455"/>
      <c r="C10" s="1455"/>
      <c r="D10" s="1455"/>
      <c r="E10" s="1455"/>
      <c r="F10" s="1455"/>
      <c r="G10" s="1455"/>
      <c r="H10" s="1455"/>
      <c r="I10" s="1455"/>
    </row>
    <row r="11" spans="1:9" ht="15" customHeight="1">
      <c r="A11" s="627"/>
      <c r="B11" s="627"/>
      <c r="C11" s="627"/>
      <c r="D11" s="627"/>
      <c r="E11" s="627"/>
      <c r="F11" s="627"/>
      <c r="G11" s="627"/>
      <c r="H11" s="627"/>
      <c r="I11" s="627"/>
    </row>
    <row r="12" spans="1:9" ht="15" customHeight="1" thickBot="1">
      <c r="A12" s="627"/>
      <c r="B12" s="627"/>
      <c r="C12" s="627"/>
      <c r="D12" s="627"/>
      <c r="E12" s="627"/>
      <c r="F12" s="628" t="s">
        <v>951</v>
      </c>
      <c r="G12" s="627"/>
      <c r="H12" s="627"/>
      <c r="I12" s="627"/>
    </row>
    <row r="13" spans="1:7" ht="12.75">
      <c r="A13" s="629"/>
      <c r="B13" s="630"/>
      <c r="C13" s="630"/>
      <c r="D13" s="630"/>
      <c r="E13" s="630"/>
      <c r="F13" s="1515" t="s">
        <v>960</v>
      </c>
      <c r="G13" s="631"/>
    </row>
    <row r="14" spans="1:7" ht="15">
      <c r="A14" s="1518" t="s">
        <v>653</v>
      </c>
      <c r="B14" s="1519"/>
      <c r="C14" s="1519"/>
      <c r="D14" s="1519"/>
      <c r="E14" s="1519"/>
      <c r="F14" s="1516"/>
      <c r="G14" s="631"/>
    </row>
    <row r="15" spans="1:7" ht="13.5" thickBot="1">
      <c r="A15" s="632"/>
      <c r="B15" s="633"/>
      <c r="C15" s="633"/>
      <c r="D15" s="633"/>
      <c r="E15" s="633"/>
      <c r="F15" s="1517"/>
      <c r="G15" s="631"/>
    </row>
    <row r="17" spans="1:4" ht="12.75">
      <c r="A17" s="543" t="s">
        <v>961</v>
      </c>
      <c r="B17" s="543"/>
      <c r="C17" s="543"/>
      <c r="D17" s="543"/>
    </row>
    <row r="19" spans="1:5" ht="28.5" customHeight="1">
      <c r="A19" s="542" t="s">
        <v>740</v>
      </c>
      <c r="B19" s="1513" t="s">
        <v>425</v>
      </c>
      <c r="C19" s="1001"/>
      <c r="D19" s="1001"/>
      <c r="E19" s="634"/>
    </row>
    <row r="20" spans="1:6" ht="12.75">
      <c r="A20" s="538" t="s">
        <v>659</v>
      </c>
      <c r="B20" t="s">
        <v>426</v>
      </c>
      <c r="F20" s="635">
        <v>69700</v>
      </c>
    </row>
    <row r="21" spans="1:6" ht="12.75">
      <c r="A21" s="538" t="s">
        <v>660</v>
      </c>
      <c r="B21" t="s">
        <v>427</v>
      </c>
      <c r="F21" s="635">
        <f>92000+116030+300</f>
        <v>208330</v>
      </c>
    </row>
    <row r="22" spans="1:6" ht="21" customHeight="1">
      <c r="A22" s="538" t="s">
        <v>660</v>
      </c>
      <c r="B22" s="1120" t="s">
        <v>1135</v>
      </c>
      <c r="C22" s="1001"/>
      <c r="D22" s="1001"/>
      <c r="F22" s="635">
        <v>918299</v>
      </c>
    </row>
    <row r="23" spans="1:6" ht="32.25" customHeight="1">
      <c r="A23" s="538" t="s">
        <v>661</v>
      </c>
      <c r="B23" s="1120" t="s">
        <v>1034</v>
      </c>
      <c r="C23" s="1001"/>
      <c r="D23" s="1001"/>
      <c r="F23" s="635">
        <v>640000</v>
      </c>
    </row>
    <row r="25" spans="1:6" ht="29.25" customHeight="1">
      <c r="A25" s="1513" t="s">
        <v>428</v>
      </c>
      <c r="B25" s="1038"/>
      <c r="C25" s="1038"/>
      <c r="D25" s="1038"/>
      <c r="F25" s="636">
        <f>F20+F21+F22+F23</f>
        <v>1836329</v>
      </c>
    </row>
    <row r="27" spans="1:4" ht="30.75" customHeight="1">
      <c r="A27" s="542" t="s">
        <v>500</v>
      </c>
      <c r="B27" s="1513" t="s">
        <v>429</v>
      </c>
      <c r="C27" s="1514"/>
      <c r="D27" s="1514"/>
    </row>
    <row r="28" ht="12.75">
      <c r="A28" s="538"/>
    </row>
    <row r="29" spans="1:6" ht="12.75">
      <c r="A29" s="538" t="s">
        <v>658</v>
      </c>
      <c r="B29" t="s">
        <v>636</v>
      </c>
      <c r="F29" s="635">
        <f>40000+100000</f>
        <v>140000</v>
      </c>
    </row>
    <row r="30" spans="1:6" ht="12.75">
      <c r="A30" s="538" t="s">
        <v>659</v>
      </c>
      <c r="B30" t="s">
        <v>430</v>
      </c>
      <c r="F30" s="635">
        <v>80000</v>
      </c>
    </row>
    <row r="31" spans="1:6" ht="12.75">
      <c r="A31" s="538" t="s">
        <v>660</v>
      </c>
      <c r="B31" t="s">
        <v>431</v>
      </c>
      <c r="F31" s="635">
        <v>120000</v>
      </c>
    </row>
    <row r="32" spans="1:6" ht="12.75">
      <c r="A32" s="538" t="s">
        <v>661</v>
      </c>
      <c r="B32" t="s">
        <v>432</v>
      </c>
      <c r="F32" s="635">
        <v>75000</v>
      </c>
    </row>
    <row r="33" spans="1:6" ht="12.75">
      <c r="A33" s="538" t="s">
        <v>662</v>
      </c>
      <c r="B33" t="s">
        <v>433</v>
      </c>
      <c r="F33" s="635">
        <v>600000</v>
      </c>
    </row>
    <row r="35" spans="1:6" ht="31.5" customHeight="1">
      <c r="A35" s="1513" t="s">
        <v>434</v>
      </c>
      <c r="B35" s="1038"/>
      <c r="C35" s="1038"/>
      <c r="D35" s="1038"/>
      <c r="F35" s="636">
        <f>F29+F30+F31+F32+F33</f>
        <v>1015000</v>
      </c>
    </row>
    <row r="37" spans="1:6" ht="15.75">
      <c r="A37" s="637" t="s">
        <v>435</v>
      </c>
      <c r="B37" s="637"/>
      <c r="C37" s="637"/>
      <c r="D37" s="637"/>
      <c r="E37" s="637"/>
      <c r="F37" s="638">
        <f>F25+F35</f>
        <v>2851329</v>
      </c>
    </row>
    <row r="39" spans="1:10" ht="17.25" customHeight="1">
      <c r="A39" s="12" t="s">
        <v>190</v>
      </c>
      <c r="B39" s="14"/>
      <c r="C39" s="14"/>
      <c r="D39" s="14"/>
      <c r="E39" s="210"/>
      <c r="F39" s="211"/>
      <c r="G39" s="110"/>
      <c r="H39" s="110"/>
      <c r="I39" s="110"/>
      <c r="J39" s="110"/>
    </row>
    <row r="40" spans="1:10" ht="15.75">
      <c r="A40" s="12"/>
      <c r="B40" s="14"/>
      <c r="C40" s="14"/>
      <c r="D40" s="14"/>
      <c r="E40" s="13"/>
      <c r="F40" s="14"/>
      <c r="G40" s="14"/>
      <c r="H40" s="14"/>
      <c r="I40" s="14"/>
      <c r="J40" s="14"/>
    </row>
    <row r="41" spans="1:10" ht="48.75" customHeight="1">
      <c r="A41" s="215" t="s">
        <v>740</v>
      </c>
      <c r="B41" s="989" t="s">
        <v>191</v>
      </c>
      <c r="C41" s="989"/>
      <c r="D41" s="989"/>
      <c r="E41" s="989"/>
      <c r="F41" s="110"/>
      <c r="G41" s="213"/>
      <c r="H41" s="213"/>
      <c r="I41" s="213"/>
      <c r="J41" s="110"/>
    </row>
    <row r="42" spans="1:10" ht="15.75">
      <c r="A42" s="48" t="s">
        <v>658</v>
      </c>
      <c r="B42" s="1119" t="s">
        <v>192</v>
      </c>
      <c r="C42" s="1119"/>
      <c r="D42" s="1119"/>
      <c r="E42" s="14"/>
      <c r="F42" s="965">
        <v>1200000</v>
      </c>
      <c r="G42" s="51"/>
      <c r="H42" s="51">
        <v>600000</v>
      </c>
      <c r="I42" s="218" t="e">
        <f>H42/G42*100</f>
        <v>#DIV/0!</v>
      </c>
      <c r="J42" s="218"/>
    </row>
    <row r="43" spans="1:10" ht="15.75">
      <c r="A43" s="14"/>
      <c r="B43" s="14"/>
      <c r="C43" s="14"/>
      <c r="D43" s="14"/>
      <c r="E43" s="14"/>
      <c r="F43" s="966"/>
      <c r="G43" s="14"/>
      <c r="H43" s="14"/>
      <c r="I43" s="14"/>
      <c r="J43" s="14"/>
    </row>
    <row r="44" spans="1:10" ht="15.75">
      <c r="A44" s="989" t="s">
        <v>193</v>
      </c>
      <c r="B44" s="989"/>
      <c r="C44" s="989"/>
      <c r="D44" s="989"/>
      <c r="E44" s="14"/>
      <c r="F44" s="967">
        <f>SUM(F42:F43)</f>
        <v>1200000</v>
      </c>
      <c r="G44" s="214"/>
      <c r="H44" s="214">
        <f>SUM(H42:H43)</f>
        <v>600000</v>
      </c>
      <c r="I44" s="216" t="e">
        <f>H44/G44*100</f>
        <v>#DIV/0!</v>
      </c>
      <c r="J44" s="216"/>
    </row>
    <row r="45" spans="1:10" ht="15.75">
      <c r="A45" s="14"/>
      <c r="B45" s="14"/>
      <c r="C45" s="14"/>
      <c r="D45" s="14"/>
      <c r="E45" s="14"/>
      <c r="F45" s="966"/>
      <c r="G45" s="14"/>
      <c r="H45" s="14"/>
      <c r="I45" s="14"/>
      <c r="J45" s="14"/>
    </row>
    <row r="46" spans="1:10" ht="15">
      <c r="A46" s="10" t="s">
        <v>194</v>
      </c>
      <c r="B46" s="110"/>
      <c r="C46" s="110"/>
      <c r="D46" s="110"/>
      <c r="E46" s="210"/>
      <c r="F46" s="967">
        <f>F44</f>
        <v>1200000</v>
      </c>
      <c r="G46" s="214"/>
      <c r="H46" s="214">
        <f>H44</f>
        <v>600000</v>
      </c>
      <c r="I46" s="216" t="e">
        <f>I44</f>
        <v>#DIV/0!</v>
      </c>
      <c r="J46" s="216"/>
    </row>
    <row r="47" spans="1:10" ht="15.7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6" ht="15.75">
      <c r="A48" s="637" t="s">
        <v>962</v>
      </c>
      <c r="B48" s="637"/>
      <c r="C48" s="637"/>
      <c r="D48" s="637"/>
      <c r="E48" s="637"/>
      <c r="F48" s="638">
        <f>F37+F46</f>
        <v>4051329</v>
      </c>
    </row>
  </sheetData>
  <sheetProtection/>
  <mergeCells count="15">
    <mergeCell ref="A44:D44"/>
    <mergeCell ref="A25:D25"/>
    <mergeCell ref="A35:D35"/>
    <mergeCell ref="B22:D22"/>
    <mergeCell ref="B23:D23"/>
    <mergeCell ref="B41:E41"/>
    <mergeCell ref="B42:D42"/>
    <mergeCell ref="B19:D19"/>
    <mergeCell ref="B27:D27"/>
    <mergeCell ref="A6:I6"/>
    <mergeCell ref="A8:I8"/>
    <mergeCell ref="A9:I9"/>
    <mergeCell ref="A10:I10"/>
    <mergeCell ref="F13:F15"/>
    <mergeCell ref="A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</sheetPr>
  <dimension ref="A1:F10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18" customWidth="1"/>
    <col min="2" max="2" width="74.00390625" style="18" customWidth="1"/>
    <col min="3" max="3" width="21.00390625" style="645" customWidth="1"/>
    <col min="4" max="4" width="9.125" style="18" customWidth="1"/>
    <col min="5" max="5" width="12.625" style="18" bestFit="1" customWidth="1"/>
    <col min="6" max="6" width="14.25390625" style="18" bestFit="1" customWidth="1"/>
    <col min="7" max="16384" width="9.125" style="18" customWidth="1"/>
  </cols>
  <sheetData>
    <row r="1" spans="1:3" ht="15.75">
      <c r="A1" s="640" t="s">
        <v>1188</v>
      </c>
      <c r="B1" s="640"/>
      <c r="C1" s="641"/>
    </row>
    <row r="2" s="642" customFormat="1" ht="15.75">
      <c r="C2" s="643"/>
    </row>
    <row r="3" spans="1:3" s="594" customFormat="1" ht="15">
      <c r="A3" s="640" t="s">
        <v>963</v>
      </c>
      <c r="B3" s="644"/>
      <c r="C3" s="644"/>
    </row>
    <row r="4" spans="1:3" s="594" customFormat="1" ht="15">
      <c r="A4" s="640"/>
      <c r="B4" s="644"/>
      <c r="C4" s="644"/>
    </row>
    <row r="5" spans="1:3" s="594" customFormat="1" ht="15">
      <c r="A5" s="640"/>
      <c r="B5" s="644"/>
      <c r="C5" s="644"/>
    </row>
    <row r="6" spans="1:3" s="594" customFormat="1" ht="15">
      <c r="A6" s="1128"/>
      <c r="B6" s="1527"/>
      <c r="C6" s="1527"/>
    </row>
    <row r="7" spans="1:3" ht="15.75">
      <c r="A7" s="1132" t="s">
        <v>957</v>
      </c>
      <c r="B7" s="1132"/>
      <c r="C7" s="1132"/>
    </row>
    <row r="8" spans="1:3" ht="15.75">
      <c r="A8" s="1383" t="s">
        <v>964</v>
      </c>
      <c r="B8" s="1383"/>
      <c r="C8" s="1383"/>
    </row>
    <row r="9" spans="1:3" ht="15.75">
      <c r="A9" s="1383" t="s">
        <v>482</v>
      </c>
      <c r="B9" s="1383"/>
      <c r="C9" s="1383"/>
    </row>
    <row r="10" spans="1:3" ht="15.75">
      <c r="A10" s="1383" t="s">
        <v>950</v>
      </c>
      <c r="B10" s="1383"/>
      <c r="C10" s="1383"/>
    </row>
    <row r="11" ht="16.5" thickBot="1"/>
    <row r="12" spans="1:3" ht="15.75">
      <c r="A12" s="646" t="s">
        <v>657</v>
      </c>
      <c r="B12" s="647"/>
      <c r="C12" s="625" t="s">
        <v>965</v>
      </c>
    </row>
    <row r="13" spans="1:3" ht="15.75">
      <c r="A13" s="648"/>
      <c r="B13" s="649" t="s">
        <v>653</v>
      </c>
      <c r="C13" s="650"/>
    </row>
    <row r="14" spans="1:4" ht="34.5" customHeight="1" thickBot="1">
      <c r="A14" s="651" t="s">
        <v>655</v>
      </c>
      <c r="B14" s="652"/>
      <c r="C14" s="626" t="s">
        <v>649</v>
      </c>
      <c r="D14" s="653"/>
    </row>
    <row r="15" spans="2:4" ht="34.5" customHeight="1">
      <c r="B15" s="654"/>
      <c r="C15" s="624"/>
      <c r="D15" s="655"/>
    </row>
    <row r="16" spans="1:3" ht="20.25" customHeight="1">
      <c r="A16" s="1528" t="s">
        <v>451</v>
      </c>
      <c r="B16" s="1528"/>
      <c r="C16" s="1528"/>
    </row>
    <row r="17" spans="1:3" ht="20.25" customHeight="1">
      <c r="A17" s="656" t="s">
        <v>658</v>
      </c>
      <c r="B17" s="657" t="s">
        <v>452</v>
      </c>
      <c r="C17" s="658"/>
    </row>
    <row r="18" spans="1:3" ht="20.25" customHeight="1">
      <c r="A18" s="656"/>
      <c r="B18" s="14" t="s">
        <v>453</v>
      </c>
      <c r="C18" s="659">
        <v>29416624</v>
      </c>
    </row>
    <row r="19" spans="1:5" ht="20.25" customHeight="1">
      <c r="A19" s="656"/>
      <c r="B19" s="475" t="s">
        <v>454</v>
      </c>
      <c r="C19" s="659">
        <v>2035985</v>
      </c>
      <c r="D19" s="660"/>
      <c r="E19" s="660"/>
    </row>
    <row r="20" spans="1:3" ht="20.25" customHeight="1">
      <c r="A20" s="656" t="s">
        <v>659</v>
      </c>
      <c r="B20" s="657" t="s">
        <v>455</v>
      </c>
      <c r="C20" s="659">
        <f>7808000+5000</f>
        <v>7813000</v>
      </c>
    </row>
    <row r="21" spans="1:3" ht="20.25" customHeight="1">
      <c r="A21" s="656" t="s">
        <v>660</v>
      </c>
      <c r="B21" s="657" t="s">
        <v>456</v>
      </c>
      <c r="C21" s="659">
        <v>10908000</v>
      </c>
    </row>
    <row r="22" spans="1:3" ht="20.25" customHeight="1">
      <c r="A22" s="656" t="s">
        <v>661</v>
      </c>
      <c r="B22" s="661" t="s">
        <v>457</v>
      </c>
      <c r="C22" s="659"/>
    </row>
    <row r="23" spans="1:5" ht="36" customHeight="1">
      <c r="A23" s="656"/>
      <c r="B23" s="475" t="s">
        <v>458</v>
      </c>
      <c r="C23" s="659"/>
      <c r="D23" s="475"/>
      <c r="E23" s="475"/>
    </row>
    <row r="24" spans="1:3" ht="20.25" customHeight="1">
      <c r="A24" s="656"/>
      <c r="B24" s="14" t="s">
        <v>459</v>
      </c>
      <c r="C24" s="659"/>
    </row>
    <row r="25" spans="1:3" ht="36" customHeight="1">
      <c r="A25" s="662"/>
      <c r="B25" s="663" t="s">
        <v>665</v>
      </c>
      <c r="C25" s="664">
        <f>SUM(C18:C24)</f>
        <v>50173609</v>
      </c>
    </row>
    <row r="26" spans="1:3" ht="21" customHeight="1">
      <c r="A26" s="665" t="s">
        <v>662</v>
      </c>
      <c r="B26" s="657" t="s">
        <v>667</v>
      </c>
      <c r="C26" s="666">
        <v>19942600</v>
      </c>
    </row>
    <row r="27" spans="1:3" ht="21" customHeight="1">
      <c r="A27" s="665" t="s">
        <v>699</v>
      </c>
      <c r="B27" s="657" t="s">
        <v>460</v>
      </c>
      <c r="C27" s="666">
        <v>4882695</v>
      </c>
    </row>
    <row r="28" spans="1:3" ht="21" customHeight="1">
      <c r="A28" s="665" t="s">
        <v>663</v>
      </c>
      <c r="B28" s="667" t="s">
        <v>461</v>
      </c>
      <c r="C28" s="666">
        <f>21553968-640000</f>
        <v>20913968</v>
      </c>
    </row>
    <row r="29" spans="1:3" ht="21" customHeight="1">
      <c r="A29" s="665" t="s">
        <v>664</v>
      </c>
      <c r="B29" s="667" t="s">
        <v>462</v>
      </c>
      <c r="C29" s="666">
        <v>3411000</v>
      </c>
    </row>
    <row r="30" spans="1:3" ht="21" customHeight="1">
      <c r="A30" s="665" t="s">
        <v>666</v>
      </c>
      <c r="B30" s="667" t="s">
        <v>463</v>
      </c>
      <c r="C30" s="666"/>
    </row>
    <row r="31" spans="1:3" ht="32.25" customHeight="1">
      <c r="A31" s="665"/>
      <c r="B31" s="475" t="s">
        <v>966</v>
      </c>
      <c r="C31" s="668">
        <v>918299</v>
      </c>
    </row>
    <row r="32" spans="1:3" ht="19.5" customHeight="1">
      <c r="A32" s="665"/>
      <c r="B32" s="669" t="s">
        <v>464</v>
      </c>
      <c r="C32" s="668">
        <v>640000</v>
      </c>
    </row>
    <row r="33" spans="1:3" ht="15.75">
      <c r="A33" s="665"/>
      <c r="B33" s="669" t="s">
        <v>465</v>
      </c>
      <c r="C33" s="668">
        <v>1293030</v>
      </c>
    </row>
    <row r="34" spans="1:5" ht="15.75">
      <c r="A34" s="665"/>
      <c r="B34" s="669" t="s">
        <v>466</v>
      </c>
      <c r="C34" s="670">
        <v>33844448</v>
      </c>
      <c r="E34" s="671"/>
    </row>
    <row r="35" spans="1:6" ht="33.75" customHeight="1">
      <c r="A35" s="662"/>
      <c r="B35" s="663" t="s">
        <v>673</v>
      </c>
      <c r="C35" s="664">
        <f>SUM(C26:C34)</f>
        <v>85846040</v>
      </c>
      <c r="E35" s="671"/>
      <c r="F35" s="671"/>
    </row>
    <row r="36" spans="1:6" ht="33.75" customHeight="1">
      <c r="A36" s="656"/>
      <c r="B36" s="657"/>
      <c r="C36" s="659"/>
      <c r="E36" s="671"/>
      <c r="F36" s="671"/>
    </row>
    <row r="37" spans="1:6" ht="33.75" customHeight="1">
      <c r="A37" s="656"/>
      <c r="B37" s="657"/>
      <c r="C37" s="659"/>
      <c r="E37" s="671"/>
      <c r="F37" s="671"/>
    </row>
    <row r="38" spans="1:6" ht="33.75" customHeight="1">
      <c r="A38" s="656"/>
      <c r="B38" s="657"/>
      <c r="C38" s="658"/>
      <c r="E38" s="671"/>
      <c r="F38" s="671"/>
    </row>
    <row r="39" spans="1:6" ht="33.75" customHeight="1">
      <c r="A39" s="656"/>
      <c r="B39" s="657"/>
      <c r="C39" s="658"/>
      <c r="E39" s="671"/>
      <c r="F39" s="671"/>
    </row>
    <row r="40" spans="1:6" ht="33.75" customHeight="1">
      <c r="A40" s="656"/>
      <c r="B40" s="657"/>
      <c r="C40" s="658"/>
      <c r="E40" s="671"/>
      <c r="F40" s="671"/>
    </row>
    <row r="41" spans="1:3" ht="15.75">
      <c r="A41" s="1520">
        <v>2</v>
      </c>
      <c r="B41" s="1520"/>
      <c r="C41" s="1520"/>
    </row>
    <row r="42" spans="1:3" ht="15.75">
      <c r="A42" s="672"/>
      <c r="B42" s="672"/>
      <c r="C42" s="672"/>
    </row>
    <row r="43" spans="1:3" ht="15.75">
      <c r="A43" s="672"/>
      <c r="B43" s="672"/>
      <c r="C43" s="672"/>
    </row>
    <row r="44" spans="1:3" ht="16.5" thickBot="1">
      <c r="A44" s="672"/>
      <c r="B44" s="672"/>
      <c r="C44" s="672"/>
    </row>
    <row r="45" spans="1:3" ht="15.75">
      <c r="A45" s="646" t="s">
        <v>657</v>
      </c>
      <c r="B45" s="647"/>
      <c r="C45" s="625" t="s">
        <v>965</v>
      </c>
    </row>
    <row r="46" spans="1:3" ht="15.75">
      <c r="A46" s="648"/>
      <c r="B46" s="649" t="s">
        <v>653</v>
      </c>
      <c r="C46" s="650"/>
    </row>
    <row r="47" spans="1:3" ht="31.5" customHeight="1" thickBot="1">
      <c r="A47" s="651" t="s">
        <v>655</v>
      </c>
      <c r="B47" s="652"/>
      <c r="C47" s="626" t="s">
        <v>649</v>
      </c>
    </row>
    <row r="48" spans="1:3" ht="31.5" customHeight="1">
      <c r="A48" s="673"/>
      <c r="B48" s="623"/>
      <c r="C48" s="655"/>
    </row>
    <row r="49" spans="1:3" ht="21" customHeight="1">
      <c r="A49" s="1521" t="s">
        <v>467</v>
      </c>
      <c r="B49" s="1521"/>
      <c r="C49" s="1521"/>
    </row>
    <row r="50" spans="1:3" ht="21" customHeight="1">
      <c r="A50" s="970"/>
      <c r="B50" s="970"/>
      <c r="C50" s="970"/>
    </row>
    <row r="51" spans="1:3" ht="21" customHeight="1">
      <c r="A51" s="665" t="s">
        <v>668</v>
      </c>
      <c r="B51" s="674" t="s">
        <v>468</v>
      </c>
      <c r="C51" s="645">
        <v>10000000</v>
      </c>
    </row>
    <row r="52" spans="1:2" ht="21" customHeight="1">
      <c r="A52" s="665" t="s">
        <v>669</v>
      </c>
      <c r="B52" s="674" t="s">
        <v>469</v>
      </c>
    </row>
    <row r="53" spans="1:2" ht="21" customHeight="1">
      <c r="A53" s="665" t="s">
        <v>700</v>
      </c>
      <c r="B53" s="661" t="s">
        <v>470</v>
      </c>
    </row>
    <row r="54" spans="1:3" ht="31.5" customHeight="1">
      <c r="A54" s="665"/>
      <c r="B54" s="573" t="s">
        <v>471</v>
      </c>
      <c r="C54" s="670">
        <v>62000</v>
      </c>
    </row>
    <row r="55" spans="1:3" ht="21" customHeight="1">
      <c r="A55" s="665"/>
      <c r="B55" s="41" t="s">
        <v>472</v>
      </c>
      <c r="C55" s="670"/>
    </row>
    <row r="56" spans="1:5" ht="39.75" customHeight="1">
      <c r="A56" s="662"/>
      <c r="B56" s="663" t="s">
        <v>701</v>
      </c>
      <c r="C56" s="664">
        <f>SUM(C51:C55)</f>
        <v>10062000</v>
      </c>
      <c r="E56" s="671"/>
    </row>
    <row r="57" spans="1:5" ht="22.5" customHeight="1">
      <c r="A57" s="656"/>
      <c r="B57" s="657"/>
      <c r="C57" s="659"/>
      <c r="E57" s="671"/>
    </row>
    <row r="58" spans="1:3" ht="21" customHeight="1">
      <c r="A58" s="665" t="s">
        <v>670</v>
      </c>
      <c r="B58" s="674" t="s">
        <v>726</v>
      </c>
      <c r="C58" s="670">
        <v>8644810</v>
      </c>
    </row>
    <row r="59" spans="1:3" ht="21" customHeight="1">
      <c r="A59" s="665" t="s">
        <v>671</v>
      </c>
      <c r="B59" s="674" t="s">
        <v>473</v>
      </c>
      <c r="C59" s="670">
        <v>33630000</v>
      </c>
    </row>
    <row r="60" spans="1:3" ht="21" customHeight="1">
      <c r="A60" s="665" t="s">
        <v>672</v>
      </c>
      <c r="B60" s="661" t="s">
        <v>474</v>
      </c>
      <c r="C60" s="670"/>
    </row>
    <row r="61" spans="1:3" ht="21" customHeight="1">
      <c r="A61" s="665"/>
      <c r="B61" s="669" t="s">
        <v>475</v>
      </c>
      <c r="C61" s="670">
        <f>600000+600000</f>
        <v>1200000</v>
      </c>
    </row>
    <row r="62" spans="1:3" ht="21" customHeight="1">
      <c r="A62" s="665"/>
      <c r="B62" s="669" t="s">
        <v>466</v>
      </c>
      <c r="C62" s="670"/>
    </row>
    <row r="63" spans="1:6" s="28" customFormat="1" ht="42" customHeight="1" thickBot="1">
      <c r="A63" s="662"/>
      <c r="B63" s="663" t="s">
        <v>704</v>
      </c>
      <c r="C63" s="664">
        <f>SUM(C58:C62)</f>
        <v>43474810</v>
      </c>
      <c r="F63" s="675"/>
    </row>
    <row r="64" spans="1:3" s="28" customFormat="1" ht="35.25" customHeight="1" thickBot="1">
      <c r="A64" s="676"/>
      <c r="B64" s="677" t="s">
        <v>702</v>
      </c>
      <c r="C64" s="678">
        <f>C25+C56</f>
        <v>60235609</v>
      </c>
    </row>
    <row r="65" spans="1:6" s="28" customFormat="1" ht="35.25" customHeight="1" thickBot="1">
      <c r="A65" s="676"/>
      <c r="B65" s="677" t="s">
        <v>703</v>
      </c>
      <c r="C65" s="678">
        <f>C35+C63</f>
        <v>129320850</v>
      </c>
      <c r="F65" s="675"/>
    </row>
    <row r="66" spans="1:3" s="28" customFormat="1" ht="15.75">
      <c r="A66" s="679"/>
      <c r="B66" s="673"/>
      <c r="C66" s="680"/>
    </row>
    <row r="78" spans="1:3" s="682" customFormat="1" ht="15.75">
      <c r="A78" s="673"/>
      <c r="B78" s="681"/>
      <c r="C78" s="655"/>
    </row>
    <row r="79" spans="1:3" s="682" customFormat="1" ht="15.75">
      <c r="A79" s="673"/>
      <c r="B79" s="681"/>
      <c r="C79" s="655"/>
    </row>
    <row r="80" spans="1:3" s="682" customFormat="1" ht="15.75">
      <c r="A80" s="673"/>
      <c r="B80" s="681"/>
      <c r="C80" s="655"/>
    </row>
    <row r="81" spans="1:3" s="682" customFormat="1" ht="15.75">
      <c r="A81" s="673"/>
      <c r="B81" s="681"/>
      <c r="C81" s="655"/>
    </row>
    <row r="82" spans="1:3" s="682" customFormat="1" ht="15.75">
      <c r="A82" s="673"/>
      <c r="B82" s="681"/>
      <c r="C82" s="655"/>
    </row>
    <row r="83" spans="1:3" s="682" customFormat="1" ht="15.75">
      <c r="A83" s="1522">
        <v>3</v>
      </c>
      <c r="B83" s="1522"/>
      <c r="C83" s="1522"/>
    </row>
    <row r="84" spans="1:3" s="682" customFormat="1" ht="15.75">
      <c r="A84" s="683"/>
      <c r="B84" s="683"/>
      <c r="C84" s="683"/>
    </row>
    <row r="85" spans="1:3" s="682" customFormat="1" ht="16.5" thickBot="1">
      <c r="A85" s="683"/>
      <c r="B85" s="683"/>
      <c r="C85" s="683"/>
    </row>
    <row r="86" spans="1:3" s="682" customFormat="1" ht="19.5" customHeight="1">
      <c r="A86" s="646" t="s">
        <v>657</v>
      </c>
      <c r="B86" s="1523" t="s">
        <v>653</v>
      </c>
      <c r="C86" s="625" t="s">
        <v>965</v>
      </c>
    </row>
    <row r="87" spans="1:3" s="682" customFormat="1" ht="15.75">
      <c r="A87" s="648"/>
      <c r="B87" s="1524"/>
      <c r="C87" s="650"/>
    </row>
    <row r="88" spans="1:3" s="682" customFormat="1" ht="16.5" thickBot="1">
      <c r="A88" s="651" t="s">
        <v>655</v>
      </c>
      <c r="B88" s="1525"/>
      <c r="C88" s="626" t="s">
        <v>649</v>
      </c>
    </row>
    <row r="89" spans="1:3" s="682" customFormat="1" ht="15.75">
      <c r="A89" s="673"/>
      <c r="B89" s="681"/>
      <c r="C89" s="655"/>
    </row>
    <row r="90" spans="1:3" ht="20.25" customHeight="1">
      <c r="A90" s="1526" t="s">
        <v>708</v>
      </c>
      <c r="B90" s="1526"/>
      <c r="C90" s="1526"/>
    </row>
    <row r="91" spans="1:3" ht="20.25" customHeight="1">
      <c r="A91" s="684"/>
      <c r="B91" s="684"/>
      <c r="C91" s="684"/>
    </row>
    <row r="92" spans="1:3" ht="20.25" customHeight="1">
      <c r="A92" s="662" t="s">
        <v>674</v>
      </c>
      <c r="B92" s="685" t="s">
        <v>476</v>
      </c>
      <c r="C92" s="664">
        <f>26261000+2000000+42143000</f>
        <v>70404000</v>
      </c>
    </row>
    <row r="93" spans="1:3" ht="20.25" customHeight="1">
      <c r="A93" s="662" t="s">
        <v>675</v>
      </c>
      <c r="B93" s="685" t="s">
        <v>967</v>
      </c>
      <c r="C93" s="664">
        <v>1121209</v>
      </c>
    </row>
    <row r="94" spans="1:3" ht="21" customHeight="1">
      <c r="A94" s="662"/>
      <c r="B94" s="663" t="s">
        <v>484</v>
      </c>
      <c r="C94" s="686">
        <f>SUM(C92:C93)</f>
        <v>71525209</v>
      </c>
    </row>
    <row r="95" spans="1:3" ht="21" customHeight="1">
      <c r="A95" s="656" t="s">
        <v>676</v>
      </c>
      <c r="B95" s="663" t="s">
        <v>968</v>
      </c>
      <c r="C95" s="686">
        <f>1139077+179682</f>
        <v>1318759</v>
      </c>
    </row>
    <row r="96" spans="1:3" ht="15.75">
      <c r="A96" s="656" t="s">
        <v>677</v>
      </c>
      <c r="B96" s="685" t="s">
        <v>477</v>
      </c>
      <c r="C96" s="664"/>
    </row>
    <row r="97" spans="1:3" ht="15.75">
      <c r="A97" s="665" t="s">
        <v>678</v>
      </c>
      <c r="B97" s="685" t="s">
        <v>478</v>
      </c>
      <c r="C97" s="664"/>
    </row>
    <row r="98" spans="1:3" s="687" customFormat="1" ht="30" customHeight="1" thickBot="1">
      <c r="A98" s="662"/>
      <c r="B98" s="663" t="s">
        <v>485</v>
      </c>
      <c r="C98" s="686">
        <v>2439968</v>
      </c>
    </row>
    <row r="99" spans="1:5" s="687" customFormat="1" ht="30" customHeight="1" thickBot="1">
      <c r="A99" s="688"/>
      <c r="B99" s="689" t="s">
        <v>486</v>
      </c>
      <c r="C99" s="690">
        <f>C64+C94</f>
        <v>131760818</v>
      </c>
      <c r="E99" s="691"/>
    </row>
    <row r="100" spans="1:5" ht="35.25" customHeight="1" thickBot="1">
      <c r="A100" s="688"/>
      <c r="B100" s="689" t="s">
        <v>487</v>
      </c>
      <c r="C100" s="690">
        <f>C65+C98</f>
        <v>131760818</v>
      </c>
      <c r="E100" s="691"/>
    </row>
  </sheetData>
  <sheetProtection/>
  <mergeCells count="11">
    <mergeCell ref="A16:C16"/>
    <mergeCell ref="A41:C41"/>
    <mergeCell ref="A49:C49"/>
    <mergeCell ref="A83:C83"/>
    <mergeCell ref="B86:B88"/>
    <mergeCell ref="A90:C90"/>
    <mergeCell ref="A6:C6"/>
    <mergeCell ref="A7:C7"/>
    <mergeCell ref="A8:C8"/>
    <mergeCell ref="A9:C9"/>
    <mergeCell ref="A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</sheetPr>
  <dimension ref="A2:S5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5.125" style="41" customWidth="1"/>
    <col min="2" max="2" width="43.625" style="41" customWidth="1"/>
    <col min="3" max="14" width="15.375" style="591" customWidth="1"/>
    <col min="15" max="15" width="16.625" style="591" customWidth="1"/>
    <col min="16" max="16" width="12.625" style="41" bestFit="1" customWidth="1"/>
    <col min="17" max="16384" width="9.125" style="41" customWidth="1"/>
  </cols>
  <sheetData>
    <row r="2" spans="1:15" s="692" customFormat="1" ht="15.75">
      <c r="A2" s="692" t="s">
        <v>1189</v>
      </c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</row>
    <row r="4" spans="1:15" ht="15.75">
      <c r="A4" s="1037" t="s">
        <v>969</v>
      </c>
      <c r="B4" s="1038"/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</row>
    <row r="5" spans="2:15" ht="15.75">
      <c r="B5" s="1474"/>
      <c r="C5" s="1474"/>
      <c r="D5" s="1474"/>
      <c r="E5" s="1474"/>
      <c r="F5" s="1474"/>
      <c r="G5" s="1474"/>
      <c r="H5" s="1474"/>
      <c r="I5" s="1474"/>
      <c r="J5" s="1474"/>
      <c r="K5" s="1474"/>
      <c r="L5" s="1474"/>
      <c r="M5" s="1474"/>
      <c r="N5" s="1474"/>
      <c r="O5" s="1474"/>
    </row>
    <row r="6" spans="2:15" ht="15.75">
      <c r="B6" s="1474" t="s">
        <v>741</v>
      </c>
      <c r="C6" s="1474"/>
      <c r="D6" s="1474"/>
      <c r="E6" s="1474"/>
      <c r="F6" s="1474"/>
      <c r="G6" s="1474"/>
      <c r="H6" s="1474"/>
      <c r="I6" s="1474"/>
      <c r="J6" s="1474"/>
      <c r="K6" s="1474"/>
      <c r="L6" s="1474"/>
      <c r="M6" s="1474"/>
      <c r="N6" s="1474"/>
      <c r="O6" s="1474"/>
    </row>
    <row r="7" spans="2:15" ht="15.75">
      <c r="B7" s="1474" t="s">
        <v>970</v>
      </c>
      <c r="C7" s="1474"/>
      <c r="D7" s="1474"/>
      <c r="E7" s="1474"/>
      <c r="F7" s="1474"/>
      <c r="G7" s="1474"/>
      <c r="H7" s="1474"/>
      <c r="I7" s="1474"/>
      <c r="J7" s="1474"/>
      <c r="K7" s="1474"/>
      <c r="L7" s="1474"/>
      <c r="M7" s="1474"/>
      <c r="N7" s="1474"/>
      <c r="O7" s="1474"/>
    </row>
    <row r="8" spans="2:15" ht="15.75">
      <c r="B8" s="1474" t="s">
        <v>950</v>
      </c>
      <c r="C8" s="1474"/>
      <c r="D8" s="1474"/>
      <c r="E8" s="1474"/>
      <c r="F8" s="1474"/>
      <c r="G8" s="1474"/>
      <c r="H8" s="1474"/>
      <c r="I8" s="1474"/>
      <c r="J8" s="1474"/>
      <c r="K8" s="1474"/>
      <c r="L8" s="1474"/>
      <c r="M8" s="1474"/>
      <c r="N8" s="1474"/>
      <c r="O8" s="1474"/>
    </row>
    <row r="9" spans="3:15" ht="16.5" thickBot="1">
      <c r="C9" s="592"/>
      <c r="D9" s="592"/>
      <c r="E9" s="592"/>
      <c r="F9" s="694"/>
      <c r="G9" s="592"/>
      <c r="H9" s="592"/>
      <c r="I9" s="592"/>
      <c r="J9" s="592"/>
      <c r="O9" s="695" t="s">
        <v>920</v>
      </c>
    </row>
    <row r="10" spans="1:15" ht="15.75">
      <c r="A10" s="696" t="s">
        <v>657</v>
      </c>
      <c r="B10" s="697"/>
      <c r="C10" s="698"/>
      <c r="D10" s="699"/>
      <c r="E10" s="700"/>
      <c r="F10" s="701"/>
      <c r="G10" s="701"/>
      <c r="H10" s="701"/>
      <c r="I10" s="701"/>
      <c r="J10" s="701"/>
      <c r="K10" s="702"/>
      <c r="L10" s="702"/>
      <c r="M10" s="702"/>
      <c r="N10" s="703"/>
      <c r="O10" s="704"/>
    </row>
    <row r="11" spans="1:15" ht="15.75">
      <c r="A11" s="705"/>
      <c r="B11" s="706" t="s">
        <v>653</v>
      </c>
      <c r="C11" s="707" t="s">
        <v>971</v>
      </c>
      <c r="D11" s="708" t="s">
        <v>972</v>
      </c>
      <c r="E11" s="709" t="s">
        <v>973</v>
      </c>
      <c r="F11" s="639" t="s">
        <v>974</v>
      </c>
      <c r="G11" s="639" t="s">
        <v>975</v>
      </c>
      <c r="H11" s="639" t="s">
        <v>976</v>
      </c>
      <c r="I11" s="639" t="s">
        <v>977</v>
      </c>
      <c r="J11" s="639" t="s">
        <v>978</v>
      </c>
      <c r="K11" s="639" t="s">
        <v>979</v>
      </c>
      <c r="L11" s="639" t="s">
        <v>980</v>
      </c>
      <c r="M11" s="639" t="s">
        <v>981</v>
      </c>
      <c r="N11" s="709" t="s">
        <v>982</v>
      </c>
      <c r="O11" s="650" t="s">
        <v>881</v>
      </c>
    </row>
    <row r="12" spans="1:15" ht="16.5" thickBot="1">
      <c r="A12" s="710" t="s">
        <v>655</v>
      </c>
      <c r="B12" s="711"/>
      <c r="C12" s="712"/>
      <c r="D12" s="713"/>
      <c r="E12" s="714"/>
      <c r="F12" s="715"/>
      <c r="G12" s="715"/>
      <c r="H12" s="715"/>
      <c r="I12" s="715"/>
      <c r="J12" s="715"/>
      <c r="K12" s="715"/>
      <c r="L12" s="715"/>
      <c r="M12" s="715"/>
      <c r="N12" s="714"/>
      <c r="O12" s="712"/>
    </row>
    <row r="13" spans="1:15" ht="28.5" customHeight="1">
      <c r="A13" s="716"/>
      <c r="B13" s="717" t="s">
        <v>983</v>
      </c>
      <c r="C13" s="718"/>
      <c r="D13" s="718"/>
      <c r="E13" s="718"/>
      <c r="F13" s="718"/>
      <c r="G13" s="718"/>
      <c r="H13" s="718"/>
      <c r="I13" s="718"/>
      <c r="J13" s="718"/>
      <c r="K13" s="718"/>
      <c r="L13" s="718"/>
      <c r="M13" s="718"/>
      <c r="N13" s="718"/>
      <c r="O13" s="719"/>
    </row>
    <row r="14" spans="1:15" ht="28.5" customHeight="1">
      <c r="A14" s="716" t="s">
        <v>658</v>
      </c>
      <c r="B14" s="717" t="s">
        <v>984</v>
      </c>
      <c r="C14" s="718"/>
      <c r="D14" s="718"/>
      <c r="E14" s="718"/>
      <c r="F14" s="718"/>
      <c r="G14" s="718"/>
      <c r="H14" s="718"/>
      <c r="I14" s="718"/>
      <c r="J14" s="718"/>
      <c r="K14" s="718"/>
      <c r="L14" s="718"/>
      <c r="M14" s="718"/>
      <c r="N14" s="718"/>
      <c r="O14" s="719"/>
    </row>
    <row r="15" spans="1:15" ht="28.5" customHeight="1">
      <c r="A15" s="716"/>
      <c r="B15" s="717" t="s">
        <v>985</v>
      </c>
      <c r="C15" s="718">
        <v>3515000</v>
      </c>
      <c r="D15" s="718">
        <v>2273000</v>
      </c>
      <c r="E15" s="718">
        <v>2273000</v>
      </c>
      <c r="F15" s="718">
        <v>2273000</v>
      </c>
      <c r="G15" s="718">
        <f>2273000+112611+21+11684</f>
        <v>2397316</v>
      </c>
      <c r="H15" s="718">
        <f>2273000+11938</f>
        <v>2284938</v>
      </c>
      <c r="I15" s="718">
        <f>2273000+195840+11938</f>
        <v>2480778</v>
      </c>
      <c r="J15" s="718">
        <f>2273000+11938</f>
        <v>2284938</v>
      </c>
      <c r="K15" s="718">
        <f>2272000+11938</f>
        <v>2283938</v>
      </c>
      <c r="L15" s="718">
        <f>2272000+11938</f>
        <v>2283938</v>
      </c>
      <c r="M15" s="718">
        <v>2272000</v>
      </c>
      <c r="N15" s="718">
        <f>2272000+522778</f>
        <v>2794778</v>
      </c>
      <c r="O15" s="719">
        <f>SUM(C15:N15)</f>
        <v>29416624</v>
      </c>
    </row>
    <row r="16" spans="1:15" ht="28.5" customHeight="1">
      <c r="A16" s="716"/>
      <c r="B16" s="717" t="s">
        <v>986</v>
      </c>
      <c r="C16" s="718"/>
      <c r="D16" s="718"/>
      <c r="E16" s="718"/>
      <c r="F16" s="718">
        <v>526211</v>
      </c>
      <c r="G16" s="718">
        <f>230460</f>
        <v>230460</v>
      </c>
      <c r="H16" s="718"/>
      <c r="I16" s="718">
        <f>176583</f>
        <v>176583</v>
      </c>
      <c r="J16" s="718">
        <f>23000+183415+189708</f>
        <v>396123</v>
      </c>
      <c r="K16" s="718">
        <v>179682</v>
      </c>
      <c r="L16" s="718">
        <v>179682</v>
      </c>
      <c r="M16" s="718">
        <v>23000</v>
      </c>
      <c r="N16" s="718">
        <v>324244</v>
      </c>
      <c r="O16" s="719">
        <f>SUM(C16:N16)</f>
        <v>2035985</v>
      </c>
    </row>
    <row r="17" spans="1:15" ht="30.75" customHeight="1">
      <c r="A17" s="716" t="s">
        <v>659</v>
      </c>
      <c r="B17" s="717" t="s">
        <v>1139</v>
      </c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18"/>
      <c r="N17" s="718">
        <v>10000000</v>
      </c>
      <c r="O17" s="719">
        <f>SUM(C17:N17)</f>
        <v>10000000</v>
      </c>
    </row>
    <row r="18" spans="1:15" ht="15.75">
      <c r="A18" s="716" t="s">
        <v>660</v>
      </c>
      <c r="B18" s="717" t="s">
        <v>987</v>
      </c>
      <c r="C18" s="718">
        <f>12000+44000+32000+31000</f>
        <v>119000</v>
      </c>
      <c r="D18" s="718">
        <f>19000+12000+118000+253000+31000</f>
        <v>433000</v>
      </c>
      <c r="E18" s="718">
        <f>1127000+11000+620000+382000+31000</f>
        <v>2171000</v>
      </c>
      <c r="F18" s="718">
        <f>9000+12000+76000+34000+31000+200000</f>
        <v>362000</v>
      </c>
      <c r="G18" s="718">
        <f>408000+12000+48000+35000+31000-200000</f>
        <v>334000</v>
      </c>
      <c r="H18" s="718">
        <f>46000+12000+20000+19000+31000</f>
        <v>128000</v>
      </c>
      <c r="I18" s="718">
        <f>12000+2000+2000+31000</f>
        <v>47000</v>
      </c>
      <c r="J18" s="718">
        <f>12000+237000+346000+31000</f>
        <v>626000</v>
      </c>
      <c r="K18" s="718">
        <f>1188000+11000+601000+335000+31000</f>
        <v>2166000</v>
      </c>
      <c r="L18" s="718">
        <f>10000+12000+27000+35000+31000</f>
        <v>115000</v>
      </c>
      <c r="M18" s="718">
        <f>852000+11000+76000+12000+31000</f>
        <v>982000</v>
      </c>
      <c r="N18" s="718">
        <f>241000+11000+34000+15000+29000</f>
        <v>330000</v>
      </c>
      <c r="O18" s="719">
        <f aca="true" t="shared" si="0" ref="O18:O28">SUM(C18:N18)</f>
        <v>7813000</v>
      </c>
    </row>
    <row r="19" spans="1:17" ht="15.75">
      <c r="A19" s="716" t="s">
        <v>661</v>
      </c>
      <c r="B19" s="717" t="s">
        <v>988</v>
      </c>
      <c r="C19" s="718">
        <v>931000</v>
      </c>
      <c r="D19" s="718">
        <v>877000</v>
      </c>
      <c r="E19" s="718">
        <v>958000</v>
      </c>
      <c r="F19" s="718">
        <v>1036000</v>
      </c>
      <c r="G19" s="718">
        <v>890000</v>
      </c>
      <c r="H19" s="718">
        <v>804000</v>
      </c>
      <c r="I19" s="718">
        <v>758000</v>
      </c>
      <c r="J19" s="718">
        <v>704000</v>
      </c>
      <c r="K19" s="718">
        <v>1004000</v>
      </c>
      <c r="L19" s="718">
        <v>1030000</v>
      </c>
      <c r="M19" s="718">
        <v>913000</v>
      </c>
      <c r="N19" s="718">
        <v>1003000</v>
      </c>
      <c r="O19" s="719">
        <f t="shared" si="0"/>
        <v>10908000</v>
      </c>
      <c r="Q19" s="720"/>
    </row>
    <row r="20" spans="1:15" ht="15.75">
      <c r="A20" s="716" t="s">
        <v>662</v>
      </c>
      <c r="B20" s="721" t="s">
        <v>989</v>
      </c>
      <c r="C20" s="722">
        <v>5000</v>
      </c>
      <c r="D20" s="722">
        <v>6000</v>
      </c>
      <c r="E20" s="722">
        <v>5000</v>
      </c>
      <c r="F20" s="722">
        <v>5000</v>
      </c>
      <c r="G20" s="722">
        <v>5000</v>
      </c>
      <c r="H20" s="722">
        <v>5000</v>
      </c>
      <c r="I20" s="722">
        <v>5000</v>
      </c>
      <c r="J20" s="722">
        <v>5000</v>
      </c>
      <c r="K20" s="722">
        <v>5000</v>
      </c>
      <c r="L20" s="722">
        <v>6000</v>
      </c>
      <c r="M20" s="722">
        <v>5000</v>
      </c>
      <c r="N20" s="722">
        <v>5000</v>
      </c>
      <c r="O20" s="719">
        <f t="shared" si="0"/>
        <v>62000</v>
      </c>
    </row>
    <row r="21" spans="1:15" ht="15.75">
      <c r="A21" s="716" t="s">
        <v>699</v>
      </c>
      <c r="B21" s="721" t="s">
        <v>457</v>
      </c>
      <c r="C21" s="723"/>
      <c r="D21" s="723"/>
      <c r="E21" s="723"/>
      <c r="F21" s="723"/>
      <c r="G21" s="723"/>
      <c r="H21" s="723"/>
      <c r="I21" s="723"/>
      <c r="J21" s="723"/>
      <c r="K21" s="723"/>
      <c r="L21" s="723"/>
      <c r="M21" s="723"/>
      <c r="N21" s="724"/>
      <c r="O21" s="719">
        <f t="shared" si="0"/>
        <v>0</v>
      </c>
    </row>
    <row r="22" spans="1:15" ht="31.5">
      <c r="A22" s="716"/>
      <c r="B22" s="717" t="s">
        <v>990</v>
      </c>
      <c r="C22" s="725"/>
      <c r="D22" s="725"/>
      <c r="E22" s="725"/>
      <c r="F22" s="725"/>
      <c r="G22" s="725"/>
      <c r="H22" s="725"/>
      <c r="I22" s="725"/>
      <c r="J22" s="725"/>
      <c r="K22" s="725"/>
      <c r="L22" s="725"/>
      <c r="M22" s="725"/>
      <c r="N22" s="726"/>
      <c r="O22" s="719">
        <f t="shared" si="0"/>
        <v>0</v>
      </c>
    </row>
    <row r="23" spans="1:15" ht="17.25" customHeight="1">
      <c r="A23" s="716"/>
      <c r="B23" s="717" t="s">
        <v>991</v>
      </c>
      <c r="C23" s="725"/>
      <c r="D23" s="725"/>
      <c r="E23" s="725"/>
      <c r="F23" s="725"/>
      <c r="G23" s="725"/>
      <c r="H23" s="725"/>
      <c r="I23" s="725"/>
      <c r="J23" s="725"/>
      <c r="K23" s="725"/>
      <c r="L23" s="725"/>
      <c r="M23" s="725"/>
      <c r="N23" s="726"/>
      <c r="O23" s="719">
        <f t="shared" si="0"/>
        <v>0</v>
      </c>
    </row>
    <row r="24" spans="1:15" ht="15.75">
      <c r="A24" s="716" t="s">
        <v>663</v>
      </c>
      <c r="B24" s="721" t="s">
        <v>992</v>
      </c>
      <c r="C24" s="725"/>
      <c r="D24" s="725"/>
      <c r="E24" s="725"/>
      <c r="F24" s="725"/>
      <c r="G24" s="725"/>
      <c r="H24" s="725"/>
      <c r="I24" s="725"/>
      <c r="J24" s="725"/>
      <c r="K24" s="725"/>
      <c r="L24" s="725"/>
      <c r="M24" s="725"/>
      <c r="N24" s="726"/>
      <c r="O24" s="719">
        <f t="shared" si="0"/>
        <v>0</v>
      </c>
    </row>
    <row r="25" spans="1:15" ht="47.25">
      <c r="A25" s="716"/>
      <c r="B25" s="727" t="s">
        <v>993</v>
      </c>
      <c r="C25" s="725"/>
      <c r="D25" s="725"/>
      <c r="E25" s="725"/>
      <c r="F25" s="725"/>
      <c r="G25" s="725"/>
      <c r="H25" s="725"/>
      <c r="I25" s="725"/>
      <c r="J25" s="725"/>
      <c r="K25" s="725"/>
      <c r="L25" s="725"/>
      <c r="M25" s="725"/>
      <c r="N25" s="726"/>
      <c r="O25" s="719">
        <f t="shared" si="0"/>
        <v>0</v>
      </c>
    </row>
    <row r="26" spans="1:15" ht="15.75">
      <c r="A26" s="716"/>
      <c r="B26" s="717" t="s">
        <v>994</v>
      </c>
      <c r="C26" s="725"/>
      <c r="D26" s="725"/>
      <c r="E26" s="725"/>
      <c r="F26" s="725"/>
      <c r="G26" s="725"/>
      <c r="H26" s="725"/>
      <c r="I26" s="725"/>
      <c r="J26" s="725"/>
      <c r="K26" s="725"/>
      <c r="L26" s="725"/>
      <c r="M26" s="725"/>
      <c r="N26" s="726"/>
      <c r="O26" s="719">
        <f t="shared" si="0"/>
        <v>0</v>
      </c>
    </row>
    <row r="27" spans="1:15" ht="15.75">
      <c r="A27" s="716"/>
      <c r="B27" s="717" t="s">
        <v>1140</v>
      </c>
      <c r="C27" s="725"/>
      <c r="D27" s="725"/>
      <c r="E27" s="725"/>
      <c r="F27" s="725"/>
      <c r="G27" s="725"/>
      <c r="H27" s="725"/>
      <c r="I27" s="725"/>
      <c r="J27" s="725"/>
      <c r="K27" s="725"/>
      <c r="L27" s="725"/>
      <c r="M27" s="725"/>
      <c r="N27" s="726">
        <v>1121209</v>
      </c>
      <c r="O27" s="719">
        <f t="shared" si="0"/>
        <v>1121209</v>
      </c>
    </row>
    <row r="28" spans="1:15" ht="15.75">
      <c r="A28" s="716" t="s">
        <v>664</v>
      </c>
      <c r="B28" s="721" t="s">
        <v>995</v>
      </c>
      <c r="C28" s="725">
        <v>1139077</v>
      </c>
      <c r="D28" s="725">
        <v>1917000</v>
      </c>
      <c r="E28" s="725">
        <v>2000000</v>
      </c>
      <c r="F28" s="725">
        <v>5046000</v>
      </c>
      <c r="G28" s="725">
        <v>42142923</v>
      </c>
      <c r="H28" s="725">
        <v>10260000</v>
      </c>
      <c r="I28" s="725"/>
      <c r="J28" s="725"/>
      <c r="K28" s="725"/>
      <c r="L28" s="725">
        <v>7899000</v>
      </c>
      <c r="M28" s="725"/>
      <c r="N28" s="726"/>
      <c r="O28" s="719">
        <f t="shared" si="0"/>
        <v>70404000</v>
      </c>
    </row>
    <row r="29" spans="1:15" ht="16.5" thickBot="1">
      <c r="A29" s="728" t="s">
        <v>666</v>
      </c>
      <c r="B29" s="729" t="s">
        <v>996</v>
      </c>
      <c r="C29" s="725"/>
      <c r="D29" s="725">
        <f>C51</f>
        <v>975000</v>
      </c>
      <c r="E29" s="725">
        <f aca="true" t="shared" si="1" ref="E29:N29">D51</f>
        <v>2941000</v>
      </c>
      <c r="F29" s="725">
        <f t="shared" si="1"/>
        <v>4410128</v>
      </c>
      <c r="G29" s="725">
        <f t="shared" si="1"/>
        <v>8520341</v>
      </c>
      <c r="H29" s="725">
        <f t="shared" si="1"/>
        <v>14998762</v>
      </c>
      <c r="I29" s="725">
        <f t="shared" si="1"/>
        <v>23514821</v>
      </c>
      <c r="J29" s="725">
        <f t="shared" si="1"/>
        <v>22148821</v>
      </c>
      <c r="K29" s="725">
        <f t="shared" si="1"/>
        <v>22278535</v>
      </c>
      <c r="L29" s="725">
        <f t="shared" si="1"/>
        <v>7953354</v>
      </c>
      <c r="M29" s="725">
        <f t="shared" si="1"/>
        <v>4286593</v>
      </c>
      <c r="N29" s="725">
        <f t="shared" si="1"/>
        <v>793432</v>
      </c>
      <c r="O29" s="719"/>
    </row>
    <row r="30" spans="1:16" s="12" customFormat="1" ht="27.75" customHeight="1" thickBot="1">
      <c r="A30" s="421"/>
      <c r="B30" s="421" t="s">
        <v>997</v>
      </c>
      <c r="C30" s="730">
        <f aca="true" t="shared" si="2" ref="C30:N30">SUM(C15:C29)</f>
        <v>5709077</v>
      </c>
      <c r="D30" s="730">
        <f t="shared" si="2"/>
        <v>6481000</v>
      </c>
      <c r="E30" s="730">
        <f t="shared" si="2"/>
        <v>10348000</v>
      </c>
      <c r="F30" s="730">
        <f t="shared" si="2"/>
        <v>13658339</v>
      </c>
      <c r="G30" s="730">
        <f t="shared" si="2"/>
        <v>54520040</v>
      </c>
      <c r="H30" s="730">
        <f t="shared" si="2"/>
        <v>28480700</v>
      </c>
      <c r="I30" s="730">
        <f t="shared" si="2"/>
        <v>26982182</v>
      </c>
      <c r="J30" s="730">
        <f t="shared" si="2"/>
        <v>26164882</v>
      </c>
      <c r="K30" s="730">
        <f t="shared" si="2"/>
        <v>27917155</v>
      </c>
      <c r="L30" s="730">
        <f t="shared" si="2"/>
        <v>19466974</v>
      </c>
      <c r="M30" s="730">
        <f t="shared" si="2"/>
        <v>8481593</v>
      </c>
      <c r="N30" s="730">
        <f t="shared" si="2"/>
        <v>16371663</v>
      </c>
      <c r="O30" s="731">
        <f>SUM(O14:O29)</f>
        <v>131760818</v>
      </c>
      <c r="P30" s="732"/>
    </row>
    <row r="31" spans="1:15" ht="15.75">
      <c r="A31" s="733"/>
      <c r="B31" s="734" t="s">
        <v>998</v>
      </c>
      <c r="C31" s="718"/>
      <c r="D31" s="718"/>
      <c r="E31" s="718"/>
      <c r="F31" s="718"/>
      <c r="G31" s="718"/>
      <c r="H31" s="718"/>
      <c r="I31" s="718"/>
      <c r="J31" s="718"/>
      <c r="K31" s="718"/>
      <c r="L31" s="718"/>
      <c r="M31" s="718"/>
      <c r="N31" s="718"/>
      <c r="O31" s="735"/>
    </row>
    <row r="32" spans="1:16" ht="15.75">
      <c r="A32" s="716" t="s">
        <v>668</v>
      </c>
      <c r="B32" s="721" t="s">
        <v>928</v>
      </c>
      <c r="C32" s="718">
        <f>1061000+37000</f>
        <v>1098000</v>
      </c>
      <c r="D32" s="718">
        <v>1223000</v>
      </c>
      <c r="E32" s="718">
        <v>1222000</v>
      </c>
      <c r="F32" s="718">
        <f>1416000+414339+181465</f>
        <v>2011804</v>
      </c>
      <c r="G32" s="718">
        <f>1416000+88670+266286+9200</f>
        <v>1780156</v>
      </c>
      <c r="H32" s="718">
        <f>1416000+9400</f>
        <v>1425400</v>
      </c>
      <c r="I32" s="718">
        <f>1416000+9400+154010+22877+154205</f>
        <v>1756492</v>
      </c>
      <c r="J32" s="718">
        <f>1416000+9400+154009+149376+424386</f>
        <v>2153171</v>
      </c>
      <c r="K32" s="718">
        <f>1416000+158310+9400+427386</f>
        <v>2011096</v>
      </c>
      <c r="L32" s="718">
        <f>1416000+158310+9400+424386</f>
        <v>2008096</v>
      </c>
      <c r="M32" s="718">
        <f>1416000+212193</f>
        <v>1628193</v>
      </c>
      <c r="N32" s="718">
        <f>1416000+209192</f>
        <v>1625192</v>
      </c>
      <c r="O32" s="719">
        <f aca="true" t="shared" si="3" ref="O32:O49">SUM(C32:N32)</f>
        <v>19942600</v>
      </c>
      <c r="P32" s="720"/>
    </row>
    <row r="33" spans="1:15" ht="31.5">
      <c r="A33" s="716" t="s">
        <v>669</v>
      </c>
      <c r="B33" s="727" t="s">
        <v>999</v>
      </c>
      <c r="C33" s="718">
        <v>302000</v>
      </c>
      <c r="D33" s="718">
        <v>302000</v>
      </c>
      <c r="E33" s="718">
        <f>392000+118872</f>
        <v>510872</v>
      </c>
      <c r="F33" s="718">
        <f>392000+48995-46801</f>
        <v>394194</v>
      </c>
      <c r="G33" s="718">
        <f>392000+2484</f>
        <v>394484</v>
      </c>
      <c r="H33" s="718">
        <f>392000+23941+2538</f>
        <v>418479</v>
      </c>
      <c r="I33" s="718">
        <f>392000+2538+14551+41635</f>
        <v>450724</v>
      </c>
      <c r="J33" s="718">
        <f>392000+2538+14551+40332+5587</f>
        <v>455008</v>
      </c>
      <c r="K33" s="718">
        <f>392000+2538+11175</f>
        <v>405713</v>
      </c>
      <c r="L33" s="718">
        <f>392000+21372+2538+11175</f>
        <v>427085</v>
      </c>
      <c r="M33" s="718">
        <f>392000+21372-5588</f>
        <v>407784</v>
      </c>
      <c r="N33" s="718">
        <f>392000+22352</f>
        <v>414352</v>
      </c>
      <c r="O33" s="719">
        <f t="shared" si="3"/>
        <v>4882695</v>
      </c>
    </row>
    <row r="34" spans="1:15" ht="15.75">
      <c r="A34" s="716" t="s">
        <v>700</v>
      </c>
      <c r="B34" s="721" t="s">
        <v>930</v>
      </c>
      <c r="C34" s="718">
        <f>1827000+95000</f>
        <v>1922000</v>
      </c>
      <c r="D34" s="718">
        <f>1701000+95000</f>
        <v>1796000</v>
      </c>
      <c r="E34" s="718">
        <f>1890000+95000</f>
        <v>1985000</v>
      </c>
      <c r="F34" s="718">
        <f>1853000+95000</f>
        <v>1948000</v>
      </c>
      <c r="G34" s="718">
        <f>2215000+63508</f>
        <v>2278508</v>
      </c>
      <c r="H34" s="718">
        <f>1533000+95000</f>
        <v>1628000</v>
      </c>
      <c r="I34" s="718">
        <f>1428000+95000</f>
        <v>1523000</v>
      </c>
      <c r="J34" s="718">
        <f>1302000+95000+396875-1000000+240293</f>
        <v>1034168</v>
      </c>
      <c r="K34" s="718">
        <f>882000+240292</f>
        <v>1122292</v>
      </c>
      <c r="L34" s="718">
        <f>1787000+95000-332000</f>
        <v>1550000</v>
      </c>
      <c r="M34" s="718">
        <f>1886000+95000</f>
        <v>1981000</v>
      </c>
      <c r="N34" s="718">
        <f>2047000+99000</f>
        <v>2146000</v>
      </c>
      <c r="O34" s="719">
        <f t="shared" si="3"/>
        <v>20913968</v>
      </c>
    </row>
    <row r="35" spans="1:15" ht="15.75">
      <c r="A35" s="716" t="s">
        <v>670</v>
      </c>
      <c r="B35" s="721" t="s">
        <v>415</v>
      </c>
      <c r="C35" s="718">
        <f>219000+4000</f>
        <v>223000</v>
      </c>
      <c r="D35" s="718">
        <f>219000</f>
        <v>219000</v>
      </c>
      <c r="E35" s="718">
        <f>219000+1000</f>
        <v>220000</v>
      </c>
      <c r="F35" s="718">
        <f>219000+25000</f>
        <v>244000</v>
      </c>
      <c r="G35" s="718">
        <f aca="true" t="shared" si="4" ref="G35:M35">219000</f>
        <v>219000</v>
      </c>
      <c r="H35" s="718">
        <f t="shared" si="4"/>
        <v>219000</v>
      </c>
      <c r="I35" s="718">
        <f t="shared" si="4"/>
        <v>219000</v>
      </c>
      <c r="J35" s="718">
        <f>219000+25000</f>
        <v>244000</v>
      </c>
      <c r="K35" s="718">
        <f t="shared" si="4"/>
        <v>219000</v>
      </c>
      <c r="L35" s="718">
        <f t="shared" si="4"/>
        <v>219000</v>
      </c>
      <c r="M35" s="718">
        <f t="shared" si="4"/>
        <v>219000</v>
      </c>
      <c r="N35" s="718">
        <v>947000</v>
      </c>
      <c r="O35" s="719">
        <f t="shared" si="3"/>
        <v>3411000</v>
      </c>
    </row>
    <row r="36" spans="1:15" ht="15.75">
      <c r="A36" s="716" t="s">
        <v>671</v>
      </c>
      <c r="B36" s="721" t="s">
        <v>1000</v>
      </c>
      <c r="C36" s="718"/>
      <c r="D36" s="718"/>
      <c r="E36" s="718"/>
      <c r="F36" s="718"/>
      <c r="G36" s="718"/>
      <c r="H36" s="718"/>
      <c r="I36" s="718"/>
      <c r="J36" s="718"/>
      <c r="K36" s="718"/>
      <c r="L36" s="718"/>
      <c r="M36" s="718"/>
      <c r="N36" s="718"/>
      <c r="O36" s="719"/>
    </row>
    <row r="37" spans="1:15" ht="15.75">
      <c r="A37" s="716"/>
      <c r="B37" s="721" t="s">
        <v>1001</v>
      </c>
      <c r="C37" s="718"/>
      <c r="D37" s="718"/>
      <c r="E37" s="718"/>
      <c r="F37" s="718"/>
      <c r="G37" s="718"/>
      <c r="H37" s="718"/>
      <c r="I37" s="718">
        <f>884145</f>
        <v>884145</v>
      </c>
      <c r="J37" s="718"/>
      <c r="K37" s="718">
        <v>640000</v>
      </c>
      <c r="L37" s="718"/>
      <c r="M37" s="718">
        <v>312184</v>
      </c>
      <c r="N37" s="718"/>
      <c r="O37" s="719">
        <f t="shared" si="3"/>
        <v>1836329</v>
      </c>
    </row>
    <row r="38" spans="1:16" ht="15.75">
      <c r="A38" s="716"/>
      <c r="B38" s="721" t="s">
        <v>1002</v>
      </c>
      <c r="C38" s="718">
        <v>50000</v>
      </c>
      <c r="D38" s="718"/>
      <c r="E38" s="718"/>
      <c r="F38" s="718">
        <f>112000-25000+3000</f>
        <v>90000</v>
      </c>
      <c r="G38" s="718">
        <v>200000</v>
      </c>
      <c r="H38" s="718">
        <v>675000</v>
      </c>
      <c r="I38" s="718"/>
      <c r="J38" s="718"/>
      <c r="K38" s="718"/>
      <c r="L38" s="718"/>
      <c r="M38" s="718"/>
      <c r="N38" s="718"/>
      <c r="O38" s="719">
        <f t="shared" si="3"/>
        <v>1015000</v>
      </c>
      <c r="P38" s="720"/>
    </row>
    <row r="39" spans="1:15" ht="15.75">
      <c r="A39" s="716" t="s">
        <v>672</v>
      </c>
      <c r="B39" s="721" t="s">
        <v>771</v>
      </c>
      <c r="C39" s="718"/>
      <c r="D39" s="718"/>
      <c r="E39" s="718">
        <v>2000000</v>
      </c>
      <c r="F39" s="718">
        <v>450000</v>
      </c>
      <c r="G39" s="718">
        <v>225000</v>
      </c>
      <c r="H39" s="718"/>
      <c r="I39" s="718"/>
      <c r="J39" s="718"/>
      <c r="K39" s="718">
        <f>173000+11800+530900</f>
        <v>715700</v>
      </c>
      <c r="L39" s="718">
        <v>2596200</v>
      </c>
      <c r="M39" s="718">
        <v>2540000</v>
      </c>
      <c r="N39" s="718">
        <v>117910</v>
      </c>
      <c r="O39" s="719">
        <f t="shared" si="3"/>
        <v>8644810</v>
      </c>
    </row>
    <row r="40" spans="1:15" ht="15.75">
      <c r="A40" s="716" t="s">
        <v>674</v>
      </c>
      <c r="B40" s="721" t="s">
        <v>772</v>
      </c>
      <c r="C40" s="718"/>
      <c r="D40" s="718"/>
      <c r="E40" s="718"/>
      <c r="F40" s="718"/>
      <c r="G40" s="718">
        <v>400000</v>
      </c>
      <c r="H40" s="718"/>
      <c r="I40" s="718"/>
      <c r="J40" s="718"/>
      <c r="K40" s="718">
        <v>14850000</v>
      </c>
      <c r="L40" s="718">
        <f>8355000+25000</f>
        <v>8380000</v>
      </c>
      <c r="M40" s="718"/>
      <c r="N40" s="718">
        <v>10000000</v>
      </c>
      <c r="O40" s="719">
        <f t="shared" si="3"/>
        <v>33630000</v>
      </c>
    </row>
    <row r="41" spans="1:15" ht="20.25" customHeight="1">
      <c r="A41" s="716" t="s">
        <v>675</v>
      </c>
      <c r="B41" s="721" t="s">
        <v>474</v>
      </c>
      <c r="C41" s="718"/>
      <c r="D41" s="718"/>
      <c r="E41" s="718"/>
      <c r="F41" s="718"/>
      <c r="G41" s="718"/>
      <c r="H41" s="718"/>
      <c r="I41" s="718"/>
      <c r="J41" s="718"/>
      <c r="K41" s="718"/>
      <c r="L41" s="718"/>
      <c r="M41" s="718"/>
      <c r="N41" s="718"/>
      <c r="O41" s="719">
        <f t="shared" si="3"/>
        <v>0</v>
      </c>
    </row>
    <row r="42" spans="1:15" ht="20.25" customHeight="1">
      <c r="A42" s="716"/>
      <c r="B42" s="721" t="s">
        <v>1001</v>
      </c>
      <c r="C42" s="718"/>
      <c r="D42" s="718"/>
      <c r="E42" s="718"/>
      <c r="F42" s="718"/>
      <c r="G42" s="718"/>
      <c r="H42" s="718"/>
      <c r="I42" s="718"/>
      <c r="J42" s="718"/>
      <c r="K42" s="718"/>
      <c r="L42" s="718"/>
      <c r="M42" s="718"/>
      <c r="N42" s="718"/>
      <c r="O42" s="719">
        <f t="shared" si="3"/>
        <v>0</v>
      </c>
    </row>
    <row r="43" spans="1:15" ht="15.75">
      <c r="A43" s="716"/>
      <c r="B43" s="721" t="s">
        <v>1002</v>
      </c>
      <c r="C43" s="718"/>
      <c r="D43" s="718"/>
      <c r="E43" s="718"/>
      <c r="F43" s="718"/>
      <c r="G43" s="718"/>
      <c r="H43" s="718">
        <v>600000</v>
      </c>
      <c r="I43" s="718"/>
      <c r="J43" s="718"/>
      <c r="K43" s="718"/>
      <c r="L43" s="718"/>
      <c r="M43" s="718">
        <v>600000</v>
      </c>
      <c r="N43" s="718"/>
      <c r="O43" s="719">
        <f t="shared" si="3"/>
        <v>1200000</v>
      </c>
    </row>
    <row r="44" spans="1:15" ht="15.75">
      <c r="A44" s="716" t="s">
        <v>676</v>
      </c>
      <c r="B44" s="721" t="s">
        <v>926</v>
      </c>
      <c r="C44" s="718"/>
      <c r="D44" s="718"/>
      <c r="E44" s="718"/>
      <c r="F44" s="718"/>
      <c r="G44" s="718"/>
      <c r="H44" s="718"/>
      <c r="I44" s="718"/>
      <c r="J44" s="718"/>
      <c r="K44" s="718"/>
      <c r="L44" s="718"/>
      <c r="M44" s="718"/>
      <c r="N44" s="718"/>
      <c r="O44" s="719">
        <f t="shared" si="3"/>
        <v>0</v>
      </c>
    </row>
    <row r="45" spans="1:15" ht="15.75">
      <c r="A45" s="716"/>
      <c r="B45" s="736" t="s">
        <v>1003</v>
      </c>
      <c r="C45" s="718">
        <v>1139077</v>
      </c>
      <c r="D45" s="718"/>
      <c r="E45" s="718"/>
      <c r="F45" s="718"/>
      <c r="G45" s="718">
        <v>179682</v>
      </c>
      <c r="H45" s="718"/>
      <c r="I45" s="718"/>
      <c r="J45" s="718"/>
      <c r="K45" s="718"/>
      <c r="L45" s="718"/>
      <c r="M45" s="718"/>
      <c r="N45" s="718">
        <v>1121209</v>
      </c>
      <c r="O45" s="719">
        <f t="shared" si="3"/>
        <v>2439968</v>
      </c>
    </row>
    <row r="46" spans="1:15" ht="15.75">
      <c r="A46" s="716"/>
      <c r="B46" s="721" t="s">
        <v>1004</v>
      </c>
      <c r="C46" s="718"/>
      <c r="D46" s="718"/>
      <c r="E46" s="718"/>
      <c r="F46" s="718"/>
      <c r="G46" s="718"/>
      <c r="H46" s="718"/>
      <c r="I46" s="718"/>
      <c r="J46" s="718"/>
      <c r="K46" s="718"/>
      <c r="L46" s="718"/>
      <c r="M46" s="718"/>
      <c r="N46" s="718"/>
      <c r="O46" s="719">
        <f t="shared" si="3"/>
        <v>0</v>
      </c>
    </row>
    <row r="47" spans="1:15" ht="15.75">
      <c r="A47" s="716"/>
      <c r="B47" s="721" t="s">
        <v>1005</v>
      </c>
      <c r="C47" s="718"/>
      <c r="D47" s="718"/>
      <c r="E47" s="718"/>
      <c r="F47" s="718"/>
      <c r="G47" s="718"/>
      <c r="H47" s="718"/>
      <c r="I47" s="718"/>
      <c r="J47" s="718"/>
      <c r="K47" s="718"/>
      <c r="L47" s="718"/>
      <c r="M47" s="718"/>
      <c r="N47" s="718"/>
      <c r="O47" s="719">
        <f t="shared" si="3"/>
        <v>0</v>
      </c>
    </row>
    <row r="48" spans="1:16" ht="15.75">
      <c r="A48" s="716" t="s">
        <v>677</v>
      </c>
      <c r="B48" s="721" t="s">
        <v>1006</v>
      </c>
      <c r="C48" s="718"/>
      <c r="D48" s="718"/>
      <c r="E48" s="718"/>
      <c r="F48" s="718"/>
      <c r="G48" s="718">
        <f>40789124-2596200-425000-11800-396875-100000-381000-600000-116030-149900-2167871</f>
        <v>33844448</v>
      </c>
      <c r="H48" s="718"/>
      <c r="I48" s="718"/>
      <c r="J48" s="718"/>
      <c r="K48" s="718"/>
      <c r="L48" s="718"/>
      <c r="M48" s="718"/>
      <c r="N48" s="718"/>
      <c r="O48" s="719">
        <f t="shared" si="3"/>
        <v>33844448</v>
      </c>
      <c r="P48" s="720"/>
    </row>
    <row r="49" spans="1:15" ht="16.5" thickBot="1">
      <c r="A49" s="728" t="s">
        <v>678</v>
      </c>
      <c r="B49" s="729" t="s">
        <v>1007</v>
      </c>
      <c r="C49" s="718"/>
      <c r="D49" s="718"/>
      <c r="E49" s="718"/>
      <c r="F49" s="718"/>
      <c r="G49" s="718"/>
      <c r="H49" s="718"/>
      <c r="I49" s="718"/>
      <c r="J49" s="718"/>
      <c r="K49" s="718"/>
      <c r="L49" s="718"/>
      <c r="M49" s="718"/>
      <c r="N49" s="718"/>
      <c r="O49" s="719">
        <f t="shared" si="3"/>
        <v>0</v>
      </c>
    </row>
    <row r="50" spans="1:19" s="12" customFormat="1" ht="24" customHeight="1" thickBot="1">
      <c r="A50" s="421"/>
      <c r="B50" s="421" t="s">
        <v>1008</v>
      </c>
      <c r="C50" s="730">
        <f aca="true" t="shared" si="5" ref="C50:N50">SUM(C32:C49)</f>
        <v>4734077</v>
      </c>
      <c r="D50" s="730">
        <f t="shared" si="5"/>
        <v>3540000</v>
      </c>
      <c r="E50" s="730">
        <f t="shared" si="5"/>
        <v>5937872</v>
      </c>
      <c r="F50" s="730">
        <f t="shared" si="5"/>
        <v>5137998</v>
      </c>
      <c r="G50" s="730">
        <f t="shared" si="5"/>
        <v>39521278</v>
      </c>
      <c r="H50" s="730">
        <f t="shared" si="5"/>
        <v>4965879</v>
      </c>
      <c r="I50" s="730">
        <f t="shared" si="5"/>
        <v>4833361</v>
      </c>
      <c r="J50" s="730">
        <f t="shared" si="5"/>
        <v>3886347</v>
      </c>
      <c r="K50" s="730">
        <f t="shared" si="5"/>
        <v>19963801</v>
      </c>
      <c r="L50" s="730">
        <f t="shared" si="5"/>
        <v>15180381</v>
      </c>
      <c r="M50" s="730">
        <f t="shared" si="5"/>
        <v>7688161</v>
      </c>
      <c r="N50" s="730">
        <f t="shared" si="5"/>
        <v>16371663</v>
      </c>
      <c r="O50" s="731">
        <f>SUM(O32:O49)</f>
        <v>131760818</v>
      </c>
      <c r="S50" s="737"/>
    </row>
    <row r="51" spans="1:15" ht="26.25" customHeight="1" thickBot="1">
      <c r="A51" s="738"/>
      <c r="B51" s="739" t="s">
        <v>1009</v>
      </c>
      <c r="C51" s="740">
        <f aca="true" t="shared" si="6" ref="C51:N51">C30-C50</f>
        <v>975000</v>
      </c>
      <c r="D51" s="740">
        <f t="shared" si="6"/>
        <v>2941000</v>
      </c>
      <c r="E51" s="740">
        <f t="shared" si="6"/>
        <v>4410128</v>
      </c>
      <c r="F51" s="740">
        <f t="shared" si="6"/>
        <v>8520341</v>
      </c>
      <c r="G51" s="740">
        <f t="shared" si="6"/>
        <v>14998762</v>
      </c>
      <c r="H51" s="740">
        <f t="shared" si="6"/>
        <v>23514821</v>
      </c>
      <c r="I51" s="740">
        <f t="shared" si="6"/>
        <v>22148821</v>
      </c>
      <c r="J51" s="740">
        <f t="shared" si="6"/>
        <v>22278535</v>
      </c>
      <c r="K51" s="740">
        <f t="shared" si="6"/>
        <v>7953354</v>
      </c>
      <c r="L51" s="740">
        <f t="shared" si="6"/>
        <v>4286593</v>
      </c>
      <c r="M51" s="740">
        <f t="shared" si="6"/>
        <v>793432</v>
      </c>
      <c r="N51" s="740">
        <f t="shared" si="6"/>
        <v>0</v>
      </c>
      <c r="O51" s="741"/>
    </row>
    <row r="53" spans="3:15" ht="15.75">
      <c r="C53" s="742"/>
      <c r="D53" s="742"/>
      <c r="E53" s="742"/>
      <c r="F53" s="742"/>
      <c r="G53" s="742"/>
      <c r="H53" s="742"/>
      <c r="I53" s="742"/>
      <c r="J53" s="742"/>
      <c r="K53" s="742"/>
      <c r="L53" s="742"/>
      <c r="M53" s="742"/>
      <c r="N53" s="742"/>
      <c r="O53" s="742"/>
    </row>
    <row r="54" ht="15.75">
      <c r="O54" s="742"/>
    </row>
    <row r="55" ht="15.75">
      <c r="O55" s="742"/>
    </row>
    <row r="56" ht="15.75">
      <c r="O56" s="742"/>
    </row>
    <row r="57" ht="15.75">
      <c r="O57" s="742"/>
    </row>
  </sheetData>
  <sheetProtection/>
  <mergeCells count="5">
    <mergeCell ref="A4:O4"/>
    <mergeCell ref="B5:O5"/>
    <mergeCell ref="B6:O6"/>
    <mergeCell ref="B7:O7"/>
    <mergeCell ref="B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S63"/>
  <sheetViews>
    <sheetView zoomScalePageLayoutView="0" workbookViewId="0" topLeftCell="A1">
      <selection activeCell="B4" sqref="B4:P4"/>
    </sheetView>
  </sheetViews>
  <sheetFormatPr defaultColWidth="9.00390625" defaultRowHeight="21.75" customHeight="1"/>
  <cols>
    <col min="1" max="1" width="4.75390625" style="100" customWidth="1"/>
    <col min="2" max="2" width="9.125" style="100" customWidth="1"/>
    <col min="3" max="3" width="46.00390625" style="100" customWidth="1"/>
    <col min="4" max="16" width="14.00390625" style="100" customWidth="1"/>
    <col min="17" max="21" width="7.75390625" style="100" customWidth="1"/>
    <col min="22" max="22" width="9.625" style="100" customWidth="1"/>
    <col min="23" max="70" width="7.75390625" style="100" customWidth="1"/>
    <col min="71" max="16384" width="9.125" style="100" customWidth="1"/>
  </cols>
  <sheetData>
    <row r="1" s="7" customFormat="1" ht="12.75"/>
    <row r="2" spans="2:23" s="31" customFormat="1" ht="12.75">
      <c r="B2" s="1049"/>
      <c r="C2" s="1049"/>
      <c r="D2" s="1049"/>
      <c r="E2" s="1049"/>
      <c r="F2" s="1049"/>
      <c r="G2" s="1049"/>
      <c r="H2" s="1049"/>
      <c r="I2" s="1049"/>
      <c r="J2" s="1049"/>
      <c r="K2" s="1049"/>
      <c r="L2" s="1049"/>
      <c r="M2" s="1049"/>
      <c r="N2" s="1049"/>
      <c r="O2" s="1049"/>
      <c r="P2" s="1049"/>
      <c r="Q2" s="97"/>
      <c r="R2" s="97"/>
      <c r="S2" s="97"/>
      <c r="T2" s="97"/>
      <c r="U2" s="97"/>
      <c r="V2" s="30"/>
      <c r="W2" s="30"/>
    </row>
    <row r="3" spans="2:23" s="31" customFormat="1" ht="12.75">
      <c r="B3" s="98" t="s">
        <v>1159</v>
      </c>
      <c r="C3" s="98" t="s">
        <v>1156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9"/>
      <c r="W3" s="99"/>
    </row>
    <row r="4" spans="2:27" s="493" customFormat="1" ht="14.25">
      <c r="B4" s="1047" t="s">
        <v>741</v>
      </c>
      <c r="C4" s="1047"/>
      <c r="D4" s="1047"/>
      <c r="E4" s="1047"/>
      <c r="F4" s="1047"/>
      <c r="G4" s="1047"/>
      <c r="H4" s="1047"/>
      <c r="I4" s="1047"/>
      <c r="J4" s="1047"/>
      <c r="K4" s="1047"/>
      <c r="L4" s="1047"/>
      <c r="M4" s="1047"/>
      <c r="N4" s="1047"/>
      <c r="O4" s="1047"/>
      <c r="P4" s="1047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</row>
    <row r="5" spans="2:22" s="203" customFormat="1" ht="15.75" customHeight="1">
      <c r="B5" s="1050" t="s">
        <v>414</v>
      </c>
      <c r="C5" s="1050"/>
      <c r="D5" s="1050"/>
      <c r="E5" s="1050"/>
      <c r="F5" s="1050"/>
      <c r="G5" s="1050"/>
      <c r="H5" s="1050"/>
      <c r="I5" s="1050"/>
      <c r="J5" s="1050"/>
      <c r="K5" s="1050"/>
      <c r="L5" s="1050"/>
      <c r="M5" s="1050"/>
      <c r="N5" s="1050"/>
      <c r="O5" s="1050"/>
      <c r="P5" s="1050"/>
      <c r="Q5" s="204"/>
      <c r="R5" s="204"/>
      <c r="S5" s="204"/>
      <c r="T5" s="204"/>
      <c r="U5" s="204"/>
      <c r="V5" s="204"/>
    </row>
    <row r="6" spans="2:22" s="203" customFormat="1" ht="15.75" customHeight="1">
      <c r="B6" s="1050" t="s">
        <v>950</v>
      </c>
      <c r="C6" s="1050"/>
      <c r="D6" s="1050"/>
      <c r="E6" s="1050"/>
      <c r="F6" s="1050"/>
      <c r="G6" s="1050"/>
      <c r="H6" s="1050"/>
      <c r="I6" s="1050"/>
      <c r="J6" s="1050"/>
      <c r="K6" s="1050"/>
      <c r="L6" s="1050"/>
      <c r="M6" s="1050"/>
      <c r="N6" s="1050"/>
      <c r="O6" s="1050"/>
      <c r="P6" s="1050"/>
      <c r="Q6" s="202"/>
      <c r="R6" s="202"/>
      <c r="S6" s="202"/>
      <c r="T6" s="202"/>
      <c r="U6" s="202"/>
      <c r="V6" s="202"/>
    </row>
    <row r="7" spans="3:23" s="7" customFormat="1" ht="13.5" thickBot="1"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498" t="s">
        <v>1011</v>
      </c>
      <c r="Q7" s="30"/>
      <c r="R7" s="30"/>
      <c r="S7" s="30"/>
      <c r="T7" s="30"/>
      <c r="U7" s="30"/>
      <c r="V7" s="30"/>
      <c r="W7" s="30"/>
    </row>
    <row r="8" spans="1:29" ht="45.75" customHeight="1" thickBot="1">
      <c r="A8" s="1048" t="s">
        <v>1032</v>
      </c>
      <c r="B8" s="1058" t="s">
        <v>653</v>
      </c>
      <c r="C8" s="1059"/>
      <c r="D8" s="1051" t="s">
        <v>859</v>
      </c>
      <c r="E8" s="1052"/>
      <c r="F8" s="1053"/>
      <c r="G8" s="1051" t="s">
        <v>860</v>
      </c>
      <c r="H8" s="1052"/>
      <c r="I8" s="1053"/>
      <c r="J8" s="1054" t="s">
        <v>773</v>
      </c>
      <c r="K8" s="1052"/>
      <c r="L8" s="1053"/>
      <c r="M8" s="1055" t="s">
        <v>774</v>
      </c>
      <c r="N8" s="1056"/>
      <c r="O8" s="1056"/>
      <c r="P8" s="1057"/>
      <c r="AC8" s="101"/>
    </row>
    <row r="9" spans="1:29" ht="21.75" customHeight="1" thickBot="1">
      <c r="A9" s="1042"/>
      <c r="B9" s="1060"/>
      <c r="C9" s="1061"/>
      <c r="D9" s="490" t="s">
        <v>693</v>
      </c>
      <c r="E9" s="490" t="s">
        <v>483</v>
      </c>
      <c r="F9" s="102" t="s">
        <v>690</v>
      </c>
      <c r="G9" s="490" t="s">
        <v>693</v>
      </c>
      <c r="H9" s="490" t="s">
        <v>483</v>
      </c>
      <c r="I9" s="102" t="s">
        <v>690</v>
      </c>
      <c r="J9" s="490" t="s">
        <v>693</v>
      </c>
      <c r="K9" s="490" t="s">
        <v>483</v>
      </c>
      <c r="L9" s="102" t="s">
        <v>690</v>
      </c>
      <c r="M9" s="490" t="s">
        <v>693</v>
      </c>
      <c r="N9" s="490" t="s">
        <v>483</v>
      </c>
      <c r="O9" s="102" t="s">
        <v>690</v>
      </c>
      <c r="P9" s="102" t="s">
        <v>775</v>
      </c>
      <c r="AC9" s="101"/>
    </row>
    <row r="10" spans="1:29" ht="21.75" customHeight="1" thickBot="1">
      <c r="A10" s="1043"/>
      <c r="B10" s="1062"/>
      <c r="C10" s="1063"/>
      <c r="D10" s="1064" t="s">
        <v>649</v>
      </c>
      <c r="E10" s="1065"/>
      <c r="F10" s="103" t="s">
        <v>776</v>
      </c>
      <c r="G10" s="1064" t="s">
        <v>649</v>
      </c>
      <c r="H10" s="1065"/>
      <c r="I10" s="103" t="s">
        <v>776</v>
      </c>
      <c r="J10" s="1064" t="s">
        <v>649</v>
      </c>
      <c r="K10" s="1065"/>
      <c r="L10" s="103" t="s">
        <v>776</v>
      </c>
      <c r="M10" s="1064" t="s">
        <v>649</v>
      </c>
      <c r="N10" s="1065"/>
      <c r="O10" s="103" t="s">
        <v>776</v>
      </c>
      <c r="P10" s="103" t="s">
        <v>698</v>
      </c>
      <c r="AC10" s="101"/>
    </row>
    <row r="11" spans="1:227" ht="30">
      <c r="A11" s="782" t="s">
        <v>342</v>
      </c>
      <c r="B11" s="199" t="s">
        <v>23</v>
      </c>
      <c r="C11" s="192" t="s">
        <v>24</v>
      </c>
      <c r="D11" s="785">
        <f>'4. mell.'!S13</f>
        <v>14464000</v>
      </c>
      <c r="E11" s="786">
        <f>'4. mell.'!T13</f>
        <v>50296898</v>
      </c>
      <c r="F11" s="787">
        <f>'4. mell.'!U13</f>
        <v>14720286</v>
      </c>
      <c r="G11" s="785">
        <f>'5. mell.'!M12</f>
        <v>102000</v>
      </c>
      <c r="H11" s="786">
        <f>'5. mell.'!N12</f>
        <v>279852</v>
      </c>
      <c r="I11" s="787">
        <f>'5. mell.'!O12</f>
        <v>24900</v>
      </c>
      <c r="J11" s="785"/>
      <c r="K11" s="786"/>
      <c r="L11" s="787"/>
      <c r="M11" s="788">
        <f>D11+G11+J11</f>
        <v>14566000</v>
      </c>
      <c r="N11" s="788">
        <f>E11+H11+K11</f>
        <v>50576750</v>
      </c>
      <c r="O11" s="788">
        <f>F11+I11+L11</f>
        <v>14745186</v>
      </c>
      <c r="P11" s="104">
        <f>O11/N11*100</f>
        <v>29.154079690767006</v>
      </c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</row>
    <row r="12" spans="1:227" ht="15">
      <c r="A12" s="780" t="s">
        <v>343</v>
      </c>
      <c r="B12" s="191" t="s">
        <v>332</v>
      </c>
      <c r="C12" s="192" t="s">
        <v>732</v>
      </c>
      <c r="D12" s="785">
        <f>'4. mell.'!S14</f>
        <v>64000</v>
      </c>
      <c r="E12" s="786">
        <f>'4. mell.'!T14</f>
        <v>64000</v>
      </c>
      <c r="F12" s="787">
        <f>'4. mell.'!U14</f>
        <v>40499</v>
      </c>
      <c r="G12" s="785"/>
      <c r="H12" s="786"/>
      <c r="I12" s="787"/>
      <c r="J12" s="785"/>
      <c r="K12" s="786"/>
      <c r="L12" s="787"/>
      <c r="M12" s="788">
        <f aca="true" t="shared" si="0" ref="M12:M38">D12+G12+J12</f>
        <v>64000</v>
      </c>
      <c r="N12" s="788">
        <f aca="true" t="shared" si="1" ref="N12:N38">E12+H12+K12</f>
        <v>64000</v>
      </c>
      <c r="O12" s="788">
        <f aca="true" t="shared" si="2" ref="O12:O38">F12+I12+L12</f>
        <v>40499</v>
      </c>
      <c r="P12" s="104">
        <f aca="true" t="shared" si="3" ref="P12:P39">O12/N12*100</f>
        <v>63.2796875</v>
      </c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</row>
    <row r="13" spans="1:227" s="106" customFormat="1" ht="30">
      <c r="A13" s="781" t="s">
        <v>344</v>
      </c>
      <c r="B13" s="191" t="s">
        <v>333</v>
      </c>
      <c r="C13" s="192" t="s">
        <v>334</v>
      </c>
      <c r="D13" s="785">
        <f>'4. mell.'!S15</f>
        <v>245000</v>
      </c>
      <c r="E13" s="786">
        <f>'4. mell.'!T15</f>
        <v>489832</v>
      </c>
      <c r="F13" s="787">
        <f>'4. mell.'!U15</f>
        <v>489832</v>
      </c>
      <c r="G13" s="785">
        <f>'5. mell.'!M14</f>
        <v>2000000</v>
      </c>
      <c r="H13" s="786">
        <f>'5. mell.'!N14</f>
        <v>4977200</v>
      </c>
      <c r="I13" s="787">
        <f>'5. mell.'!O14</f>
        <v>1822400</v>
      </c>
      <c r="J13" s="785"/>
      <c r="K13" s="786"/>
      <c r="L13" s="787"/>
      <c r="M13" s="788">
        <f t="shared" si="0"/>
        <v>2245000</v>
      </c>
      <c r="N13" s="788">
        <f t="shared" si="1"/>
        <v>5467032</v>
      </c>
      <c r="O13" s="788">
        <f t="shared" si="2"/>
        <v>2312232</v>
      </c>
      <c r="P13" s="104">
        <f t="shared" si="3"/>
        <v>42.294100345489106</v>
      </c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</row>
    <row r="14" spans="1:227" ht="30">
      <c r="A14" s="780" t="s">
        <v>345</v>
      </c>
      <c r="B14" s="189" t="s">
        <v>335</v>
      </c>
      <c r="C14" s="190" t="s">
        <v>336</v>
      </c>
      <c r="D14" s="785"/>
      <c r="E14" s="786">
        <f>'4. mell.'!T16</f>
        <v>918299</v>
      </c>
      <c r="F14" s="787">
        <f>'4. mell.'!U16</f>
        <v>918299</v>
      </c>
      <c r="G14" s="785"/>
      <c r="H14" s="786"/>
      <c r="I14" s="787"/>
      <c r="J14" s="785">
        <v>1139077</v>
      </c>
      <c r="K14" s="786">
        <v>2439968</v>
      </c>
      <c r="L14" s="787">
        <v>1318759</v>
      </c>
      <c r="M14" s="788">
        <f t="shared" si="0"/>
        <v>1139077</v>
      </c>
      <c r="N14" s="788">
        <f t="shared" si="1"/>
        <v>3358267</v>
      </c>
      <c r="O14" s="788">
        <f t="shared" si="2"/>
        <v>2237058</v>
      </c>
      <c r="P14" s="104">
        <f t="shared" si="3"/>
        <v>66.61346462327147</v>
      </c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</row>
    <row r="15" spans="1:227" ht="15">
      <c r="A15" s="780" t="s">
        <v>346</v>
      </c>
      <c r="B15" s="191" t="s">
        <v>338</v>
      </c>
      <c r="C15" s="192" t="s">
        <v>339</v>
      </c>
      <c r="D15" s="785"/>
      <c r="E15" s="786">
        <f>'4. mell.'!T17</f>
        <v>1948820</v>
      </c>
      <c r="F15" s="787">
        <f>'4. mell.'!U17</f>
        <v>1944736</v>
      </c>
      <c r="G15" s="785"/>
      <c r="H15" s="786"/>
      <c r="I15" s="787"/>
      <c r="J15" s="785"/>
      <c r="K15" s="786"/>
      <c r="L15" s="787"/>
      <c r="M15" s="788"/>
      <c r="N15" s="788">
        <f t="shared" si="1"/>
        <v>1948820</v>
      </c>
      <c r="O15" s="788">
        <f t="shared" si="2"/>
        <v>1944736</v>
      </c>
      <c r="P15" s="104">
        <f t="shared" si="3"/>
        <v>99.7904372902577</v>
      </c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</row>
    <row r="16" spans="1:227" ht="15">
      <c r="A16" s="780" t="s">
        <v>368</v>
      </c>
      <c r="B16" s="191" t="s">
        <v>400</v>
      </c>
      <c r="C16" s="192" t="s">
        <v>492</v>
      </c>
      <c r="D16" s="785"/>
      <c r="E16" s="786">
        <f>'4. mell.'!T18</f>
        <v>396875</v>
      </c>
      <c r="F16" s="787">
        <f>'4. mell.'!U18</f>
        <v>396875</v>
      </c>
      <c r="G16" s="785"/>
      <c r="H16" s="786">
        <f>'5. mell.'!N17</f>
        <v>10000000</v>
      </c>
      <c r="I16" s="787"/>
      <c r="J16" s="785"/>
      <c r="K16" s="786"/>
      <c r="L16" s="787"/>
      <c r="M16" s="788"/>
      <c r="N16" s="788">
        <f t="shared" si="1"/>
        <v>10396875</v>
      </c>
      <c r="O16" s="788">
        <f t="shared" si="2"/>
        <v>396875</v>
      </c>
      <c r="P16" s="104">
        <f t="shared" si="3"/>
        <v>3.8172527802825367</v>
      </c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</row>
    <row r="17" spans="1:227" s="108" customFormat="1" ht="30">
      <c r="A17" s="781" t="s">
        <v>369</v>
      </c>
      <c r="B17" s="206" t="s">
        <v>401</v>
      </c>
      <c r="C17" s="192" t="s">
        <v>402</v>
      </c>
      <c r="D17" s="785">
        <f>'4. mell.'!S19</f>
        <v>27000</v>
      </c>
      <c r="E17" s="786">
        <f>'4. mell.'!T19</f>
        <v>27000</v>
      </c>
      <c r="F17" s="787">
        <f>'4. mell.'!U19</f>
        <v>5144</v>
      </c>
      <c r="G17" s="785"/>
      <c r="H17" s="786"/>
      <c r="I17" s="787"/>
      <c r="J17" s="785"/>
      <c r="K17" s="786"/>
      <c r="L17" s="787"/>
      <c r="M17" s="788">
        <f t="shared" si="0"/>
        <v>27000</v>
      </c>
      <c r="N17" s="788">
        <f t="shared" si="1"/>
        <v>27000</v>
      </c>
      <c r="O17" s="788">
        <f t="shared" si="2"/>
        <v>5144</v>
      </c>
      <c r="P17" s="104">
        <f t="shared" si="3"/>
        <v>19.051851851851854</v>
      </c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</row>
    <row r="18" spans="1:227" s="108" customFormat="1" ht="15">
      <c r="A18" s="781" t="s">
        <v>370</v>
      </c>
      <c r="B18" s="206" t="s">
        <v>419</v>
      </c>
      <c r="C18" s="192" t="s">
        <v>420</v>
      </c>
      <c r="D18" s="785">
        <f>'4. mell.'!S20</f>
        <v>19021</v>
      </c>
      <c r="E18" s="786">
        <f>'4. mell.'!T20</f>
        <v>19021</v>
      </c>
      <c r="F18" s="787">
        <f>'4. mell.'!U20</f>
        <v>6668</v>
      </c>
      <c r="G18" s="785"/>
      <c r="H18" s="786"/>
      <c r="I18" s="787"/>
      <c r="J18" s="785"/>
      <c r="K18" s="786"/>
      <c r="L18" s="787"/>
      <c r="M18" s="788">
        <f t="shared" si="0"/>
        <v>19021</v>
      </c>
      <c r="N18" s="788">
        <f t="shared" si="1"/>
        <v>19021</v>
      </c>
      <c r="O18" s="788">
        <f t="shared" si="2"/>
        <v>6668</v>
      </c>
      <c r="P18" s="104">
        <f t="shared" si="3"/>
        <v>35.055990747069025</v>
      </c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</row>
    <row r="19" spans="1:16" ht="30">
      <c r="A19" s="780" t="s">
        <v>371</v>
      </c>
      <c r="B19" s="191" t="s">
        <v>386</v>
      </c>
      <c r="C19" s="192" t="s">
        <v>387</v>
      </c>
      <c r="D19" s="785">
        <f>'4. mell.'!S21</f>
        <v>6313000</v>
      </c>
      <c r="E19" s="786">
        <f>'4. mell.'!T21</f>
        <v>3474000</v>
      </c>
      <c r="F19" s="787">
        <f>'4. mell.'!U21</f>
        <v>662033</v>
      </c>
      <c r="G19" s="785"/>
      <c r="H19" s="786">
        <f>'5. mell.'!N20</f>
        <v>2540000</v>
      </c>
      <c r="I19" s="787">
        <f>'5. mell.'!O20</f>
        <v>2023364</v>
      </c>
      <c r="J19" s="785"/>
      <c r="K19" s="786"/>
      <c r="L19" s="787"/>
      <c r="M19" s="788">
        <f t="shared" si="0"/>
        <v>6313000</v>
      </c>
      <c r="N19" s="788">
        <f t="shared" si="1"/>
        <v>6014000</v>
      </c>
      <c r="O19" s="788">
        <f t="shared" si="2"/>
        <v>2685397</v>
      </c>
      <c r="P19" s="104">
        <f t="shared" si="3"/>
        <v>44.652427668772866</v>
      </c>
    </row>
    <row r="20" spans="1:227" ht="15">
      <c r="A20" s="780" t="s">
        <v>668</v>
      </c>
      <c r="B20" s="191" t="s">
        <v>403</v>
      </c>
      <c r="C20" s="192" t="s">
        <v>404</v>
      </c>
      <c r="D20" s="785"/>
      <c r="E20" s="786"/>
      <c r="F20" s="787"/>
      <c r="G20" s="785">
        <f>'5. mell.'!M21</f>
        <v>600000</v>
      </c>
      <c r="H20" s="786">
        <f>'5. mell.'!N21</f>
        <v>960000</v>
      </c>
      <c r="I20" s="787">
        <f>'5. mell.'!O21</f>
        <v>600000</v>
      </c>
      <c r="J20" s="785"/>
      <c r="K20" s="786"/>
      <c r="L20" s="787"/>
      <c r="M20" s="788">
        <f t="shared" si="0"/>
        <v>600000</v>
      </c>
      <c r="N20" s="788">
        <f t="shared" si="1"/>
        <v>960000</v>
      </c>
      <c r="O20" s="788">
        <f t="shared" si="2"/>
        <v>600000</v>
      </c>
      <c r="P20" s="104">
        <f t="shared" si="3"/>
        <v>62.5</v>
      </c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</row>
    <row r="21" spans="1:227" ht="15">
      <c r="A21" s="780" t="s">
        <v>669</v>
      </c>
      <c r="B21" s="191" t="s">
        <v>388</v>
      </c>
      <c r="C21" s="192" t="s">
        <v>728</v>
      </c>
      <c r="D21" s="785">
        <f>'4. mell.'!S23</f>
        <v>1900000</v>
      </c>
      <c r="E21" s="786">
        <f>'4. mell.'!T23</f>
        <v>1900000</v>
      </c>
      <c r="F21" s="787">
        <f>'4. mell.'!U23</f>
        <v>1899285</v>
      </c>
      <c r="G21" s="785"/>
      <c r="H21" s="786"/>
      <c r="I21" s="787"/>
      <c r="J21" s="785"/>
      <c r="K21" s="786"/>
      <c r="L21" s="787"/>
      <c r="M21" s="788">
        <f t="shared" si="0"/>
        <v>1900000</v>
      </c>
      <c r="N21" s="788">
        <f t="shared" si="1"/>
        <v>1900000</v>
      </c>
      <c r="O21" s="788">
        <f t="shared" si="2"/>
        <v>1899285</v>
      </c>
      <c r="P21" s="104">
        <f t="shared" si="3"/>
        <v>99.96236842105263</v>
      </c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</row>
    <row r="22" spans="1:227" ht="15">
      <c r="A22" s="780" t="s">
        <v>700</v>
      </c>
      <c r="B22" s="191" t="s">
        <v>405</v>
      </c>
      <c r="C22" s="192" t="s">
        <v>727</v>
      </c>
      <c r="D22" s="785">
        <f>'4. mell.'!S24</f>
        <v>635000</v>
      </c>
      <c r="E22" s="786">
        <f>'4. mell.'!T24</f>
        <v>635000</v>
      </c>
      <c r="F22" s="787">
        <f>'4. mell.'!U24</f>
        <v>80772</v>
      </c>
      <c r="G22" s="785"/>
      <c r="H22" s="786"/>
      <c r="I22" s="787"/>
      <c r="J22" s="785"/>
      <c r="K22" s="786"/>
      <c r="L22" s="787"/>
      <c r="M22" s="788">
        <f t="shared" si="0"/>
        <v>635000</v>
      </c>
      <c r="N22" s="788">
        <f t="shared" si="1"/>
        <v>635000</v>
      </c>
      <c r="O22" s="788">
        <f t="shared" si="2"/>
        <v>80772</v>
      </c>
      <c r="P22" s="104">
        <f t="shared" si="3"/>
        <v>12.72</v>
      </c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</row>
    <row r="23" spans="1:16" ht="15">
      <c r="A23" s="780" t="s">
        <v>670</v>
      </c>
      <c r="B23" s="191" t="s">
        <v>389</v>
      </c>
      <c r="C23" s="192" t="s">
        <v>390</v>
      </c>
      <c r="D23" s="785">
        <f>'4. mell.'!S25</f>
        <v>1853000</v>
      </c>
      <c r="E23" s="786">
        <f>'4. mell.'!T25</f>
        <v>1742049</v>
      </c>
      <c r="F23" s="787">
        <f>'4. mell.'!U25</f>
        <v>975847</v>
      </c>
      <c r="G23" s="785">
        <f>'5. mell.'!M24</f>
        <v>465000</v>
      </c>
      <c r="H23" s="786">
        <f>'5. mell.'!N24</f>
        <v>633000</v>
      </c>
      <c r="I23" s="787">
        <f>'5. mell.'!O24</f>
        <v>632999</v>
      </c>
      <c r="J23" s="785"/>
      <c r="K23" s="786"/>
      <c r="L23" s="787"/>
      <c r="M23" s="788">
        <f t="shared" si="0"/>
        <v>2318000</v>
      </c>
      <c r="N23" s="788">
        <f t="shared" si="1"/>
        <v>2375049</v>
      </c>
      <c r="O23" s="788">
        <f t="shared" si="2"/>
        <v>1608846</v>
      </c>
      <c r="P23" s="104">
        <f t="shared" si="3"/>
        <v>67.73948663795989</v>
      </c>
    </row>
    <row r="24" spans="1:16" ht="15">
      <c r="A24" s="780" t="s">
        <v>671</v>
      </c>
      <c r="B24" s="191" t="s">
        <v>406</v>
      </c>
      <c r="C24" s="193" t="s">
        <v>729</v>
      </c>
      <c r="D24" s="785">
        <f>'4. mell.'!S26</f>
        <v>60000</v>
      </c>
      <c r="E24" s="786">
        <f>'4. mell.'!T26</f>
        <v>223758</v>
      </c>
      <c r="F24" s="787">
        <f>'4. mell.'!U26</f>
        <v>218597</v>
      </c>
      <c r="G24" s="785">
        <f>'5. mell.'!M25</f>
        <v>23205000</v>
      </c>
      <c r="H24" s="786">
        <f>'5. mell.'!N25</f>
        <v>23805098</v>
      </c>
      <c r="I24" s="787">
        <f>'5. mell.'!O25</f>
        <v>23330088</v>
      </c>
      <c r="J24" s="785"/>
      <c r="K24" s="786"/>
      <c r="L24" s="787"/>
      <c r="M24" s="788">
        <f t="shared" si="0"/>
        <v>23265000</v>
      </c>
      <c r="N24" s="788">
        <f t="shared" si="1"/>
        <v>24028856</v>
      </c>
      <c r="O24" s="788">
        <f t="shared" si="2"/>
        <v>23548685</v>
      </c>
      <c r="P24" s="104">
        <f t="shared" si="3"/>
        <v>98.00169013456154</v>
      </c>
    </row>
    <row r="25" spans="1:16" ht="30">
      <c r="A25" s="780" t="s">
        <v>672</v>
      </c>
      <c r="B25" s="191" t="s">
        <v>407</v>
      </c>
      <c r="C25" s="192" t="s">
        <v>408</v>
      </c>
      <c r="D25" s="785">
        <f>'4. mell.'!S27</f>
        <v>675000</v>
      </c>
      <c r="E25" s="786">
        <f>'4. mell.'!T27</f>
        <v>675000</v>
      </c>
      <c r="F25" s="787">
        <f>'4. mell.'!U27</f>
        <v>675000</v>
      </c>
      <c r="G25" s="785"/>
      <c r="H25" s="786"/>
      <c r="I25" s="787"/>
      <c r="J25" s="785"/>
      <c r="K25" s="786"/>
      <c r="L25" s="787"/>
      <c r="M25" s="788">
        <f t="shared" si="0"/>
        <v>675000</v>
      </c>
      <c r="N25" s="788">
        <f t="shared" si="1"/>
        <v>675000</v>
      </c>
      <c r="O25" s="788">
        <f t="shared" si="2"/>
        <v>675000</v>
      </c>
      <c r="P25" s="104">
        <f t="shared" si="3"/>
        <v>100</v>
      </c>
    </row>
    <row r="26" spans="1:16" ht="15">
      <c r="A26" s="780" t="s">
        <v>674</v>
      </c>
      <c r="B26" s="191" t="s">
        <v>391</v>
      </c>
      <c r="C26" s="193" t="s">
        <v>731</v>
      </c>
      <c r="D26" s="785">
        <f>'4. mell.'!S28</f>
        <v>668000</v>
      </c>
      <c r="E26" s="786">
        <f>'4. mell.'!T28</f>
        <v>699900</v>
      </c>
      <c r="F26" s="787">
        <f>'4. mell.'!U28</f>
        <v>644083</v>
      </c>
      <c r="G26" s="785">
        <f>'5. mell.'!M27</f>
        <v>180000</v>
      </c>
      <c r="H26" s="786">
        <f>'5. mell.'!N27</f>
        <v>178660</v>
      </c>
      <c r="I26" s="787"/>
      <c r="J26" s="785"/>
      <c r="K26" s="786"/>
      <c r="L26" s="787"/>
      <c r="M26" s="788">
        <f>D26+G26+J26</f>
        <v>848000</v>
      </c>
      <c r="N26" s="788">
        <f t="shared" si="1"/>
        <v>878560</v>
      </c>
      <c r="O26" s="788">
        <f t="shared" si="2"/>
        <v>644083</v>
      </c>
      <c r="P26" s="104">
        <f t="shared" si="3"/>
        <v>73.31121380440722</v>
      </c>
    </row>
    <row r="27" spans="1:16" ht="32.25" customHeight="1">
      <c r="A27" s="780" t="s">
        <v>675</v>
      </c>
      <c r="B27" s="191" t="s">
        <v>942</v>
      </c>
      <c r="C27" s="758" t="s">
        <v>1031</v>
      </c>
      <c r="D27" s="785">
        <f>'4. mell.'!S29</f>
        <v>2540000</v>
      </c>
      <c r="E27" s="786">
        <f>'4. mell.'!T29</f>
        <v>2756072</v>
      </c>
      <c r="F27" s="787">
        <f>'4. mell.'!U29</f>
        <v>2748401</v>
      </c>
      <c r="G27" s="785"/>
      <c r="H27" s="786"/>
      <c r="I27" s="787"/>
      <c r="J27" s="785"/>
      <c r="K27" s="786"/>
      <c r="L27" s="787"/>
      <c r="M27" s="788">
        <f>D27+G27+J27</f>
        <v>2540000</v>
      </c>
      <c r="N27" s="788">
        <f>E27+H27+K27</f>
        <v>2756072</v>
      </c>
      <c r="O27" s="788">
        <f>F27+I27+L27</f>
        <v>2748401</v>
      </c>
      <c r="P27" s="104">
        <f>O27/N27*100</f>
        <v>99.72166910008157</v>
      </c>
    </row>
    <row r="28" spans="1:16" ht="30">
      <c r="A28" s="780" t="s">
        <v>676</v>
      </c>
      <c r="B28" s="191" t="s">
        <v>417</v>
      </c>
      <c r="C28" s="192" t="s">
        <v>418</v>
      </c>
      <c r="D28" s="785">
        <f>'4. mell.'!S30</f>
        <v>362000</v>
      </c>
      <c r="E28" s="786">
        <f>'4. mell.'!T30</f>
        <v>380579</v>
      </c>
      <c r="F28" s="787">
        <f>'4. mell.'!U30</f>
        <v>380579</v>
      </c>
      <c r="G28" s="785"/>
      <c r="H28" s="786"/>
      <c r="I28" s="787"/>
      <c r="J28" s="785"/>
      <c r="K28" s="786"/>
      <c r="L28" s="787"/>
      <c r="M28" s="788">
        <f>D28+G28+J28</f>
        <v>362000</v>
      </c>
      <c r="N28" s="788">
        <f t="shared" si="1"/>
        <v>380579</v>
      </c>
      <c r="O28" s="788">
        <f t="shared" si="2"/>
        <v>380579</v>
      </c>
      <c r="P28" s="104">
        <f t="shared" si="3"/>
        <v>100</v>
      </c>
    </row>
    <row r="29" spans="1:16" ht="15">
      <c r="A29" s="780" t="s">
        <v>677</v>
      </c>
      <c r="B29" s="191" t="s">
        <v>409</v>
      </c>
      <c r="C29" s="192" t="s">
        <v>730</v>
      </c>
      <c r="D29" s="785">
        <f>'4. mell.'!S31</f>
        <v>240000</v>
      </c>
      <c r="E29" s="786">
        <f>'4. mell.'!T31</f>
        <v>340000</v>
      </c>
      <c r="F29" s="787">
        <f>'4. mell.'!U31</f>
        <v>340000</v>
      </c>
      <c r="G29" s="785"/>
      <c r="H29" s="786"/>
      <c r="I29" s="787"/>
      <c r="J29" s="785"/>
      <c r="K29" s="786"/>
      <c r="L29" s="787"/>
      <c r="M29" s="788">
        <f t="shared" si="0"/>
        <v>240000</v>
      </c>
      <c r="N29" s="788">
        <f t="shared" si="1"/>
        <v>340000</v>
      </c>
      <c r="O29" s="788">
        <f t="shared" si="2"/>
        <v>340000</v>
      </c>
      <c r="P29" s="104">
        <f t="shared" si="3"/>
        <v>100</v>
      </c>
    </row>
    <row r="30" spans="1:16" ht="15">
      <c r="A30" s="780" t="s">
        <v>678</v>
      </c>
      <c r="B30" s="191" t="s">
        <v>410</v>
      </c>
      <c r="C30" s="192" t="s">
        <v>411</v>
      </c>
      <c r="D30" s="785">
        <f>'4. mell.'!S32</f>
        <v>50000</v>
      </c>
      <c r="E30" s="786">
        <f>'4. mell.'!T32</f>
        <v>50000</v>
      </c>
      <c r="F30" s="787">
        <f>'4. mell.'!U32</f>
        <v>37500</v>
      </c>
      <c r="G30" s="785"/>
      <c r="H30" s="786"/>
      <c r="I30" s="787"/>
      <c r="J30" s="785"/>
      <c r="K30" s="786"/>
      <c r="L30" s="787"/>
      <c r="M30" s="788">
        <f t="shared" si="0"/>
        <v>50000</v>
      </c>
      <c r="N30" s="788">
        <f t="shared" si="1"/>
        <v>50000</v>
      </c>
      <c r="O30" s="788">
        <f t="shared" si="2"/>
        <v>37500</v>
      </c>
      <c r="P30" s="104">
        <f t="shared" si="3"/>
        <v>75</v>
      </c>
    </row>
    <row r="31" spans="1:16" ht="15">
      <c r="A31" s="780" t="s">
        <v>679</v>
      </c>
      <c r="B31" s="191" t="s">
        <v>853</v>
      </c>
      <c r="C31" s="205" t="s">
        <v>854</v>
      </c>
      <c r="D31" s="785">
        <f>'4. mell.'!S33</f>
        <v>6715000</v>
      </c>
      <c r="E31" s="786">
        <f>'4. mell.'!T33</f>
        <v>6960920</v>
      </c>
      <c r="F31" s="787">
        <f>'4. mell.'!U33</f>
        <v>6011805</v>
      </c>
      <c r="G31" s="785">
        <f>'5. mell.'!M32</f>
        <v>52000</v>
      </c>
      <c r="H31" s="786">
        <f>'5. mell.'!N32</f>
        <v>52000</v>
      </c>
      <c r="I31" s="787">
        <f>'5. mell.'!O32</f>
        <v>9515</v>
      </c>
      <c r="J31" s="785"/>
      <c r="K31" s="786"/>
      <c r="L31" s="787"/>
      <c r="M31" s="788">
        <f t="shared" si="0"/>
        <v>6767000</v>
      </c>
      <c r="N31" s="788">
        <f t="shared" si="1"/>
        <v>7012920</v>
      </c>
      <c r="O31" s="788">
        <f t="shared" si="2"/>
        <v>6021320</v>
      </c>
      <c r="P31" s="104">
        <f t="shared" si="3"/>
        <v>85.86038340662662</v>
      </c>
    </row>
    <row r="32" spans="1:16" ht="15">
      <c r="A32" s="780" t="s">
        <v>347</v>
      </c>
      <c r="B32" s="191" t="s">
        <v>855</v>
      </c>
      <c r="C32" s="192" t="s">
        <v>856</v>
      </c>
      <c r="D32" s="785">
        <f>'4. mell.'!S34</f>
        <v>1217000</v>
      </c>
      <c r="E32" s="786">
        <f>'4. mell.'!T34</f>
        <v>1335959</v>
      </c>
      <c r="F32" s="787">
        <f>'4. mell.'!U34</f>
        <v>1298476</v>
      </c>
      <c r="G32" s="785">
        <f>'5. mell.'!M33</f>
        <v>9000</v>
      </c>
      <c r="H32" s="786">
        <f>'5. mell.'!N33</f>
        <v>9000</v>
      </c>
      <c r="I32" s="787">
        <f>'5. mell.'!O33</f>
        <v>3542</v>
      </c>
      <c r="J32" s="785"/>
      <c r="K32" s="786"/>
      <c r="L32" s="787"/>
      <c r="M32" s="788">
        <f aca="true" t="shared" si="4" ref="M32:O33">D32+G32+J32</f>
        <v>1226000</v>
      </c>
      <c r="N32" s="788">
        <f t="shared" si="4"/>
        <v>1344959</v>
      </c>
      <c r="O32" s="788">
        <f t="shared" si="4"/>
        <v>1302018</v>
      </c>
      <c r="P32" s="104">
        <f>O32/N32*100</f>
        <v>96.80726326973536</v>
      </c>
    </row>
    <row r="33" spans="1:16" ht="15">
      <c r="A33" s="780" t="s">
        <v>348</v>
      </c>
      <c r="B33" s="191" t="s">
        <v>855</v>
      </c>
      <c r="C33" s="192" t="s">
        <v>871</v>
      </c>
      <c r="D33" s="785">
        <f>'4. mell.'!S35</f>
        <v>1864000</v>
      </c>
      <c r="E33" s="786">
        <f>'4. mell.'!T35</f>
        <v>1737338</v>
      </c>
      <c r="F33" s="787">
        <f>'4. mell.'!U35</f>
        <v>1426698</v>
      </c>
      <c r="G33" s="785">
        <f>'5. mell.'!M34</f>
        <v>13000</v>
      </c>
      <c r="H33" s="786">
        <f>'5. mell.'!N34</f>
        <v>13000</v>
      </c>
      <c r="I33" s="787">
        <f>'5. mell.'!O34</f>
        <v>2962</v>
      </c>
      <c r="J33" s="785"/>
      <c r="K33" s="786"/>
      <c r="L33" s="787"/>
      <c r="M33" s="788">
        <f t="shared" si="4"/>
        <v>1877000</v>
      </c>
      <c r="N33" s="788">
        <f t="shared" si="4"/>
        <v>1750338</v>
      </c>
      <c r="O33" s="788">
        <f t="shared" si="4"/>
        <v>1429660</v>
      </c>
      <c r="P33" s="104">
        <f>O33/N33*100</f>
        <v>81.67908141170447</v>
      </c>
    </row>
    <row r="34" spans="1:16" ht="15">
      <c r="A34" s="780" t="s">
        <v>349</v>
      </c>
      <c r="B34" s="191">
        <v>104051</v>
      </c>
      <c r="C34" s="192" t="s">
        <v>395</v>
      </c>
      <c r="D34" s="785">
        <f>'4. mell.'!S36</f>
        <v>46000</v>
      </c>
      <c r="E34" s="786">
        <f>'4. mell.'!T36</f>
        <v>46000</v>
      </c>
      <c r="F34" s="787">
        <f>'4. mell.'!U36</f>
        <v>23200</v>
      </c>
      <c r="G34" s="785"/>
      <c r="H34" s="786"/>
      <c r="I34" s="787"/>
      <c r="J34" s="785"/>
      <c r="K34" s="786"/>
      <c r="L34" s="787"/>
      <c r="M34" s="788">
        <f t="shared" si="0"/>
        <v>46000</v>
      </c>
      <c r="N34" s="788">
        <f t="shared" si="1"/>
        <v>46000</v>
      </c>
      <c r="O34" s="788">
        <f t="shared" si="2"/>
        <v>23200</v>
      </c>
      <c r="P34" s="104">
        <f t="shared" si="3"/>
        <v>50.43478260869565</v>
      </c>
    </row>
    <row r="35" spans="1:16" ht="15">
      <c r="A35" s="780" t="s">
        <v>350</v>
      </c>
      <c r="B35" s="191">
        <v>106020</v>
      </c>
      <c r="C35" s="192" t="s">
        <v>412</v>
      </c>
      <c r="D35" s="785">
        <f>'4. mell.'!S37</f>
        <v>600000</v>
      </c>
      <c r="E35" s="786">
        <f>'4. mell.'!T37</f>
        <v>600000</v>
      </c>
      <c r="F35" s="787"/>
      <c r="G35" s="785"/>
      <c r="H35" s="786"/>
      <c r="I35" s="787"/>
      <c r="J35" s="785"/>
      <c r="K35" s="786"/>
      <c r="L35" s="787"/>
      <c r="M35" s="788">
        <f t="shared" si="0"/>
        <v>600000</v>
      </c>
      <c r="N35" s="788">
        <f t="shared" si="1"/>
        <v>600000</v>
      </c>
      <c r="O35" s="788"/>
      <c r="P35" s="104"/>
    </row>
    <row r="36" spans="1:16" ht="15">
      <c r="A36" s="780" t="s">
        <v>351</v>
      </c>
      <c r="B36" s="191" t="s">
        <v>396</v>
      </c>
      <c r="C36" s="193" t="s">
        <v>707</v>
      </c>
      <c r="D36" s="785">
        <f>'4. mell.'!S38</f>
        <v>3838000</v>
      </c>
      <c r="E36" s="786">
        <f>'4. mell.'!T38</f>
        <v>4064020</v>
      </c>
      <c r="F36" s="787">
        <f>'4. mell.'!U38</f>
        <v>3511718</v>
      </c>
      <c r="G36" s="785">
        <f>'5. mell.'!M37</f>
        <v>27000</v>
      </c>
      <c r="H36" s="786">
        <f>'5. mell.'!N37</f>
        <v>27000</v>
      </c>
      <c r="I36" s="787">
        <f>'5. mell.'!O37</f>
        <v>12993</v>
      </c>
      <c r="J36" s="785"/>
      <c r="K36" s="786"/>
      <c r="L36" s="787"/>
      <c r="M36" s="788">
        <f t="shared" si="0"/>
        <v>3865000</v>
      </c>
      <c r="N36" s="788">
        <f t="shared" si="1"/>
        <v>4091020</v>
      </c>
      <c r="O36" s="788">
        <f t="shared" si="2"/>
        <v>3524711</v>
      </c>
      <c r="P36" s="104">
        <f t="shared" si="3"/>
        <v>86.15726640299974</v>
      </c>
    </row>
    <row r="37" spans="1:16" ht="15">
      <c r="A37" s="780" t="s">
        <v>352</v>
      </c>
      <c r="B37" s="191">
        <v>107052</v>
      </c>
      <c r="C37" s="195" t="s">
        <v>493</v>
      </c>
      <c r="D37" s="785">
        <f>'4. mell.'!S39</f>
        <v>702000</v>
      </c>
      <c r="E37" s="786">
        <f>'4. mell.'!T39</f>
        <v>702000</v>
      </c>
      <c r="F37" s="787">
        <f>'4. mell.'!U39</f>
        <v>665089</v>
      </c>
      <c r="G37" s="785"/>
      <c r="H37" s="786"/>
      <c r="I37" s="787"/>
      <c r="J37" s="785"/>
      <c r="K37" s="786"/>
      <c r="L37" s="787"/>
      <c r="M37" s="788">
        <f t="shared" si="0"/>
        <v>702000</v>
      </c>
      <c r="N37" s="788">
        <f t="shared" si="1"/>
        <v>702000</v>
      </c>
      <c r="O37" s="788">
        <f t="shared" si="2"/>
        <v>665089</v>
      </c>
      <c r="P37" s="104">
        <f t="shared" si="3"/>
        <v>94.7420227920228</v>
      </c>
    </row>
    <row r="38" spans="1:16" ht="15.75" thickBot="1">
      <c r="A38" s="783" t="s">
        <v>353</v>
      </c>
      <c r="B38" s="191">
        <v>107060</v>
      </c>
      <c r="C38" s="192" t="s">
        <v>413</v>
      </c>
      <c r="D38" s="785">
        <f>'4. mell.'!S40</f>
        <v>2715000</v>
      </c>
      <c r="E38" s="786">
        <f>'4. mell.'!T40</f>
        <v>3362700</v>
      </c>
      <c r="F38" s="787">
        <f>'4. mell.'!U40</f>
        <v>2788500</v>
      </c>
      <c r="G38" s="785"/>
      <c r="H38" s="786"/>
      <c r="I38" s="787"/>
      <c r="J38" s="785"/>
      <c r="K38" s="786"/>
      <c r="L38" s="787"/>
      <c r="M38" s="788">
        <f t="shared" si="0"/>
        <v>2715000</v>
      </c>
      <c r="N38" s="788">
        <f t="shared" si="1"/>
        <v>3362700</v>
      </c>
      <c r="O38" s="788">
        <f t="shared" si="2"/>
        <v>2788500</v>
      </c>
      <c r="P38" s="104">
        <f t="shared" si="3"/>
        <v>82.92443572129538</v>
      </c>
    </row>
    <row r="39" spans="1:16" ht="34.5" customHeight="1" thickBot="1">
      <c r="A39" s="784" t="s">
        <v>354</v>
      </c>
      <c r="B39" s="200"/>
      <c r="C39" s="201" t="s">
        <v>705</v>
      </c>
      <c r="D39" s="789">
        <f aca="true" t="shared" si="5" ref="D39:O39">SUM(D11:D38)</f>
        <v>47812021</v>
      </c>
      <c r="E39" s="789">
        <f t="shared" si="5"/>
        <v>85846040</v>
      </c>
      <c r="F39" s="789">
        <f t="shared" si="5"/>
        <v>42909922</v>
      </c>
      <c r="G39" s="789">
        <f t="shared" si="5"/>
        <v>26653000</v>
      </c>
      <c r="H39" s="789">
        <f t="shared" si="5"/>
        <v>43474810</v>
      </c>
      <c r="I39" s="789">
        <f t="shared" si="5"/>
        <v>28462763</v>
      </c>
      <c r="J39" s="789">
        <f t="shared" si="5"/>
        <v>1139077</v>
      </c>
      <c r="K39" s="789">
        <f t="shared" si="5"/>
        <v>2439968</v>
      </c>
      <c r="L39" s="789">
        <f t="shared" si="5"/>
        <v>1318759</v>
      </c>
      <c r="M39" s="789">
        <f t="shared" si="5"/>
        <v>75604098</v>
      </c>
      <c r="N39" s="789">
        <f t="shared" si="5"/>
        <v>131760818</v>
      </c>
      <c r="O39" s="789">
        <f t="shared" si="5"/>
        <v>72691444</v>
      </c>
      <c r="P39" s="491">
        <f t="shared" si="3"/>
        <v>55.16924158743459</v>
      </c>
    </row>
    <row r="40" spans="4:29" ht="21.75" customHeight="1"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9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</row>
    <row r="41" spans="4:29" ht="21.75" customHeight="1"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9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</row>
    <row r="45" spans="8:9" ht="21.75" customHeight="1">
      <c r="H45" s="101"/>
      <c r="I45" s="101"/>
    </row>
    <row r="46" spans="8:9" ht="21.75" customHeight="1">
      <c r="H46" s="101"/>
      <c r="I46" s="101"/>
    </row>
    <row r="47" spans="8:9" ht="21.75" customHeight="1">
      <c r="H47" s="101"/>
      <c r="I47" s="101"/>
    </row>
    <row r="48" spans="8:9" ht="21.75" customHeight="1">
      <c r="H48" s="101"/>
      <c r="I48" s="101"/>
    </row>
    <row r="49" spans="8:9" ht="21.75" customHeight="1">
      <c r="H49" s="101"/>
      <c r="I49" s="101"/>
    </row>
    <row r="50" spans="8:9" ht="21.75" customHeight="1">
      <c r="H50" s="101"/>
      <c r="I50" s="101"/>
    </row>
    <row r="51" spans="8:9" ht="21.75" customHeight="1">
      <c r="H51" s="101"/>
      <c r="I51" s="101"/>
    </row>
    <row r="52" spans="8:9" ht="21.75" customHeight="1">
      <c r="H52" s="101"/>
      <c r="I52" s="101"/>
    </row>
    <row r="53" spans="8:9" ht="21.75" customHeight="1">
      <c r="H53" s="101"/>
      <c r="I53" s="101"/>
    </row>
    <row r="54" spans="8:9" ht="21.75" customHeight="1">
      <c r="H54" s="101"/>
      <c r="I54" s="101"/>
    </row>
    <row r="55" spans="8:9" ht="21.75" customHeight="1">
      <c r="H55" s="101"/>
      <c r="I55" s="101"/>
    </row>
    <row r="56" spans="8:9" ht="21.75" customHeight="1">
      <c r="H56" s="101"/>
      <c r="I56" s="101"/>
    </row>
    <row r="57" spans="8:9" ht="21.75" customHeight="1">
      <c r="H57" s="101"/>
      <c r="I57" s="101"/>
    </row>
    <row r="58" spans="8:9" ht="21.75" customHeight="1">
      <c r="H58" s="101"/>
      <c r="I58" s="101"/>
    </row>
    <row r="59" spans="8:9" ht="21.75" customHeight="1">
      <c r="H59" s="101"/>
      <c r="I59" s="101"/>
    </row>
    <row r="60" spans="8:9" ht="21.75" customHeight="1">
      <c r="H60" s="101"/>
      <c r="I60" s="101"/>
    </row>
    <row r="61" spans="8:9" ht="21.75" customHeight="1">
      <c r="H61" s="101"/>
      <c r="I61" s="101"/>
    </row>
    <row r="62" spans="8:9" ht="21.75" customHeight="1">
      <c r="H62" s="101"/>
      <c r="I62" s="101"/>
    </row>
    <row r="63" spans="8:9" ht="21.75" customHeight="1">
      <c r="H63" s="101"/>
      <c r="I63" s="101"/>
    </row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</sheetData>
  <sheetProtection/>
  <mergeCells count="14">
    <mergeCell ref="D10:E10"/>
    <mergeCell ref="G10:H10"/>
    <mergeCell ref="J10:K10"/>
    <mergeCell ref="M10:N10"/>
    <mergeCell ref="B4:P4"/>
    <mergeCell ref="A8:A10"/>
    <mergeCell ref="B2:P2"/>
    <mergeCell ref="B5:P5"/>
    <mergeCell ref="D8:F8"/>
    <mergeCell ref="G8:I8"/>
    <mergeCell ref="J8:L8"/>
    <mergeCell ref="M8:P8"/>
    <mergeCell ref="B6:P6"/>
    <mergeCell ref="B8:C10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8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M41"/>
  <sheetViews>
    <sheetView showGridLines="0" zoomScalePageLayoutView="0" workbookViewId="0" topLeftCell="A1">
      <selection activeCell="B3" sqref="B3:R3"/>
    </sheetView>
  </sheetViews>
  <sheetFormatPr defaultColWidth="9.00390625" defaultRowHeight="12.75"/>
  <cols>
    <col min="1" max="1" width="3.75390625" style="7" customWidth="1"/>
    <col min="2" max="2" width="9.125" style="7" customWidth="1"/>
    <col min="3" max="3" width="51.125" style="7" customWidth="1"/>
    <col min="4" max="4" width="9.00390625" style="7" customWidth="1"/>
    <col min="5" max="5" width="9.875" style="7" customWidth="1"/>
    <col min="6" max="6" width="9.375" style="7" customWidth="1"/>
    <col min="7" max="8" width="8.375" style="7" customWidth="1"/>
    <col min="9" max="9" width="9.375" style="7" customWidth="1"/>
    <col min="10" max="10" width="10.375" style="7" customWidth="1"/>
    <col min="11" max="11" width="10.125" style="7" customWidth="1"/>
    <col min="12" max="12" width="10.375" style="7" customWidth="1"/>
    <col min="13" max="14" width="8.375" style="7" customWidth="1"/>
    <col min="15" max="15" width="8.125" style="7" customWidth="1"/>
    <col min="16" max="16" width="8.375" style="7" customWidth="1"/>
    <col min="17" max="17" width="10.00390625" style="7" customWidth="1"/>
    <col min="18" max="18" width="8.75390625" style="7" customWidth="1"/>
    <col min="19" max="20" width="9.125" style="7" customWidth="1"/>
    <col min="21" max="21" width="9.375" style="7" customWidth="1"/>
    <col min="22" max="22" width="7.25390625" style="7" customWidth="1"/>
    <col min="23" max="16384" width="9.125" style="7" customWidth="1"/>
  </cols>
  <sheetData>
    <row r="2" spans="2:22" s="31" customFormat="1" ht="12.75">
      <c r="B2" s="1049"/>
      <c r="C2" s="1049"/>
      <c r="D2" s="1049"/>
      <c r="E2" s="1049"/>
      <c r="F2" s="1049"/>
      <c r="G2" s="1049"/>
      <c r="H2" s="1049"/>
      <c r="I2" s="1049"/>
      <c r="J2" s="1049"/>
      <c r="K2" s="1049"/>
      <c r="L2" s="1049"/>
      <c r="M2" s="1049"/>
      <c r="N2" s="1049"/>
      <c r="O2" s="1049"/>
      <c r="P2" s="1049"/>
      <c r="Q2" s="1049"/>
      <c r="R2" s="1049"/>
      <c r="S2" s="1049"/>
      <c r="T2" s="1049"/>
      <c r="U2" s="1049"/>
      <c r="V2" s="1049"/>
    </row>
    <row r="3" spans="2:18" s="31" customFormat="1" ht="12.75">
      <c r="B3" s="1068" t="s">
        <v>1160</v>
      </c>
      <c r="C3" s="1068"/>
      <c r="D3" s="1068"/>
      <c r="E3" s="1068"/>
      <c r="F3" s="1068"/>
      <c r="G3" s="1068"/>
      <c r="H3" s="1068"/>
      <c r="I3" s="1068"/>
      <c r="J3" s="1068"/>
      <c r="K3" s="1068"/>
      <c r="L3" s="1068"/>
      <c r="M3" s="1068"/>
      <c r="N3" s="1068"/>
      <c r="O3" s="1068"/>
      <c r="P3" s="1068"/>
      <c r="Q3" s="1068"/>
      <c r="R3" s="1068"/>
    </row>
    <row r="4" spans="2:18" s="31" customFormat="1" ht="12.75"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</row>
    <row r="5" spans="2:22" s="493" customFormat="1" ht="14.25">
      <c r="B5" s="1047" t="s">
        <v>307</v>
      </c>
      <c r="C5" s="1047"/>
      <c r="D5" s="1047"/>
      <c r="E5" s="1047"/>
      <c r="F5" s="1047"/>
      <c r="G5" s="1047"/>
      <c r="H5" s="1047"/>
      <c r="I5" s="1047"/>
      <c r="J5" s="1047"/>
      <c r="K5" s="1047"/>
      <c r="L5" s="1047"/>
      <c r="M5" s="1047"/>
      <c r="N5" s="1047"/>
      <c r="O5" s="1047"/>
      <c r="P5" s="1047"/>
      <c r="Q5" s="1047"/>
      <c r="R5" s="1047"/>
      <c r="S5" s="1047"/>
      <c r="T5" s="1047"/>
      <c r="U5" s="1047"/>
      <c r="V5" s="1047"/>
    </row>
    <row r="6" spans="2:22" s="494" customFormat="1" ht="15">
      <c r="B6" s="1047" t="s">
        <v>308</v>
      </c>
      <c r="C6" s="1047"/>
      <c r="D6" s="1047"/>
      <c r="E6" s="1047"/>
      <c r="F6" s="1047"/>
      <c r="G6" s="1047"/>
      <c r="H6" s="1047"/>
      <c r="I6" s="1047"/>
      <c r="J6" s="1047"/>
      <c r="K6" s="1047"/>
      <c r="L6" s="1047"/>
      <c r="M6" s="1047"/>
      <c r="N6" s="1047"/>
      <c r="O6" s="1047"/>
      <c r="P6" s="1047"/>
      <c r="Q6" s="1047"/>
      <c r="R6" s="1047"/>
      <c r="S6" s="1047"/>
      <c r="T6" s="1047"/>
      <c r="U6" s="1047"/>
      <c r="V6" s="1047"/>
    </row>
    <row r="7" spans="2:22" s="493" customFormat="1" ht="14.25">
      <c r="B7" s="1047" t="s">
        <v>1012</v>
      </c>
      <c r="C7" s="1047"/>
      <c r="D7" s="1047"/>
      <c r="E7" s="1047"/>
      <c r="F7" s="1047"/>
      <c r="G7" s="1047"/>
      <c r="H7" s="1047"/>
      <c r="I7" s="1047"/>
      <c r="J7" s="1047"/>
      <c r="K7" s="1047"/>
      <c r="L7" s="1047"/>
      <c r="M7" s="1047"/>
      <c r="N7" s="1047"/>
      <c r="O7" s="1047"/>
      <c r="P7" s="1047"/>
      <c r="Q7" s="1047"/>
      <c r="R7" s="1047"/>
      <c r="S7" s="1047"/>
      <c r="T7" s="1047"/>
      <c r="U7" s="1047"/>
      <c r="V7" s="1047"/>
    </row>
    <row r="8" spans="2:22" s="493" customFormat="1" ht="14.25"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</row>
    <row r="9" ht="13.5" thickBot="1">
      <c r="V9" s="499" t="s">
        <v>920</v>
      </c>
    </row>
    <row r="10" spans="1:39" ht="39.75" customHeight="1" thickBot="1">
      <c r="A10" s="1084" t="s">
        <v>1033</v>
      </c>
      <c r="B10" s="1075"/>
      <c r="C10" s="1078" t="s">
        <v>16</v>
      </c>
      <c r="D10" s="1081" t="s">
        <v>650</v>
      </c>
      <c r="E10" s="1082"/>
      <c r="F10" s="1083"/>
      <c r="G10" s="768" t="s">
        <v>651</v>
      </c>
      <c r="H10" s="769"/>
      <c r="I10" s="769"/>
      <c r="J10" s="1081" t="s">
        <v>652</v>
      </c>
      <c r="K10" s="1082"/>
      <c r="L10" s="1083"/>
      <c r="M10" s="1069" t="s">
        <v>415</v>
      </c>
      <c r="N10" s="1070"/>
      <c r="O10" s="1071"/>
      <c r="P10" s="1072" t="s">
        <v>416</v>
      </c>
      <c r="Q10" s="1073"/>
      <c r="R10" s="1074"/>
      <c r="S10" s="1085" t="s">
        <v>494</v>
      </c>
      <c r="T10" s="1086"/>
      <c r="U10" s="1086"/>
      <c r="V10" s="108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ht="12.75">
      <c r="A11" s="1042"/>
      <c r="B11" s="1076"/>
      <c r="C11" s="1079"/>
      <c r="D11" s="32" t="s">
        <v>693</v>
      </c>
      <c r="E11" s="32" t="s">
        <v>695</v>
      </c>
      <c r="F11" s="32" t="s">
        <v>696</v>
      </c>
      <c r="G11" s="32" t="s">
        <v>693</v>
      </c>
      <c r="H11" s="32" t="s">
        <v>695</v>
      </c>
      <c r="I11" s="32" t="s">
        <v>696</v>
      </c>
      <c r="J11" s="32" t="s">
        <v>693</v>
      </c>
      <c r="K11" s="32" t="s">
        <v>695</v>
      </c>
      <c r="L11" s="32" t="s">
        <v>696</v>
      </c>
      <c r="M11" s="32" t="s">
        <v>693</v>
      </c>
      <c r="N11" s="32" t="s">
        <v>695</v>
      </c>
      <c r="O11" s="32" t="s">
        <v>696</v>
      </c>
      <c r="P11" s="32" t="s">
        <v>693</v>
      </c>
      <c r="Q11" s="32" t="s">
        <v>695</v>
      </c>
      <c r="R11" s="32" t="s">
        <v>696</v>
      </c>
      <c r="S11" s="33" t="s">
        <v>693</v>
      </c>
      <c r="T11" s="33" t="s">
        <v>695</v>
      </c>
      <c r="U11" s="33" t="s">
        <v>696</v>
      </c>
      <c r="V11" s="1066" t="s">
        <v>495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22" ht="13.5" thickBot="1">
      <c r="A12" s="1043"/>
      <c r="B12" s="1077"/>
      <c r="C12" s="1080"/>
      <c r="D12" s="33" t="s">
        <v>697</v>
      </c>
      <c r="E12" s="34" t="s">
        <v>697</v>
      </c>
      <c r="F12" s="34" t="s">
        <v>656</v>
      </c>
      <c r="G12" s="34" t="s">
        <v>697</v>
      </c>
      <c r="H12" s="34" t="s">
        <v>697</v>
      </c>
      <c r="I12" s="34" t="s">
        <v>656</v>
      </c>
      <c r="J12" s="34" t="s">
        <v>697</v>
      </c>
      <c r="K12" s="34" t="s">
        <v>697</v>
      </c>
      <c r="L12" s="34" t="s">
        <v>656</v>
      </c>
      <c r="M12" s="34" t="s">
        <v>697</v>
      </c>
      <c r="N12" s="34" t="s">
        <v>697</v>
      </c>
      <c r="O12" s="34" t="s">
        <v>656</v>
      </c>
      <c r="P12" s="34" t="s">
        <v>697</v>
      </c>
      <c r="Q12" s="34" t="s">
        <v>697</v>
      </c>
      <c r="R12" s="34" t="s">
        <v>656</v>
      </c>
      <c r="S12" s="34" t="s">
        <v>697</v>
      </c>
      <c r="T12" s="34" t="s">
        <v>697</v>
      </c>
      <c r="U12" s="34" t="s">
        <v>656</v>
      </c>
      <c r="V12" s="1067"/>
    </row>
    <row r="13" spans="1:22" s="8" customFormat="1" ht="30">
      <c r="A13" s="770" t="s">
        <v>342</v>
      </c>
      <c r="B13" s="199" t="s">
        <v>23</v>
      </c>
      <c r="C13" s="192" t="s">
        <v>24</v>
      </c>
      <c r="D13" s="751">
        <v>8073000</v>
      </c>
      <c r="E13" s="751">
        <v>9724090</v>
      </c>
      <c r="F13" s="752">
        <v>9579902</v>
      </c>
      <c r="G13" s="753">
        <v>2291000</v>
      </c>
      <c r="H13" s="751">
        <v>2637628</v>
      </c>
      <c r="I13" s="752">
        <v>2636275</v>
      </c>
      <c r="J13" s="753">
        <v>3938000</v>
      </c>
      <c r="K13" s="751">
        <v>3812702</v>
      </c>
      <c r="L13" s="752">
        <v>2226209</v>
      </c>
      <c r="M13" s="753"/>
      <c r="N13" s="751"/>
      <c r="O13" s="752"/>
      <c r="P13" s="753">
        <v>162000</v>
      </c>
      <c r="Q13" s="751">
        <v>34122478</v>
      </c>
      <c r="R13" s="752">
        <v>277900</v>
      </c>
      <c r="S13" s="754">
        <f>D13+G13+J13+M13+P13</f>
        <v>14464000</v>
      </c>
      <c r="T13" s="754">
        <f>E13+H13+K13+N13+Q13</f>
        <v>50296898</v>
      </c>
      <c r="U13" s="754">
        <f>F13+I13+L13+O13+R13</f>
        <v>14720286</v>
      </c>
      <c r="V13" s="495">
        <f>U13/T13*100</f>
        <v>29.266786989527667</v>
      </c>
    </row>
    <row r="14" spans="1:22" s="8" customFormat="1" ht="15">
      <c r="A14" s="771" t="s">
        <v>343</v>
      </c>
      <c r="B14" s="191" t="s">
        <v>332</v>
      </c>
      <c r="C14" s="192" t="s">
        <v>732</v>
      </c>
      <c r="D14" s="755"/>
      <c r="E14" s="755"/>
      <c r="F14" s="756"/>
      <c r="G14" s="757"/>
      <c r="H14" s="755"/>
      <c r="I14" s="756"/>
      <c r="J14" s="757">
        <v>64000</v>
      </c>
      <c r="K14" s="755">
        <v>64000</v>
      </c>
      <c r="L14" s="756">
        <v>40499</v>
      </c>
      <c r="M14" s="757"/>
      <c r="N14" s="755"/>
      <c r="O14" s="756"/>
      <c r="P14" s="757"/>
      <c r="Q14" s="755"/>
      <c r="R14" s="756"/>
      <c r="S14" s="754">
        <f aca="true" t="shared" si="0" ref="S14:S40">D14+G14+J14+M14+P14</f>
        <v>64000</v>
      </c>
      <c r="T14" s="754">
        <f aca="true" t="shared" si="1" ref="T14:T40">E14+H14+K14+N14+Q14</f>
        <v>64000</v>
      </c>
      <c r="U14" s="754">
        <f aca="true" t="shared" si="2" ref="U14:U40">F14+I14+L14+O14+R14</f>
        <v>40499</v>
      </c>
      <c r="V14" s="495">
        <f aca="true" t="shared" si="3" ref="V14:V40">U14/T14*100</f>
        <v>63.2796875</v>
      </c>
    </row>
    <row r="15" spans="1:22" s="8" customFormat="1" ht="30">
      <c r="A15" s="771" t="s">
        <v>344</v>
      </c>
      <c r="B15" s="191" t="s">
        <v>333</v>
      </c>
      <c r="C15" s="192" t="s">
        <v>334</v>
      </c>
      <c r="D15" s="755"/>
      <c r="E15" s="755"/>
      <c r="F15" s="756"/>
      <c r="G15" s="757"/>
      <c r="H15" s="755"/>
      <c r="I15" s="756"/>
      <c r="J15" s="757">
        <v>245000</v>
      </c>
      <c r="K15" s="755">
        <v>489832</v>
      </c>
      <c r="L15" s="756">
        <v>489832</v>
      </c>
      <c r="M15" s="757"/>
      <c r="N15" s="755"/>
      <c r="O15" s="756"/>
      <c r="P15" s="757"/>
      <c r="Q15" s="755"/>
      <c r="R15" s="756"/>
      <c r="S15" s="754">
        <f t="shared" si="0"/>
        <v>245000</v>
      </c>
      <c r="T15" s="754">
        <f t="shared" si="1"/>
        <v>489832</v>
      </c>
      <c r="U15" s="754">
        <f t="shared" si="2"/>
        <v>489832</v>
      </c>
      <c r="V15" s="495">
        <f t="shared" si="3"/>
        <v>100</v>
      </c>
    </row>
    <row r="16" spans="1:22" ht="15">
      <c r="A16" s="771" t="s">
        <v>345</v>
      </c>
      <c r="B16" s="189" t="s">
        <v>335</v>
      </c>
      <c r="C16" s="190" t="s">
        <v>336</v>
      </c>
      <c r="D16" s="755"/>
      <c r="E16" s="755"/>
      <c r="F16" s="756"/>
      <c r="G16" s="757"/>
      <c r="H16" s="755"/>
      <c r="I16" s="756"/>
      <c r="J16" s="757"/>
      <c r="K16" s="755"/>
      <c r="L16" s="756"/>
      <c r="M16" s="757"/>
      <c r="N16" s="755"/>
      <c r="O16" s="756"/>
      <c r="P16" s="757"/>
      <c r="Q16" s="755">
        <v>918299</v>
      </c>
      <c r="R16" s="756">
        <v>918299</v>
      </c>
      <c r="S16" s="754">
        <f t="shared" si="0"/>
        <v>0</v>
      </c>
      <c r="T16" s="754">
        <f t="shared" si="1"/>
        <v>918299</v>
      </c>
      <c r="U16" s="754">
        <f t="shared" si="2"/>
        <v>918299</v>
      </c>
      <c r="V16" s="495">
        <f t="shared" si="3"/>
        <v>100</v>
      </c>
    </row>
    <row r="17" spans="1:22" ht="18" customHeight="1">
      <c r="A17" s="771" t="s">
        <v>346</v>
      </c>
      <c r="B17" s="191" t="s">
        <v>338</v>
      </c>
      <c r="C17" s="192" t="s">
        <v>339</v>
      </c>
      <c r="D17" s="751"/>
      <c r="E17" s="751">
        <v>1657554</v>
      </c>
      <c r="F17" s="752">
        <v>1657554</v>
      </c>
      <c r="G17" s="753"/>
      <c r="H17" s="751">
        <v>291266</v>
      </c>
      <c r="I17" s="752">
        <v>287182</v>
      </c>
      <c r="J17" s="753"/>
      <c r="K17" s="751"/>
      <c r="L17" s="752"/>
      <c r="M17" s="753"/>
      <c r="N17" s="751"/>
      <c r="O17" s="752"/>
      <c r="P17" s="753"/>
      <c r="Q17" s="751"/>
      <c r="R17" s="752"/>
      <c r="S17" s="754">
        <f t="shared" si="0"/>
        <v>0</v>
      </c>
      <c r="T17" s="754">
        <f t="shared" si="1"/>
        <v>1948820</v>
      </c>
      <c r="U17" s="754">
        <f t="shared" si="2"/>
        <v>1944736</v>
      </c>
      <c r="V17" s="495">
        <f t="shared" si="3"/>
        <v>99.7904372902577</v>
      </c>
    </row>
    <row r="18" spans="1:22" ht="15">
      <c r="A18" s="771" t="s">
        <v>368</v>
      </c>
      <c r="B18" s="496" t="s">
        <v>400</v>
      </c>
      <c r="C18" s="192" t="s">
        <v>492</v>
      </c>
      <c r="D18" s="751"/>
      <c r="E18" s="751"/>
      <c r="F18" s="752"/>
      <c r="G18" s="753"/>
      <c r="H18" s="751"/>
      <c r="I18" s="752"/>
      <c r="J18" s="753"/>
      <c r="K18" s="751">
        <v>396875</v>
      </c>
      <c r="L18" s="752">
        <v>396875</v>
      </c>
      <c r="M18" s="753"/>
      <c r="N18" s="751"/>
      <c r="O18" s="752"/>
      <c r="P18" s="753"/>
      <c r="Q18" s="751"/>
      <c r="R18" s="752"/>
      <c r="S18" s="754">
        <f t="shared" si="0"/>
        <v>0</v>
      </c>
      <c r="T18" s="754">
        <f t="shared" si="1"/>
        <v>396875</v>
      </c>
      <c r="U18" s="754">
        <f>F18+I18+L18+O18+R18</f>
        <v>396875</v>
      </c>
      <c r="V18" s="495">
        <f>U18/T18*100</f>
        <v>100</v>
      </c>
    </row>
    <row r="19" spans="1:22" ht="30">
      <c r="A19" s="771" t="s">
        <v>369</v>
      </c>
      <c r="B19" s="206" t="s">
        <v>401</v>
      </c>
      <c r="C19" s="192" t="s">
        <v>402</v>
      </c>
      <c r="D19" s="751"/>
      <c r="E19" s="751"/>
      <c r="F19" s="752"/>
      <c r="G19" s="753"/>
      <c r="H19" s="751"/>
      <c r="I19" s="752"/>
      <c r="J19" s="753">
        <v>27000</v>
      </c>
      <c r="K19" s="751">
        <v>27000</v>
      </c>
      <c r="L19" s="752">
        <v>5144</v>
      </c>
      <c r="M19" s="753"/>
      <c r="N19" s="751"/>
      <c r="O19" s="752"/>
      <c r="P19" s="753"/>
      <c r="Q19" s="751"/>
      <c r="R19" s="752"/>
      <c r="S19" s="754">
        <f t="shared" si="0"/>
        <v>27000</v>
      </c>
      <c r="T19" s="754">
        <f t="shared" si="1"/>
        <v>27000</v>
      </c>
      <c r="U19" s="754">
        <f>F19+I19+L19+O19+R19</f>
        <v>5144</v>
      </c>
      <c r="V19" s="495">
        <f>U19/T19*100</f>
        <v>19.051851851851854</v>
      </c>
    </row>
    <row r="20" spans="1:22" ht="15">
      <c r="A20" s="771" t="s">
        <v>370</v>
      </c>
      <c r="B20" s="206" t="s">
        <v>419</v>
      </c>
      <c r="C20" s="192" t="s">
        <v>420</v>
      </c>
      <c r="D20" s="751"/>
      <c r="E20" s="751"/>
      <c r="F20" s="752"/>
      <c r="G20" s="753"/>
      <c r="H20" s="751"/>
      <c r="I20" s="752"/>
      <c r="J20" s="753">
        <v>19021</v>
      </c>
      <c r="K20" s="751">
        <v>19021</v>
      </c>
      <c r="L20" s="752">
        <v>6668</v>
      </c>
      <c r="M20" s="753"/>
      <c r="N20" s="751"/>
      <c r="O20" s="752"/>
      <c r="P20" s="753"/>
      <c r="Q20" s="751"/>
      <c r="R20" s="752"/>
      <c r="S20" s="754">
        <f t="shared" si="0"/>
        <v>19021</v>
      </c>
      <c r="T20" s="754">
        <f t="shared" si="1"/>
        <v>19021</v>
      </c>
      <c r="U20" s="754">
        <f t="shared" si="2"/>
        <v>6668</v>
      </c>
      <c r="V20" s="495">
        <f t="shared" si="3"/>
        <v>35.055990747069025</v>
      </c>
    </row>
    <row r="21" spans="1:22" ht="15">
      <c r="A21" s="771" t="s">
        <v>371</v>
      </c>
      <c r="B21" s="191" t="s">
        <v>386</v>
      </c>
      <c r="C21" s="192" t="s">
        <v>387</v>
      </c>
      <c r="D21" s="751"/>
      <c r="E21" s="751"/>
      <c r="F21" s="752"/>
      <c r="G21" s="753"/>
      <c r="H21" s="751"/>
      <c r="I21" s="752"/>
      <c r="J21" s="753">
        <v>6313000</v>
      </c>
      <c r="K21" s="751">
        <v>3474000</v>
      </c>
      <c r="L21" s="752">
        <v>662033</v>
      </c>
      <c r="M21" s="753"/>
      <c r="N21" s="751"/>
      <c r="O21" s="752"/>
      <c r="P21" s="753"/>
      <c r="Q21" s="751"/>
      <c r="R21" s="752"/>
      <c r="S21" s="754">
        <f t="shared" si="0"/>
        <v>6313000</v>
      </c>
      <c r="T21" s="754">
        <f t="shared" si="1"/>
        <v>3474000</v>
      </c>
      <c r="U21" s="754">
        <f t="shared" si="2"/>
        <v>662033</v>
      </c>
      <c r="V21" s="495">
        <f t="shared" si="3"/>
        <v>19.056793321819228</v>
      </c>
    </row>
    <row r="22" spans="1:22" ht="15">
      <c r="A22" s="771" t="s">
        <v>668</v>
      </c>
      <c r="B22" s="191" t="s">
        <v>403</v>
      </c>
      <c r="C22" s="192" t="s">
        <v>404</v>
      </c>
      <c r="D22" s="751"/>
      <c r="E22" s="751"/>
      <c r="F22" s="752"/>
      <c r="G22" s="753"/>
      <c r="H22" s="751"/>
      <c r="I22" s="752"/>
      <c r="J22" s="753"/>
      <c r="K22" s="751"/>
      <c r="L22" s="752"/>
      <c r="M22" s="753"/>
      <c r="N22" s="751"/>
      <c r="O22" s="752"/>
      <c r="P22" s="753"/>
      <c r="Q22" s="751"/>
      <c r="R22" s="752"/>
      <c r="S22" s="754"/>
      <c r="T22" s="754"/>
      <c r="U22" s="754"/>
      <c r="V22" s="495"/>
    </row>
    <row r="23" spans="1:22" ht="18" customHeight="1">
      <c r="A23" s="771" t="s">
        <v>669</v>
      </c>
      <c r="B23" s="191" t="s">
        <v>388</v>
      </c>
      <c r="C23" s="192" t="s">
        <v>728</v>
      </c>
      <c r="D23" s="751"/>
      <c r="E23" s="751"/>
      <c r="F23" s="752"/>
      <c r="G23" s="753"/>
      <c r="H23" s="751"/>
      <c r="I23" s="752"/>
      <c r="J23" s="753">
        <v>1900000</v>
      </c>
      <c r="K23" s="751">
        <v>1900000</v>
      </c>
      <c r="L23" s="752">
        <v>1899285</v>
      </c>
      <c r="M23" s="753"/>
      <c r="N23" s="751"/>
      <c r="O23" s="752"/>
      <c r="P23" s="753"/>
      <c r="Q23" s="751"/>
      <c r="R23" s="752"/>
      <c r="S23" s="754">
        <f t="shared" si="0"/>
        <v>1900000</v>
      </c>
      <c r="T23" s="754">
        <f t="shared" si="1"/>
        <v>1900000</v>
      </c>
      <c r="U23" s="754">
        <f t="shared" si="2"/>
        <v>1899285</v>
      </c>
      <c r="V23" s="495">
        <f t="shared" si="3"/>
        <v>99.96236842105263</v>
      </c>
    </row>
    <row r="24" spans="1:22" ht="15">
      <c r="A24" s="771" t="s">
        <v>700</v>
      </c>
      <c r="B24" s="191" t="s">
        <v>405</v>
      </c>
      <c r="C24" s="192" t="s">
        <v>727</v>
      </c>
      <c r="D24" s="751"/>
      <c r="E24" s="751"/>
      <c r="F24" s="752"/>
      <c r="G24" s="753"/>
      <c r="H24" s="751"/>
      <c r="I24" s="752"/>
      <c r="J24" s="753">
        <v>635000</v>
      </c>
      <c r="K24" s="751">
        <v>635000</v>
      </c>
      <c r="L24" s="752">
        <v>80772</v>
      </c>
      <c r="M24" s="753"/>
      <c r="N24" s="751"/>
      <c r="O24" s="752"/>
      <c r="P24" s="753"/>
      <c r="Q24" s="751"/>
      <c r="R24" s="752"/>
      <c r="S24" s="754">
        <f t="shared" si="0"/>
        <v>635000</v>
      </c>
      <c r="T24" s="754">
        <f t="shared" si="1"/>
        <v>635000</v>
      </c>
      <c r="U24" s="754">
        <f t="shared" si="2"/>
        <v>80772</v>
      </c>
      <c r="V24" s="495">
        <f t="shared" si="3"/>
        <v>12.72</v>
      </c>
    </row>
    <row r="25" spans="1:22" ht="15">
      <c r="A25" s="771" t="s">
        <v>670</v>
      </c>
      <c r="B25" s="191" t="s">
        <v>389</v>
      </c>
      <c r="C25" s="192" t="s">
        <v>390</v>
      </c>
      <c r="D25" s="751">
        <v>704000</v>
      </c>
      <c r="E25" s="751">
        <v>749494</v>
      </c>
      <c r="F25" s="752">
        <v>320929</v>
      </c>
      <c r="G25" s="753">
        <v>192000</v>
      </c>
      <c r="H25" s="751">
        <v>103555</v>
      </c>
      <c r="I25" s="752">
        <v>98804</v>
      </c>
      <c r="J25" s="753">
        <v>957000</v>
      </c>
      <c r="K25" s="751">
        <v>889000</v>
      </c>
      <c r="L25" s="752">
        <v>556114</v>
      </c>
      <c r="M25" s="753"/>
      <c r="N25" s="751"/>
      <c r="O25" s="752"/>
      <c r="P25" s="753"/>
      <c r="Q25" s="751"/>
      <c r="R25" s="752"/>
      <c r="S25" s="754">
        <f t="shared" si="0"/>
        <v>1853000</v>
      </c>
      <c r="T25" s="754">
        <f t="shared" si="1"/>
        <v>1742049</v>
      </c>
      <c r="U25" s="754">
        <f t="shared" si="2"/>
        <v>975847</v>
      </c>
      <c r="V25" s="495">
        <f t="shared" si="3"/>
        <v>56.017195842367244</v>
      </c>
    </row>
    <row r="26" spans="1:22" ht="18" customHeight="1">
      <c r="A26" s="771" t="s">
        <v>671</v>
      </c>
      <c r="B26" s="191" t="s">
        <v>406</v>
      </c>
      <c r="C26" s="205" t="s">
        <v>729</v>
      </c>
      <c r="D26" s="751"/>
      <c r="E26" s="751"/>
      <c r="F26" s="752"/>
      <c r="G26" s="753"/>
      <c r="H26" s="751"/>
      <c r="I26" s="752"/>
      <c r="J26" s="753">
        <v>60000</v>
      </c>
      <c r="K26" s="751">
        <v>223758</v>
      </c>
      <c r="L26" s="752">
        <v>218597</v>
      </c>
      <c r="M26" s="753"/>
      <c r="N26" s="751"/>
      <c r="O26" s="752"/>
      <c r="P26" s="753"/>
      <c r="Q26" s="751"/>
      <c r="R26" s="752"/>
      <c r="S26" s="754">
        <f t="shared" si="0"/>
        <v>60000</v>
      </c>
      <c r="T26" s="754">
        <f t="shared" si="1"/>
        <v>223758</v>
      </c>
      <c r="U26" s="754">
        <f t="shared" si="2"/>
        <v>218597</v>
      </c>
      <c r="V26" s="495">
        <f t="shared" si="3"/>
        <v>97.69349028861538</v>
      </c>
    </row>
    <row r="27" spans="1:22" ht="30">
      <c r="A27" s="771" t="s">
        <v>672</v>
      </c>
      <c r="B27" s="191" t="s">
        <v>407</v>
      </c>
      <c r="C27" s="192" t="s">
        <v>408</v>
      </c>
      <c r="D27" s="751"/>
      <c r="E27" s="751"/>
      <c r="F27" s="752"/>
      <c r="G27" s="753"/>
      <c r="H27" s="751"/>
      <c r="I27" s="752"/>
      <c r="J27" s="753"/>
      <c r="K27" s="751"/>
      <c r="L27" s="752"/>
      <c r="M27" s="753"/>
      <c r="N27" s="751"/>
      <c r="O27" s="752"/>
      <c r="P27" s="753">
        <v>675000</v>
      </c>
      <c r="Q27" s="751">
        <v>675000</v>
      </c>
      <c r="R27" s="752">
        <v>675000</v>
      </c>
      <c r="S27" s="754">
        <f t="shared" si="0"/>
        <v>675000</v>
      </c>
      <c r="T27" s="754">
        <f t="shared" si="1"/>
        <v>675000</v>
      </c>
      <c r="U27" s="754">
        <f t="shared" si="2"/>
        <v>675000</v>
      </c>
      <c r="V27" s="495">
        <f t="shared" si="3"/>
        <v>100</v>
      </c>
    </row>
    <row r="28" spans="1:22" ht="18" customHeight="1">
      <c r="A28" s="771" t="s">
        <v>674</v>
      </c>
      <c r="B28" s="191" t="s">
        <v>391</v>
      </c>
      <c r="C28" s="205" t="s">
        <v>731</v>
      </c>
      <c r="D28" s="751">
        <v>460000</v>
      </c>
      <c r="E28" s="751">
        <v>484580</v>
      </c>
      <c r="F28" s="752">
        <v>484180</v>
      </c>
      <c r="G28" s="753">
        <v>125000</v>
      </c>
      <c r="H28" s="751">
        <v>132320</v>
      </c>
      <c r="I28" s="752">
        <v>132320</v>
      </c>
      <c r="J28" s="753">
        <v>83000</v>
      </c>
      <c r="K28" s="751">
        <v>83000</v>
      </c>
      <c r="L28" s="752">
        <v>27583</v>
      </c>
      <c r="M28" s="753"/>
      <c r="N28" s="751"/>
      <c r="O28" s="752"/>
      <c r="P28" s="753"/>
      <c r="Q28" s="751"/>
      <c r="R28" s="752"/>
      <c r="S28" s="754">
        <f t="shared" si="0"/>
        <v>668000</v>
      </c>
      <c r="T28" s="754">
        <f t="shared" si="1"/>
        <v>699900</v>
      </c>
      <c r="U28" s="754">
        <f t="shared" si="2"/>
        <v>644083</v>
      </c>
      <c r="V28" s="495">
        <f t="shared" si="3"/>
        <v>92.02500357193884</v>
      </c>
    </row>
    <row r="29" spans="1:22" ht="30" customHeight="1">
      <c r="A29" s="771" t="s">
        <v>675</v>
      </c>
      <c r="B29" s="191" t="s">
        <v>942</v>
      </c>
      <c r="C29" s="758" t="s">
        <v>1031</v>
      </c>
      <c r="D29" s="751">
        <v>1726000</v>
      </c>
      <c r="E29" s="751">
        <v>1837776</v>
      </c>
      <c r="F29" s="752">
        <v>1837776</v>
      </c>
      <c r="G29" s="753">
        <v>471000</v>
      </c>
      <c r="H29" s="751">
        <v>507296</v>
      </c>
      <c r="I29" s="752">
        <v>501222</v>
      </c>
      <c r="J29" s="753">
        <v>343000</v>
      </c>
      <c r="K29" s="751">
        <v>411000</v>
      </c>
      <c r="L29" s="752">
        <v>409403</v>
      </c>
      <c r="M29" s="753"/>
      <c r="N29" s="751"/>
      <c r="O29" s="752"/>
      <c r="P29" s="753"/>
      <c r="Q29" s="751"/>
      <c r="R29" s="752"/>
      <c r="S29" s="754">
        <f>D29+G29+J29+M29+P29</f>
        <v>2540000</v>
      </c>
      <c r="T29" s="754">
        <f>E29+H29+K29+N29+Q29</f>
        <v>2756072</v>
      </c>
      <c r="U29" s="754">
        <f>F29+I29+L29+O29+R29</f>
        <v>2748401</v>
      </c>
      <c r="V29" s="495">
        <f>U29/T29*100</f>
        <v>99.72166910008157</v>
      </c>
    </row>
    <row r="30" spans="1:22" ht="30">
      <c r="A30" s="771" t="s">
        <v>676</v>
      </c>
      <c r="B30" s="191" t="s">
        <v>417</v>
      </c>
      <c r="C30" s="192" t="s">
        <v>418</v>
      </c>
      <c r="D30" s="751">
        <v>291000</v>
      </c>
      <c r="E30" s="751">
        <v>306177</v>
      </c>
      <c r="F30" s="752">
        <v>306177</v>
      </c>
      <c r="G30" s="753">
        <v>71000</v>
      </c>
      <c r="H30" s="751">
        <v>74402</v>
      </c>
      <c r="I30" s="752">
        <v>74402</v>
      </c>
      <c r="J30" s="753"/>
      <c r="K30" s="751"/>
      <c r="L30" s="752"/>
      <c r="M30" s="753"/>
      <c r="N30" s="751"/>
      <c r="O30" s="752"/>
      <c r="P30" s="753"/>
      <c r="Q30" s="751"/>
      <c r="R30" s="752"/>
      <c r="S30" s="754">
        <f t="shared" si="0"/>
        <v>362000</v>
      </c>
      <c r="T30" s="754">
        <f t="shared" si="1"/>
        <v>380579</v>
      </c>
      <c r="U30" s="754">
        <f t="shared" si="2"/>
        <v>380579</v>
      </c>
      <c r="V30" s="495">
        <f t="shared" si="3"/>
        <v>100</v>
      </c>
    </row>
    <row r="31" spans="1:22" ht="15">
      <c r="A31" s="771" t="s">
        <v>677</v>
      </c>
      <c r="B31" s="191" t="s">
        <v>409</v>
      </c>
      <c r="C31" s="192" t="s">
        <v>730</v>
      </c>
      <c r="D31" s="751"/>
      <c r="E31" s="751"/>
      <c r="F31" s="752"/>
      <c r="G31" s="753"/>
      <c r="H31" s="751"/>
      <c r="I31" s="752"/>
      <c r="J31" s="753"/>
      <c r="K31" s="751"/>
      <c r="L31" s="752"/>
      <c r="M31" s="753"/>
      <c r="N31" s="751"/>
      <c r="O31" s="752"/>
      <c r="P31" s="753">
        <v>240000</v>
      </c>
      <c r="Q31" s="751">
        <v>340000</v>
      </c>
      <c r="R31" s="752">
        <v>340000</v>
      </c>
      <c r="S31" s="754">
        <f t="shared" si="0"/>
        <v>240000</v>
      </c>
      <c r="T31" s="754">
        <f t="shared" si="1"/>
        <v>340000</v>
      </c>
      <c r="U31" s="754">
        <f t="shared" si="2"/>
        <v>340000</v>
      </c>
      <c r="V31" s="495">
        <f t="shared" si="3"/>
        <v>100</v>
      </c>
    </row>
    <row r="32" spans="1:22" ht="15">
      <c r="A32" s="771" t="s">
        <v>678</v>
      </c>
      <c r="B32" s="191" t="s">
        <v>410</v>
      </c>
      <c r="C32" s="192" t="s">
        <v>411</v>
      </c>
      <c r="D32" s="751"/>
      <c r="E32" s="751"/>
      <c r="F32" s="752"/>
      <c r="G32" s="753"/>
      <c r="H32" s="751"/>
      <c r="I32" s="752"/>
      <c r="J32" s="753"/>
      <c r="K32" s="751"/>
      <c r="L32" s="752"/>
      <c r="M32" s="753"/>
      <c r="N32" s="751">
        <v>50000</v>
      </c>
      <c r="O32" s="752">
        <v>37500</v>
      </c>
      <c r="P32" s="753">
        <v>50000</v>
      </c>
      <c r="Q32" s="751"/>
      <c r="R32" s="752"/>
      <c r="S32" s="754">
        <f t="shared" si="0"/>
        <v>50000</v>
      </c>
      <c r="T32" s="754">
        <f t="shared" si="1"/>
        <v>50000</v>
      </c>
      <c r="U32" s="754">
        <f t="shared" si="2"/>
        <v>37500</v>
      </c>
      <c r="V32" s="495">
        <f t="shared" si="3"/>
        <v>75</v>
      </c>
    </row>
    <row r="33" spans="1:22" ht="18" customHeight="1">
      <c r="A33" s="771" t="s">
        <v>679</v>
      </c>
      <c r="B33" s="191" t="s">
        <v>853</v>
      </c>
      <c r="C33" s="205" t="s">
        <v>854</v>
      </c>
      <c r="D33" s="751">
        <v>2567000</v>
      </c>
      <c r="E33" s="751">
        <v>2795160</v>
      </c>
      <c r="F33" s="752">
        <v>1951237</v>
      </c>
      <c r="G33" s="753">
        <v>700000</v>
      </c>
      <c r="H33" s="751">
        <v>545535</v>
      </c>
      <c r="I33" s="752">
        <v>493109</v>
      </c>
      <c r="J33" s="753">
        <v>3448000</v>
      </c>
      <c r="K33" s="751">
        <v>3620225</v>
      </c>
      <c r="L33" s="752">
        <v>3567459</v>
      </c>
      <c r="M33" s="753"/>
      <c r="N33" s="751"/>
      <c r="O33" s="752"/>
      <c r="P33" s="753"/>
      <c r="Q33" s="751"/>
      <c r="R33" s="752"/>
      <c r="S33" s="754">
        <f t="shared" si="0"/>
        <v>6715000</v>
      </c>
      <c r="T33" s="754">
        <f t="shared" si="1"/>
        <v>6960920</v>
      </c>
      <c r="U33" s="754">
        <f t="shared" si="2"/>
        <v>6011805</v>
      </c>
      <c r="V33" s="495">
        <f t="shared" si="3"/>
        <v>86.36509254523827</v>
      </c>
    </row>
    <row r="34" spans="1:22" ht="18" customHeight="1">
      <c r="A34" s="771" t="s">
        <v>347</v>
      </c>
      <c r="B34" s="191" t="s">
        <v>855</v>
      </c>
      <c r="C34" s="192" t="s">
        <v>856</v>
      </c>
      <c r="D34" s="751">
        <v>453000</v>
      </c>
      <c r="E34" s="751">
        <v>445649</v>
      </c>
      <c r="F34" s="752">
        <v>415943</v>
      </c>
      <c r="G34" s="753">
        <v>124000</v>
      </c>
      <c r="H34" s="751">
        <v>105157</v>
      </c>
      <c r="I34" s="752">
        <v>105157</v>
      </c>
      <c r="J34" s="753">
        <v>640000</v>
      </c>
      <c r="K34" s="751">
        <v>785153</v>
      </c>
      <c r="L34" s="752">
        <v>777376</v>
      </c>
      <c r="M34" s="753"/>
      <c r="N34" s="751"/>
      <c r="O34" s="752"/>
      <c r="P34" s="753"/>
      <c r="Q34" s="751"/>
      <c r="R34" s="752"/>
      <c r="S34" s="754">
        <f t="shared" si="0"/>
        <v>1217000</v>
      </c>
      <c r="T34" s="754">
        <f t="shared" si="1"/>
        <v>1335959</v>
      </c>
      <c r="U34" s="754">
        <f t="shared" si="2"/>
        <v>1298476</v>
      </c>
      <c r="V34" s="495">
        <f t="shared" si="3"/>
        <v>97.19430012447987</v>
      </c>
    </row>
    <row r="35" spans="1:22" ht="18" customHeight="1">
      <c r="A35" s="771" t="s">
        <v>348</v>
      </c>
      <c r="B35" s="191" t="s">
        <v>855</v>
      </c>
      <c r="C35" s="192" t="s">
        <v>857</v>
      </c>
      <c r="D35" s="751">
        <v>654000</v>
      </c>
      <c r="E35" s="751">
        <v>532017</v>
      </c>
      <c r="F35" s="752">
        <v>455066</v>
      </c>
      <c r="G35" s="753">
        <v>179000</v>
      </c>
      <c r="H35" s="751">
        <v>164710</v>
      </c>
      <c r="I35" s="752">
        <v>116117</v>
      </c>
      <c r="J35" s="753">
        <v>1031000</v>
      </c>
      <c r="K35" s="751">
        <v>1040611</v>
      </c>
      <c r="L35" s="752">
        <v>855515</v>
      </c>
      <c r="M35" s="753"/>
      <c r="N35" s="751"/>
      <c r="O35" s="752"/>
      <c r="P35" s="753"/>
      <c r="Q35" s="751"/>
      <c r="R35" s="752"/>
      <c r="S35" s="754">
        <f t="shared" si="0"/>
        <v>1864000</v>
      </c>
      <c r="T35" s="754">
        <f t="shared" si="1"/>
        <v>1737338</v>
      </c>
      <c r="U35" s="754">
        <f t="shared" si="2"/>
        <v>1426698</v>
      </c>
      <c r="V35" s="495">
        <f t="shared" si="3"/>
        <v>82.11977174274666</v>
      </c>
    </row>
    <row r="36" spans="1:22" ht="15">
      <c r="A36" s="771" t="s">
        <v>349</v>
      </c>
      <c r="B36" s="191">
        <v>104051</v>
      </c>
      <c r="C36" s="192" t="s">
        <v>395</v>
      </c>
      <c r="D36" s="751"/>
      <c r="E36" s="751"/>
      <c r="F36" s="752"/>
      <c r="G36" s="753"/>
      <c r="H36" s="751"/>
      <c r="I36" s="752"/>
      <c r="J36" s="753"/>
      <c r="K36" s="751"/>
      <c r="L36" s="752"/>
      <c r="M36" s="753">
        <v>46000</v>
      </c>
      <c r="N36" s="751">
        <v>46000</v>
      </c>
      <c r="O36" s="752">
        <v>23200</v>
      </c>
      <c r="P36" s="753"/>
      <c r="Q36" s="751"/>
      <c r="R36" s="752"/>
      <c r="S36" s="754">
        <f t="shared" si="0"/>
        <v>46000</v>
      </c>
      <c r="T36" s="754">
        <f t="shared" si="1"/>
        <v>46000</v>
      </c>
      <c r="U36" s="754">
        <f t="shared" si="2"/>
        <v>23200</v>
      </c>
      <c r="V36" s="495">
        <f t="shared" si="3"/>
        <v>50.43478260869565</v>
      </c>
    </row>
    <row r="37" spans="1:22" ht="15">
      <c r="A37" s="771" t="s">
        <v>350</v>
      </c>
      <c r="B37" s="191">
        <v>106020</v>
      </c>
      <c r="C37" s="192" t="s">
        <v>412</v>
      </c>
      <c r="D37" s="751"/>
      <c r="E37" s="751"/>
      <c r="F37" s="752"/>
      <c r="G37" s="753"/>
      <c r="H37" s="751"/>
      <c r="I37" s="752"/>
      <c r="J37" s="753"/>
      <c r="K37" s="751"/>
      <c r="L37" s="752"/>
      <c r="M37" s="753">
        <v>600000</v>
      </c>
      <c r="N37" s="751">
        <v>600000</v>
      </c>
      <c r="O37" s="752"/>
      <c r="P37" s="753"/>
      <c r="Q37" s="751"/>
      <c r="R37" s="752"/>
      <c r="S37" s="754">
        <f t="shared" si="0"/>
        <v>600000</v>
      </c>
      <c r="T37" s="754">
        <f t="shared" si="1"/>
        <v>600000</v>
      </c>
      <c r="U37" s="754">
        <f t="shared" si="2"/>
        <v>0</v>
      </c>
      <c r="V37" s="495">
        <f t="shared" si="3"/>
        <v>0</v>
      </c>
    </row>
    <row r="38" spans="1:22" ht="18" customHeight="1">
      <c r="A38" s="771" t="s">
        <v>351</v>
      </c>
      <c r="B38" s="191" t="s">
        <v>396</v>
      </c>
      <c r="C38" s="205" t="s">
        <v>707</v>
      </c>
      <c r="D38" s="751">
        <v>1359000</v>
      </c>
      <c r="E38" s="751">
        <v>1410103</v>
      </c>
      <c r="F38" s="752">
        <v>1114085</v>
      </c>
      <c r="G38" s="753">
        <v>371000</v>
      </c>
      <c r="H38" s="751">
        <v>320826</v>
      </c>
      <c r="I38" s="752">
        <v>282911</v>
      </c>
      <c r="J38" s="753">
        <v>2108000</v>
      </c>
      <c r="K38" s="751">
        <v>2333091</v>
      </c>
      <c r="L38" s="752">
        <v>2114722</v>
      </c>
      <c r="M38" s="753"/>
      <c r="N38" s="751"/>
      <c r="O38" s="752"/>
      <c r="P38" s="753"/>
      <c r="Q38" s="751"/>
      <c r="R38" s="752"/>
      <c r="S38" s="754">
        <f t="shared" si="0"/>
        <v>3838000</v>
      </c>
      <c r="T38" s="754">
        <f t="shared" si="1"/>
        <v>4064020</v>
      </c>
      <c r="U38" s="754">
        <f t="shared" si="2"/>
        <v>3511718</v>
      </c>
      <c r="V38" s="495">
        <f t="shared" si="3"/>
        <v>86.4099586124084</v>
      </c>
    </row>
    <row r="39" spans="1:22" ht="18" customHeight="1">
      <c r="A39" s="771" t="s">
        <v>352</v>
      </c>
      <c r="B39" s="191">
        <v>107052</v>
      </c>
      <c r="C39" s="195" t="s">
        <v>493</v>
      </c>
      <c r="D39" s="751"/>
      <c r="E39" s="751"/>
      <c r="F39" s="752"/>
      <c r="G39" s="753"/>
      <c r="H39" s="751"/>
      <c r="I39" s="752"/>
      <c r="J39" s="753">
        <v>702000</v>
      </c>
      <c r="K39" s="751">
        <v>62000</v>
      </c>
      <c r="L39" s="752">
        <v>25089</v>
      </c>
      <c r="M39" s="753"/>
      <c r="N39" s="751"/>
      <c r="O39" s="752"/>
      <c r="P39" s="753"/>
      <c r="Q39" s="751">
        <v>640000</v>
      </c>
      <c r="R39" s="752">
        <v>640000</v>
      </c>
      <c r="S39" s="754">
        <f t="shared" si="0"/>
        <v>702000</v>
      </c>
      <c r="T39" s="754">
        <f t="shared" si="1"/>
        <v>702000</v>
      </c>
      <c r="U39" s="754">
        <f t="shared" si="2"/>
        <v>665089</v>
      </c>
      <c r="V39" s="495">
        <f t="shared" si="3"/>
        <v>94.7420227920228</v>
      </c>
    </row>
    <row r="40" spans="1:22" ht="15.75" thickBot="1">
      <c r="A40" s="776" t="s">
        <v>353</v>
      </c>
      <c r="B40" s="496">
        <v>107060</v>
      </c>
      <c r="C40" s="192" t="s">
        <v>413</v>
      </c>
      <c r="D40" s="751"/>
      <c r="E40" s="751"/>
      <c r="F40" s="752"/>
      <c r="G40" s="753"/>
      <c r="H40" s="751"/>
      <c r="I40" s="752"/>
      <c r="J40" s="753"/>
      <c r="K40" s="751">
        <v>647700</v>
      </c>
      <c r="L40" s="752">
        <v>647700</v>
      </c>
      <c r="M40" s="753">
        <v>2715000</v>
      </c>
      <c r="N40" s="751">
        <v>2715000</v>
      </c>
      <c r="O40" s="752">
        <v>2140800</v>
      </c>
      <c r="P40" s="753"/>
      <c r="Q40" s="751"/>
      <c r="R40" s="752"/>
      <c r="S40" s="754">
        <f t="shared" si="0"/>
        <v>2715000</v>
      </c>
      <c r="T40" s="754">
        <f t="shared" si="1"/>
        <v>3362700</v>
      </c>
      <c r="U40" s="754">
        <f t="shared" si="2"/>
        <v>2788500</v>
      </c>
      <c r="V40" s="495">
        <f t="shared" si="3"/>
        <v>82.92443572129538</v>
      </c>
    </row>
    <row r="41" spans="1:22" ht="42.75" customHeight="1" thickBot="1">
      <c r="A41" s="777" t="s">
        <v>354</v>
      </c>
      <c r="B41" s="200"/>
      <c r="C41" s="201" t="s">
        <v>705</v>
      </c>
      <c r="D41" s="778">
        <f>SUM(D13:D40)</f>
        <v>16287000</v>
      </c>
      <c r="E41" s="778">
        <f aca="true" t="shared" si="4" ref="E41:U41">SUM(E13:E40)</f>
        <v>19942600</v>
      </c>
      <c r="F41" s="778">
        <f t="shared" si="4"/>
        <v>18122849</v>
      </c>
      <c r="G41" s="778">
        <f t="shared" si="4"/>
        <v>4524000</v>
      </c>
      <c r="H41" s="778">
        <f t="shared" si="4"/>
        <v>4882695</v>
      </c>
      <c r="I41" s="778">
        <f t="shared" si="4"/>
        <v>4727499</v>
      </c>
      <c r="J41" s="778">
        <f t="shared" si="4"/>
        <v>22513021</v>
      </c>
      <c r="K41" s="778">
        <f t="shared" si="4"/>
        <v>20913968</v>
      </c>
      <c r="L41" s="778">
        <f t="shared" si="4"/>
        <v>15006875</v>
      </c>
      <c r="M41" s="778">
        <f t="shared" si="4"/>
        <v>3361000</v>
      </c>
      <c r="N41" s="778">
        <f t="shared" si="4"/>
        <v>3411000</v>
      </c>
      <c r="O41" s="778">
        <f t="shared" si="4"/>
        <v>2201500</v>
      </c>
      <c r="P41" s="778">
        <f t="shared" si="4"/>
        <v>1127000</v>
      </c>
      <c r="Q41" s="778">
        <f t="shared" si="4"/>
        <v>36695777</v>
      </c>
      <c r="R41" s="778">
        <f t="shared" si="4"/>
        <v>2851199</v>
      </c>
      <c r="S41" s="778">
        <f t="shared" si="4"/>
        <v>47812021</v>
      </c>
      <c r="T41" s="778">
        <f t="shared" si="4"/>
        <v>85846040</v>
      </c>
      <c r="U41" s="778">
        <f t="shared" si="4"/>
        <v>42909922</v>
      </c>
      <c r="V41" s="779">
        <f>U41/T41*100</f>
        <v>49.984742452884255</v>
      </c>
    </row>
  </sheetData>
  <sheetProtection/>
  <mergeCells count="14">
    <mergeCell ref="A10:A12"/>
    <mergeCell ref="B2:V2"/>
    <mergeCell ref="B6:V6"/>
    <mergeCell ref="S10:V10"/>
    <mergeCell ref="B5:V5"/>
    <mergeCell ref="B7:V7"/>
    <mergeCell ref="V11:V12"/>
    <mergeCell ref="B3:R3"/>
    <mergeCell ref="M10:O10"/>
    <mergeCell ref="P10:R10"/>
    <mergeCell ref="B10:B12"/>
    <mergeCell ref="C10:C12"/>
    <mergeCell ref="D10:F10"/>
    <mergeCell ref="J10:L10"/>
  </mergeCells>
  <printOptions horizontalCentered="1" verticalCentered="1"/>
  <pageMargins left="0" right="0" top="0.4330708661417323" bottom="0.3937007874015748" header="0.2755905511811024" footer="0.31496062992125984"/>
  <pageSetup fitToHeight="1" fitToWidth="1" horizontalDpi="600" verticalDpi="600" orientation="landscape" paperSize="8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G44"/>
  <sheetViews>
    <sheetView showGridLines="0" zoomScalePageLayoutView="0" workbookViewId="0" topLeftCell="A1">
      <selection activeCell="B3" sqref="B3:R3"/>
    </sheetView>
  </sheetViews>
  <sheetFormatPr defaultColWidth="9.00390625" defaultRowHeight="12.75"/>
  <cols>
    <col min="1" max="1" width="4.125" style="7" customWidth="1"/>
    <col min="2" max="2" width="9.125" style="7" customWidth="1"/>
    <col min="3" max="3" width="59.125" style="7" customWidth="1"/>
    <col min="4" max="4" width="10.375" style="7" customWidth="1"/>
    <col min="5" max="5" width="9.25390625" style="7" customWidth="1"/>
    <col min="6" max="6" width="9.125" style="7" customWidth="1"/>
    <col min="7" max="7" width="10.125" style="7" customWidth="1"/>
    <col min="8" max="8" width="11.125" style="7" customWidth="1"/>
    <col min="9" max="9" width="10.25390625" style="7" customWidth="1"/>
    <col min="10" max="10" width="7.75390625" style="7" customWidth="1"/>
    <col min="11" max="11" width="9.125" style="7" customWidth="1"/>
    <col min="12" max="12" width="7.75390625" style="7" customWidth="1"/>
    <col min="13" max="13" width="10.00390625" style="7" customWidth="1"/>
    <col min="14" max="14" width="10.25390625" style="7" customWidth="1"/>
    <col min="15" max="15" width="9.875" style="7" customWidth="1"/>
    <col min="16" max="16" width="7.25390625" style="7" customWidth="1"/>
    <col min="17" max="16384" width="9.125" style="7" customWidth="1"/>
  </cols>
  <sheetData>
    <row r="2" spans="2:16" s="31" customFormat="1" ht="12.75">
      <c r="B2" s="1049"/>
      <c r="C2" s="1049"/>
      <c r="D2" s="1049"/>
      <c r="E2" s="1049"/>
      <c r="F2" s="1049"/>
      <c r="G2" s="1049"/>
      <c r="H2" s="1049"/>
      <c r="I2" s="1049"/>
      <c r="J2" s="1049"/>
      <c r="K2" s="1049"/>
      <c r="L2" s="1049"/>
      <c r="M2" s="1049"/>
      <c r="N2" s="1049"/>
      <c r="O2" s="1049"/>
      <c r="P2" s="1049"/>
    </row>
    <row r="3" spans="2:18" s="31" customFormat="1" ht="12.75">
      <c r="B3" s="1068" t="s">
        <v>1161</v>
      </c>
      <c r="C3" s="1068"/>
      <c r="D3" s="1068"/>
      <c r="E3" s="1068"/>
      <c r="F3" s="1068"/>
      <c r="G3" s="1068"/>
      <c r="H3" s="1068"/>
      <c r="I3" s="1068"/>
      <c r="J3" s="1068"/>
      <c r="K3" s="1068"/>
      <c r="L3" s="1068"/>
      <c r="M3" s="1068"/>
      <c r="N3" s="1068"/>
      <c r="O3" s="1068"/>
      <c r="P3" s="1068"/>
      <c r="Q3" s="1068"/>
      <c r="R3" s="1068"/>
    </row>
    <row r="4" spans="2:18" s="31" customFormat="1" ht="12.75"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</row>
    <row r="5" spans="2:22" s="493" customFormat="1" ht="14.25">
      <c r="B5" s="1047" t="s">
        <v>307</v>
      </c>
      <c r="C5" s="1047"/>
      <c r="D5" s="1047"/>
      <c r="E5" s="1047"/>
      <c r="F5" s="1047"/>
      <c r="G5" s="1047"/>
      <c r="H5" s="1047"/>
      <c r="I5" s="1047"/>
      <c r="J5" s="1047"/>
      <c r="K5" s="1047"/>
      <c r="L5" s="1047"/>
      <c r="M5" s="1047"/>
      <c r="N5" s="1047"/>
      <c r="O5" s="1047"/>
      <c r="P5" s="1047"/>
      <c r="Q5" s="497"/>
      <c r="R5" s="497"/>
      <c r="S5" s="497"/>
      <c r="T5" s="497"/>
      <c r="U5" s="497"/>
      <c r="V5" s="497"/>
    </row>
    <row r="6" spans="2:22" s="494" customFormat="1" ht="15">
      <c r="B6" s="1047" t="s">
        <v>309</v>
      </c>
      <c r="C6" s="1047"/>
      <c r="D6" s="1047"/>
      <c r="E6" s="1047"/>
      <c r="F6" s="1047"/>
      <c r="G6" s="1047"/>
      <c r="H6" s="1047"/>
      <c r="I6" s="1047"/>
      <c r="J6" s="1047"/>
      <c r="K6" s="1047"/>
      <c r="L6" s="1047"/>
      <c r="M6" s="1047"/>
      <c r="N6" s="1047"/>
      <c r="O6" s="1047"/>
      <c r="P6" s="1047"/>
      <c r="Q6" s="497"/>
      <c r="R6" s="497"/>
      <c r="S6" s="497"/>
      <c r="T6" s="497"/>
      <c r="U6" s="497"/>
      <c r="V6" s="497"/>
    </row>
    <row r="7" spans="2:22" s="493" customFormat="1" ht="14.25">
      <c r="B7" s="1047" t="s">
        <v>1012</v>
      </c>
      <c r="C7" s="1047"/>
      <c r="D7" s="1047"/>
      <c r="E7" s="1047"/>
      <c r="F7" s="1047"/>
      <c r="G7" s="1047"/>
      <c r="H7" s="1047"/>
      <c r="I7" s="1047"/>
      <c r="J7" s="1047"/>
      <c r="K7" s="1047"/>
      <c r="L7" s="1047"/>
      <c r="M7" s="1047"/>
      <c r="N7" s="1047"/>
      <c r="O7" s="1047"/>
      <c r="P7" s="1047"/>
      <c r="Q7" s="497"/>
      <c r="R7" s="497"/>
      <c r="S7" s="497"/>
      <c r="T7" s="497"/>
      <c r="U7" s="497"/>
      <c r="V7" s="497"/>
    </row>
    <row r="8" ht="13.5" thickBot="1">
      <c r="P8" s="499" t="s">
        <v>920</v>
      </c>
    </row>
    <row r="9" spans="1:33" ht="39.75" customHeight="1" thickBot="1">
      <c r="A9" s="1089" t="s">
        <v>1033</v>
      </c>
      <c r="B9" s="1092"/>
      <c r="C9" s="1078" t="s">
        <v>16</v>
      </c>
      <c r="D9" s="1088" t="s">
        <v>771</v>
      </c>
      <c r="E9" s="1082"/>
      <c r="F9" s="1083"/>
      <c r="G9" s="1085" t="s">
        <v>772</v>
      </c>
      <c r="H9" s="1082"/>
      <c r="I9" s="1083"/>
      <c r="J9" s="1085" t="s">
        <v>421</v>
      </c>
      <c r="K9" s="1082"/>
      <c r="L9" s="1083"/>
      <c r="M9" s="1085" t="s">
        <v>932</v>
      </c>
      <c r="N9" s="1086"/>
      <c r="O9" s="1086"/>
      <c r="P9" s="1087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2.75">
      <c r="A10" s="1090"/>
      <c r="B10" s="1093"/>
      <c r="C10" s="1079"/>
      <c r="D10" s="32" t="s">
        <v>693</v>
      </c>
      <c r="E10" s="32" t="s">
        <v>695</v>
      </c>
      <c r="F10" s="32" t="s">
        <v>696</v>
      </c>
      <c r="G10" s="32" t="s">
        <v>693</v>
      </c>
      <c r="H10" s="32" t="s">
        <v>695</v>
      </c>
      <c r="I10" s="32" t="s">
        <v>696</v>
      </c>
      <c r="J10" s="32" t="s">
        <v>693</v>
      </c>
      <c r="K10" s="32" t="s">
        <v>695</v>
      </c>
      <c r="L10" s="32" t="s">
        <v>696</v>
      </c>
      <c r="M10" s="33" t="s">
        <v>693</v>
      </c>
      <c r="N10" s="33" t="s">
        <v>695</v>
      </c>
      <c r="O10" s="33" t="s">
        <v>696</v>
      </c>
      <c r="P10" s="1066" t="s">
        <v>495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16" ht="13.5" thickBot="1">
      <c r="A11" s="1091"/>
      <c r="B11" s="1094"/>
      <c r="C11" s="1080"/>
      <c r="D11" s="34" t="s">
        <v>697</v>
      </c>
      <c r="E11" s="34" t="s">
        <v>697</v>
      </c>
      <c r="F11" s="34" t="s">
        <v>656</v>
      </c>
      <c r="G11" s="34" t="s">
        <v>697</v>
      </c>
      <c r="H11" s="34" t="s">
        <v>697</v>
      </c>
      <c r="I11" s="34" t="s">
        <v>656</v>
      </c>
      <c r="J11" s="34" t="s">
        <v>697</v>
      </c>
      <c r="K11" s="34" t="s">
        <v>697</v>
      </c>
      <c r="L11" s="34" t="s">
        <v>656</v>
      </c>
      <c r="M11" s="34" t="s">
        <v>697</v>
      </c>
      <c r="N11" s="34" t="s">
        <v>697</v>
      </c>
      <c r="O11" s="34" t="s">
        <v>656</v>
      </c>
      <c r="P11" s="1067"/>
    </row>
    <row r="12" spans="1:16" s="8" customFormat="1" ht="30">
      <c r="A12" s="772" t="s">
        <v>342</v>
      </c>
      <c r="B12" s="762" t="s">
        <v>23</v>
      </c>
      <c r="C12" s="192" t="s">
        <v>24</v>
      </c>
      <c r="D12" s="755">
        <v>102000</v>
      </c>
      <c r="E12" s="751">
        <v>39852</v>
      </c>
      <c r="F12" s="752">
        <v>24900</v>
      </c>
      <c r="G12" s="753"/>
      <c r="H12" s="751"/>
      <c r="I12" s="752"/>
      <c r="J12" s="753"/>
      <c r="K12" s="751">
        <v>240000</v>
      </c>
      <c r="L12" s="752"/>
      <c r="M12" s="754">
        <f>D12+G12+J12</f>
        <v>102000</v>
      </c>
      <c r="N12" s="754">
        <f>E12+H12+K12</f>
        <v>279852</v>
      </c>
      <c r="O12" s="754">
        <f>F12+I12+L12</f>
        <v>24900</v>
      </c>
      <c r="P12" s="43">
        <f>O12/N12*100</f>
        <v>8.897560138930578</v>
      </c>
    </row>
    <row r="13" spans="1:16" s="8" customFormat="1" ht="15">
      <c r="A13" s="773" t="s">
        <v>343</v>
      </c>
      <c r="B13" s="763" t="s">
        <v>332</v>
      </c>
      <c r="C13" s="192" t="s">
        <v>732</v>
      </c>
      <c r="D13" s="755"/>
      <c r="E13" s="755"/>
      <c r="F13" s="756"/>
      <c r="G13" s="757"/>
      <c r="H13" s="755"/>
      <c r="I13" s="756"/>
      <c r="J13" s="757"/>
      <c r="K13" s="755"/>
      <c r="L13" s="756"/>
      <c r="M13" s="754"/>
      <c r="N13" s="754"/>
      <c r="O13" s="754"/>
      <c r="P13" s="43"/>
    </row>
    <row r="14" spans="1:16" s="8" customFormat="1" ht="18.75" customHeight="1">
      <c r="A14" s="773" t="s">
        <v>344</v>
      </c>
      <c r="B14" s="763" t="s">
        <v>333</v>
      </c>
      <c r="C14" s="192" t="s">
        <v>334</v>
      </c>
      <c r="D14" s="755">
        <v>2000000</v>
      </c>
      <c r="E14" s="755">
        <v>4977200</v>
      </c>
      <c r="F14" s="756">
        <v>1822400</v>
      </c>
      <c r="G14" s="757"/>
      <c r="H14" s="755"/>
      <c r="I14" s="756"/>
      <c r="J14" s="757"/>
      <c r="K14" s="755"/>
      <c r="L14" s="756"/>
      <c r="M14" s="754">
        <f>D14+G14+J14</f>
        <v>2000000</v>
      </c>
      <c r="N14" s="754">
        <f>E14+H14+K14</f>
        <v>4977200</v>
      </c>
      <c r="O14" s="754">
        <f>F14+I14+L14</f>
        <v>1822400</v>
      </c>
      <c r="P14" s="44">
        <f>O14/N14*100</f>
        <v>36.61496423692036</v>
      </c>
    </row>
    <row r="15" spans="1:16" ht="15">
      <c r="A15" s="773" t="s">
        <v>345</v>
      </c>
      <c r="B15" s="764" t="s">
        <v>335</v>
      </c>
      <c r="C15" s="190" t="s">
        <v>336</v>
      </c>
      <c r="D15" s="755"/>
      <c r="E15" s="755"/>
      <c r="F15" s="756"/>
      <c r="G15" s="757"/>
      <c r="H15" s="755"/>
      <c r="I15" s="756"/>
      <c r="J15" s="757"/>
      <c r="K15" s="755"/>
      <c r="L15" s="756"/>
      <c r="M15" s="754"/>
      <c r="N15" s="754"/>
      <c r="O15" s="754"/>
      <c r="P15" s="43"/>
    </row>
    <row r="16" spans="1:16" ht="18" customHeight="1">
      <c r="A16" s="773" t="s">
        <v>346</v>
      </c>
      <c r="B16" s="763" t="s">
        <v>338</v>
      </c>
      <c r="C16" s="192" t="s">
        <v>339</v>
      </c>
      <c r="D16" s="751"/>
      <c r="E16" s="751"/>
      <c r="F16" s="752"/>
      <c r="G16" s="753"/>
      <c r="H16" s="751"/>
      <c r="I16" s="752"/>
      <c r="J16" s="753"/>
      <c r="K16" s="751"/>
      <c r="L16" s="752"/>
      <c r="M16" s="754"/>
      <c r="N16" s="754"/>
      <c r="O16" s="754"/>
      <c r="P16" s="44"/>
    </row>
    <row r="17" spans="1:16" ht="15">
      <c r="A17" s="773" t="s">
        <v>368</v>
      </c>
      <c r="B17" s="765" t="s">
        <v>400</v>
      </c>
      <c r="C17" s="192" t="s">
        <v>492</v>
      </c>
      <c r="D17" s="751"/>
      <c r="E17" s="751"/>
      <c r="F17" s="752"/>
      <c r="G17" s="753"/>
      <c r="H17" s="751">
        <v>10000000</v>
      </c>
      <c r="I17" s="752"/>
      <c r="J17" s="753"/>
      <c r="K17" s="751"/>
      <c r="L17" s="752"/>
      <c r="M17" s="754"/>
      <c r="N17" s="754">
        <f>E17+H17+K17</f>
        <v>10000000</v>
      </c>
      <c r="O17" s="754"/>
      <c r="P17" s="44"/>
    </row>
    <row r="18" spans="1:16" ht="30">
      <c r="A18" s="773" t="s">
        <v>369</v>
      </c>
      <c r="B18" s="766" t="s">
        <v>401</v>
      </c>
      <c r="C18" s="192" t="s">
        <v>402</v>
      </c>
      <c r="D18" s="751"/>
      <c r="E18" s="751"/>
      <c r="F18" s="752"/>
      <c r="G18" s="753"/>
      <c r="H18" s="751"/>
      <c r="I18" s="752"/>
      <c r="J18" s="753"/>
      <c r="K18" s="751"/>
      <c r="L18" s="752"/>
      <c r="M18" s="754"/>
      <c r="N18" s="754"/>
      <c r="O18" s="754"/>
      <c r="P18" s="44"/>
    </row>
    <row r="19" spans="1:16" ht="15">
      <c r="A19" s="773" t="s">
        <v>370</v>
      </c>
      <c r="B19" s="766" t="s">
        <v>419</v>
      </c>
      <c r="C19" s="192" t="s">
        <v>420</v>
      </c>
      <c r="D19" s="751"/>
      <c r="E19" s="751"/>
      <c r="F19" s="752"/>
      <c r="G19" s="753"/>
      <c r="H19" s="751"/>
      <c r="I19" s="752"/>
      <c r="J19" s="753"/>
      <c r="K19" s="751"/>
      <c r="L19" s="752"/>
      <c r="M19" s="754"/>
      <c r="N19" s="754"/>
      <c r="O19" s="754"/>
      <c r="P19" s="44"/>
    </row>
    <row r="20" spans="1:16" ht="15">
      <c r="A20" s="773" t="s">
        <v>371</v>
      </c>
      <c r="B20" s="763" t="s">
        <v>386</v>
      </c>
      <c r="C20" s="192" t="s">
        <v>387</v>
      </c>
      <c r="D20" s="751"/>
      <c r="E20" s="751">
        <v>2540000</v>
      </c>
      <c r="F20" s="752">
        <v>2023364</v>
      </c>
      <c r="G20" s="753"/>
      <c r="H20" s="751"/>
      <c r="I20" s="752"/>
      <c r="J20" s="753"/>
      <c r="K20" s="751"/>
      <c r="L20" s="752"/>
      <c r="M20" s="754"/>
      <c r="N20" s="754">
        <f>E20+H20+K20</f>
        <v>2540000</v>
      </c>
      <c r="O20" s="754">
        <f>F20+I20+L20</f>
        <v>2023364</v>
      </c>
      <c r="P20" s="44">
        <f>O20/N20*100</f>
        <v>79.66</v>
      </c>
    </row>
    <row r="21" spans="1:16" ht="15">
      <c r="A21" s="773" t="s">
        <v>668</v>
      </c>
      <c r="B21" s="763" t="s">
        <v>403</v>
      </c>
      <c r="C21" s="192" t="s">
        <v>404</v>
      </c>
      <c r="D21" s="751"/>
      <c r="E21" s="751"/>
      <c r="F21" s="752"/>
      <c r="G21" s="753"/>
      <c r="H21" s="751"/>
      <c r="I21" s="752"/>
      <c r="J21" s="753">
        <v>600000</v>
      </c>
      <c r="K21" s="751">
        <v>960000</v>
      </c>
      <c r="L21" s="752">
        <v>600000</v>
      </c>
      <c r="M21" s="754">
        <f>D21+G21+J21</f>
        <v>600000</v>
      </c>
      <c r="N21" s="754">
        <f>E21+H21+K21</f>
        <v>960000</v>
      </c>
      <c r="O21" s="754">
        <f>F21+I21+L21</f>
        <v>600000</v>
      </c>
      <c r="P21" s="44">
        <f>O21/N21*100</f>
        <v>62.5</v>
      </c>
    </row>
    <row r="22" spans="1:16" ht="18" customHeight="1">
      <c r="A22" s="773" t="s">
        <v>669</v>
      </c>
      <c r="B22" s="763" t="s">
        <v>388</v>
      </c>
      <c r="C22" s="192" t="s">
        <v>728</v>
      </c>
      <c r="D22" s="751"/>
      <c r="E22" s="751"/>
      <c r="F22" s="752"/>
      <c r="G22" s="753"/>
      <c r="H22" s="751"/>
      <c r="I22" s="752"/>
      <c r="J22" s="753"/>
      <c r="K22" s="751"/>
      <c r="L22" s="752"/>
      <c r="M22" s="754"/>
      <c r="N22" s="754"/>
      <c r="O22" s="754"/>
      <c r="P22" s="44"/>
    </row>
    <row r="23" spans="1:16" ht="15">
      <c r="A23" s="773" t="s">
        <v>700</v>
      </c>
      <c r="B23" s="763" t="s">
        <v>405</v>
      </c>
      <c r="C23" s="192" t="s">
        <v>727</v>
      </c>
      <c r="D23" s="751"/>
      <c r="E23" s="751"/>
      <c r="F23" s="752"/>
      <c r="G23" s="753"/>
      <c r="H23" s="751"/>
      <c r="I23" s="752"/>
      <c r="J23" s="753"/>
      <c r="K23" s="751"/>
      <c r="L23" s="752"/>
      <c r="M23" s="754"/>
      <c r="N23" s="754"/>
      <c r="O23" s="754"/>
      <c r="P23" s="44"/>
    </row>
    <row r="24" spans="1:16" ht="15">
      <c r="A24" s="773" t="s">
        <v>670</v>
      </c>
      <c r="B24" s="763" t="s">
        <v>389</v>
      </c>
      <c r="C24" s="192" t="s">
        <v>390</v>
      </c>
      <c r="D24" s="751">
        <v>465000</v>
      </c>
      <c r="E24" s="751">
        <v>633000</v>
      </c>
      <c r="F24" s="752">
        <v>632999</v>
      </c>
      <c r="G24" s="753"/>
      <c r="H24" s="751"/>
      <c r="I24" s="752"/>
      <c r="J24" s="753"/>
      <c r="K24" s="751"/>
      <c r="L24" s="752"/>
      <c r="M24" s="754">
        <f aca="true" t="shared" si="0" ref="M24:O27">D24+G24+J24</f>
        <v>465000</v>
      </c>
      <c r="N24" s="754">
        <f t="shared" si="0"/>
        <v>633000</v>
      </c>
      <c r="O24" s="754">
        <f t="shared" si="0"/>
        <v>632999</v>
      </c>
      <c r="P24" s="44">
        <f>O24/N24*100</f>
        <v>99.99984202211691</v>
      </c>
    </row>
    <row r="25" spans="1:16" ht="18" customHeight="1">
      <c r="A25" s="773" t="s">
        <v>671</v>
      </c>
      <c r="B25" s="763" t="s">
        <v>406</v>
      </c>
      <c r="C25" s="205" t="s">
        <v>729</v>
      </c>
      <c r="D25" s="751"/>
      <c r="E25" s="751">
        <v>175098</v>
      </c>
      <c r="F25" s="752">
        <v>175098</v>
      </c>
      <c r="G25" s="753">
        <v>23205000</v>
      </c>
      <c r="H25" s="751">
        <v>23630000</v>
      </c>
      <c r="I25" s="752">
        <v>23154990</v>
      </c>
      <c r="J25" s="753"/>
      <c r="K25" s="751"/>
      <c r="L25" s="752"/>
      <c r="M25" s="754">
        <f t="shared" si="0"/>
        <v>23205000</v>
      </c>
      <c r="N25" s="754">
        <f t="shared" si="0"/>
        <v>23805098</v>
      </c>
      <c r="O25" s="754">
        <f t="shared" si="0"/>
        <v>23330088</v>
      </c>
      <c r="P25" s="44">
        <f>O25/N25*100</f>
        <v>98.00458708466564</v>
      </c>
    </row>
    <row r="26" spans="1:16" ht="15">
      <c r="A26" s="773" t="s">
        <v>672</v>
      </c>
      <c r="B26" s="763" t="s">
        <v>407</v>
      </c>
      <c r="C26" s="192" t="s">
        <v>408</v>
      </c>
      <c r="D26" s="751"/>
      <c r="E26" s="751"/>
      <c r="F26" s="752"/>
      <c r="G26" s="753"/>
      <c r="H26" s="751"/>
      <c r="I26" s="752"/>
      <c r="J26" s="753"/>
      <c r="K26" s="751"/>
      <c r="L26" s="752"/>
      <c r="M26" s="754"/>
      <c r="N26" s="754"/>
      <c r="O26" s="754"/>
      <c r="P26" s="44"/>
    </row>
    <row r="27" spans="1:16" ht="18" customHeight="1">
      <c r="A27" s="773" t="s">
        <v>674</v>
      </c>
      <c r="B27" s="763" t="s">
        <v>391</v>
      </c>
      <c r="C27" s="205" t="s">
        <v>731</v>
      </c>
      <c r="D27" s="751">
        <v>180000</v>
      </c>
      <c r="E27" s="751">
        <v>178660</v>
      </c>
      <c r="F27" s="752"/>
      <c r="G27" s="753"/>
      <c r="H27" s="751"/>
      <c r="I27" s="752"/>
      <c r="J27" s="753"/>
      <c r="K27" s="751"/>
      <c r="L27" s="752"/>
      <c r="M27" s="754">
        <f t="shared" si="0"/>
        <v>180000</v>
      </c>
      <c r="N27" s="754">
        <f t="shared" si="0"/>
        <v>178660</v>
      </c>
      <c r="O27" s="754"/>
      <c r="P27" s="44"/>
    </row>
    <row r="28" spans="1:16" ht="18" customHeight="1">
      <c r="A28" s="773" t="s">
        <v>675</v>
      </c>
      <c r="B28" s="763" t="s">
        <v>942</v>
      </c>
      <c r="C28" s="758" t="s">
        <v>1031</v>
      </c>
      <c r="D28" s="751"/>
      <c r="E28" s="751"/>
      <c r="F28" s="752"/>
      <c r="G28" s="753"/>
      <c r="H28" s="751"/>
      <c r="I28" s="752"/>
      <c r="J28" s="753"/>
      <c r="K28" s="751"/>
      <c r="L28" s="752"/>
      <c r="M28" s="754"/>
      <c r="N28" s="754"/>
      <c r="O28" s="754"/>
      <c r="P28" s="44"/>
    </row>
    <row r="29" spans="1:16" ht="15">
      <c r="A29" s="773" t="s">
        <v>676</v>
      </c>
      <c r="B29" s="763" t="s">
        <v>417</v>
      </c>
      <c r="C29" s="192" t="s">
        <v>418</v>
      </c>
      <c r="D29" s="751"/>
      <c r="E29" s="751"/>
      <c r="F29" s="752"/>
      <c r="G29" s="753"/>
      <c r="H29" s="751"/>
      <c r="I29" s="752"/>
      <c r="J29" s="753"/>
      <c r="K29" s="751"/>
      <c r="L29" s="752"/>
      <c r="M29" s="754"/>
      <c r="N29" s="754"/>
      <c r="O29" s="754"/>
      <c r="P29" s="44"/>
    </row>
    <row r="30" spans="1:16" ht="15">
      <c r="A30" s="773" t="s">
        <v>677</v>
      </c>
      <c r="B30" s="763" t="s">
        <v>409</v>
      </c>
      <c r="C30" s="192" t="s">
        <v>730</v>
      </c>
      <c r="D30" s="751"/>
      <c r="E30" s="751"/>
      <c r="F30" s="752"/>
      <c r="G30" s="753"/>
      <c r="H30" s="751"/>
      <c r="I30" s="752"/>
      <c r="J30" s="753"/>
      <c r="K30" s="751"/>
      <c r="L30" s="752"/>
      <c r="M30" s="754"/>
      <c r="N30" s="754"/>
      <c r="O30" s="754"/>
      <c r="P30" s="44"/>
    </row>
    <row r="31" spans="1:16" ht="15">
      <c r="A31" s="773" t="s">
        <v>678</v>
      </c>
      <c r="B31" s="763" t="s">
        <v>410</v>
      </c>
      <c r="C31" s="192" t="s">
        <v>411</v>
      </c>
      <c r="D31" s="751"/>
      <c r="E31" s="751"/>
      <c r="F31" s="752"/>
      <c r="G31" s="753"/>
      <c r="H31" s="751"/>
      <c r="I31" s="752"/>
      <c r="J31" s="753"/>
      <c r="K31" s="751"/>
      <c r="L31" s="752"/>
      <c r="M31" s="754"/>
      <c r="N31" s="754"/>
      <c r="O31" s="754"/>
      <c r="P31" s="44"/>
    </row>
    <row r="32" spans="1:16" ht="18" customHeight="1">
      <c r="A32" s="773" t="s">
        <v>679</v>
      </c>
      <c r="B32" s="763" t="s">
        <v>853</v>
      </c>
      <c r="C32" s="205" t="s">
        <v>854</v>
      </c>
      <c r="D32" s="751">
        <v>52000</v>
      </c>
      <c r="E32" s="751">
        <v>52000</v>
      </c>
      <c r="F32" s="752">
        <v>9515</v>
      </c>
      <c r="G32" s="753"/>
      <c r="H32" s="751"/>
      <c r="I32" s="752"/>
      <c r="J32" s="753"/>
      <c r="K32" s="751"/>
      <c r="L32" s="752"/>
      <c r="M32" s="754">
        <f>D32+G32+J32</f>
        <v>52000</v>
      </c>
      <c r="N32" s="754">
        <f aca="true" t="shared" si="1" ref="N32:O34">E32+H32+K32</f>
        <v>52000</v>
      </c>
      <c r="O32" s="754">
        <f t="shared" si="1"/>
        <v>9515</v>
      </c>
      <c r="P32" s="44">
        <f>O32/N32*100</f>
        <v>18.298076923076923</v>
      </c>
    </row>
    <row r="33" spans="1:16" ht="15">
      <c r="A33" s="773" t="s">
        <v>347</v>
      </c>
      <c r="B33" s="763" t="s">
        <v>855</v>
      </c>
      <c r="C33" s="192" t="s">
        <v>856</v>
      </c>
      <c r="D33" s="751">
        <v>9000</v>
      </c>
      <c r="E33" s="751">
        <v>9000</v>
      </c>
      <c r="F33" s="752">
        <v>3542</v>
      </c>
      <c r="G33" s="753"/>
      <c r="H33" s="751"/>
      <c r="I33" s="752"/>
      <c r="J33" s="753"/>
      <c r="K33" s="751"/>
      <c r="L33" s="752"/>
      <c r="M33" s="754">
        <f>D33+G33+J33</f>
        <v>9000</v>
      </c>
      <c r="N33" s="754">
        <f t="shared" si="1"/>
        <v>9000</v>
      </c>
      <c r="O33" s="754">
        <f t="shared" si="1"/>
        <v>3542</v>
      </c>
      <c r="P33" s="44">
        <f>O33/N33*100</f>
        <v>39.355555555555554</v>
      </c>
    </row>
    <row r="34" spans="1:16" ht="15">
      <c r="A34" s="773" t="s">
        <v>348</v>
      </c>
      <c r="B34" s="763" t="s">
        <v>855</v>
      </c>
      <c r="C34" s="192" t="s">
        <v>858</v>
      </c>
      <c r="D34" s="751">
        <v>13000</v>
      </c>
      <c r="E34" s="751">
        <v>13000</v>
      </c>
      <c r="F34" s="752">
        <v>2962</v>
      </c>
      <c r="G34" s="753"/>
      <c r="H34" s="751"/>
      <c r="I34" s="752"/>
      <c r="J34" s="753"/>
      <c r="K34" s="751"/>
      <c r="L34" s="752"/>
      <c r="M34" s="754">
        <f>D34+G34+J34</f>
        <v>13000</v>
      </c>
      <c r="N34" s="754">
        <f t="shared" si="1"/>
        <v>13000</v>
      </c>
      <c r="O34" s="754">
        <f t="shared" si="1"/>
        <v>2962</v>
      </c>
      <c r="P34" s="44">
        <f>O34/N34*100</f>
        <v>22.784615384615385</v>
      </c>
    </row>
    <row r="35" spans="1:16" ht="15">
      <c r="A35" s="773" t="s">
        <v>349</v>
      </c>
      <c r="B35" s="763">
        <v>104051</v>
      </c>
      <c r="C35" s="192" t="s">
        <v>395</v>
      </c>
      <c r="D35" s="751"/>
      <c r="E35" s="751"/>
      <c r="F35" s="752"/>
      <c r="G35" s="753"/>
      <c r="H35" s="751"/>
      <c r="I35" s="752"/>
      <c r="J35" s="753"/>
      <c r="K35" s="751"/>
      <c r="L35" s="752"/>
      <c r="M35" s="754"/>
      <c r="N35" s="754"/>
      <c r="O35" s="754"/>
      <c r="P35" s="44"/>
    </row>
    <row r="36" spans="1:16" ht="15">
      <c r="A36" s="773" t="s">
        <v>350</v>
      </c>
      <c r="B36" s="763">
        <v>106020</v>
      </c>
      <c r="C36" s="192" t="s">
        <v>412</v>
      </c>
      <c r="D36" s="751"/>
      <c r="E36" s="751"/>
      <c r="F36" s="752"/>
      <c r="G36" s="753"/>
      <c r="H36" s="751"/>
      <c r="I36" s="752"/>
      <c r="J36" s="753"/>
      <c r="K36" s="751"/>
      <c r="L36" s="752"/>
      <c r="M36" s="754"/>
      <c r="N36" s="754"/>
      <c r="O36" s="754"/>
      <c r="P36" s="44"/>
    </row>
    <row r="37" spans="1:16" ht="18" customHeight="1">
      <c r="A37" s="773" t="s">
        <v>351</v>
      </c>
      <c r="B37" s="763" t="s">
        <v>396</v>
      </c>
      <c r="C37" s="205" t="s">
        <v>707</v>
      </c>
      <c r="D37" s="751">
        <v>27000</v>
      </c>
      <c r="E37" s="751">
        <v>27000</v>
      </c>
      <c r="F37" s="752">
        <v>12993</v>
      </c>
      <c r="G37" s="753"/>
      <c r="H37" s="751"/>
      <c r="I37" s="752"/>
      <c r="J37" s="753"/>
      <c r="K37" s="751"/>
      <c r="L37" s="752"/>
      <c r="M37" s="754">
        <f>D37+G37+J37</f>
        <v>27000</v>
      </c>
      <c r="N37" s="754">
        <f>E37+H37+K37</f>
        <v>27000</v>
      </c>
      <c r="O37" s="754">
        <f>F37+I37+L37</f>
        <v>12993</v>
      </c>
      <c r="P37" s="44">
        <f>O37/N37*100</f>
        <v>48.12222222222222</v>
      </c>
    </row>
    <row r="38" spans="1:16" ht="18" customHeight="1">
      <c r="A38" s="773" t="s">
        <v>352</v>
      </c>
      <c r="B38" s="763">
        <v>107052</v>
      </c>
      <c r="C38" s="195" t="s">
        <v>493</v>
      </c>
      <c r="D38" s="751"/>
      <c r="E38" s="751"/>
      <c r="F38" s="752"/>
      <c r="G38" s="753"/>
      <c r="H38" s="751"/>
      <c r="I38" s="752"/>
      <c r="J38" s="753"/>
      <c r="K38" s="751"/>
      <c r="L38" s="752"/>
      <c r="M38" s="754"/>
      <c r="N38" s="754"/>
      <c r="O38" s="754"/>
      <c r="P38" s="44"/>
    </row>
    <row r="39" spans="1:16" ht="15.75" thickBot="1">
      <c r="A39" s="774" t="s">
        <v>353</v>
      </c>
      <c r="B39" s="765">
        <v>107060</v>
      </c>
      <c r="C39" s="192" t="s">
        <v>413</v>
      </c>
      <c r="D39" s="751"/>
      <c r="E39" s="751"/>
      <c r="F39" s="752"/>
      <c r="G39" s="753"/>
      <c r="H39" s="751"/>
      <c r="I39" s="752"/>
      <c r="J39" s="753"/>
      <c r="K39" s="751"/>
      <c r="L39" s="752"/>
      <c r="M39" s="754"/>
      <c r="N39" s="754"/>
      <c r="O39" s="754"/>
      <c r="P39" s="44"/>
    </row>
    <row r="40" spans="1:16" ht="42.75" customHeight="1" thickBot="1">
      <c r="A40" s="775" t="s">
        <v>354</v>
      </c>
      <c r="B40" s="767"/>
      <c r="C40" s="201" t="s">
        <v>705</v>
      </c>
      <c r="D40" s="759">
        <f>SUM(D12:D39)</f>
        <v>2848000</v>
      </c>
      <c r="E40" s="759">
        <f>SUM(E12:E39)</f>
        <v>8644810</v>
      </c>
      <c r="F40" s="759">
        <f>SUM(F12:F39)</f>
        <v>4707773</v>
      </c>
      <c r="G40" s="759">
        <f aca="true" t="shared" si="2" ref="G40:O40">SUM(G12:G39)</f>
        <v>23205000</v>
      </c>
      <c r="H40" s="759">
        <f t="shared" si="2"/>
        <v>33630000</v>
      </c>
      <c r="I40" s="759">
        <f t="shared" si="2"/>
        <v>23154990</v>
      </c>
      <c r="J40" s="759">
        <f t="shared" si="2"/>
        <v>600000</v>
      </c>
      <c r="K40" s="759">
        <f t="shared" si="2"/>
        <v>1200000</v>
      </c>
      <c r="L40" s="759">
        <f t="shared" si="2"/>
        <v>600000</v>
      </c>
      <c r="M40" s="759">
        <f>SUM(M12:M39)</f>
        <v>26653000</v>
      </c>
      <c r="N40" s="759">
        <f t="shared" si="2"/>
        <v>43474810</v>
      </c>
      <c r="O40" s="759">
        <f t="shared" si="2"/>
        <v>28462763</v>
      </c>
      <c r="P40" s="760">
        <f>O40/N40*100</f>
        <v>65.4695512182802</v>
      </c>
    </row>
    <row r="41" spans="8:9" ht="12.75">
      <c r="H41" s="8"/>
      <c r="I41" s="84"/>
    </row>
    <row r="42" spans="8:15" ht="12.75">
      <c r="H42" s="8"/>
      <c r="I42" s="84"/>
      <c r="M42" s="761"/>
      <c r="N42" s="761"/>
      <c r="O42" s="761"/>
    </row>
    <row r="43" spans="8:9" ht="12.75">
      <c r="H43" s="8"/>
      <c r="I43" s="84"/>
    </row>
    <row r="44" ht="12.75">
      <c r="I44" s="84"/>
    </row>
  </sheetData>
  <sheetProtection/>
  <mergeCells count="13">
    <mergeCell ref="P10:P11"/>
    <mergeCell ref="B9:B11"/>
    <mergeCell ref="C9:C11"/>
    <mergeCell ref="D9:F9"/>
    <mergeCell ref="J9:L9"/>
    <mergeCell ref="G9:I9"/>
    <mergeCell ref="A9:A11"/>
    <mergeCell ref="B7:P7"/>
    <mergeCell ref="B2:P2"/>
    <mergeCell ref="B6:P6"/>
    <mergeCell ref="M9:P9"/>
    <mergeCell ref="B3:R3"/>
    <mergeCell ref="B5:P5"/>
  </mergeCells>
  <printOptions horizontalCentered="1" verticalCentered="1"/>
  <pageMargins left="0" right="0" top="0.4330708661417323" bottom="0.3937007874015748" header="0.2755905511811024" footer="0.31496062992125984"/>
  <pageSetup fitToHeight="1" fitToWidth="1" horizontalDpi="600" verticalDpi="600" orientation="landscape" paperSize="8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G45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625" style="27" customWidth="1"/>
    <col min="2" max="2" width="9.125" style="27" customWidth="1"/>
    <col min="3" max="3" width="63.125" style="27" customWidth="1"/>
    <col min="4" max="7" width="26.25390625" style="27" customWidth="1"/>
    <col min="8" max="16384" width="9.125" style="27" customWidth="1"/>
  </cols>
  <sheetData>
    <row r="2" spans="2:7" ht="12.75">
      <c r="B2" s="1106"/>
      <c r="C2" s="1106"/>
      <c r="D2" s="1106"/>
      <c r="E2" s="1106"/>
      <c r="F2" s="1106"/>
      <c r="G2" s="1106"/>
    </row>
    <row r="3" spans="2:7" s="177" customFormat="1" ht="15.75">
      <c r="B3" s="176" t="s">
        <v>1162</v>
      </c>
      <c r="C3" s="981"/>
      <c r="D3" s="178"/>
      <c r="E3" s="179"/>
      <c r="F3" s="179"/>
      <c r="G3" s="179"/>
    </row>
    <row r="4" spans="3:7" s="67" customFormat="1" ht="15" customHeight="1">
      <c r="C4" s="997"/>
      <c r="D4" s="997"/>
      <c r="E4" s="997"/>
      <c r="F4" s="997"/>
      <c r="G4" s="997"/>
    </row>
    <row r="5" spans="4:7" s="95" customFormat="1" ht="15" customHeight="1">
      <c r="D5" s="94"/>
      <c r="E5" s="180"/>
      <c r="F5" s="180"/>
      <c r="G5" s="180"/>
    </row>
    <row r="6" spans="3:7" s="17" customFormat="1" ht="15" customHeight="1">
      <c r="C6" s="1039" t="s">
        <v>741</v>
      </c>
      <c r="D6" s="1039"/>
      <c r="E6" s="1039"/>
      <c r="F6" s="1039"/>
      <c r="G6" s="1039"/>
    </row>
    <row r="7" spans="3:7" s="17" customFormat="1" ht="15.75">
      <c r="C7" s="1040" t="s">
        <v>422</v>
      </c>
      <c r="D7" s="1040"/>
      <c r="E7" s="1040"/>
      <c r="F7" s="1040"/>
      <c r="G7" s="1040"/>
    </row>
    <row r="8" spans="3:7" s="17" customFormat="1" ht="15" customHeight="1">
      <c r="C8" s="1039" t="s">
        <v>950</v>
      </c>
      <c r="D8" s="1039"/>
      <c r="E8" s="1039"/>
      <c r="F8" s="1039"/>
      <c r="G8" s="1039"/>
    </row>
    <row r="9" spans="3:7" s="177" customFormat="1" ht="12" customHeight="1" thickBot="1">
      <c r="C9" s="178"/>
      <c r="D9" s="181"/>
      <c r="E9" s="182"/>
      <c r="F9" s="182"/>
      <c r="G9" s="500" t="s">
        <v>920</v>
      </c>
    </row>
    <row r="10" spans="1:7" s="177" customFormat="1" ht="16.5" customHeight="1" thickBot="1">
      <c r="A10" s="1041" t="s">
        <v>1033</v>
      </c>
      <c r="B10" s="1107" t="s">
        <v>15</v>
      </c>
      <c r="C10" s="1020" t="s">
        <v>16</v>
      </c>
      <c r="D10" s="1110" t="s">
        <v>423</v>
      </c>
      <c r="E10" s="1095" t="s">
        <v>18</v>
      </c>
      <c r="F10" s="1095"/>
      <c r="G10" s="1096"/>
    </row>
    <row r="11" spans="1:7" s="177" customFormat="1" ht="33" customHeight="1" thickBot="1">
      <c r="A11" s="1042"/>
      <c r="B11" s="1108"/>
      <c r="C11" s="1021"/>
      <c r="D11" s="1111"/>
      <c r="E11" s="128" t="s">
        <v>19</v>
      </c>
      <c r="F11" s="183" t="s">
        <v>20</v>
      </c>
      <c r="G11" s="184" t="s">
        <v>21</v>
      </c>
    </row>
    <row r="12" spans="1:7" s="177" customFormat="1" ht="22.5" customHeight="1">
      <c r="A12" s="1042"/>
      <c r="B12" s="1108"/>
      <c r="C12" s="1021"/>
      <c r="D12" s="1111"/>
      <c r="E12" s="1097" t="s">
        <v>22</v>
      </c>
      <c r="F12" s="1098"/>
      <c r="G12" s="1099"/>
    </row>
    <row r="13" spans="1:7" ht="12.75">
      <c r="A13" s="1042"/>
      <c r="B13" s="1108"/>
      <c r="C13" s="1021"/>
      <c r="D13" s="1111"/>
      <c r="E13" s="1100"/>
      <c r="F13" s="1101"/>
      <c r="G13" s="1102"/>
    </row>
    <row r="14" spans="1:7" ht="3" customHeight="1" thickBot="1">
      <c r="A14" s="792"/>
      <c r="B14" s="1109"/>
      <c r="C14" s="1022"/>
      <c r="D14" s="1112"/>
      <c r="E14" s="1103"/>
      <c r="F14" s="1104"/>
      <c r="G14" s="1105"/>
    </row>
    <row r="15" spans="1:7" ht="30">
      <c r="A15" s="772" t="s">
        <v>342</v>
      </c>
      <c r="B15" s="790" t="s">
        <v>23</v>
      </c>
      <c r="C15" s="186" t="s">
        <v>24</v>
      </c>
      <c r="D15" s="187">
        <f>SUM(E15:G15)</f>
        <v>14745186</v>
      </c>
      <c r="E15" s="187">
        <v>14180557</v>
      </c>
      <c r="F15" s="187">
        <v>564629</v>
      </c>
      <c r="G15" s="188"/>
    </row>
    <row r="16" spans="1:7" ht="15">
      <c r="A16" s="773" t="s">
        <v>343</v>
      </c>
      <c r="B16" s="764" t="s">
        <v>332</v>
      </c>
      <c r="C16" s="190" t="s">
        <v>732</v>
      </c>
      <c r="D16" s="53">
        <f aca="true" t="shared" si="0" ref="D16:D42">SUM(E16:G16)</f>
        <v>40499</v>
      </c>
      <c r="E16" s="53">
        <v>40499</v>
      </c>
      <c r="F16" s="53"/>
      <c r="G16" s="89"/>
    </row>
    <row r="17" spans="1:7" ht="15">
      <c r="A17" s="773" t="s">
        <v>344</v>
      </c>
      <c r="B17" s="764" t="s">
        <v>333</v>
      </c>
      <c r="C17" s="190" t="s">
        <v>334</v>
      </c>
      <c r="D17" s="53">
        <f t="shared" si="0"/>
        <v>2312232</v>
      </c>
      <c r="E17" s="53">
        <v>2312232</v>
      </c>
      <c r="F17" s="53"/>
      <c r="G17" s="89"/>
    </row>
    <row r="18" spans="1:7" ht="15">
      <c r="A18" s="773" t="s">
        <v>345</v>
      </c>
      <c r="B18" s="764" t="s">
        <v>335</v>
      </c>
      <c r="C18" s="190" t="s">
        <v>336</v>
      </c>
      <c r="D18" s="53">
        <f t="shared" si="0"/>
        <v>2237058</v>
      </c>
      <c r="E18" s="53">
        <v>2237058</v>
      </c>
      <c r="F18" s="53"/>
      <c r="G18" s="89"/>
    </row>
    <row r="19" spans="1:7" ht="15">
      <c r="A19" s="773" t="s">
        <v>346</v>
      </c>
      <c r="B19" s="191" t="s">
        <v>338</v>
      </c>
      <c r="C19" s="192" t="s">
        <v>339</v>
      </c>
      <c r="D19" s="53">
        <f t="shared" si="0"/>
        <v>1944736</v>
      </c>
      <c r="E19" s="53"/>
      <c r="F19" s="53">
        <v>1944736</v>
      </c>
      <c r="G19" s="89"/>
    </row>
    <row r="20" spans="1:7" ht="15">
      <c r="A20" s="773" t="s">
        <v>368</v>
      </c>
      <c r="B20" s="764" t="s">
        <v>400</v>
      </c>
      <c r="C20" s="190" t="s">
        <v>492</v>
      </c>
      <c r="D20" s="53">
        <f t="shared" si="0"/>
        <v>396875</v>
      </c>
      <c r="E20" s="53">
        <v>396875</v>
      </c>
      <c r="F20" s="53"/>
      <c r="G20" s="89"/>
    </row>
    <row r="21" spans="1:7" ht="30">
      <c r="A21" s="773" t="s">
        <v>369</v>
      </c>
      <c r="B21" s="764" t="s">
        <v>401</v>
      </c>
      <c r="C21" s="190" t="s">
        <v>402</v>
      </c>
      <c r="D21" s="53">
        <f t="shared" si="0"/>
        <v>5144</v>
      </c>
      <c r="E21" s="53">
        <v>5144</v>
      </c>
      <c r="F21" s="53"/>
      <c r="G21" s="89"/>
    </row>
    <row r="22" spans="1:7" ht="15">
      <c r="A22" s="773" t="s">
        <v>370</v>
      </c>
      <c r="B22" s="766" t="s">
        <v>419</v>
      </c>
      <c r="C22" s="192" t="s">
        <v>420</v>
      </c>
      <c r="D22" s="53">
        <f t="shared" si="0"/>
        <v>6668</v>
      </c>
      <c r="E22" s="53">
        <v>6668</v>
      </c>
      <c r="F22" s="53"/>
      <c r="G22" s="89"/>
    </row>
    <row r="23" spans="1:7" ht="15">
      <c r="A23" s="773" t="s">
        <v>371</v>
      </c>
      <c r="B23" s="764" t="s">
        <v>386</v>
      </c>
      <c r="C23" s="190" t="s">
        <v>387</v>
      </c>
      <c r="D23" s="53">
        <f t="shared" si="0"/>
        <v>2685397</v>
      </c>
      <c r="E23" s="53">
        <v>2685397</v>
      </c>
      <c r="F23" s="53"/>
      <c r="G23" s="89"/>
    </row>
    <row r="24" spans="1:7" ht="15">
      <c r="A24" s="773" t="s">
        <v>668</v>
      </c>
      <c r="B24" s="764" t="s">
        <v>401</v>
      </c>
      <c r="C24" s="190" t="s">
        <v>404</v>
      </c>
      <c r="D24" s="53">
        <f t="shared" si="0"/>
        <v>600000</v>
      </c>
      <c r="E24" s="53">
        <v>600000</v>
      </c>
      <c r="F24" s="53"/>
      <c r="G24" s="89"/>
    </row>
    <row r="25" spans="1:7" ht="15">
      <c r="A25" s="773" t="s">
        <v>669</v>
      </c>
      <c r="B25" s="764" t="s">
        <v>388</v>
      </c>
      <c r="C25" s="190" t="s">
        <v>728</v>
      </c>
      <c r="D25" s="53">
        <f t="shared" si="0"/>
        <v>1899285</v>
      </c>
      <c r="E25" s="53">
        <v>1899285</v>
      </c>
      <c r="F25" s="53"/>
      <c r="G25" s="89"/>
    </row>
    <row r="26" spans="1:7" ht="15">
      <c r="A26" s="773" t="s">
        <v>700</v>
      </c>
      <c r="B26" s="764" t="s">
        <v>405</v>
      </c>
      <c r="C26" s="190" t="s">
        <v>727</v>
      </c>
      <c r="D26" s="53">
        <f t="shared" si="0"/>
        <v>80772</v>
      </c>
      <c r="E26" s="53">
        <v>80772</v>
      </c>
      <c r="F26" s="53"/>
      <c r="G26" s="89"/>
    </row>
    <row r="27" spans="1:7" ht="15">
      <c r="A27" s="773" t="s">
        <v>670</v>
      </c>
      <c r="B27" s="764" t="s">
        <v>389</v>
      </c>
      <c r="C27" s="190" t="s">
        <v>390</v>
      </c>
      <c r="D27" s="53">
        <f t="shared" si="0"/>
        <v>1608846</v>
      </c>
      <c r="E27" s="53">
        <v>1588578</v>
      </c>
      <c r="F27" s="53">
        <v>20268</v>
      </c>
      <c r="G27" s="89"/>
    </row>
    <row r="28" spans="1:7" ht="15">
      <c r="A28" s="773" t="s">
        <v>671</v>
      </c>
      <c r="B28" s="764" t="s">
        <v>406</v>
      </c>
      <c r="C28" s="194" t="s">
        <v>729</v>
      </c>
      <c r="D28" s="53">
        <f t="shared" si="0"/>
        <v>23548685</v>
      </c>
      <c r="E28" s="53">
        <v>23548685</v>
      </c>
      <c r="F28" s="53"/>
      <c r="G28" s="89"/>
    </row>
    <row r="29" spans="1:7" ht="15">
      <c r="A29" s="773" t="s">
        <v>672</v>
      </c>
      <c r="B29" s="764" t="s">
        <v>407</v>
      </c>
      <c r="C29" s="190" t="s">
        <v>408</v>
      </c>
      <c r="D29" s="53">
        <f t="shared" si="0"/>
        <v>675000</v>
      </c>
      <c r="E29" s="53">
        <v>675000</v>
      </c>
      <c r="F29" s="53"/>
      <c r="G29" s="89"/>
    </row>
    <row r="30" spans="1:7" ht="15">
      <c r="A30" s="773" t="s">
        <v>674</v>
      </c>
      <c r="B30" s="764" t="s">
        <v>391</v>
      </c>
      <c r="C30" s="194" t="s">
        <v>731</v>
      </c>
      <c r="D30" s="53">
        <f>SUM(E30:G30)</f>
        <v>644083</v>
      </c>
      <c r="E30" s="53">
        <v>616332</v>
      </c>
      <c r="F30" s="53">
        <v>27751</v>
      </c>
      <c r="G30" s="89"/>
    </row>
    <row r="31" spans="1:7" ht="15">
      <c r="A31" s="773" t="s">
        <v>675</v>
      </c>
      <c r="B31" s="763" t="s">
        <v>942</v>
      </c>
      <c r="C31" s="758" t="s">
        <v>1031</v>
      </c>
      <c r="D31" s="53">
        <f>SUM(E31:G31)</f>
        <v>2748401</v>
      </c>
      <c r="E31" s="53">
        <v>2607125</v>
      </c>
      <c r="F31" s="53">
        <v>141276</v>
      </c>
      <c r="G31" s="89"/>
    </row>
    <row r="32" spans="1:7" ht="15">
      <c r="A32" s="773" t="s">
        <v>676</v>
      </c>
      <c r="B32" s="763" t="s">
        <v>417</v>
      </c>
      <c r="C32" s="192" t="s">
        <v>418</v>
      </c>
      <c r="D32" s="53">
        <f t="shared" si="0"/>
        <v>380579</v>
      </c>
      <c r="E32" s="53">
        <v>380579</v>
      </c>
      <c r="F32" s="53"/>
      <c r="G32" s="89"/>
    </row>
    <row r="33" spans="1:7" ht="15">
      <c r="A33" s="773" t="s">
        <v>677</v>
      </c>
      <c r="B33" s="764" t="s">
        <v>409</v>
      </c>
      <c r="C33" s="190" t="s">
        <v>730</v>
      </c>
      <c r="D33" s="53">
        <f t="shared" si="0"/>
        <v>340000</v>
      </c>
      <c r="E33" s="53"/>
      <c r="F33" s="53">
        <v>340000</v>
      </c>
      <c r="G33" s="89"/>
    </row>
    <row r="34" spans="1:7" ht="15">
      <c r="A34" s="773" t="s">
        <v>678</v>
      </c>
      <c r="B34" s="764" t="s">
        <v>410</v>
      </c>
      <c r="C34" s="190" t="s">
        <v>411</v>
      </c>
      <c r="D34" s="53">
        <f t="shared" si="0"/>
        <v>37500</v>
      </c>
      <c r="E34" s="53"/>
      <c r="F34" s="53">
        <v>37500</v>
      </c>
      <c r="G34" s="89"/>
    </row>
    <row r="35" spans="1:7" ht="15">
      <c r="A35" s="773" t="s">
        <v>679</v>
      </c>
      <c r="B35" s="764" t="s">
        <v>394</v>
      </c>
      <c r="C35" s="194" t="s">
        <v>706</v>
      </c>
      <c r="D35" s="53">
        <f t="shared" si="0"/>
        <v>6021320</v>
      </c>
      <c r="E35" s="53">
        <v>6021320</v>
      </c>
      <c r="F35" s="53"/>
      <c r="G35" s="89"/>
    </row>
    <row r="36" spans="1:7" ht="15">
      <c r="A36" s="773" t="s">
        <v>347</v>
      </c>
      <c r="B36" s="763" t="s">
        <v>855</v>
      </c>
      <c r="C36" s="192" t="s">
        <v>856</v>
      </c>
      <c r="D36" s="53">
        <f t="shared" si="0"/>
        <v>1302018</v>
      </c>
      <c r="E36" s="53">
        <v>1302018</v>
      </c>
      <c r="F36" s="53"/>
      <c r="G36" s="89"/>
    </row>
    <row r="37" spans="1:7" ht="15">
      <c r="A37" s="773" t="s">
        <v>348</v>
      </c>
      <c r="B37" s="763" t="s">
        <v>855</v>
      </c>
      <c r="C37" s="192" t="s">
        <v>858</v>
      </c>
      <c r="D37" s="53">
        <f t="shared" si="0"/>
        <v>1429660</v>
      </c>
      <c r="E37" s="53">
        <v>1429660</v>
      </c>
      <c r="F37" s="53"/>
      <c r="G37" s="89"/>
    </row>
    <row r="38" spans="1:7" ht="15">
      <c r="A38" s="773" t="s">
        <v>349</v>
      </c>
      <c r="B38" s="763">
        <v>104051</v>
      </c>
      <c r="C38" s="192" t="s">
        <v>395</v>
      </c>
      <c r="D38" s="53">
        <f t="shared" si="0"/>
        <v>23200</v>
      </c>
      <c r="E38" s="53"/>
      <c r="F38" s="53"/>
      <c r="G38" s="89">
        <v>23200</v>
      </c>
    </row>
    <row r="39" spans="1:7" ht="15">
      <c r="A39" s="773" t="s">
        <v>350</v>
      </c>
      <c r="B39" s="764">
        <v>106020</v>
      </c>
      <c r="C39" s="190" t="s">
        <v>412</v>
      </c>
      <c r="D39" s="53">
        <f t="shared" si="0"/>
        <v>0</v>
      </c>
      <c r="E39" s="53"/>
      <c r="F39" s="53"/>
      <c r="G39" s="89"/>
    </row>
    <row r="40" spans="1:7" ht="15">
      <c r="A40" s="773" t="s">
        <v>351</v>
      </c>
      <c r="B40" s="764" t="s">
        <v>396</v>
      </c>
      <c r="C40" s="194" t="s">
        <v>707</v>
      </c>
      <c r="D40" s="53">
        <f t="shared" si="0"/>
        <v>3524711</v>
      </c>
      <c r="E40" s="53">
        <v>3524711</v>
      </c>
      <c r="F40" s="53"/>
      <c r="G40" s="89"/>
    </row>
    <row r="41" spans="1:7" ht="15">
      <c r="A41" s="773" t="s">
        <v>352</v>
      </c>
      <c r="B41" s="764">
        <v>107052</v>
      </c>
      <c r="C41" s="207" t="s">
        <v>493</v>
      </c>
      <c r="D41" s="53">
        <f t="shared" si="0"/>
        <v>665089</v>
      </c>
      <c r="E41" s="53">
        <v>665089</v>
      </c>
      <c r="F41" s="53"/>
      <c r="G41" s="89"/>
    </row>
    <row r="42" spans="1:7" ht="15.75" thickBot="1">
      <c r="A42" s="774" t="s">
        <v>353</v>
      </c>
      <c r="B42" s="764">
        <v>107060</v>
      </c>
      <c r="C42" s="190" t="s">
        <v>413</v>
      </c>
      <c r="D42" s="53">
        <f t="shared" si="0"/>
        <v>2788500</v>
      </c>
      <c r="E42" s="53">
        <v>2788500</v>
      </c>
      <c r="F42" s="53"/>
      <c r="G42" s="89"/>
    </row>
    <row r="43" spans="1:7" ht="33" customHeight="1" thickBot="1">
      <c r="A43" s="793" t="s">
        <v>354</v>
      </c>
      <c r="B43" s="791"/>
      <c r="C43" s="197" t="s">
        <v>705</v>
      </c>
      <c r="D43" s="198">
        <f>SUM(D15:D42)</f>
        <v>72691444</v>
      </c>
      <c r="E43" s="198">
        <f>SUM(E15:E42)</f>
        <v>69592084</v>
      </c>
      <c r="F43" s="198">
        <f>SUM(F15:F42)</f>
        <v>3076160</v>
      </c>
      <c r="G43" s="198">
        <f>SUM(G15:G42)</f>
        <v>23200</v>
      </c>
    </row>
    <row r="44" spans="2:7" ht="14.25">
      <c r="B44" s="208"/>
      <c r="C44" s="208"/>
      <c r="D44" s="209"/>
      <c r="E44" s="209"/>
      <c r="F44" s="209"/>
      <c r="G44" s="209"/>
    </row>
    <row r="45" ht="12.75">
      <c r="D45" s="535"/>
    </row>
  </sheetData>
  <sheetProtection/>
  <mergeCells count="11">
    <mergeCell ref="D10:D14"/>
    <mergeCell ref="E10:G10"/>
    <mergeCell ref="E12:G14"/>
    <mergeCell ref="A10:A13"/>
    <mergeCell ref="B2:G2"/>
    <mergeCell ref="C4:G4"/>
    <mergeCell ref="C6:G6"/>
    <mergeCell ref="C7:G7"/>
    <mergeCell ref="C8:G8"/>
    <mergeCell ref="B10:B14"/>
    <mergeCell ref="C10:C14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U4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625" style="14" customWidth="1"/>
    <col min="2" max="2" width="9.125" style="14" customWidth="1"/>
    <col min="3" max="3" width="23.125" style="14" customWidth="1"/>
    <col min="4" max="4" width="20.125" style="14" customWidth="1"/>
    <col min="5" max="5" width="0.12890625" style="14" hidden="1" customWidth="1"/>
    <col min="6" max="6" width="1.25" style="14" hidden="1" customWidth="1"/>
    <col min="7" max="7" width="15.25390625" style="14" customWidth="1"/>
    <col min="8" max="8" width="14.75390625" style="14" customWidth="1"/>
    <col min="9" max="9" width="14.125" style="14" customWidth="1"/>
    <col min="10" max="10" width="10.75390625" style="14" customWidth="1"/>
    <col min="11" max="16384" width="9.125" style="14" customWidth="1"/>
  </cols>
  <sheetData>
    <row r="1" ht="15.75">
      <c r="G1" s="16"/>
    </row>
    <row r="2" spans="1:10" ht="15.75">
      <c r="A2" s="1106"/>
      <c r="B2" s="1106"/>
      <c r="C2" s="1106"/>
      <c r="D2" s="1106"/>
      <c r="E2" s="1106"/>
      <c r="F2" s="1106"/>
      <c r="G2" s="1106"/>
      <c r="H2" s="1106"/>
      <c r="I2" s="1106"/>
      <c r="J2" s="1106"/>
    </row>
    <row r="3" spans="1:6" s="177" customFormat="1" ht="15.75">
      <c r="A3" s="176" t="s">
        <v>1163</v>
      </c>
      <c r="C3" s="178"/>
      <c r="D3" s="179"/>
      <c r="E3" s="179"/>
      <c r="F3" s="179"/>
    </row>
    <row r="4" ht="12.75" customHeight="1"/>
    <row r="5" s="110" customFormat="1" ht="12.75" customHeight="1"/>
    <row r="6" spans="1:10" ht="15.75">
      <c r="A6" s="986" t="s">
        <v>741</v>
      </c>
      <c r="B6" s="986"/>
      <c r="C6" s="986"/>
      <c r="D6" s="986"/>
      <c r="E6" s="986"/>
      <c r="F6" s="986"/>
      <c r="G6" s="986"/>
      <c r="H6" s="986"/>
      <c r="I6" s="986"/>
      <c r="J6" s="986"/>
    </row>
    <row r="7" spans="1:10" ht="15.75">
      <c r="A7" s="986" t="s">
        <v>424</v>
      </c>
      <c r="B7" s="986"/>
      <c r="C7" s="986"/>
      <c r="D7" s="986"/>
      <c r="E7" s="986"/>
      <c r="F7" s="986"/>
      <c r="G7" s="986"/>
      <c r="H7" s="986"/>
      <c r="I7" s="986"/>
      <c r="J7" s="986"/>
    </row>
    <row r="8" spans="1:10" ht="15.75">
      <c r="A8" s="986" t="s">
        <v>950</v>
      </c>
      <c r="B8" s="986"/>
      <c r="C8" s="986"/>
      <c r="D8" s="986"/>
      <c r="E8" s="986"/>
      <c r="F8" s="986"/>
      <c r="G8" s="986"/>
      <c r="H8" s="986"/>
      <c r="I8" s="986"/>
      <c r="J8" s="986"/>
    </row>
    <row r="9" s="110" customFormat="1" ht="15.75" thickBot="1">
      <c r="J9" s="433" t="s">
        <v>920</v>
      </c>
    </row>
    <row r="10" spans="1:10" s="67" customFormat="1" ht="13.5" thickBot="1">
      <c r="A10" s="1016" t="s">
        <v>769</v>
      </c>
      <c r="B10" s="1113"/>
      <c r="C10" s="1113"/>
      <c r="D10" s="1113"/>
      <c r="E10" s="1113"/>
      <c r="F10" s="1017"/>
      <c r="G10" s="140" t="s">
        <v>693</v>
      </c>
      <c r="H10" s="140" t="s">
        <v>483</v>
      </c>
      <c r="I10" s="1004" t="s">
        <v>694</v>
      </c>
      <c r="J10" s="140" t="s">
        <v>791</v>
      </c>
    </row>
    <row r="11" spans="1:10" s="67" customFormat="1" ht="12.75">
      <c r="A11" s="1114"/>
      <c r="B11" s="1115"/>
      <c r="C11" s="1115"/>
      <c r="D11" s="1115"/>
      <c r="E11" s="1115"/>
      <c r="F11" s="1116"/>
      <c r="G11" s="1016" t="s">
        <v>649</v>
      </c>
      <c r="H11" s="1017"/>
      <c r="I11" s="1005"/>
      <c r="J11" s="142"/>
    </row>
    <row r="12" spans="1:10" s="67" customFormat="1" ht="13.5" thickBot="1">
      <c r="A12" s="1018"/>
      <c r="B12" s="1117"/>
      <c r="C12" s="1117"/>
      <c r="D12" s="1117"/>
      <c r="E12" s="1117"/>
      <c r="F12" s="1019"/>
      <c r="G12" s="1018"/>
      <c r="H12" s="1019"/>
      <c r="I12" s="1006"/>
      <c r="J12" s="143" t="s">
        <v>698</v>
      </c>
    </row>
    <row r="13" spans="1:6" s="110" customFormat="1" ht="15">
      <c r="A13" s="10" t="s">
        <v>189</v>
      </c>
      <c r="E13" s="210"/>
      <c r="F13" s="211"/>
    </row>
    <row r="14" spans="1:2" s="10" customFormat="1" ht="15">
      <c r="A14" s="212"/>
      <c r="B14" s="110"/>
    </row>
    <row r="15" spans="1:5" s="110" customFormat="1" ht="29.25" customHeight="1">
      <c r="A15" s="215" t="s">
        <v>740</v>
      </c>
      <c r="B15" s="989" t="s">
        <v>425</v>
      </c>
      <c r="C15" s="989"/>
      <c r="D15" s="989"/>
      <c r="E15" s="989"/>
    </row>
    <row r="16" spans="1:10" s="27" customFormat="1" ht="12.75">
      <c r="A16" s="217" t="s">
        <v>658</v>
      </c>
      <c r="B16" s="135" t="s">
        <v>426</v>
      </c>
      <c r="G16" s="51">
        <v>70000</v>
      </c>
      <c r="H16" s="51">
        <v>69700</v>
      </c>
      <c r="I16" s="51">
        <v>69700</v>
      </c>
      <c r="J16" s="218">
        <f>I16/H16*100</f>
        <v>100</v>
      </c>
    </row>
    <row r="17" spans="1:10" s="27" customFormat="1" ht="12.75">
      <c r="A17" s="48" t="s">
        <v>659</v>
      </c>
      <c r="B17" s="27" t="s">
        <v>427</v>
      </c>
      <c r="G17" s="51">
        <v>92000</v>
      </c>
      <c r="H17" s="51">
        <v>208330</v>
      </c>
      <c r="I17" s="51">
        <v>208200</v>
      </c>
      <c r="J17" s="218">
        <f>I17/H17*100</f>
        <v>99.93759900158402</v>
      </c>
    </row>
    <row r="18" spans="1:10" s="27" customFormat="1" ht="12.75">
      <c r="A18" s="48" t="s">
        <v>660</v>
      </c>
      <c r="B18" s="27" t="s">
        <v>436</v>
      </c>
      <c r="G18" s="51"/>
      <c r="H18" s="51">
        <v>918299</v>
      </c>
      <c r="I18" s="51">
        <v>918299</v>
      </c>
      <c r="J18" s="218">
        <f>I18/H18*100</f>
        <v>100</v>
      </c>
    </row>
    <row r="19" spans="1:10" s="110" customFormat="1" ht="32.25" customHeight="1">
      <c r="A19" s="797" t="s">
        <v>661</v>
      </c>
      <c r="B19" s="1120" t="s">
        <v>1034</v>
      </c>
      <c r="C19" s="1001"/>
      <c r="D19" s="1001"/>
      <c r="G19" s="213"/>
      <c r="H19" s="213">
        <v>640000</v>
      </c>
      <c r="I19" s="213">
        <v>640000</v>
      </c>
      <c r="J19" s="218">
        <f>I19/H19*100</f>
        <v>100</v>
      </c>
    </row>
    <row r="20" spans="1:10" s="110" customFormat="1" ht="33.75" customHeight="1">
      <c r="A20" s="989" t="s">
        <v>428</v>
      </c>
      <c r="B20" s="989"/>
      <c r="C20" s="989"/>
      <c r="D20" s="989"/>
      <c r="E20" s="989"/>
      <c r="G20" s="214">
        <f>SUM(G16:G19)</f>
        <v>162000</v>
      </c>
      <c r="H20" s="214">
        <f>SUM(H16:H19)</f>
        <v>1836329</v>
      </c>
      <c r="I20" s="214">
        <f>SUM(I16:I19)</f>
        <v>1836199</v>
      </c>
      <c r="J20" s="216">
        <f>I20/H20*100</f>
        <v>99.99292065855302</v>
      </c>
    </row>
    <row r="21" spans="7:9" s="110" customFormat="1" ht="13.5" customHeight="1">
      <c r="G21" s="213"/>
      <c r="H21" s="213"/>
      <c r="I21" s="213"/>
    </row>
    <row r="22" spans="1:9" s="110" customFormat="1" ht="33" customHeight="1">
      <c r="A22" s="215" t="s">
        <v>500</v>
      </c>
      <c r="B22" s="989" t="s">
        <v>429</v>
      </c>
      <c r="C22" s="989"/>
      <c r="D22" s="989"/>
      <c r="E22" s="989"/>
      <c r="G22" s="213"/>
      <c r="H22" s="213"/>
      <c r="I22" s="213"/>
    </row>
    <row r="23" spans="1:10" s="27" customFormat="1" ht="12.75">
      <c r="A23" s="48" t="s">
        <v>658</v>
      </c>
      <c r="B23" s="219" t="s">
        <v>635</v>
      </c>
      <c r="C23" s="219"/>
      <c r="G23" s="51">
        <v>50000</v>
      </c>
      <c r="H23" s="51"/>
      <c r="I23" s="51"/>
      <c r="J23" s="218"/>
    </row>
    <row r="24" spans="1:255" s="27" customFormat="1" ht="12.75">
      <c r="A24" s="48" t="s">
        <v>659</v>
      </c>
      <c r="B24" s="220" t="s">
        <v>636</v>
      </c>
      <c r="C24" s="220"/>
      <c r="D24" s="220"/>
      <c r="E24" s="220"/>
      <c r="G24" s="51">
        <v>40000</v>
      </c>
      <c r="H24" s="51">
        <f>40000+100000</f>
        <v>140000</v>
      </c>
      <c r="I24" s="51">
        <v>140000</v>
      </c>
      <c r="J24" s="218">
        <f>I24/H24*100</f>
        <v>100</v>
      </c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20"/>
      <c r="EE24" s="220"/>
      <c r="EF24" s="220"/>
      <c r="EG24" s="220"/>
      <c r="EH24" s="220"/>
      <c r="EI24" s="220"/>
      <c r="EJ24" s="220"/>
      <c r="EK24" s="220"/>
      <c r="EL24" s="220"/>
      <c r="EM24" s="220"/>
      <c r="EN24" s="220"/>
      <c r="EO24" s="220"/>
      <c r="EP24" s="220"/>
      <c r="EQ24" s="220"/>
      <c r="ER24" s="220"/>
      <c r="ES24" s="220"/>
      <c r="ET24" s="220"/>
      <c r="EU24" s="220"/>
      <c r="EV24" s="220"/>
      <c r="EW24" s="220"/>
      <c r="EX24" s="220"/>
      <c r="EY24" s="220"/>
      <c r="EZ24" s="220"/>
      <c r="FA24" s="220"/>
      <c r="FB24" s="220"/>
      <c r="FC24" s="220"/>
      <c r="FD24" s="220"/>
      <c r="FE24" s="220"/>
      <c r="FF24" s="220"/>
      <c r="FG24" s="220"/>
      <c r="FH24" s="220"/>
      <c r="FI24" s="220"/>
      <c r="FJ24" s="220"/>
      <c r="FK24" s="220"/>
      <c r="FL24" s="220"/>
      <c r="FM24" s="220"/>
      <c r="FN24" s="220"/>
      <c r="FO24" s="220"/>
      <c r="FP24" s="220"/>
      <c r="FQ24" s="220"/>
      <c r="FR24" s="220"/>
      <c r="FS24" s="220"/>
      <c r="FT24" s="220"/>
      <c r="FU24" s="220"/>
      <c r="FV24" s="220"/>
      <c r="FW24" s="220"/>
      <c r="FX24" s="220"/>
      <c r="FY24" s="220"/>
      <c r="FZ24" s="220"/>
      <c r="GA24" s="220"/>
      <c r="GB24" s="220"/>
      <c r="GC24" s="220"/>
      <c r="GD24" s="220"/>
      <c r="GE24" s="220"/>
      <c r="GF24" s="220"/>
      <c r="GG24" s="220"/>
      <c r="GH24" s="220"/>
      <c r="GI24" s="220"/>
      <c r="GJ24" s="220"/>
      <c r="GK24" s="220"/>
      <c r="GL24" s="220"/>
      <c r="GM24" s="220"/>
      <c r="GN24" s="220"/>
      <c r="GO24" s="220"/>
      <c r="GP24" s="220"/>
      <c r="GQ24" s="220"/>
      <c r="GR24" s="220"/>
      <c r="GS24" s="220"/>
      <c r="GT24" s="220"/>
      <c r="GU24" s="220"/>
      <c r="GV24" s="220"/>
      <c r="GW24" s="220"/>
      <c r="GX24" s="220"/>
      <c r="GY24" s="220"/>
      <c r="GZ24" s="220"/>
      <c r="HA24" s="220"/>
      <c r="HB24" s="220"/>
      <c r="HC24" s="220"/>
      <c r="HD24" s="220"/>
      <c r="HE24" s="220"/>
      <c r="HF24" s="220"/>
      <c r="HG24" s="220"/>
      <c r="HH24" s="220"/>
      <c r="HI24" s="220"/>
      <c r="HJ24" s="220"/>
      <c r="HK24" s="220"/>
      <c r="HL24" s="220"/>
      <c r="HM24" s="220"/>
      <c r="HN24" s="220"/>
      <c r="HO24" s="220"/>
      <c r="HP24" s="220"/>
      <c r="HQ24" s="220"/>
      <c r="HR24" s="220"/>
      <c r="HS24" s="220"/>
      <c r="HT24" s="220"/>
      <c r="HU24" s="220"/>
      <c r="HV24" s="220"/>
      <c r="HW24" s="220"/>
      <c r="HX24" s="220"/>
      <c r="HY24" s="220"/>
      <c r="HZ24" s="220"/>
      <c r="IA24" s="220"/>
      <c r="IB24" s="220"/>
      <c r="IC24" s="220"/>
      <c r="ID24" s="220"/>
      <c r="IE24" s="220"/>
      <c r="IF24" s="220"/>
      <c r="IG24" s="220"/>
      <c r="IH24" s="220"/>
      <c r="II24" s="220"/>
      <c r="IJ24" s="220"/>
      <c r="IK24" s="220"/>
      <c r="IL24" s="220"/>
      <c r="IM24" s="220"/>
      <c r="IN24" s="220"/>
      <c r="IO24" s="220"/>
      <c r="IP24" s="220"/>
      <c r="IQ24" s="220"/>
      <c r="IR24" s="220"/>
      <c r="IS24" s="220"/>
      <c r="IT24" s="220"/>
      <c r="IU24" s="220"/>
    </row>
    <row r="25" spans="1:255" s="27" customFormat="1" ht="12.75">
      <c r="A25" s="48" t="s">
        <v>660</v>
      </c>
      <c r="B25" s="220" t="s">
        <v>430</v>
      </c>
      <c r="C25" s="220"/>
      <c r="D25" s="220"/>
      <c r="E25" s="220"/>
      <c r="G25" s="51">
        <v>80000</v>
      </c>
      <c r="H25" s="51">
        <v>80000</v>
      </c>
      <c r="I25" s="51">
        <v>80000</v>
      </c>
      <c r="J25" s="218">
        <f>I25/H25*100</f>
        <v>100</v>
      </c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220"/>
      <c r="DE25" s="220"/>
      <c r="DF25" s="220"/>
      <c r="DG25" s="220"/>
      <c r="DH25" s="220"/>
      <c r="DI25" s="220"/>
      <c r="DJ25" s="220"/>
      <c r="DK25" s="220"/>
      <c r="DL25" s="220"/>
      <c r="DM25" s="220"/>
      <c r="DN25" s="220"/>
      <c r="DO25" s="220"/>
      <c r="DP25" s="220"/>
      <c r="DQ25" s="220"/>
      <c r="DR25" s="220"/>
      <c r="DS25" s="220"/>
      <c r="DT25" s="220"/>
      <c r="DU25" s="220"/>
      <c r="DV25" s="220"/>
      <c r="DW25" s="220"/>
      <c r="DX25" s="220"/>
      <c r="DY25" s="220"/>
      <c r="DZ25" s="220"/>
      <c r="EA25" s="220"/>
      <c r="EB25" s="220"/>
      <c r="EC25" s="220"/>
      <c r="ED25" s="220"/>
      <c r="EE25" s="220"/>
      <c r="EF25" s="220"/>
      <c r="EG25" s="220"/>
      <c r="EH25" s="220"/>
      <c r="EI25" s="220"/>
      <c r="EJ25" s="220"/>
      <c r="EK25" s="220"/>
      <c r="EL25" s="220"/>
      <c r="EM25" s="220"/>
      <c r="EN25" s="220"/>
      <c r="EO25" s="220"/>
      <c r="EP25" s="220"/>
      <c r="EQ25" s="220"/>
      <c r="ER25" s="220"/>
      <c r="ES25" s="220"/>
      <c r="ET25" s="220"/>
      <c r="EU25" s="220"/>
      <c r="EV25" s="220"/>
      <c r="EW25" s="220"/>
      <c r="EX25" s="220"/>
      <c r="EY25" s="220"/>
      <c r="EZ25" s="220"/>
      <c r="FA25" s="220"/>
      <c r="FB25" s="220"/>
      <c r="FC25" s="220"/>
      <c r="FD25" s="220"/>
      <c r="FE25" s="220"/>
      <c r="FF25" s="220"/>
      <c r="FG25" s="220"/>
      <c r="FH25" s="220"/>
      <c r="FI25" s="220"/>
      <c r="FJ25" s="220"/>
      <c r="FK25" s="220"/>
      <c r="FL25" s="220"/>
      <c r="FM25" s="220"/>
      <c r="FN25" s="220"/>
      <c r="FO25" s="220"/>
      <c r="FP25" s="220"/>
      <c r="FQ25" s="220"/>
      <c r="FR25" s="220"/>
      <c r="FS25" s="220"/>
      <c r="FT25" s="220"/>
      <c r="FU25" s="220"/>
      <c r="FV25" s="220"/>
      <c r="FW25" s="220"/>
      <c r="FX25" s="220"/>
      <c r="FY25" s="220"/>
      <c r="FZ25" s="220"/>
      <c r="GA25" s="220"/>
      <c r="GB25" s="220"/>
      <c r="GC25" s="220"/>
      <c r="GD25" s="220"/>
      <c r="GE25" s="220"/>
      <c r="GF25" s="220"/>
      <c r="GG25" s="220"/>
      <c r="GH25" s="220"/>
      <c r="GI25" s="220"/>
      <c r="GJ25" s="220"/>
      <c r="GK25" s="220"/>
      <c r="GL25" s="220"/>
      <c r="GM25" s="220"/>
      <c r="GN25" s="220"/>
      <c r="GO25" s="220"/>
      <c r="GP25" s="220"/>
      <c r="GQ25" s="220"/>
      <c r="GR25" s="220"/>
      <c r="GS25" s="220"/>
      <c r="GT25" s="220"/>
      <c r="GU25" s="220"/>
      <c r="GV25" s="220"/>
      <c r="GW25" s="220"/>
      <c r="GX25" s="220"/>
      <c r="GY25" s="220"/>
      <c r="GZ25" s="220"/>
      <c r="HA25" s="220"/>
      <c r="HB25" s="220"/>
      <c r="HC25" s="220"/>
      <c r="HD25" s="220"/>
      <c r="HE25" s="220"/>
      <c r="HF25" s="220"/>
      <c r="HG25" s="220"/>
      <c r="HH25" s="220"/>
      <c r="HI25" s="220"/>
      <c r="HJ25" s="220"/>
      <c r="HK25" s="220"/>
      <c r="HL25" s="220"/>
      <c r="HM25" s="220"/>
      <c r="HN25" s="220"/>
      <c r="HO25" s="220"/>
      <c r="HP25" s="220"/>
      <c r="HQ25" s="220"/>
      <c r="HR25" s="220"/>
      <c r="HS25" s="220"/>
      <c r="HT25" s="220"/>
      <c r="HU25" s="220"/>
      <c r="HV25" s="220"/>
      <c r="HW25" s="220"/>
      <c r="HX25" s="220"/>
      <c r="HY25" s="220"/>
      <c r="HZ25" s="220"/>
      <c r="IA25" s="220"/>
      <c r="IB25" s="220"/>
      <c r="IC25" s="220"/>
      <c r="ID25" s="220"/>
      <c r="IE25" s="220"/>
      <c r="IF25" s="220"/>
      <c r="IG25" s="220"/>
      <c r="IH25" s="220"/>
      <c r="II25" s="220"/>
      <c r="IJ25" s="220"/>
      <c r="IK25" s="220"/>
      <c r="IL25" s="220"/>
      <c r="IM25" s="220"/>
      <c r="IN25" s="220"/>
      <c r="IO25" s="220"/>
      <c r="IP25" s="220"/>
      <c r="IQ25" s="220"/>
      <c r="IR25" s="220"/>
      <c r="IS25" s="220"/>
      <c r="IT25" s="220"/>
      <c r="IU25" s="220"/>
    </row>
    <row r="26" spans="1:255" s="27" customFormat="1" ht="12.75">
      <c r="A26" s="48" t="s">
        <v>661</v>
      </c>
      <c r="B26" s="220" t="s">
        <v>431</v>
      </c>
      <c r="C26" s="220"/>
      <c r="D26" s="220"/>
      <c r="E26" s="220"/>
      <c r="G26" s="51">
        <v>120000</v>
      </c>
      <c r="H26" s="51">
        <v>120000</v>
      </c>
      <c r="I26" s="51">
        <v>120000</v>
      </c>
      <c r="J26" s="218">
        <f>I26/H26*100</f>
        <v>100</v>
      </c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Q26" s="220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220"/>
      <c r="DC26" s="220"/>
      <c r="DD26" s="220"/>
      <c r="DE26" s="220"/>
      <c r="DF26" s="220"/>
      <c r="DG26" s="220"/>
      <c r="DH26" s="220"/>
      <c r="DI26" s="220"/>
      <c r="DJ26" s="220"/>
      <c r="DK26" s="220"/>
      <c r="DL26" s="220"/>
      <c r="DM26" s="220"/>
      <c r="DN26" s="220"/>
      <c r="DO26" s="220"/>
      <c r="DP26" s="220"/>
      <c r="DQ26" s="220"/>
      <c r="DR26" s="220"/>
      <c r="DS26" s="220"/>
      <c r="DT26" s="220"/>
      <c r="DU26" s="220"/>
      <c r="DV26" s="220"/>
      <c r="DW26" s="220"/>
      <c r="DX26" s="220"/>
      <c r="DY26" s="220"/>
      <c r="DZ26" s="220"/>
      <c r="EA26" s="220"/>
      <c r="EB26" s="220"/>
      <c r="EC26" s="220"/>
      <c r="ED26" s="220"/>
      <c r="EE26" s="220"/>
      <c r="EF26" s="220"/>
      <c r="EG26" s="220"/>
      <c r="EH26" s="220"/>
      <c r="EI26" s="220"/>
      <c r="EJ26" s="220"/>
      <c r="EK26" s="220"/>
      <c r="EL26" s="220"/>
      <c r="EM26" s="220"/>
      <c r="EN26" s="220"/>
      <c r="EO26" s="220"/>
      <c r="EP26" s="220"/>
      <c r="EQ26" s="220"/>
      <c r="ER26" s="220"/>
      <c r="ES26" s="220"/>
      <c r="ET26" s="220"/>
      <c r="EU26" s="220"/>
      <c r="EV26" s="220"/>
      <c r="EW26" s="220"/>
      <c r="EX26" s="220"/>
      <c r="EY26" s="220"/>
      <c r="EZ26" s="220"/>
      <c r="FA26" s="220"/>
      <c r="FB26" s="220"/>
      <c r="FC26" s="220"/>
      <c r="FD26" s="220"/>
      <c r="FE26" s="220"/>
      <c r="FF26" s="220"/>
      <c r="FG26" s="220"/>
      <c r="FH26" s="220"/>
      <c r="FI26" s="220"/>
      <c r="FJ26" s="220"/>
      <c r="FK26" s="220"/>
      <c r="FL26" s="220"/>
      <c r="FM26" s="220"/>
      <c r="FN26" s="220"/>
      <c r="FO26" s="220"/>
      <c r="FP26" s="220"/>
      <c r="FQ26" s="220"/>
      <c r="FR26" s="220"/>
      <c r="FS26" s="220"/>
      <c r="FT26" s="220"/>
      <c r="FU26" s="220"/>
      <c r="FV26" s="220"/>
      <c r="FW26" s="220"/>
      <c r="FX26" s="220"/>
      <c r="FY26" s="220"/>
      <c r="FZ26" s="220"/>
      <c r="GA26" s="220"/>
      <c r="GB26" s="220"/>
      <c r="GC26" s="220"/>
      <c r="GD26" s="220"/>
      <c r="GE26" s="220"/>
      <c r="GF26" s="220"/>
      <c r="GG26" s="220"/>
      <c r="GH26" s="220"/>
      <c r="GI26" s="220"/>
      <c r="GJ26" s="220"/>
      <c r="GK26" s="220"/>
      <c r="GL26" s="220"/>
      <c r="GM26" s="220"/>
      <c r="GN26" s="220"/>
      <c r="GO26" s="220"/>
      <c r="GP26" s="220"/>
      <c r="GQ26" s="220"/>
      <c r="GR26" s="220"/>
      <c r="GS26" s="220"/>
      <c r="GT26" s="220"/>
      <c r="GU26" s="220"/>
      <c r="GV26" s="220"/>
      <c r="GW26" s="220"/>
      <c r="GX26" s="220"/>
      <c r="GY26" s="220"/>
      <c r="GZ26" s="220"/>
      <c r="HA26" s="220"/>
      <c r="HB26" s="220"/>
      <c r="HC26" s="220"/>
      <c r="HD26" s="220"/>
      <c r="HE26" s="220"/>
      <c r="HF26" s="220"/>
      <c r="HG26" s="220"/>
      <c r="HH26" s="220"/>
      <c r="HI26" s="220"/>
      <c r="HJ26" s="220"/>
      <c r="HK26" s="220"/>
      <c r="HL26" s="220"/>
      <c r="HM26" s="220"/>
      <c r="HN26" s="220"/>
      <c r="HO26" s="220"/>
      <c r="HP26" s="220"/>
      <c r="HQ26" s="220"/>
      <c r="HR26" s="220"/>
      <c r="HS26" s="220"/>
      <c r="HT26" s="220"/>
      <c r="HU26" s="220"/>
      <c r="HV26" s="220"/>
      <c r="HW26" s="220"/>
      <c r="HX26" s="220"/>
      <c r="HY26" s="220"/>
      <c r="HZ26" s="220"/>
      <c r="IA26" s="220"/>
      <c r="IB26" s="220"/>
      <c r="IC26" s="220"/>
      <c r="ID26" s="220"/>
      <c r="IE26" s="220"/>
      <c r="IF26" s="220"/>
      <c r="IG26" s="220"/>
      <c r="IH26" s="220"/>
      <c r="II26" s="220"/>
      <c r="IJ26" s="220"/>
      <c r="IK26" s="220"/>
      <c r="IL26" s="220"/>
      <c r="IM26" s="220"/>
      <c r="IN26" s="220"/>
      <c r="IO26" s="220"/>
      <c r="IP26" s="220"/>
      <c r="IQ26" s="220"/>
      <c r="IR26" s="220"/>
      <c r="IS26" s="220"/>
      <c r="IT26" s="220"/>
      <c r="IU26" s="220"/>
    </row>
    <row r="27" spans="1:255" s="27" customFormat="1" ht="12.75">
      <c r="A27" s="48" t="s">
        <v>662</v>
      </c>
      <c r="B27" s="220" t="s">
        <v>432</v>
      </c>
      <c r="C27" s="220"/>
      <c r="D27" s="220"/>
      <c r="E27" s="220"/>
      <c r="G27" s="51">
        <v>75000</v>
      </c>
      <c r="H27" s="51">
        <v>75000</v>
      </c>
      <c r="I27" s="51">
        <v>75000</v>
      </c>
      <c r="J27" s="218">
        <f>I27/H27*100</f>
        <v>100</v>
      </c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0"/>
      <c r="DE27" s="220"/>
      <c r="DF27" s="220"/>
      <c r="DG27" s="220"/>
      <c r="DH27" s="220"/>
      <c r="DI27" s="220"/>
      <c r="DJ27" s="220"/>
      <c r="DK27" s="220"/>
      <c r="DL27" s="220"/>
      <c r="DM27" s="220"/>
      <c r="DN27" s="220"/>
      <c r="DO27" s="220"/>
      <c r="DP27" s="220"/>
      <c r="DQ27" s="220"/>
      <c r="DR27" s="220"/>
      <c r="DS27" s="220"/>
      <c r="DT27" s="220"/>
      <c r="DU27" s="220"/>
      <c r="DV27" s="220"/>
      <c r="DW27" s="220"/>
      <c r="DX27" s="220"/>
      <c r="DY27" s="220"/>
      <c r="DZ27" s="220"/>
      <c r="EA27" s="220"/>
      <c r="EB27" s="220"/>
      <c r="EC27" s="220"/>
      <c r="ED27" s="220"/>
      <c r="EE27" s="220"/>
      <c r="EF27" s="220"/>
      <c r="EG27" s="220"/>
      <c r="EH27" s="220"/>
      <c r="EI27" s="220"/>
      <c r="EJ27" s="220"/>
      <c r="EK27" s="220"/>
      <c r="EL27" s="220"/>
      <c r="EM27" s="220"/>
      <c r="EN27" s="220"/>
      <c r="EO27" s="220"/>
      <c r="EP27" s="220"/>
      <c r="EQ27" s="220"/>
      <c r="ER27" s="220"/>
      <c r="ES27" s="220"/>
      <c r="ET27" s="220"/>
      <c r="EU27" s="220"/>
      <c r="EV27" s="220"/>
      <c r="EW27" s="220"/>
      <c r="EX27" s="220"/>
      <c r="EY27" s="220"/>
      <c r="EZ27" s="220"/>
      <c r="FA27" s="220"/>
      <c r="FB27" s="220"/>
      <c r="FC27" s="220"/>
      <c r="FD27" s="220"/>
      <c r="FE27" s="220"/>
      <c r="FF27" s="220"/>
      <c r="FG27" s="220"/>
      <c r="FH27" s="220"/>
      <c r="FI27" s="220"/>
      <c r="FJ27" s="220"/>
      <c r="FK27" s="220"/>
      <c r="FL27" s="220"/>
      <c r="FM27" s="220"/>
      <c r="FN27" s="220"/>
      <c r="FO27" s="220"/>
      <c r="FP27" s="220"/>
      <c r="FQ27" s="220"/>
      <c r="FR27" s="220"/>
      <c r="FS27" s="220"/>
      <c r="FT27" s="220"/>
      <c r="FU27" s="220"/>
      <c r="FV27" s="220"/>
      <c r="FW27" s="220"/>
      <c r="FX27" s="220"/>
      <c r="FY27" s="220"/>
      <c r="FZ27" s="220"/>
      <c r="GA27" s="220"/>
      <c r="GB27" s="220"/>
      <c r="GC27" s="220"/>
      <c r="GD27" s="220"/>
      <c r="GE27" s="220"/>
      <c r="GF27" s="220"/>
      <c r="GG27" s="220"/>
      <c r="GH27" s="220"/>
      <c r="GI27" s="220"/>
      <c r="GJ27" s="220"/>
      <c r="GK27" s="220"/>
      <c r="GL27" s="220"/>
      <c r="GM27" s="220"/>
      <c r="GN27" s="220"/>
      <c r="GO27" s="220"/>
      <c r="GP27" s="220"/>
      <c r="GQ27" s="220"/>
      <c r="GR27" s="220"/>
      <c r="GS27" s="220"/>
      <c r="GT27" s="220"/>
      <c r="GU27" s="220"/>
      <c r="GV27" s="220"/>
      <c r="GW27" s="220"/>
      <c r="GX27" s="220"/>
      <c r="GY27" s="220"/>
      <c r="GZ27" s="220"/>
      <c r="HA27" s="220"/>
      <c r="HB27" s="220"/>
      <c r="HC27" s="220"/>
      <c r="HD27" s="220"/>
      <c r="HE27" s="220"/>
      <c r="HF27" s="220"/>
      <c r="HG27" s="220"/>
      <c r="HH27" s="220"/>
      <c r="HI27" s="220"/>
      <c r="HJ27" s="220"/>
      <c r="HK27" s="220"/>
      <c r="HL27" s="220"/>
      <c r="HM27" s="220"/>
      <c r="HN27" s="220"/>
      <c r="HO27" s="220"/>
      <c r="HP27" s="220"/>
      <c r="HQ27" s="220"/>
      <c r="HR27" s="220"/>
      <c r="HS27" s="220"/>
      <c r="HT27" s="220"/>
      <c r="HU27" s="220"/>
      <c r="HV27" s="220"/>
      <c r="HW27" s="220"/>
      <c r="HX27" s="220"/>
      <c r="HY27" s="220"/>
      <c r="HZ27" s="220"/>
      <c r="IA27" s="220"/>
      <c r="IB27" s="220"/>
      <c r="IC27" s="220"/>
      <c r="ID27" s="220"/>
      <c r="IE27" s="220"/>
      <c r="IF27" s="220"/>
      <c r="IG27" s="220"/>
      <c r="IH27" s="220"/>
      <c r="II27" s="220"/>
      <c r="IJ27" s="220"/>
      <c r="IK27" s="220"/>
      <c r="IL27" s="220"/>
      <c r="IM27" s="220"/>
      <c r="IN27" s="220"/>
      <c r="IO27" s="220"/>
      <c r="IP27" s="220"/>
      <c r="IQ27" s="220"/>
      <c r="IR27" s="220"/>
      <c r="IS27" s="220"/>
      <c r="IT27" s="220"/>
      <c r="IU27" s="220"/>
    </row>
    <row r="28" spans="1:10" s="27" customFormat="1" ht="13.5" customHeight="1">
      <c r="A28" s="48" t="s">
        <v>699</v>
      </c>
      <c r="B28" s="220" t="s">
        <v>433</v>
      </c>
      <c r="G28" s="51">
        <v>600000</v>
      </c>
      <c r="H28" s="51">
        <v>600000</v>
      </c>
      <c r="I28" s="51">
        <v>600000</v>
      </c>
      <c r="J28" s="218">
        <f>I28/H28*100</f>
        <v>100</v>
      </c>
    </row>
    <row r="29" spans="1:8" s="27" customFormat="1" ht="13.5" customHeight="1">
      <c r="A29" s="220"/>
      <c r="G29" s="51"/>
      <c r="H29" s="51"/>
    </row>
    <row r="30" spans="1:10" s="110" customFormat="1" ht="32.25" customHeight="1">
      <c r="A30" s="989" t="s">
        <v>434</v>
      </c>
      <c r="B30" s="989"/>
      <c r="C30" s="989"/>
      <c r="D30" s="989"/>
      <c r="E30" s="989"/>
      <c r="G30" s="214">
        <f>SUM(G23:G29)</f>
        <v>965000</v>
      </c>
      <c r="H30" s="214">
        <f>SUM(H23:H29)</f>
        <v>1015000</v>
      </c>
      <c r="I30" s="214">
        <f>SUM(I23:I29)</f>
        <v>1015000</v>
      </c>
      <c r="J30" s="216">
        <f>I30/H30*100</f>
        <v>100</v>
      </c>
    </row>
    <row r="31" spans="1:10" s="110" customFormat="1" ht="12.75" customHeight="1">
      <c r="A31" s="10"/>
      <c r="G31" s="213"/>
      <c r="H31" s="213"/>
      <c r="I31" s="213"/>
      <c r="J31" s="216"/>
    </row>
    <row r="32" spans="1:10" s="12" customFormat="1" ht="15.75">
      <c r="A32" s="10" t="s">
        <v>435</v>
      </c>
      <c r="G32" s="214">
        <f>G30+G20</f>
        <v>1127000</v>
      </c>
      <c r="H32" s="214">
        <f>H30+H20</f>
        <v>2851329</v>
      </c>
      <c r="I32" s="214">
        <f>I30+I20</f>
        <v>2851199</v>
      </c>
      <c r="J32" s="216">
        <f>I32/H32*100</f>
        <v>99.99544072255429</v>
      </c>
    </row>
    <row r="33" spans="7:10" s="12" customFormat="1" ht="15.75">
      <c r="G33" s="213"/>
      <c r="H33" s="213"/>
      <c r="I33" s="213"/>
      <c r="J33" s="216"/>
    </row>
    <row r="34" spans="1:6" s="110" customFormat="1" ht="15">
      <c r="A34" s="10" t="s">
        <v>190</v>
      </c>
      <c r="E34" s="210"/>
      <c r="F34" s="211"/>
    </row>
    <row r="35" spans="1:5" ht="12.75" customHeight="1">
      <c r="A35" s="12"/>
      <c r="E35" s="13"/>
    </row>
    <row r="36" spans="1:9" s="110" customFormat="1" ht="48.75" customHeight="1">
      <c r="A36" s="215" t="s">
        <v>740</v>
      </c>
      <c r="B36" s="989" t="s">
        <v>191</v>
      </c>
      <c r="C36" s="989"/>
      <c r="D36" s="989"/>
      <c r="E36" s="989"/>
      <c r="G36" s="213"/>
      <c r="H36" s="213"/>
      <c r="I36" s="213"/>
    </row>
    <row r="37" spans="1:10" ht="16.5" customHeight="1">
      <c r="A37" s="48" t="s">
        <v>658</v>
      </c>
      <c r="B37" s="1119" t="s">
        <v>1136</v>
      </c>
      <c r="C37" s="1119"/>
      <c r="D37" s="1119"/>
      <c r="G37" s="51">
        <v>600000</v>
      </c>
      <c r="H37" s="51">
        <v>1200000</v>
      </c>
      <c r="I37" s="51">
        <v>600000</v>
      </c>
      <c r="J37" s="218">
        <f>I37/H37*100</f>
        <v>50</v>
      </c>
    </row>
    <row r="39" spans="1:10" ht="45" customHeight="1">
      <c r="A39" s="989" t="s">
        <v>193</v>
      </c>
      <c r="B39" s="989"/>
      <c r="C39" s="989"/>
      <c r="D39" s="989"/>
      <c r="G39" s="214">
        <f>SUM(G37:G38)</f>
        <v>600000</v>
      </c>
      <c r="H39" s="214">
        <f>SUM(H37:H38)</f>
        <v>1200000</v>
      </c>
      <c r="I39" s="214">
        <f>SUM(I37:I38)</f>
        <v>600000</v>
      </c>
      <c r="J39" s="216">
        <f>I39/H39*100</f>
        <v>50</v>
      </c>
    </row>
    <row r="41" spans="1:10" s="110" customFormat="1" ht="15">
      <c r="A41" s="10" t="s">
        <v>194</v>
      </c>
      <c r="E41" s="210"/>
      <c r="F41" s="211"/>
      <c r="G41" s="214">
        <f>G39</f>
        <v>600000</v>
      </c>
      <c r="H41" s="214">
        <f>H39</f>
        <v>1200000</v>
      </c>
      <c r="I41" s="214">
        <f>I39</f>
        <v>600000</v>
      </c>
      <c r="J41" s="216">
        <f>J39</f>
        <v>50</v>
      </c>
    </row>
    <row r="43" spans="1:10" ht="30" customHeight="1">
      <c r="A43" s="1118" t="s">
        <v>1137</v>
      </c>
      <c r="B43" s="1003"/>
      <c r="C43" s="1003"/>
      <c r="D43" s="1003"/>
      <c r="E43" s="968"/>
      <c r="F43" s="968"/>
      <c r="G43" s="969">
        <f>G32+G41</f>
        <v>1727000</v>
      </c>
      <c r="H43" s="969">
        <f>H32+H41</f>
        <v>4051329</v>
      </c>
      <c r="I43" s="969">
        <f>I32+I41</f>
        <v>3451199</v>
      </c>
      <c r="J43" s="216">
        <f>J41</f>
        <v>50</v>
      </c>
    </row>
  </sheetData>
  <sheetProtection/>
  <mergeCells count="16">
    <mergeCell ref="A43:D43"/>
    <mergeCell ref="B15:E15"/>
    <mergeCell ref="A30:E30"/>
    <mergeCell ref="B22:E22"/>
    <mergeCell ref="A39:D39"/>
    <mergeCell ref="B36:E36"/>
    <mergeCell ref="B37:D37"/>
    <mergeCell ref="A20:E20"/>
    <mergeCell ref="B19:D19"/>
    <mergeCell ref="I10:I12"/>
    <mergeCell ref="A2:J2"/>
    <mergeCell ref="A6:J6"/>
    <mergeCell ref="A7:J7"/>
    <mergeCell ref="A8:J8"/>
    <mergeCell ref="G11:H12"/>
    <mergeCell ref="A10:F12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375" style="11" customWidth="1"/>
    <col min="2" max="2" width="55.875" style="11" customWidth="1"/>
    <col min="3" max="3" width="14.625" style="11" customWidth="1"/>
    <col min="4" max="5" width="14.375" style="11" bestFit="1" customWidth="1"/>
    <col min="6" max="6" width="9.25390625" style="11" customWidth="1"/>
    <col min="7" max="16384" width="9.125" style="11" customWidth="1"/>
  </cols>
  <sheetData>
    <row r="1" spans="3:4" ht="15.75">
      <c r="C1" s="1126"/>
      <c r="D1" s="1126"/>
    </row>
    <row r="2" spans="2:6" ht="15.75">
      <c r="B2" s="1121"/>
      <c r="C2" s="1121"/>
      <c r="D2" s="1121"/>
      <c r="E2" s="1121"/>
      <c r="F2" s="1121"/>
    </row>
    <row r="3" spans="2:7" s="177" customFormat="1" ht="15.75">
      <c r="B3" s="176" t="s">
        <v>1164</v>
      </c>
      <c r="D3" s="178"/>
      <c r="E3" s="179"/>
      <c r="F3" s="179"/>
      <c r="G3" s="179"/>
    </row>
    <row r="4" spans="2:4" ht="15.75">
      <c r="B4" s="127"/>
      <c r="C4" s="127"/>
      <c r="D4" s="127"/>
    </row>
    <row r="5" spans="2:6" ht="15.75">
      <c r="B5" s="1127" t="s">
        <v>741</v>
      </c>
      <c r="C5" s="1127"/>
      <c r="D5" s="1127"/>
      <c r="E5" s="1127"/>
      <c r="F5" s="1127"/>
    </row>
    <row r="6" spans="2:6" ht="15.75">
      <c r="B6" s="1127" t="s">
        <v>437</v>
      </c>
      <c r="C6" s="1127"/>
      <c r="D6" s="1127"/>
      <c r="E6" s="1127"/>
      <c r="F6" s="1127"/>
    </row>
    <row r="7" spans="2:6" ht="15.75">
      <c r="B7" s="1128" t="s">
        <v>1013</v>
      </c>
      <c r="C7" s="1128"/>
      <c r="D7" s="1128"/>
      <c r="E7" s="1128"/>
      <c r="F7" s="1128"/>
    </row>
    <row r="8" spans="2:4" ht="15.75">
      <c r="B8" s="127"/>
      <c r="C8" s="127"/>
      <c r="D8" s="127"/>
    </row>
    <row r="9" spans="2:6" ht="16.5" thickBot="1">
      <c r="B9" s="19"/>
      <c r="F9" s="501" t="s">
        <v>1011</v>
      </c>
    </row>
    <row r="10" spans="1:6" s="67" customFormat="1" ht="13.5" thickBot="1">
      <c r="A10" s="1123" t="s">
        <v>1141</v>
      </c>
      <c r="B10" s="1007" t="s">
        <v>769</v>
      </c>
      <c r="C10" s="140" t="s">
        <v>693</v>
      </c>
      <c r="D10" s="140" t="s">
        <v>483</v>
      </c>
      <c r="E10" s="1004" t="s">
        <v>694</v>
      </c>
      <c r="F10" s="140" t="s">
        <v>791</v>
      </c>
    </row>
    <row r="11" spans="1:6" s="67" customFormat="1" ht="12.75">
      <c r="A11" s="1124"/>
      <c r="B11" s="1010"/>
      <c r="C11" s="1016" t="s">
        <v>649</v>
      </c>
      <c r="D11" s="1017"/>
      <c r="E11" s="1005"/>
      <c r="F11" s="142"/>
    </row>
    <row r="12" spans="1:6" s="67" customFormat="1" ht="13.5" thickBot="1">
      <c r="A12" s="1125"/>
      <c r="B12" s="1013"/>
      <c r="C12" s="1018"/>
      <c r="D12" s="1019"/>
      <c r="E12" s="1006"/>
      <c r="F12" s="143" t="s">
        <v>698</v>
      </c>
    </row>
    <row r="13" s="45" customFormat="1" ht="11.25" customHeight="1"/>
    <row r="14" spans="3:6" s="45" customFormat="1" ht="11.25" customHeight="1">
      <c r="C14" s="213"/>
      <c r="D14" s="213"/>
      <c r="E14" s="2"/>
      <c r="F14" s="222"/>
    </row>
    <row r="15" spans="2:6" s="45" customFormat="1" ht="33.75" customHeight="1">
      <c r="B15" s="973" t="s">
        <v>1142</v>
      </c>
      <c r="C15" s="2"/>
      <c r="D15" s="2"/>
      <c r="E15" s="2"/>
      <c r="F15" s="974"/>
    </row>
    <row r="16" spans="2:6" s="45" customFormat="1" ht="16.5" customHeight="1">
      <c r="B16" s="973"/>
      <c r="C16" s="2"/>
      <c r="D16" s="2"/>
      <c r="E16" s="2"/>
      <c r="F16" s="974"/>
    </row>
    <row r="17" spans="1:6" s="45" customFormat="1" ht="18" customHeight="1">
      <c r="A17" s="978" t="s">
        <v>658</v>
      </c>
      <c r="B17" s="11" t="s">
        <v>861</v>
      </c>
      <c r="C17" s="2">
        <v>600000</v>
      </c>
      <c r="D17" s="2">
        <v>600000</v>
      </c>
      <c r="E17" s="2">
        <v>212300</v>
      </c>
      <c r="F17" s="974">
        <f>E17/D17*100</f>
        <v>35.38333333333333</v>
      </c>
    </row>
    <row r="18" s="219" customFormat="1" ht="16.5" customHeight="1">
      <c r="A18" s="978"/>
    </row>
    <row r="19" spans="1:6" s="219" customFormat="1" ht="15.75" customHeight="1">
      <c r="A19" s="978" t="s">
        <v>659</v>
      </c>
      <c r="B19" s="11" t="s">
        <v>1146</v>
      </c>
      <c r="C19" s="2">
        <v>350000</v>
      </c>
      <c r="D19" s="2">
        <f>350000-10000</f>
        <v>340000</v>
      </c>
      <c r="E19" s="2">
        <v>301500</v>
      </c>
      <c r="F19" s="974">
        <f aca="true" t="shared" si="0" ref="F19:F24">E19/D19*100</f>
        <v>88.67647058823529</v>
      </c>
    </row>
    <row r="20" spans="1:6" s="219" customFormat="1" ht="15" customHeight="1">
      <c r="A20" s="978" t="s">
        <v>660</v>
      </c>
      <c r="B20" s="11" t="s">
        <v>862</v>
      </c>
      <c r="C20" s="2">
        <v>715000</v>
      </c>
      <c r="D20" s="2">
        <v>715000</v>
      </c>
      <c r="E20" s="2">
        <v>127000</v>
      </c>
      <c r="F20" s="974">
        <f t="shared" si="0"/>
        <v>17.762237762237763</v>
      </c>
    </row>
    <row r="21" spans="1:6" s="219" customFormat="1" ht="15" customHeight="1">
      <c r="A21" s="978" t="s">
        <v>661</v>
      </c>
      <c r="B21" s="11" t="s">
        <v>863</v>
      </c>
      <c r="C21" s="2">
        <v>440000</v>
      </c>
      <c r="D21" s="2">
        <v>440000</v>
      </c>
      <c r="E21" s="2">
        <v>280000</v>
      </c>
      <c r="F21" s="974">
        <f t="shared" si="0"/>
        <v>63.63636363636363</v>
      </c>
    </row>
    <row r="22" spans="1:6" s="219" customFormat="1" ht="15" customHeight="1">
      <c r="A22" s="978" t="s">
        <v>662</v>
      </c>
      <c r="B22" s="11" t="s">
        <v>311</v>
      </c>
      <c r="C22" s="2">
        <v>46000</v>
      </c>
      <c r="D22" s="2">
        <v>46000</v>
      </c>
      <c r="E22" s="2">
        <v>23200</v>
      </c>
      <c r="F22" s="974">
        <f t="shared" si="0"/>
        <v>50.43478260869565</v>
      </c>
    </row>
    <row r="23" spans="1:6" s="219" customFormat="1" ht="14.25" customHeight="1">
      <c r="A23" s="978" t="s">
        <v>699</v>
      </c>
      <c r="B23" s="11" t="s">
        <v>882</v>
      </c>
      <c r="C23" s="2">
        <v>1000000</v>
      </c>
      <c r="D23" s="2">
        <v>1000000</v>
      </c>
      <c r="E23" s="2">
        <v>1000000</v>
      </c>
      <c r="F23" s="974">
        <f t="shared" si="0"/>
        <v>100</v>
      </c>
    </row>
    <row r="24" spans="1:6" s="219" customFormat="1" ht="15.75">
      <c r="A24" s="978" t="s">
        <v>663</v>
      </c>
      <c r="B24" s="11" t="s">
        <v>310</v>
      </c>
      <c r="C24" s="2">
        <v>210000</v>
      </c>
      <c r="D24" s="2">
        <f>210000+10000</f>
        <v>220000</v>
      </c>
      <c r="E24" s="2">
        <v>220000</v>
      </c>
      <c r="F24" s="974">
        <f t="shared" si="0"/>
        <v>100</v>
      </c>
    </row>
    <row r="25" spans="1:6" s="219" customFormat="1" ht="31.5">
      <c r="A25" s="978"/>
      <c r="B25" s="973" t="s">
        <v>1143</v>
      </c>
      <c r="C25" s="2"/>
      <c r="D25" s="2"/>
      <c r="E25" s="2"/>
      <c r="F25" s="974"/>
    </row>
    <row r="26" spans="1:6" s="219" customFormat="1" ht="15.75">
      <c r="A26" s="978"/>
      <c r="B26" s="973"/>
      <c r="C26" s="2"/>
      <c r="D26" s="2"/>
      <c r="E26" s="2"/>
      <c r="F26" s="974"/>
    </row>
    <row r="27" spans="1:6" s="219" customFormat="1" ht="15.75">
      <c r="A27" s="978" t="s">
        <v>664</v>
      </c>
      <c r="B27" s="975" t="s">
        <v>1145</v>
      </c>
      <c r="C27" s="2"/>
      <c r="D27" s="26">
        <v>50000</v>
      </c>
      <c r="E27" s="26">
        <v>37500</v>
      </c>
      <c r="F27" s="21">
        <f>E27/D27*100</f>
        <v>75</v>
      </c>
    </row>
    <row r="28" spans="1:6" s="45" customFormat="1" ht="11.25" customHeight="1">
      <c r="A28" s="979"/>
      <c r="B28" s="11"/>
      <c r="C28" s="2"/>
      <c r="D28" s="2"/>
      <c r="E28" s="2"/>
      <c r="F28" s="974"/>
    </row>
    <row r="29" spans="1:6" s="45" customFormat="1" ht="15.75">
      <c r="A29" s="979" t="s">
        <v>666</v>
      </c>
      <c r="B29" s="20" t="s">
        <v>1144</v>
      </c>
      <c r="C29" s="26">
        <f>SUM(C17:C28)</f>
        <v>3361000</v>
      </c>
      <c r="D29" s="26">
        <f>SUM(D17:D28)</f>
        <v>3411000</v>
      </c>
      <c r="E29" s="26">
        <f>SUM(E17:E28)</f>
        <v>2201500</v>
      </c>
      <c r="F29" s="21">
        <f>E29/D29*100</f>
        <v>64.54119026678393</v>
      </c>
    </row>
    <row r="30" spans="1:6" s="45" customFormat="1" ht="11.25" customHeight="1">
      <c r="A30" s="980"/>
      <c r="B30" s="11"/>
      <c r="C30" s="2"/>
      <c r="D30" s="2"/>
      <c r="E30" s="2"/>
      <c r="F30" s="974"/>
    </row>
    <row r="31" ht="15.75">
      <c r="A31" s="971"/>
    </row>
    <row r="32" spans="1:2" ht="15.75">
      <c r="A32" s="971"/>
      <c r="B32" s="20" t="s">
        <v>1147</v>
      </c>
    </row>
    <row r="33" spans="1:2" ht="15" customHeight="1">
      <c r="A33" s="971"/>
      <c r="B33" s="19"/>
    </row>
    <row r="34" spans="1:6" ht="31.5">
      <c r="A34" s="978" t="s">
        <v>668</v>
      </c>
      <c r="B34" s="975" t="s">
        <v>1148</v>
      </c>
      <c r="C34" s="976">
        <v>600000</v>
      </c>
      <c r="D34" s="976">
        <v>960000</v>
      </c>
      <c r="E34" s="976">
        <v>600000</v>
      </c>
      <c r="F34" s="21">
        <f>E34/D34*100</f>
        <v>62.5</v>
      </c>
    </row>
    <row r="35" spans="1:5" ht="31.5">
      <c r="A35" s="978" t="s">
        <v>669</v>
      </c>
      <c r="B35" s="975" t="s">
        <v>1149</v>
      </c>
      <c r="C35" s="976"/>
      <c r="D35" s="976">
        <v>240000</v>
      </c>
      <c r="E35" s="976"/>
    </row>
    <row r="36" spans="1:5" ht="15.75">
      <c r="A36" s="978"/>
      <c r="B36" s="975"/>
      <c r="C36" s="976"/>
      <c r="D36" s="976"/>
      <c r="E36" s="976"/>
    </row>
    <row r="37" spans="1:6" ht="31.5">
      <c r="A37" s="972" t="s">
        <v>700</v>
      </c>
      <c r="B37" s="973" t="s">
        <v>1150</v>
      </c>
      <c r="C37" s="977">
        <f>C34+C35</f>
        <v>600000</v>
      </c>
      <c r="D37" s="977">
        <f>D34+D35</f>
        <v>1200000</v>
      </c>
      <c r="E37" s="977">
        <f>E34+E35</f>
        <v>600000</v>
      </c>
      <c r="F37" s="21">
        <f>E37/D37*100</f>
        <v>50</v>
      </c>
    </row>
    <row r="38" spans="1:3" ht="15.75">
      <c r="A38" s="978"/>
      <c r="C38" s="976"/>
    </row>
    <row r="39" spans="1:3" ht="15.75">
      <c r="A39" s="978"/>
      <c r="C39" s="976"/>
    </row>
    <row r="40" spans="1:3" ht="15.75">
      <c r="A40" s="1121" t="s">
        <v>670</v>
      </c>
      <c r="B40" s="20" t="s">
        <v>1151</v>
      </c>
      <c r="C40" s="976"/>
    </row>
    <row r="41" spans="1:6" ht="15.75">
      <c r="A41" s="1122"/>
      <c r="B41" s="20" t="s">
        <v>1152</v>
      </c>
      <c r="C41" s="977">
        <f>C29+C37</f>
        <v>3961000</v>
      </c>
      <c r="D41" s="977">
        <f>D29+D37</f>
        <v>4611000</v>
      </c>
      <c r="E41" s="977">
        <f>E29+E37</f>
        <v>2801500</v>
      </c>
      <c r="F41" s="21">
        <f>E41/D41*100</f>
        <v>60.75688570808935</v>
      </c>
    </row>
  </sheetData>
  <sheetProtection/>
  <mergeCells count="10">
    <mergeCell ref="A40:A41"/>
    <mergeCell ref="A10:A12"/>
    <mergeCell ref="C1:D1"/>
    <mergeCell ref="B10:B12"/>
    <mergeCell ref="E10:E12"/>
    <mergeCell ref="C11:D12"/>
    <mergeCell ref="B2:F2"/>
    <mergeCell ref="B5:F5"/>
    <mergeCell ref="B6:F6"/>
    <mergeCell ref="B7:F7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Balka család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Balka László</dc:creator>
  <cp:keywords/>
  <dc:description/>
  <cp:lastModifiedBy>Marsits Judit</cp:lastModifiedBy>
  <cp:lastPrinted>2017-04-24T12:35:51Z</cp:lastPrinted>
  <dcterms:created xsi:type="dcterms:W3CDTF">2000-01-23T08:36:31Z</dcterms:created>
  <dcterms:modified xsi:type="dcterms:W3CDTF">2017-05-02T08:40:29Z</dcterms:modified>
  <cp:category/>
  <cp:version/>
  <cp:contentType/>
  <cp:contentStatus/>
</cp:coreProperties>
</file>