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4.sz tájékoztató t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P25" i="1"/>
  <c r="O25" i="1"/>
  <c r="Q25" i="1" s="1"/>
  <c r="P24" i="1"/>
  <c r="N24" i="1"/>
  <c r="M24" i="1"/>
  <c r="L24" i="1"/>
  <c r="K24" i="1"/>
  <c r="J24" i="1"/>
  <c r="I24" i="1"/>
  <c r="H24" i="1"/>
  <c r="G24" i="1"/>
  <c r="F24" i="1"/>
  <c r="E24" i="1"/>
  <c r="O24" i="1" s="1"/>
  <c r="Q24" i="1" s="1"/>
  <c r="P23" i="1"/>
  <c r="O23" i="1"/>
  <c r="Q23" i="1" s="1"/>
  <c r="P22" i="1"/>
  <c r="H22" i="1"/>
  <c r="O22" i="1" s="1"/>
  <c r="Q22" i="1" s="1"/>
  <c r="P21" i="1"/>
  <c r="N21" i="1"/>
  <c r="K21" i="1"/>
  <c r="I21" i="1"/>
  <c r="G21" i="1"/>
  <c r="O21" i="1" s="1"/>
  <c r="Q21" i="1" s="1"/>
  <c r="P20" i="1"/>
  <c r="J20" i="1"/>
  <c r="I20" i="1"/>
  <c r="H20" i="1"/>
  <c r="G20" i="1"/>
  <c r="O20" i="1" s="1"/>
  <c r="Q20" i="1" s="1"/>
  <c r="E20" i="1"/>
  <c r="P19" i="1"/>
  <c r="M19" i="1"/>
  <c r="J19" i="1"/>
  <c r="O19" i="1" s="1"/>
  <c r="Q19" i="1" s="1"/>
  <c r="P18" i="1"/>
  <c r="N18" i="1"/>
  <c r="M18" i="1"/>
  <c r="L18" i="1"/>
  <c r="K18" i="1"/>
  <c r="J18" i="1"/>
  <c r="I18" i="1"/>
  <c r="H18" i="1"/>
  <c r="G18" i="1"/>
  <c r="F18" i="1"/>
  <c r="E18" i="1"/>
  <c r="O18" i="1" s="1"/>
  <c r="Q18" i="1" s="1"/>
  <c r="P17" i="1"/>
  <c r="N17" i="1"/>
  <c r="M17" i="1"/>
  <c r="L17" i="1"/>
  <c r="K17" i="1"/>
  <c r="J17" i="1"/>
  <c r="I17" i="1"/>
  <c r="H17" i="1"/>
  <c r="G17" i="1"/>
  <c r="F17" i="1"/>
  <c r="E17" i="1"/>
  <c r="O17" i="1" s="1"/>
  <c r="Q17" i="1" s="1"/>
  <c r="P16" i="1"/>
  <c r="P26" i="1" s="1"/>
  <c r="N16" i="1"/>
  <c r="N26" i="1" s="1"/>
  <c r="M16" i="1"/>
  <c r="M26" i="1" s="1"/>
  <c r="L16" i="1"/>
  <c r="L26" i="1" s="1"/>
  <c r="K16" i="1"/>
  <c r="K26" i="1" s="1"/>
  <c r="J16" i="1"/>
  <c r="J26" i="1" s="1"/>
  <c r="I16" i="1"/>
  <c r="I26" i="1" s="1"/>
  <c r="H16" i="1"/>
  <c r="H26" i="1" s="1"/>
  <c r="G16" i="1"/>
  <c r="G26" i="1" s="1"/>
  <c r="F16" i="1"/>
  <c r="F26" i="1" s="1"/>
  <c r="E16" i="1"/>
  <c r="E26" i="1" s="1"/>
  <c r="Q15" i="1"/>
  <c r="Q13" i="1"/>
  <c r="P13" i="1"/>
  <c r="O13" i="1"/>
  <c r="C13" i="1"/>
  <c r="Q12" i="1"/>
  <c r="P12" i="1"/>
  <c r="O12" i="1"/>
  <c r="P11" i="1"/>
  <c r="O11" i="1"/>
  <c r="Q11" i="1" s="1"/>
  <c r="K11" i="1"/>
  <c r="E11" i="1"/>
  <c r="Q10" i="1"/>
  <c r="P10" i="1"/>
  <c r="O10" i="1"/>
  <c r="P9" i="1"/>
  <c r="N9" i="1"/>
  <c r="M9" i="1"/>
  <c r="L9" i="1"/>
  <c r="K9" i="1"/>
  <c r="J9" i="1"/>
  <c r="I9" i="1"/>
  <c r="H9" i="1"/>
  <c r="G9" i="1"/>
  <c r="F9" i="1"/>
  <c r="O9" i="1" s="1"/>
  <c r="Q9" i="1" s="1"/>
  <c r="E9" i="1"/>
  <c r="P8" i="1"/>
  <c r="J8" i="1"/>
  <c r="I8" i="1"/>
  <c r="H8" i="1"/>
  <c r="O8" i="1" s="1"/>
  <c r="Q8" i="1" s="1"/>
  <c r="P7" i="1"/>
  <c r="O7" i="1"/>
  <c r="Q7" i="1" s="1"/>
  <c r="N7" i="1"/>
  <c r="N14" i="1" s="1"/>
  <c r="N27" i="1" s="1"/>
  <c r="K7" i="1"/>
  <c r="P6" i="1"/>
  <c r="O6" i="1"/>
  <c r="Q6" i="1" s="1"/>
  <c r="G6" i="1"/>
  <c r="F6" i="1"/>
  <c r="P5" i="1"/>
  <c r="P14" i="1" s="1"/>
  <c r="M5" i="1"/>
  <c r="M14" i="1" s="1"/>
  <c r="M27" i="1" s="1"/>
  <c r="L5" i="1"/>
  <c r="L14" i="1" s="1"/>
  <c r="L27" i="1" s="1"/>
  <c r="K5" i="1"/>
  <c r="K14" i="1" s="1"/>
  <c r="K27" i="1" s="1"/>
  <c r="J5" i="1"/>
  <c r="J14" i="1" s="1"/>
  <c r="J27" i="1" s="1"/>
  <c r="I5" i="1"/>
  <c r="I14" i="1" s="1"/>
  <c r="I27" i="1" s="1"/>
  <c r="H5" i="1"/>
  <c r="H14" i="1" s="1"/>
  <c r="H27" i="1" s="1"/>
  <c r="G5" i="1"/>
  <c r="G14" i="1" s="1"/>
  <c r="G27" i="1" s="1"/>
  <c r="F5" i="1"/>
  <c r="F14" i="1" s="1"/>
  <c r="F27" i="1" s="1"/>
  <c r="E5" i="1"/>
  <c r="E14" i="1" s="1"/>
  <c r="E27" i="1" s="1"/>
  <c r="D5" i="1"/>
  <c r="D14" i="1" s="1"/>
  <c r="D27" i="1" s="1"/>
  <c r="C5" i="1"/>
  <c r="O5" i="1" s="1"/>
  <c r="Q5" i="1" s="1"/>
  <c r="O26" i="1" l="1"/>
  <c r="Q26" i="1" s="1"/>
  <c r="O16" i="1"/>
  <c r="Q16" i="1" s="1"/>
  <c r="C14" i="1"/>
  <c r="C27" i="1" l="1"/>
  <c r="O14" i="1"/>
  <c r="O27" i="1" l="1"/>
  <c r="Q14" i="1"/>
</calcChain>
</file>

<file path=xl/sharedStrings.xml><?xml version="1.0" encoding="utf-8"?>
<sst xmlns="http://schemas.openxmlformats.org/spreadsheetml/2006/main" count="65" uniqueCount="65">
  <si>
    <t>Előirányzat-felhasználási terv
2019.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</si>
  <si>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</si>
  <si>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</si>
  <si>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</si>
  <si>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</si>
  <si>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</si>
  <si>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</si>
  <si>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</si>
  <si>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</si>
  <si>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</si>
  <si>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</si>
  <si>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</si>
  <si>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</si>
  <si>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</si>
  <si>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</si>
  <si>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</si>
  <si>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</si>
  <si>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</si>
  <si>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</si>
  <si>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</si>
  <si>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</si>
  <si>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</si>
  <si>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</si>
  <si>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</si>
  <si>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</si>
  <si>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</si>
  <si>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</si>
  <si>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</si>
  <si>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</si>
  <si>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</si>
  <si>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</si>
  <si>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</si>
  <si>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</si>
  <si>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</si>
  <si>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</si>
  <si>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</si>
  <si>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</si>
  <si>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</si>
  <si>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</si>
  <si>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</si>
  <si>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</si>
  <si>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</si>
  <si>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</si>
  <si>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</si>
  <si>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</si>
  <si>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</si>
  <si>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</si>
  <si>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</si>
  <si>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</si>
  <si>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</si>
  <si>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>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</si>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</sst>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4" fillId="0" borderId="0" xfId="0" applyFont="1" applyFill="1" applyAlignment="1">
      <alignment horizontal="right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left" vertical="center" indent="1"/>
    </xf>
    <xf numFmtId="0" fontId="7" fillId="0" borderId="5" xfId="1" applyFont="1" applyFill="1" applyBorder="1" applyAlignment="1" applyProtection="1">
      <alignment horizontal="left" vertical="center" indent="1"/>
    </xf>
    <xf numFmtId="0" fontId="7" fillId="0" borderId="6" xfId="1" applyFont="1" applyFill="1" applyBorder="1" applyAlignment="1" applyProtection="1">
      <alignment horizontal="left" vertical="center" indent="1"/>
    </xf>
    <xf numFmtId="0" fontId="7" fillId="0" borderId="7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6" fillId="0" borderId="8" xfId="1" applyFont="1" applyFill="1" applyBorder="1" applyAlignment="1" applyProtection="1">
      <alignment horizontal="left" vertical="center" indent="1"/>
    </xf>
    <xf numFmtId="0" fontId="6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8" fillId="0" borderId="1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6" fillId="0" borderId="13" xfId="1" applyFont="1" applyFill="1" applyBorder="1" applyAlignment="1" applyProtection="1">
      <alignment horizontal="left" vertical="center" indent="1"/>
    </xf>
    <xf numFmtId="0" fontId="6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9" fillId="0" borderId="10" xfId="1" applyNumberFormat="1" applyFont="1" applyFill="1" applyBorder="1" applyAlignment="1" applyProtection="1">
      <alignment vertical="center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0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6" fillId="0" borderId="15" xfId="1" applyFont="1" applyFill="1" applyBorder="1" applyAlignment="1" applyProtection="1">
      <alignment horizontal="left" vertical="center" wrapText="1" indent="1"/>
    </xf>
    <xf numFmtId="164" fontId="3" fillId="0" borderId="15" xfId="1" applyNumberFormat="1" applyFont="1" applyFill="1" applyBorder="1" applyAlignment="1" applyProtection="1">
      <alignment vertical="center"/>
      <protection locked="0"/>
    </xf>
    <xf numFmtId="0" fontId="6" fillId="0" borderId="14" xfId="1" applyFont="1" applyFill="1" applyBorder="1" applyAlignment="1" applyProtection="1">
      <alignment horizontal="left" vertical="center" indent="1"/>
    </xf>
    <xf numFmtId="164" fontId="6" fillId="0" borderId="14" xfId="1" applyNumberFormat="1" applyFont="1" applyFill="1" applyBorder="1" applyAlignment="1" applyProtection="1">
      <alignment vertical="center"/>
      <protection locked="0"/>
    </xf>
    <xf numFmtId="3" fontId="3" fillId="0" borderId="16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0" fontId="10" fillId="0" borderId="18" xfId="1" applyFont="1" applyFill="1" applyBorder="1" applyAlignment="1" applyProtection="1">
      <alignment horizontal="left" vertical="center" indent="1"/>
    </xf>
    <xf numFmtId="164" fontId="11" fillId="0" borderId="18" xfId="1" applyNumberFormat="1" applyFont="1" applyFill="1" applyBorder="1" applyAlignment="1" applyProtection="1">
      <alignment vertical="center"/>
    </xf>
    <xf numFmtId="164" fontId="8" fillId="0" borderId="19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6" fillId="0" borderId="11" xfId="1" applyFont="1" applyFill="1" applyBorder="1" applyAlignment="1" applyProtection="1">
      <alignment horizontal="left" vertical="center" indent="1"/>
    </xf>
    <xf numFmtId="0" fontId="6" fillId="0" borderId="21" xfId="1" applyFont="1" applyFill="1" applyBorder="1" applyAlignment="1" applyProtection="1">
      <alignment horizontal="left" vertical="center" indent="1"/>
    </xf>
    <xf numFmtId="164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0" fontId="11" fillId="0" borderId="4" xfId="1" applyFont="1" applyFill="1" applyBorder="1" applyAlignment="1" applyProtection="1">
      <alignment horizontal="left" vertical="center" indent="1"/>
    </xf>
    <xf numFmtId="0" fontId="10" fillId="0" borderId="18" xfId="1" applyFont="1" applyFill="1" applyBorder="1" applyAlignment="1" applyProtection="1">
      <alignment horizontal="left" indent="1"/>
    </xf>
    <xf numFmtId="164" fontId="11" fillId="0" borderId="18" xfId="1" applyNumberFormat="1" applyFont="1" applyFill="1" applyBorder="1" applyProtection="1"/>
    <xf numFmtId="164" fontId="8" fillId="0" borderId="19" xfId="1" applyNumberFormat="1" applyFont="1" applyFill="1" applyBorder="1" applyProtection="1"/>
    <xf numFmtId="0" fontId="12" fillId="0" borderId="0" xfId="1" applyFont="1" applyFill="1" applyProtection="1"/>
    <xf numFmtId="0" fontId="1" fillId="0" borderId="0" xfId="1" applyFont="1" applyFill="1" applyProtection="1"/>
    <xf numFmtId="0" fontId="13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1" fillId="0" borderId="0" xfId="1" applyFont="1" applyFill="1" applyProtection="1">
      <protection locked="0"/>
    </xf>
  </cellXfs>
  <cellStyles count="2">
    <cellStyle name="Normál" xfId="0" builtinId="0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Hivatal/rendeletek/sz&#233;tszed&#233;s/18_2019(V.30)%202019.&#233;vi%20k&#246;lts.rend.m&#243;d.%20mell&#233;klete%202019.m&#225;jus%2030%20sz&#233;t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4.sz.mell."/>
      <sheetName val="6.sz.mell."/>
      <sheetName val="7.sz.mell."/>
      <sheetName val="9.1. sz. mell."/>
      <sheetName val="9.1.1. sz. mell. "/>
      <sheetName val="9.3. sz. mell"/>
      <sheetName val="9.3.1. sz. mell EOI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feladatos Önk. "/>
      <sheetName val="9.sz tájékoztató "/>
    </sheetNames>
    <sheetDataSet>
      <sheetData sheetId="0">
        <row r="5">
          <cell r="C5">
            <v>1453209975</v>
          </cell>
        </row>
        <row r="12">
          <cell r="C12">
            <v>241494628</v>
          </cell>
        </row>
        <row r="19">
          <cell r="C19">
            <v>165284566</v>
          </cell>
        </row>
        <row r="26">
          <cell r="C26">
            <v>482500000</v>
          </cell>
        </row>
        <row r="34">
          <cell r="C34">
            <v>356437317</v>
          </cell>
        </row>
        <row r="46">
          <cell r="C46">
            <v>22087500</v>
          </cell>
        </row>
        <row r="52">
          <cell r="C52">
            <v>2582700</v>
          </cell>
        </row>
        <row r="57">
          <cell r="C57">
            <v>0</v>
          </cell>
        </row>
        <row r="86">
          <cell r="C86">
            <v>536537041</v>
          </cell>
        </row>
        <row r="94">
          <cell r="C94">
            <v>1069638357</v>
          </cell>
        </row>
        <row r="95">
          <cell r="C95">
            <v>222742818</v>
          </cell>
        </row>
        <row r="96">
          <cell r="C96">
            <v>924408416</v>
          </cell>
        </row>
        <row r="97">
          <cell r="C97">
            <v>75850000</v>
          </cell>
        </row>
        <row r="98">
          <cell r="C98">
            <v>217832570</v>
          </cell>
        </row>
        <row r="111">
          <cell r="C111">
            <v>71367630</v>
          </cell>
        </row>
        <row r="115">
          <cell r="C115">
            <v>386280097</v>
          </cell>
        </row>
        <row r="117">
          <cell r="C117">
            <v>106237901</v>
          </cell>
        </row>
        <row r="119">
          <cell r="C119">
            <v>26919106</v>
          </cell>
        </row>
        <row r="153">
          <cell r="C153">
            <v>158856832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  <pageSetUpPr fitToPage="1"/>
  </sheetPr>
  <dimension ref="A1:Q82"/>
  <sheetViews>
    <sheetView tabSelected="1" view="pageLayout" zoomScaleNormal="100" workbookViewId="0">
      <selection activeCell="L3" sqref="L3"/>
    </sheetView>
  </sheetViews>
  <sheetFormatPr defaultRowHeight="15.75" x14ac:dyDescent="0.25"/>
  <cols>
    <col min="1" max="1" width="4.83203125" style="5" customWidth="1"/>
    <col min="2" max="2" width="31.1640625" style="4" customWidth="1"/>
    <col min="3" max="4" width="11.1640625" style="4" bestFit="1" customWidth="1"/>
    <col min="5" max="5" width="12.6640625" style="4" bestFit="1" customWidth="1"/>
    <col min="6" max="6" width="11.1640625" style="4" bestFit="1" customWidth="1"/>
    <col min="7" max="7" width="11.83203125" style="4" bestFit="1" customWidth="1"/>
    <col min="8" max="8" width="11.1640625" style="4" bestFit="1" customWidth="1"/>
    <col min="9" max="9" width="12.6640625" style="4" bestFit="1" customWidth="1"/>
    <col min="10" max="10" width="11.1640625" style="4" bestFit="1" customWidth="1"/>
    <col min="11" max="11" width="12.6640625" style="4" bestFit="1" customWidth="1"/>
    <col min="12" max="12" width="11.1640625" style="4" customWidth="1"/>
    <col min="13" max="13" width="11.6640625" style="4" customWidth="1"/>
    <col min="14" max="14" width="11" style="4" customWidth="1"/>
    <col min="15" max="15" width="12.6640625" style="50" customWidth="1"/>
    <col min="16" max="16" width="14.6640625" style="3" hidden="1" customWidth="1"/>
    <col min="17" max="17" width="16.6640625" style="3" hidden="1" customWidth="1"/>
    <col min="18" max="18" width="0" style="4" hidden="1" customWidth="1"/>
    <col min="19" max="16384" width="9.33203125" style="4"/>
  </cols>
  <sheetData>
    <row r="1" spans="1:17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6.5" thickBot="1" x14ac:dyDescent="0.3">
      <c r="O2" s="6" t="s">
        <v>1</v>
      </c>
    </row>
    <row r="3" spans="1:17" ht="35.2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9" t="s">
        <v>16</v>
      </c>
    </row>
    <row r="4" spans="1:17" s="15" customFormat="1" ht="15" customHeight="1" thickBot="1" x14ac:dyDescent="0.25">
      <c r="A4" s="10" t="s">
        <v>17</v>
      </c>
      <c r="B4" s="11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4"/>
      <c r="Q4" s="14"/>
    </row>
    <row r="5" spans="1:17" s="15" customFormat="1" ht="22.5" x14ac:dyDescent="0.2">
      <c r="A5" s="16" t="s">
        <v>19</v>
      </c>
      <c r="B5" s="17" t="s">
        <v>20</v>
      </c>
      <c r="C5" s="18">
        <f>60000000+8000000</f>
        <v>68000000</v>
      </c>
      <c r="D5" s="18">
        <f>116990000+8000000</f>
        <v>124990000</v>
      </c>
      <c r="E5" s="18">
        <f>116990000+8000000</f>
        <v>124990000</v>
      </c>
      <c r="F5" s="18">
        <f>116990000+8000000-2000000</f>
        <v>122990000</v>
      </c>
      <c r="G5" s="18">
        <f>116990000+8000000-2000000</f>
        <v>122990000</v>
      </c>
      <c r="H5" s="18">
        <f>120000000+8000000-1000000</f>
        <v>127000000</v>
      </c>
      <c r="I5" s="18">
        <f>120000000+8000000-1000000</f>
        <v>127000000</v>
      </c>
      <c r="J5" s="18">
        <f>125000000+8451187-500000</f>
        <v>132951187</v>
      </c>
      <c r="K5" s="18">
        <f>116990000+8000000-500000</f>
        <v>124490000</v>
      </c>
      <c r="L5" s="18">
        <f>116990000+8000000-1570877</f>
        <v>123419123</v>
      </c>
      <c r="M5" s="18">
        <f>116990000+8000000-600335</f>
        <v>124389665</v>
      </c>
      <c r="N5" s="18">
        <v>130000000</v>
      </c>
      <c r="O5" s="19">
        <f t="shared" ref="O5:O13" si="0">SUM(C5:N5)</f>
        <v>1453209975</v>
      </c>
      <c r="P5" s="20">
        <f>'[1]1.1.sz.mell. '!C5</f>
        <v>1453209975</v>
      </c>
      <c r="Q5" s="21">
        <f t="shared" ref="Q5:Q26" si="1">O5-P5</f>
        <v>0</v>
      </c>
    </row>
    <row r="6" spans="1:17" s="28" customFormat="1" ht="22.5" x14ac:dyDescent="0.2">
      <c r="A6" s="22" t="s">
        <v>21</v>
      </c>
      <c r="B6" s="23" t="s">
        <v>22</v>
      </c>
      <c r="C6" s="24"/>
      <c r="D6" s="24">
        <v>50000000</v>
      </c>
      <c r="E6" s="24">
        <v>500000</v>
      </c>
      <c r="F6" s="24">
        <f>50000000+2885193</f>
        <v>52885193</v>
      </c>
      <c r="G6" s="24">
        <f>2824075+6246596+1659858+1398150</f>
        <v>12128679</v>
      </c>
      <c r="H6" s="24"/>
      <c r="I6" s="24">
        <v>50000000</v>
      </c>
      <c r="J6" s="24"/>
      <c r="K6" s="24">
        <v>50000000</v>
      </c>
      <c r="L6" s="24">
        <v>539500</v>
      </c>
      <c r="M6" s="24">
        <v>25441256</v>
      </c>
      <c r="N6" s="24"/>
      <c r="O6" s="25">
        <f t="shared" si="0"/>
        <v>241494628</v>
      </c>
      <c r="P6" s="26">
        <f>'[1]1.1.sz.mell. '!C12</f>
        <v>241494628</v>
      </c>
      <c r="Q6" s="27">
        <f t="shared" si="1"/>
        <v>0</v>
      </c>
    </row>
    <row r="7" spans="1:17" s="28" customFormat="1" ht="22.5" x14ac:dyDescent="0.2">
      <c r="A7" s="22" t="s">
        <v>23</v>
      </c>
      <c r="B7" s="29" t="s">
        <v>24</v>
      </c>
      <c r="C7" s="30"/>
      <c r="D7" s="30">
        <v>12000000</v>
      </c>
      <c r="E7" s="30"/>
      <c r="F7" s="30"/>
      <c r="G7" s="30">
        <v>30000000</v>
      </c>
      <c r="H7" s="30"/>
      <c r="I7" s="30"/>
      <c r="J7" s="30"/>
      <c r="K7" s="30">
        <f>40000000+30000000</f>
        <v>70000000</v>
      </c>
      <c r="L7" s="30"/>
      <c r="M7" s="30">
        <v>30409566</v>
      </c>
      <c r="N7" s="30">
        <f>22875000</f>
        <v>22875000</v>
      </c>
      <c r="O7" s="19">
        <f t="shared" si="0"/>
        <v>165284566</v>
      </c>
      <c r="P7" s="26">
        <f>'[1]1.1.sz.mell. '!C19</f>
        <v>165284566</v>
      </c>
      <c r="Q7" s="27">
        <f t="shared" si="1"/>
        <v>0</v>
      </c>
    </row>
    <row r="8" spans="1:17" s="28" customFormat="1" ht="14.1" customHeight="1" x14ac:dyDescent="0.2">
      <c r="A8" s="22" t="s">
        <v>25</v>
      </c>
      <c r="B8" s="31" t="s">
        <v>26</v>
      </c>
      <c r="C8" s="24">
        <v>3000000</v>
      </c>
      <c r="D8" s="24">
        <v>5000000</v>
      </c>
      <c r="E8" s="24">
        <v>201600000</v>
      </c>
      <c r="F8" s="24">
        <v>5000000</v>
      </c>
      <c r="G8" s="24">
        <v>5000000</v>
      </c>
      <c r="H8" s="24">
        <f>5000000+200000</f>
        <v>5200000</v>
      </c>
      <c r="I8" s="24">
        <f>5000000+400000</f>
        <v>5400000</v>
      </c>
      <c r="J8" s="24">
        <f>5000000+400000</f>
        <v>5400000</v>
      </c>
      <c r="K8" s="24">
        <v>201600000</v>
      </c>
      <c r="L8" s="24">
        <v>5000000</v>
      </c>
      <c r="M8" s="24">
        <v>5000000</v>
      </c>
      <c r="N8" s="24">
        <v>35300000</v>
      </c>
      <c r="O8" s="25">
        <f t="shared" si="0"/>
        <v>482500000</v>
      </c>
      <c r="P8" s="26">
        <f>'[1]1.1.sz.mell. '!C26</f>
        <v>482500000</v>
      </c>
      <c r="Q8" s="27">
        <f t="shared" si="1"/>
        <v>0</v>
      </c>
    </row>
    <row r="9" spans="1:17" s="28" customFormat="1" ht="14.1" customHeight="1" x14ac:dyDescent="0.2">
      <c r="A9" s="22" t="s">
        <v>27</v>
      </c>
      <c r="B9" s="31" t="s">
        <v>28</v>
      </c>
      <c r="C9" s="24">
        <v>25000000</v>
      </c>
      <c r="D9" s="24">
        <v>28000000</v>
      </c>
      <c r="E9" s="24">
        <f>30000000+2935064+1624450</f>
        <v>34559514</v>
      </c>
      <c r="F9" s="24">
        <f>29000000+129530+1624450</f>
        <v>30753980</v>
      </c>
      <c r="G9" s="24">
        <f>30000000+1624450</f>
        <v>31624450</v>
      </c>
      <c r="H9" s="24">
        <f>31000000+1624450+153340</f>
        <v>32777790</v>
      </c>
      <c r="I9" s="24">
        <f>28000000+1624450</f>
        <v>29624450</v>
      </c>
      <c r="J9" s="24">
        <f>27000000+1624450</f>
        <v>28624450</v>
      </c>
      <c r="K9" s="24">
        <f>25000000+1624450</f>
        <v>26624450</v>
      </c>
      <c r="L9" s="24">
        <f>25000000+1624450</f>
        <v>26624450</v>
      </c>
      <c r="M9" s="24">
        <f>30000000+4594921</f>
        <v>34594921</v>
      </c>
      <c r="N9" s="24">
        <f>26003657+1625205</f>
        <v>27628862</v>
      </c>
      <c r="O9" s="25">
        <f t="shared" si="0"/>
        <v>356437317</v>
      </c>
      <c r="P9" s="26">
        <f>'[1]1.1.sz.mell. '!C34</f>
        <v>356437317</v>
      </c>
      <c r="Q9" s="27">
        <f t="shared" si="1"/>
        <v>0</v>
      </c>
    </row>
    <row r="10" spans="1:17" s="28" customFormat="1" ht="14.1" customHeight="1" x14ac:dyDescent="0.2">
      <c r="A10" s="22" t="s">
        <v>29</v>
      </c>
      <c r="B10" s="31" t="s">
        <v>30</v>
      </c>
      <c r="C10" s="24"/>
      <c r="D10" s="24">
        <v>1000000</v>
      </c>
      <c r="E10" s="24"/>
      <c r="F10" s="24">
        <v>5000000</v>
      </c>
      <c r="G10" s="24"/>
      <c r="H10" s="24">
        <v>1000000</v>
      </c>
      <c r="I10" s="24"/>
      <c r="J10" s="24">
        <v>4000000</v>
      </c>
      <c r="K10" s="24">
        <v>5000000</v>
      </c>
      <c r="L10" s="24">
        <v>3000000</v>
      </c>
      <c r="M10" s="24"/>
      <c r="N10" s="24">
        <v>3087500</v>
      </c>
      <c r="O10" s="19">
        <f t="shared" si="0"/>
        <v>22087500</v>
      </c>
      <c r="P10" s="26">
        <f>'[1]1.1.sz.mell. '!C46</f>
        <v>22087500</v>
      </c>
      <c r="Q10" s="27">
        <f t="shared" si="1"/>
        <v>0</v>
      </c>
    </row>
    <row r="11" spans="1:17" s="28" customFormat="1" ht="14.1" customHeight="1" x14ac:dyDescent="0.2">
      <c r="A11" s="22" t="s">
        <v>31</v>
      </c>
      <c r="B11" s="31" t="s">
        <v>32</v>
      </c>
      <c r="C11" s="24">
        <v>120000</v>
      </c>
      <c r="D11" s="24">
        <v>120000</v>
      </c>
      <c r="E11" s="24">
        <f>120000+752700</f>
        <v>872700</v>
      </c>
      <c r="F11" s="24">
        <v>120000</v>
      </c>
      <c r="G11" s="24">
        <v>120000</v>
      </c>
      <c r="H11" s="24">
        <v>120000</v>
      </c>
      <c r="I11" s="24">
        <v>120000</v>
      </c>
      <c r="J11" s="24">
        <v>120000</v>
      </c>
      <c r="K11" s="24">
        <f>120000+400000</f>
        <v>520000</v>
      </c>
      <c r="L11" s="24">
        <v>120000</v>
      </c>
      <c r="M11" s="24">
        <v>120000</v>
      </c>
      <c r="N11" s="24">
        <v>110000</v>
      </c>
      <c r="O11" s="25">
        <f t="shared" si="0"/>
        <v>2582700</v>
      </c>
      <c r="P11" s="26">
        <f>'[1]1.1.sz.mell. '!C52</f>
        <v>2582700</v>
      </c>
      <c r="Q11" s="27">
        <f t="shared" si="1"/>
        <v>0</v>
      </c>
    </row>
    <row r="12" spans="1:17" s="28" customFormat="1" ht="22.5" x14ac:dyDescent="0.2">
      <c r="A12" s="22" t="s">
        <v>33</v>
      </c>
      <c r="B12" s="23" t="s">
        <v>34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9">
        <f t="shared" si="0"/>
        <v>0</v>
      </c>
      <c r="P12" s="26">
        <f>'[1]1.1.sz.mell. '!C57</f>
        <v>0</v>
      </c>
      <c r="Q12" s="27">
        <f t="shared" si="1"/>
        <v>0</v>
      </c>
    </row>
    <row r="13" spans="1:17" s="28" customFormat="1" ht="14.1" customHeight="1" thickBot="1" x14ac:dyDescent="0.25">
      <c r="A13" s="22" t="s">
        <v>35</v>
      </c>
      <c r="B13" s="31" t="s">
        <v>36</v>
      </c>
      <c r="C13" s="32">
        <f>374667600+1269106+2600335</f>
        <v>378537041</v>
      </c>
      <c r="D13" s="32">
        <v>10000000</v>
      </c>
      <c r="E13" s="32">
        <v>35000000</v>
      </c>
      <c r="F13" s="32">
        <v>10000000</v>
      </c>
      <c r="G13" s="32">
        <v>10000000</v>
      </c>
      <c r="H13" s="32">
        <v>33000000</v>
      </c>
      <c r="I13" s="32">
        <v>10000000</v>
      </c>
      <c r="J13" s="32">
        <v>10000000</v>
      </c>
      <c r="K13" s="32">
        <v>10000000</v>
      </c>
      <c r="L13" s="32">
        <v>10000000</v>
      </c>
      <c r="M13" s="32">
        <v>10000000</v>
      </c>
      <c r="N13" s="32">
        <v>10000000</v>
      </c>
      <c r="O13" s="19">
        <f t="shared" si="0"/>
        <v>536537041</v>
      </c>
      <c r="P13" s="33">
        <f>'[1]1.1.sz.mell. '!C86</f>
        <v>536537041</v>
      </c>
      <c r="Q13" s="34">
        <f t="shared" si="1"/>
        <v>0</v>
      </c>
    </row>
    <row r="14" spans="1:17" s="15" customFormat="1" ht="15.95" customHeight="1" thickBot="1" x14ac:dyDescent="0.25">
      <c r="A14" s="10" t="s">
        <v>37</v>
      </c>
      <c r="B14" s="35" t="s">
        <v>38</v>
      </c>
      <c r="C14" s="36">
        <f t="shared" ref="C14:N14" si="2">SUM(C5:C13)</f>
        <v>474657041</v>
      </c>
      <c r="D14" s="36">
        <f t="shared" si="2"/>
        <v>231110000</v>
      </c>
      <c r="E14" s="36">
        <f t="shared" si="2"/>
        <v>397522214</v>
      </c>
      <c r="F14" s="36">
        <f t="shared" si="2"/>
        <v>226749173</v>
      </c>
      <c r="G14" s="36">
        <f t="shared" si="2"/>
        <v>211863129</v>
      </c>
      <c r="H14" s="36">
        <f t="shared" si="2"/>
        <v>199097790</v>
      </c>
      <c r="I14" s="36">
        <f t="shared" si="2"/>
        <v>222144450</v>
      </c>
      <c r="J14" s="36">
        <f t="shared" si="2"/>
        <v>181095637</v>
      </c>
      <c r="K14" s="36">
        <f t="shared" si="2"/>
        <v>488234450</v>
      </c>
      <c r="L14" s="36">
        <f t="shared" si="2"/>
        <v>168703073</v>
      </c>
      <c r="M14" s="36">
        <f t="shared" si="2"/>
        <v>229955408</v>
      </c>
      <c r="N14" s="36">
        <f t="shared" si="2"/>
        <v>229001362</v>
      </c>
      <c r="O14" s="37">
        <f>SUM(C14:N14)</f>
        <v>3260133727</v>
      </c>
      <c r="P14" s="38">
        <f>SUM(P5:P13)</f>
        <v>3260133727</v>
      </c>
      <c r="Q14" s="39">
        <f t="shared" si="1"/>
        <v>0</v>
      </c>
    </row>
    <row r="15" spans="1:17" s="15" customFormat="1" ht="15" customHeight="1" thickBot="1" x14ac:dyDescent="0.25">
      <c r="A15" s="10" t="s">
        <v>39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4"/>
      <c r="Q15" s="40">
        <f t="shared" si="1"/>
        <v>0</v>
      </c>
    </row>
    <row r="16" spans="1:17" s="28" customFormat="1" ht="14.1" customHeight="1" x14ac:dyDescent="0.2">
      <c r="A16" s="41" t="s">
        <v>41</v>
      </c>
      <c r="B16" s="42" t="s">
        <v>42</v>
      </c>
      <c r="C16" s="43">
        <v>87210315</v>
      </c>
      <c r="D16" s="43">
        <v>88000000</v>
      </c>
      <c r="E16" s="43">
        <f>88000000+316325</f>
        <v>88316325</v>
      </c>
      <c r="F16" s="43">
        <f>88000000+316325</f>
        <v>88316325</v>
      </c>
      <c r="G16" s="43">
        <f>88000000+2081772+316325+353650</f>
        <v>90751747</v>
      </c>
      <c r="H16" s="43">
        <f>88000000+316325+353650+715183</f>
        <v>89385158</v>
      </c>
      <c r="I16" s="43">
        <f>88000000+316325+353650+715183+195000</f>
        <v>89580158</v>
      </c>
      <c r="J16" s="43">
        <f>88000000+316325+353650+715183+195000</f>
        <v>89580158</v>
      </c>
      <c r="K16" s="43">
        <f>88000000+316325+353650+715183+195000</f>
        <v>89580158</v>
      </c>
      <c r="L16" s="43">
        <f>88000000+316325+353650+110000+715183+195000</f>
        <v>89690158</v>
      </c>
      <c r="M16" s="43">
        <f>88000000+316325+353650+715183+195000</f>
        <v>89580158</v>
      </c>
      <c r="N16" s="43">
        <f>88000000+383890+353621+715186+195000</f>
        <v>89647697</v>
      </c>
      <c r="O16" s="25">
        <f t="shared" ref="O16:O26" si="3">SUM(C16:N16)</f>
        <v>1069638357</v>
      </c>
      <c r="P16" s="44">
        <f>'[1]1.1.sz.mell. '!C94</f>
        <v>1069638357</v>
      </c>
      <c r="Q16" s="21">
        <f t="shared" si="1"/>
        <v>0</v>
      </c>
    </row>
    <row r="17" spans="1:17" s="28" customFormat="1" ht="27" customHeight="1" x14ac:dyDescent="0.2">
      <c r="A17" s="22" t="s">
        <v>43</v>
      </c>
      <c r="B17" s="23" t="s">
        <v>44</v>
      </c>
      <c r="C17" s="24">
        <v>18172200</v>
      </c>
      <c r="D17" s="24">
        <v>18336560</v>
      </c>
      <c r="E17" s="24">
        <f>18336560+64000</f>
        <v>18400560</v>
      </c>
      <c r="F17" s="24">
        <f>18336560+63000</f>
        <v>18399560</v>
      </c>
      <c r="G17" s="24">
        <f>18336560+436333+63000+68950</f>
        <v>18904843</v>
      </c>
      <c r="H17" s="24">
        <f>18336560+63000+68950+139461</f>
        <v>18607971</v>
      </c>
      <c r="I17" s="24">
        <f>18336560+63000+68950+139461+38025</f>
        <v>18645996</v>
      </c>
      <c r="J17" s="24">
        <f>18336560+63000+68950+139462+38025</f>
        <v>18645997</v>
      </c>
      <c r="K17" s="24">
        <f>18336560+63000+68950+139461+38025</f>
        <v>18645996</v>
      </c>
      <c r="L17" s="24">
        <f>18336560+63000+68950+44781+139461+38025</f>
        <v>18690777</v>
      </c>
      <c r="M17" s="24">
        <f>18336560+63000+68950+139461+38025</f>
        <v>18645996</v>
      </c>
      <c r="N17" s="24">
        <f>18336560+63277+68950+89+139461+38025</f>
        <v>18646362</v>
      </c>
      <c r="O17" s="25">
        <f t="shared" si="3"/>
        <v>222742818</v>
      </c>
      <c r="P17" s="26">
        <f>'[1]1.1.sz.mell. '!C95</f>
        <v>222742818</v>
      </c>
      <c r="Q17" s="27">
        <f t="shared" si="1"/>
        <v>0</v>
      </c>
    </row>
    <row r="18" spans="1:17" s="28" customFormat="1" ht="14.1" customHeight="1" x14ac:dyDescent="0.2">
      <c r="A18" s="22" t="s">
        <v>45</v>
      </c>
      <c r="B18" s="31" t="s">
        <v>46</v>
      </c>
      <c r="C18" s="24">
        <v>79000000</v>
      </c>
      <c r="D18" s="24">
        <v>78000000</v>
      </c>
      <c r="E18" s="24">
        <f>77000000+91201</f>
        <v>77091201</v>
      </c>
      <c r="F18" s="24">
        <f>76000000+400000-92469</f>
        <v>76307531</v>
      </c>
      <c r="G18" s="24">
        <f>75000000+1500000</f>
        <v>76500000</v>
      </c>
      <c r="H18" s="24">
        <f>71000000+367088+1000000+1000000</f>
        <v>73367088</v>
      </c>
      <c r="I18" s="24">
        <f>72000000+1500000</f>
        <v>73500000</v>
      </c>
      <c r="J18" s="24">
        <f>71500000+1500000+3444300-3000000</f>
        <v>73444300</v>
      </c>
      <c r="K18" s="24">
        <f>75000000+2000000-3000000</f>
        <v>74000000</v>
      </c>
      <c r="L18" s="24">
        <f>76000000+1500000+2444319</f>
        <v>79944319</v>
      </c>
      <c r="M18" s="24">
        <f>77000000+4063544+2000000-1393166</f>
        <v>81670378</v>
      </c>
      <c r="N18" s="24">
        <f>78000000+1362039+2221560</f>
        <v>81583599</v>
      </c>
      <c r="O18" s="25">
        <f t="shared" si="3"/>
        <v>924408416</v>
      </c>
      <c r="P18" s="26">
        <f>'[1]1.1.sz.mell. '!C96</f>
        <v>924408416</v>
      </c>
      <c r="Q18" s="27">
        <f t="shared" si="1"/>
        <v>0</v>
      </c>
    </row>
    <row r="19" spans="1:17" s="28" customFormat="1" ht="14.1" customHeight="1" x14ac:dyDescent="0.2">
      <c r="A19" s="22" t="s">
        <v>47</v>
      </c>
      <c r="B19" s="31" t="s">
        <v>48</v>
      </c>
      <c r="C19" s="24">
        <v>3000000</v>
      </c>
      <c r="D19" s="24">
        <v>4000000</v>
      </c>
      <c r="E19" s="24">
        <v>3200000</v>
      </c>
      <c r="F19" s="24">
        <v>3000000</v>
      </c>
      <c r="G19" s="24">
        <v>3400000</v>
      </c>
      <c r="H19" s="24">
        <v>3500000</v>
      </c>
      <c r="I19" s="24">
        <v>3500000</v>
      </c>
      <c r="J19" s="24">
        <f>12000000+1000000</f>
        <v>13000000</v>
      </c>
      <c r="K19" s="24">
        <v>3650000</v>
      </c>
      <c r="L19" s="24">
        <v>3400000</v>
      </c>
      <c r="M19" s="24">
        <f>12000000+1200000</f>
        <v>13200000</v>
      </c>
      <c r="N19" s="24">
        <v>19000000</v>
      </c>
      <c r="O19" s="19">
        <f t="shared" si="3"/>
        <v>75850000</v>
      </c>
      <c r="P19" s="26">
        <f>'[1]1.1.sz.mell. '!C97</f>
        <v>75850000</v>
      </c>
      <c r="Q19" s="27">
        <f t="shared" si="1"/>
        <v>0</v>
      </c>
    </row>
    <row r="20" spans="1:17" s="28" customFormat="1" ht="14.1" customHeight="1" x14ac:dyDescent="0.2">
      <c r="A20" s="22" t="s">
        <v>49</v>
      </c>
      <c r="B20" s="31" t="s">
        <v>50</v>
      </c>
      <c r="C20" s="24">
        <v>12000000</v>
      </c>
      <c r="D20" s="24">
        <v>12000000</v>
      </c>
      <c r="E20" s="24">
        <f>40000000+67500</f>
        <v>40067500</v>
      </c>
      <c r="F20" s="24">
        <v>15000000</v>
      </c>
      <c r="G20" s="24">
        <f>15000000+1338067</f>
        <v>16338067</v>
      </c>
      <c r="H20" s="24">
        <f>15000000+580000</f>
        <v>15580000</v>
      </c>
      <c r="I20" s="24">
        <f>40000000-4132000</f>
        <v>35868000</v>
      </c>
      <c r="J20" s="24">
        <f>15000000-4020997</f>
        <v>10979003</v>
      </c>
      <c r="K20" s="24">
        <v>15000000</v>
      </c>
      <c r="L20" s="24">
        <v>15000000</v>
      </c>
      <c r="M20" s="24">
        <v>15000000</v>
      </c>
      <c r="N20" s="24">
        <v>15000000</v>
      </c>
      <c r="O20" s="19">
        <f t="shared" si="3"/>
        <v>217832570</v>
      </c>
      <c r="P20" s="26">
        <f>'[1]1.1.sz.mell. '!C98</f>
        <v>217832570</v>
      </c>
      <c r="Q20" s="27">
        <f t="shared" si="1"/>
        <v>0</v>
      </c>
    </row>
    <row r="21" spans="1:17" s="28" customFormat="1" ht="14.1" customHeight="1" x14ac:dyDescent="0.2">
      <c r="A21" s="22" t="s">
        <v>51</v>
      </c>
      <c r="B21" s="31" t="s">
        <v>52</v>
      </c>
      <c r="C21" s="24"/>
      <c r="D21" s="24">
        <v>5000000</v>
      </c>
      <c r="E21" s="24">
        <v>6900000</v>
      </c>
      <c r="F21" s="24">
        <v>23600000</v>
      </c>
      <c r="G21" s="24">
        <f>12500000+30000000</f>
        <v>42500000</v>
      </c>
      <c r="H21" s="24">
        <v>6200000</v>
      </c>
      <c r="I21" s="24">
        <f>200000000+6600000+1223250</f>
        <v>207823250</v>
      </c>
      <c r="J21" s="24">
        <v>6800000</v>
      </c>
      <c r="K21" s="24">
        <f>7000000+30000000+7815116</f>
        <v>44815116</v>
      </c>
      <c r="L21" s="24">
        <v>6800000</v>
      </c>
      <c r="M21" s="24">
        <v>6800000</v>
      </c>
      <c r="N21" s="24">
        <f>6733751+22307980</f>
        <v>29041731</v>
      </c>
      <c r="O21" s="25">
        <f t="shared" si="3"/>
        <v>386280097</v>
      </c>
      <c r="P21" s="26">
        <f>'[1]1.1.sz.mell. '!C115</f>
        <v>386280097</v>
      </c>
      <c r="Q21" s="27">
        <f t="shared" si="1"/>
        <v>0</v>
      </c>
    </row>
    <row r="22" spans="1:17" s="28" customFormat="1" x14ac:dyDescent="0.2">
      <c r="A22" s="22" t="s">
        <v>53</v>
      </c>
      <c r="B22" s="23" t="s">
        <v>54</v>
      </c>
      <c r="C22" s="24"/>
      <c r="D22" s="24">
        <v>3163501</v>
      </c>
      <c r="E22" s="24">
        <v>20000000</v>
      </c>
      <c r="F22" s="24">
        <v>40000000</v>
      </c>
      <c r="G22" s="24">
        <v>5000000</v>
      </c>
      <c r="H22" s="24">
        <f>5500000-75600</f>
        <v>5424400</v>
      </c>
      <c r="I22" s="24">
        <v>5300000</v>
      </c>
      <c r="J22" s="24">
        <v>5250000</v>
      </c>
      <c r="K22" s="24">
        <v>4900000</v>
      </c>
      <c r="L22" s="24">
        <v>5100000</v>
      </c>
      <c r="M22" s="24">
        <v>5100000</v>
      </c>
      <c r="N22" s="24">
        <v>7000000</v>
      </c>
      <c r="O22" s="25">
        <f t="shared" si="3"/>
        <v>106237901</v>
      </c>
      <c r="P22" s="26">
        <f>'[1]1.1.sz.mell. '!C117</f>
        <v>106237901</v>
      </c>
      <c r="Q22" s="27">
        <f t="shared" si="1"/>
        <v>0</v>
      </c>
    </row>
    <row r="23" spans="1:17" s="28" customFormat="1" ht="14.1" customHeight="1" x14ac:dyDescent="0.2">
      <c r="A23" s="22" t="s">
        <v>55</v>
      </c>
      <c r="B23" s="31" t="s">
        <v>56</v>
      </c>
      <c r="C23" s="24"/>
      <c r="D23" s="24">
        <v>650000</v>
      </c>
      <c r="E23" s="24"/>
      <c r="F23" s="24"/>
      <c r="G23" s="24"/>
      <c r="H23" s="24">
        <v>22000000</v>
      </c>
      <c r="I23" s="24"/>
      <c r="J23" s="24"/>
      <c r="K23" s="24"/>
      <c r="L23" s="24"/>
      <c r="M23" s="24">
        <v>4269106</v>
      </c>
      <c r="N23" s="24"/>
      <c r="O23" s="19">
        <f t="shared" si="3"/>
        <v>26919106</v>
      </c>
      <c r="P23" s="26">
        <f>'[1]1.1.sz.mell. '!C119</f>
        <v>26919106</v>
      </c>
      <c r="Q23" s="27">
        <f t="shared" si="1"/>
        <v>0</v>
      </c>
    </row>
    <row r="24" spans="1:17" s="28" customFormat="1" ht="14.1" customHeight="1" x14ac:dyDescent="0.2">
      <c r="A24" s="22" t="s">
        <v>57</v>
      </c>
      <c r="B24" s="31" t="s">
        <v>58</v>
      </c>
      <c r="C24" s="24"/>
      <c r="D24" s="24"/>
      <c r="E24" s="24">
        <f>2000000+2935064-91201</f>
        <v>4843863</v>
      </c>
      <c r="F24" s="24">
        <f>5000000+131495-467500-941960</f>
        <v>3722035</v>
      </c>
      <c r="G24" s="24">
        <f>8600000-23900</f>
        <v>8576100</v>
      </c>
      <c r="H24" s="24">
        <f>8900000-580000+250000-1000000-1115664</f>
        <v>6454336</v>
      </c>
      <c r="I24" s="24">
        <f>9100000+250000</f>
        <v>9350000</v>
      </c>
      <c r="J24" s="24">
        <f>8650000+250000-3444300</f>
        <v>5455700</v>
      </c>
      <c r="K24" s="24">
        <f>8700000+250000-1000000</f>
        <v>7950000</v>
      </c>
      <c r="L24" s="24">
        <f>8900000+250000-110000-44781-1000000</f>
        <v>7995219</v>
      </c>
      <c r="M24" s="24">
        <f>9200000+500000-2444319</f>
        <v>7255681</v>
      </c>
      <c r="N24" s="24">
        <f>9340965+423731</f>
        <v>9764696</v>
      </c>
      <c r="O24" s="25">
        <f t="shared" si="3"/>
        <v>71367630</v>
      </c>
      <c r="P24" s="26">
        <f>'[1]1.1.sz.mell. '!C111</f>
        <v>71367630</v>
      </c>
      <c r="Q24" s="27">
        <f t="shared" si="1"/>
        <v>0</v>
      </c>
    </row>
    <row r="25" spans="1:17" s="28" customFormat="1" ht="14.1" customHeight="1" thickBot="1" x14ac:dyDescent="0.25">
      <c r="A25" s="22" t="s">
        <v>59</v>
      </c>
      <c r="B25" s="31" t="s">
        <v>60</v>
      </c>
      <c r="C25" s="32">
        <v>41904332</v>
      </c>
      <c r="D25" s="32"/>
      <c r="E25" s="32">
        <v>21500000</v>
      </c>
      <c r="F25" s="24"/>
      <c r="G25" s="32"/>
      <c r="H25" s="24">
        <v>22000000</v>
      </c>
      <c r="I25" s="24"/>
      <c r="J25" s="24"/>
      <c r="K25" s="24">
        <v>20000000</v>
      </c>
      <c r="L25" s="24">
        <v>30000000</v>
      </c>
      <c r="M25" s="24"/>
      <c r="N25" s="24">
        <v>23452500</v>
      </c>
      <c r="O25" s="19">
        <f t="shared" si="3"/>
        <v>158856832</v>
      </c>
      <c r="P25" s="33">
        <f>'[1]1.1.sz.mell. '!C153</f>
        <v>158856832</v>
      </c>
      <c r="Q25" s="34">
        <f t="shared" si="1"/>
        <v>0</v>
      </c>
    </row>
    <row r="26" spans="1:17" s="15" customFormat="1" ht="15.95" customHeight="1" thickBot="1" x14ac:dyDescent="0.25">
      <c r="A26" s="45" t="s">
        <v>61</v>
      </c>
      <c r="B26" s="35" t="s">
        <v>62</v>
      </c>
      <c r="C26" s="36">
        <f t="shared" ref="C26:N26" si="4">SUM(C16:C25)</f>
        <v>241286847</v>
      </c>
      <c r="D26" s="36">
        <f t="shared" si="4"/>
        <v>209150061</v>
      </c>
      <c r="E26" s="36">
        <f t="shared" si="4"/>
        <v>280319449</v>
      </c>
      <c r="F26" s="36">
        <f t="shared" si="4"/>
        <v>268345451</v>
      </c>
      <c r="G26" s="36">
        <f t="shared" si="4"/>
        <v>261970757</v>
      </c>
      <c r="H26" s="36">
        <f t="shared" si="4"/>
        <v>262518953</v>
      </c>
      <c r="I26" s="36">
        <f t="shared" si="4"/>
        <v>443567404</v>
      </c>
      <c r="J26" s="36">
        <f t="shared" si="4"/>
        <v>223155158</v>
      </c>
      <c r="K26" s="36">
        <f t="shared" si="4"/>
        <v>278541270</v>
      </c>
      <c r="L26" s="36">
        <f t="shared" si="4"/>
        <v>256620473</v>
      </c>
      <c r="M26" s="36">
        <f t="shared" si="4"/>
        <v>241521319</v>
      </c>
      <c r="N26" s="36">
        <f t="shared" si="4"/>
        <v>293136585</v>
      </c>
      <c r="O26" s="37">
        <f t="shared" si="3"/>
        <v>3260133727</v>
      </c>
      <c r="P26" s="38">
        <f>SUM(P16:P25)</f>
        <v>3260133727</v>
      </c>
      <c r="Q26" s="39">
        <f t="shared" si="1"/>
        <v>0</v>
      </c>
    </row>
    <row r="27" spans="1:17" ht="16.5" thickBot="1" x14ac:dyDescent="0.3">
      <c r="A27" s="45" t="s">
        <v>63</v>
      </c>
      <c r="B27" s="46" t="s">
        <v>64</v>
      </c>
      <c r="C27" s="47">
        <f t="shared" ref="C27:O27" si="5">C14-C26</f>
        <v>233370194</v>
      </c>
      <c r="D27" s="47">
        <f t="shared" si="5"/>
        <v>21959939</v>
      </c>
      <c r="E27" s="47">
        <f t="shared" si="5"/>
        <v>117202765</v>
      </c>
      <c r="F27" s="47">
        <f t="shared" si="5"/>
        <v>-41596278</v>
      </c>
      <c r="G27" s="47">
        <f t="shared" si="5"/>
        <v>-50107628</v>
      </c>
      <c r="H27" s="47">
        <f t="shared" si="5"/>
        <v>-63421163</v>
      </c>
      <c r="I27" s="47">
        <f t="shared" si="5"/>
        <v>-221422954</v>
      </c>
      <c r="J27" s="47">
        <f t="shared" si="5"/>
        <v>-42059521</v>
      </c>
      <c r="K27" s="47">
        <f t="shared" si="5"/>
        <v>209693180</v>
      </c>
      <c r="L27" s="47">
        <f t="shared" si="5"/>
        <v>-87917400</v>
      </c>
      <c r="M27" s="47">
        <f t="shared" si="5"/>
        <v>-11565911</v>
      </c>
      <c r="N27" s="47">
        <f t="shared" si="5"/>
        <v>-64135223</v>
      </c>
      <c r="O27" s="48">
        <f t="shared" si="5"/>
        <v>0</v>
      </c>
    </row>
    <row r="28" spans="1:17" x14ac:dyDescent="0.25">
      <c r="A28" s="49"/>
    </row>
    <row r="29" spans="1:17" x14ac:dyDescent="0.25">
      <c r="B29" s="51"/>
      <c r="C29" s="52"/>
      <c r="D29" s="52"/>
      <c r="O29" s="53"/>
    </row>
    <row r="30" spans="1:17" x14ac:dyDescent="0.25">
      <c r="O30" s="53"/>
    </row>
    <row r="31" spans="1:17" x14ac:dyDescent="0.25">
      <c r="O31" s="53"/>
    </row>
    <row r="32" spans="1:17" x14ac:dyDescent="0.25">
      <c r="O32" s="53"/>
    </row>
    <row r="33" spans="15:15" x14ac:dyDescent="0.25">
      <c r="O33" s="53"/>
    </row>
    <row r="34" spans="15:15" x14ac:dyDescent="0.25">
      <c r="O34" s="53"/>
    </row>
    <row r="35" spans="15:15" x14ac:dyDescent="0.25">
      <c r="O35" s="53"/>
    </row>
    <row r="36" spans="15:15" x14ac:dyDescent="0.25">
      <c r="O36" s="53"/>
    </row>
    <row r="37" spans="15:15" x14ac:dyDescent="0.25">
      <c r="O37" s="53"/>
    </row>
    <row r="38" spans="15:15" x14ac:dyDescent="0.25">
      <c r="O38" s="53"/>
    </row>
    <row r="39" spans="15:15" x14ac:dyDescent="0.25">
      <c r="O39" s="53"/>
    </row>
    <row r="40" spans="15:15" x14ac:dyDescent="0.25">
      <c r="O40" s="53"/>
    </row>
    <row r="41" spans="15:15" x14ac:dyDescent="0.25">
      <c r="O41" s="53"/>
    </row>
    <row r="42" spans="15:15" x14ac:dyDescent="0.25">
      <c r="O42" s="53"/>
    </row>
    <row r="43" spans="15:15" x14ac:dyDescent="0.25">
      <c r="O43" s="53"/>
    </row>
    <row r="44" spans="15:15" x14ac:dyDescent="0.25">
      <c r="O44" s="53"/>
    </row>
    <row r="45" spans="15:15" x14ac:dyDescent="0.25">
      <c r="O45" s="53"/>
    </row>
    <row r="46" spans="15:15" x14ac:dyDescent="0.25">
      <c r="O46" s="53"/>
    </row>
    <row r="47" spans="15:15" x14ac:dyDescent="0.25">
      <c r="O47" s="53"/>
    </row>
    <row r="48" spans="15:15" x14ac:dyDescent="0.25">
      <c r="O48" s="53"/>
    </row>
    <row r="49" spans="15:15" x14ac:dyDescent="0.25">
      <c r="O49" s="53"/>
    </row>
    <row r="50" spans="15:15" x14ac:dyDescent="0.25">
      <c r="O50" s="53"/>
    </row>
    <row r="51" spans="15:15" x14ac:dyDescent="0.25">
      <c r="O51" s="53"/>
    </row>
    <row r="52" spans="15:15" x14ac:dyDescent="0.25">
      <c r="O52" s="53"/>
    </row>
    <row r="53" spans="15:15" x14ac:dyDescent="0.25">
      <c r="O53" s="53"/>
    </row>
    <row r="54" spans="15:15" x14ac:dyDescent="0.25">
      <c r="O54" s="53"/>
    </row>
    <row r="55" spans="15:15" x14ac:dyDescent="0.25">
      <c r="O55" s="53"/>
    </row>
    <row r="56" spans="15:15" x14ac:dyDescent="0.25">
      <c r="O56" s="53"/>
    </row>
    <row r="57" spans="15:15" x14ac:dyDescent="0.25">
      <c r="O57" s="53"/>
    </row>
    <row r="58" spans="15:15" x14ac:dyDescent="0.25">
      <c r="O58" s="53"/>
    </row>
    <row r="59" spans="15:15" x14ac:dyDescent="0.25">
      <c r="O59" s="53"/>
    </row>
    <row r="60" spans="15:15" x14ac:dyDescent="0.25">
      <c r="O60" s="53"/>
    </row>
    <row r="61" spans="15:15" x14ac:dyDescent="0.25">
      <c r="O61" s="53"/>
    </row>
    <row r="62" spans="15:15" x14ac:dyDescent="0.25">
      <c r="O62" s="53"/>
    </row>
    <row r="63" spans="15:15" x14ac:dyDescent="0.25">
      <c r="O63" s="53"/>
    </row>
    <row r="64" spans="15:15" x14ac:dyDescent="0.25">
      <c r="O64" s="53"/>
    </row>
    <row r="65" spans="15:15" x14ac:dyDescent="0.25">
      <c r="O65" s="53"/>
    </row>
    <row r="66" spans="15:15" x14ac:dyDescent="0.25">
      <c r="O66" s="53"/>
    </row>
    <row r="67" spans="15:15" x14ac:dyDescent="0.25">
      <c r="O67" s="53"/>
    </row>
    <row r="68" spans="15:15" x14ac:dyDescent="0.25">
      <c r="O68" s="53"/>
    </row>
    <row r="69" spans="15:15" x14ac:dyDescent="0.25">
      <c r="O69" s="53"/>
    </row>
    <row r="70" spans="15:15" x14ac:dyDescent="0.25">
      <c r="O70" s="53"/>
    </row>
    <row r="71" spans="15:15" x14ac:dyDescent="0.25">
      <c r="O71" s="53"/>
    </row>
    <row r="72" spans="15:15" x14ac:dyDescent="0.25">
      <c r="O72" s="53"/>
    </row>
    <row r="73" spans="15:15" x14ac:dyDescent="0.25">
      <c r="O73" s="53"/>
    </row>
    <row r="74" spans="15:15" x14ac:dyDescent="0.25">
      <c r="O74" s="53"/>
    </row>
    <row r="75" spans="15:15" x14ac:dyDescent="0.25">
      <c r="O75" s="53"/>
    </row>
    <row r="76" spans="15:15" x14ac:dyDescent="0.25">
      <c r="O76" s="53"/>
    </row>
    <row r="77" spans="15:15" x14ac:dyDescent="0.25">
      <c r="O77" s="53"/>
    </row>
    <row r="78" spans="15:15" x14ac:dyDescent="0.25">
      <c r="O78" s="53"/>
    </row>
    <row r="79" spans="15:15" x14ac:dyDescent="0.25">
      <c r="O79" s="53"/>
    </row>
    <row r="80" spans="15:15" x14ac:dyDescent="0.25">
      <c r="O80" s="53"/>
    </row>
    <row r="81" spans="15:15" x14ac:dyDescent="0.25">
      <c r="O81" s="53"/>
    </row>
    <row r="82" spans="15:15" x14ac:dyDescent="0.25">
      <c r="O82" s="53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8" orientation="landscape" r:id="rId1"/>
  <headerFooter alignWithMargins="0">
    <oddHeader>&amp;R&amp;"Times New Roman CE,Félkövér dőlt"&amp;11 23. számú tájékoztató tábla a 18/2019.(V.30.)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2019-05-30T15:46:31Z</dcterms:created>
  <dcterms:modified xsi:type="dcterms:W3CDTF">2019-05-30T15:46:31Z</dcterms:modified>
</cp:coreProperties>
</file>