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9405" windowWidth="17355" windowHeight="7800" tabRatio="598" activeTab="0"/>
  </bookViews>
  <sheets>
    <sheet name="1.mell. BEVÉTEL" sheetId="1" r:id="rId1"/>
    <sheet name="2.mell. KIADÁS" sheetId="2" r:id="rId2"/>
    <sheet name="3.mell" sheetId="3" r:id="rId3"/>
    <sheet name="4.mell." sheetId="4" r:id="rId4"/>
    <sheet name="5. " sheetId="5" r:id="rId5"/>
    <sheet name="6." sheetId="6" r:id="rId6"/>
    <sheet name="7." sheetId="7" r:id="rId7"/>
    <sheet name="8.mell. felh.mérleg" sheetId="8" r:id="rId8"/>
    <sheet name="9.mell.közg.mérleg" sheetId="9" r:id="rId9"/>
    <sheet name="10.mell.állami 2019" sheetId="10" r:id="rId10"/>
    <sheet name="11.EU-pályázatok és egyéb" sheetId="11" r:id="rId11"/>
    <sheet name="12.mell korm.funkc ök össz" sheetId="12" r:id="rId12"/>
    <sheet name="13.mell.vsz finterv" sheetId="13" r:id="rId13"/>
    <sheet name="14.mell. eszesz finterv" sheetId="14" r:id="rId14"/>
    <sheet name="15.mell. könyvtár fin terv" sheetId="15" r:id="rId15"/>
    <sheet name="16.mell. PH ei.felh." sheetId="16" r:id="rId16"/>
    <sheet name="17.mell. ÖK finansz." sheetId="17" r:id="rId17"/>
    <sheet name="18.mell. likviditási terv" sheetId="18" r:id="rId18"/>
    <sheet name="19.mell. saját bevétel" sheetId="19" r:id="rId19"/>
    <sheet name="20.mell. több éves" sheetId="20" r:id="rId20"/>
    <sheet name="21.mell. előzetes adatszolg-hoz" sheetId="21" r:id="rId21"/>
    <sheet name="22.mell közösségi ellátás" sheetId="22" r:id="rId22"/>
    <sheet name="23.mell. KÖZVETETT támog" sheetId="23" r:id="rId23"/>
    <sheet name="24.mell. Bevételek 2020-2022." sheetId="24" r:id="rId24"/>
    <sheet name="25.mell. Kiadások 2020-2022.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0">'1.mell. BEVÉTEL'!$A$1:$I$182</definedName>
    <definedName name="_xlnm.Print_Area" localSheetId="9">'10.mell.állami 2019'!$A$1:$J$45</definedName>
    <definedName name="_xlnm.Print_Area" localSheetId="10">'11.EU-pályázatok és egyéb'!$A$1:$P$23</definedName>
    <definedName name="_xlnm.Print_Area" localSheetId="11">'12.mell korm.funkc ök össz'!$A$1:$AO$110</definedName>
    <definedName name="_xlnm.Print_Area" localSheetId="12">'13.mell.vsz finterv'!$A$1:$P$28</definedName>
    <definedName name="_xlnm.Print_Area" localSheetId="13">'14.mell. eszesz finterv'!$A$1:$P$29</definedName>
    <definedName name="_xlnm.Print_Area" localSheetId="14">'15.mell. könyvtár fin terv'!$A$1:$P$32</definedName>
    <definedName name="_xlnm.Print_Area" localSheetId="15">'16.mell. PH ei.felh.'!$A$1:$P$29</definedName>
    <definedName name="_xlnm.Print_Area" localSheetId="16">'17.mell. ÖK finansz.'!$A$1:$O$28</definedName>
    <definedName name="_xlnm.Print_Area" localSheetId="17">'18.mell. likviditási terv'!$A$1:$O$29</definedName>
    <definedName name="_xlnm.Print_Area" localSheetId="18">'19.mell. saját bevétel'!$A$1:$G$13</definedName>
    <definedName name="_xlnm.Print_Area" localSheetId="1">'2.mell. KIADÁS'!$A$1:$I$225</definedName>
    <definedName name="_xlnm.Print_Area" localSheetId="19">'20.mell. több éves'!$A$1:$M$9</definedName>
    <definedName name="_xlnm.Print_Area" localSheetId="21">'22.mell közösségi ellátás'!$A$1:$E$46</definedName>
    <definedName name="_xlnm.Print_Area" localSheetId="22">'23.mell. KÖZVETETT támog'!$A$1:$G$25</definedName>
    <definedName name="_xlnm.Print_Area" localSheetId="23">'24.mell. Bevételek 2020-2022.'!$A$1:$G$21</definedName>
    <definedName name="_xlnm.Print_Area" localSheetId="24">'25.mell. Kiadások 2020-2022.'!$A$1:$G$20</definedName>
    <definedName name="_xlnm.Print_Area" localSheetId="2">'3.mell'!$A$1:$AR$25</definedName>
    <definedName name="_xlnm.Print_Area" localSheetId="3">'4.mell.'!$A$1:$AR$24</definedName>
    <definedName name="_xlnm.Print_Area" localSheetId="4">'5. '!$A$1:$F$15</definedName>
    <definedName name="_xlnm.Print_Area" localSheetId="6">'7.'!$A$1:$H$68</definedName>
    <definedName name="_xlnm.Print_Area" localSheetId="7">'8.mell. felh.mérleg'!$A$1:$K$10</definedName>
    <definedName name="_xlnm.Print_Area" localSheetId="8">'9.mell.közg.mérleg'!$A$1:$F$20</definedName>
  </definedNames>
  <calcPr fullCalcOnLoad="1"/>
</workbook>
</file>

<file path=xl/sharedStrings.xml><?xml version="1.0" encoding="utf-8"?>
<sst xmlns="http://schemas.openxmlformats.org/spreadsheetml/2006/main" count="2894" uniqueCount="1026">
  <si>
    <t>Finanszírozási kiadások (hitel)</t>
  </si>
  <si>
    <t>Finanszírozási  kiadások (kp-i irány.szervi műk.c.támog.folyósít.)</t>
  </si>
  <si>
    <t>intézményi bevételek</t>
  </si>
  <si>
    <t xml:space="preserve">K3 dologi </t>
  </si>
  <si>
    <t>K4 segély</t>
  </si>
  <si>
    <t>K5         átadott pe. műk.</t>
  </si>
  <si>
    <t>működési kiadások</t>
  </si>
  <si>
    <t>K6 beruh.</t>
  </si>
  <si>
    <t>K7 felúj.</t>
  </si>
  <si>
    <t>K8          átadott pe. felhalm.</t>
  </si>
  <si>
    <t>felhalm.i kiadások</t>
  </si>
  <si>
    <t>ktgvetési kiadások</t>
  </si>
  <si>
    <t>K9        finansz. kiadások</t>
  </si>
  <si>
    <t>B3 közhat.bev.</t>
  </si>
  <si>
    <t>B4      műk-i bev.</t>
  </si>
  <si>
    <t>B8 marad-vány</t>
  </si>
  <si>
    <t>össz.</t>
  </si>
  <si>
    <t>B11        ÖK-ok műk. támog.</t>
  </si>
  <si>
    <t>B6      műk-re átvett</t>
  </si>
  <si>
    <t>B5 felhalm. bev-ek</t>
  </si>
  <si>
    <t>B7 felhalm-ra átvett</t>
  </si>
  <si>
    <t>B8     folyószla hitel</t>
  </si>
  <si>
    <t>B8         műk-i hitel</t>
  </si>
  <si>
    <t>B8    hitel kölcs. felv.</t>
  </si>
  <si>
    <t>határátkelő</t>
  </si>
  <si>
    <t>- összevont ágazati pótlék</t>
  </si>
  <si>
    <r>
      <t xml:space="preserve">Szociális hozzájárulási adó - </t>
    </r>
    <r>
      <rPr>
        <b/>
        <sz val="10"/>
        <rFont val="Arial"/>
        <family val="2"/>
      </rPr>
      <t>összevont ágazati pótlék</t>
    </r>
  </si>
  <si>
    <t>Szociális hozzájárulási adó -</t>
  </si>
  <si>
    <r>
      <t xml:space="preserve">Vásárolt közszolgáltatások </t>
    </r>
    <r>
      <rPr>
        <b/>
        <sz val="10"/>
        <rFont val="Arial"/>
        <family val="2"/>
      </rPr>
      <t>- üzemorvosi vizsg. 5e/fő, pszichológus, pszichiáter díja, továbbképzések stb.</t>
    </r>
  </si>
  <si>
    <t>III.3. m) Közösségi alapellátások</t>
  </si>
  <si>
    <t xml:space="preserve"> - alaptámogatás (működési hó - 12)</t>
  </si>
  <si>
    <t xml:space="preserve"> - teljesítménytámogatás (feladategység * fajlagos összeg = 40*150 eFt)</t>
  </si>
  <si>
    <t>Magyarország 2017. évi központi költségvetéséről szóló 2016. évi XC. törvény 2. melléklete szerinti állami támogatás</t>
  </si>
  <si>
    <t>mutatószám</t>
  </si>
  <si>
    <t>III.3.m) Közösségi alapellátások</t>
  </si>
  <si>
    <t xml:space="preserve"> - alaptámogatás</t>
  </si>
  <si>
    <t xml:space="preserve">  - teljesítménytámogatás</t>
  </si>
  <si>
    <t>2018. évi előirányzat</t>
  </si>
  <si>
    <t>2019. évi előirányzat</t>
  </si>
  <si>
    <t>2020. évi előirányzat</t>
  </si>
  <si>
    <t xml:space="preserve"> -  kulturális illetménypótlék</t>
  </si>
  <si>
    <r>
      <rPr>
        <sz val="12"/>
        <rFont val="Arial"/>
        <family val="2"/>
      </rPr>
      <t>az Áht. 23.§ (2) bekezdés c) pontjában meghat.cél szerinti bontásban</t>
    </r>
    <r>
      <rPr>
        <b/>
        <sz val="12"/>
        <rFont val="Arial"/>
        <family val="2"/>
      </rPr>
      <t xml:space="preserve">                                                                     felhalmozási költségvetés egyenlege (hiány)</t>
    </r>
  </si>
  <si>
    <t xml:space="preserve"> - összevont szociális ágazati pótlék </t>
  </si>
  <si>
    <t xml:space="preserve"> - MVH állatjóléti támogatás</t>
  </si>
  <si>
    <t xml:space="preserve"> - "Nyári diákmunka" program</t>
  </si>
  <si>
    <t xml:space="preserve"> - MVH területalapú támogatás  - mg-i földterület</t>
  </si>
  <si>
    <r>
      <t>Egyéb</t>
    </r>
    <r>
      <rPr>
        <b/>
        <i/>
        <sz val="11"/>
        <rFont val="Arial"/>
        <family val="2"/>
      </rPr>
      <t xml:space="preserve"> - mezőőri járulék</t>
    </r>
  </si>
  <si>
    <t>Részesedés visszatérítés</t>
  </si>
  <si>
    <r>
      <t xml:space="preserve">Egyéb működési bevételek </t>
    </r>
    <r>
      <rPr>
        <b/>
        <i/>
        <sz val="10"/>
        <rFont val="Arial"/>
        <family val="2"/>
      </rPr>
      <t>- közig.bírság, egyéb  több éves hátralékok megtérülése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</si>
  <si>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- anyakönyvi szolg.díja, egyéb több éves hátralékok megtérülése</t>
    </r>
  </si>
  <si>
    <t>B16/1</t>
  </si>
  <si>
    <t>Központi költségvetési szerv működési c.támogatás bev.</t>
  </si>
  <si>
    <t>63.</t>
  </si>
  <si>
    <t>67.</t>
  </si>
  <si>
    <t>68.</t>
  </si>
  <si>
    <t>69.</t>
  </si>
  <si>
    <t>73.</t>
  </si>
  <si>
    <t>74.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</si>
  <si>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</si>
  <si>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</si>
  <si>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</si>
  <si>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</si>
  <si>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</si>
  <si>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</si>
  <si>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</si>
  <si>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</si>
  <si>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</si>
  <si>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</si>
  <si>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</si>
  <si>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</si>
  <si>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</si>
  <si>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</si>
  <si>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</si>
  <si>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</si>
  <si>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</si>
  <si>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</si>
  <si>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</si>
  <si>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</si>
  <si>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</si>
  <si>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</si>
  <si>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</si>
  <si>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</si>
  <si>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</si>
  <si>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</si>
  <si>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</si>
  <si>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</si>
  <si>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</si>
  <si>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</si>
  <si>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</si>
  <si>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</si>
  <si>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</si>
  <si>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</si>
  <si>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</si>
  <si>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</si>
  <si>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</si>
  <si>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</si>
  <si>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</si>
  <si>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</si>
  <si>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3.oldal</t>
  </si>
  <si>
    <t>Kiküldetések, reklám- és propagandakiadások</t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</si>
  <si>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folyóirat, élelmiszer, irodaszer, üzemanyag,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</si>
  <si>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internetdíj, szoftverkövetés díja</t>
    </r>
  </si>
  <si>
    <r>
      <t>Kiküldetések, reklám- és propagandakiadások -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területre kijárás, vérszállítás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</si>
  <si>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 </t>
    </r>
    <r>
      <rPr>
        <b/>
        <i/>
        <sz val="9"/>
        <rFont val="Arial"/>
        <family val="2"/>
      </rPr>
      <t>kés.kamat, behajtási ktgátalány, ÁFA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</si>
  <si>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>cégautó adó, kés.kamat, behajtási ktgátalány, autópálya díj, műszaki vizsga, szerviz ktg., munkabaleset kártérítése, ÁFA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</si>
  <si>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 xml:space="preserve"> könyv, folyóirat, szakmai eszközök könyvtári, művelődési és múzeumi feladatok ellátásához, irodaszer,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</si>
  <si>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domain szolg., szoftverkövetés díja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</si>
  <si>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szoftverkövetés díja</t>
    </r>
  </si>
  <si>
    <t>I.3. Határátkelőhelyek fenntartásának támogatása</t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</si>
  <si>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 xml:space="preserve"> kés.kamat, behajtási ktgátalány, ÁFA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</si>
  <si>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folyóirat,  irodaszer,  munkaruha, tisztítószer, karbantartási, üzemeltetési anyag beszerzése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</si>
  <si>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takarnet program, domain szolg. szoftverkövetés, informatikai tanácsadás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</si>
  <si>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>kés.kamat, behajtási ktgátalány, ÁFA</t>
    </r>
  </si>
  <si>
    <r>
      <t xml:space="preserve">Kommunikációs szolgáltatások </t>
    </r>
    <r>
      <rPr>
        <i/>
        <sz val="8"/>
        <rFont val="Arial"/>
        <family val="2"/>
      </rPr>
      <t>- informatikai, egyéb kommunikációs szolgáltatások -</t>
    </r>
    <r>
      <rPr>
        <b/>
        <i/>
        <sz val="9"/>
        <rFont val="Arial"/>
        <family val="2"/>
      </rPr>
      <t xml:space="preserve"> telefondíj, test.ülések közv.díja, egyéb, profilszerkesztés díja</t>
    </r>
  </si>
  <si>
    <t>Társulások működési támogatása</t>
  </si>
  <si>
    <t>Strand támogatása</t>
  </si>
  <si>
    <t>Alapítványok, civil szervezetek támogatása</t>
  </si>
  <si>
    <t>VÁROSNAP</t>
  </si>
  <si>
    <t>4.oldal</t>
  </si>
  <si>
    <r>
      <t>Önk.töb.tul.nem pü.váll.műk.vi.tám.visszatérítés</t>
    </r>
    <r>
      <rPr>
        <b/>
        <i/>
        <sz val="9"/>
        <rFont val="Arial"/>
        <family val="2"/>
      </rPr>
      <t xml:space="preserve"> -</t>
    </r>
    <r>
      <rPr>
        <b/>
        <i/>
        <sz val="10"/>
        <rFont val="Arial"/>
        <family val="2"/>
      </rPr>
      <t xml:space="preserve"> tagi kölcsön törl.</t>
    </r>
  </si>
  <si>
    <r>
      <t>Nonpr.szerv.működ.c.átvett pénzeszköz</t>
    </r>
    <r>
      <rPr>
        <b/>
        <i/>
        <sz val="10"/>
        <rFont val="Arial"/>
        <family val="2"/>
      </rPr>
      <t xml:space="preserve"> - MAZSIHISZ támogatás zsidó temető karbantart.-hoz</t>
    </r>
  </si>
  <si>
    <r>
      <t>Előző évi kv-i maradvány igénybevétele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maradványelszámolásból szárm.bevétel</t>
    </r>
  </si>
  <si>
    <r>
      <t>ÁH-on belüli megelőlegezések</t>
    </r>
    <r>
      <rPr>
        <b/>
        <sz val="11"/>
        <rFont val="Arial"/>
        <family val="2"/>
      </rPr>
      <t xml:space="preserve"> -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előleg </t>
    </r>
  </si>
  <si>
    <r>
      <t>Helyi önk.kv.sz.működési c.támogatás bev. -</t>
    </r>
    <r>
      <rPr>
        <b/>
        <sz val="11"/>
        <rFont val="Arial"/>
        <family val="2"/>
      </rPr>
      <t xml:space="preserve"> PH </t>
    </r>
    <r>
      <rPr>
        <b/>
        <i/>
        <sz val="10"/>
        <rFont val="Arial"/>
        <family val="2"/>
      </rPr>
      <t>maradványelsz.-ból</t>
    </r>
  </si>
  <si>
    <t xml:space="preserve"> - KÖZMUNKA </t>
  </si>
  <si>
    <r>
      <t xml:space="preserve">Helyi önk.kv.sz.működési c.támogatás bev. - </t>
    </r>
    <r>
      <rPr>
        <b/>
        <i/>
        <sz val="11"/>
        <rFont val="Arial"/>
        <family val="2"/>
      </rPr>
      <t xml:space="preserve">VSZ </t>
    </r>
    <r>
      <rPr>
        <b/>
        <i/>
        <sz val="10"/>
        <rFont val="Arial"/>
        <family val="2"/>
      </rPr>
      <t>maradványelsz.-ból</t>
    </r>
  </si>
  <si>
    <r>
      <t xml:space="preserve">Helyi önk.kv.sz.működési c.támogatás bev. - </t>
    </r>
    <r>
      <rPr>
        <b/>
        <i/>
        <sz val="11"/>
        <rFont val="Arial"/>
        <family val="2"/>
      </rPr>
      <t xml:space="preserve">ESZESZ </t>
    </r>
    <r>
      <rPr>
        <b/>
        <i/>
        <sz val="10"/>
        <rFont val="Arial"/>
        <family val="2"/>
      </rPr>
      <t>maradványelsz.-ból</t>
    </r>
  </si>
  <si>
    <r>
      <t xml:space="preserve">Helyi önk.kv.sz.működési c.támogatás bev. - </t>
    </r>
    <r>
      <rPr>
        <b/>
        <i/>
        <sz val="11"/>
        <rFont val="Arial"/>
        <family val="2"/>
      </rPr>
      <t>KÖNYVTÁR</t>
    </r>
    <r>
      <rPr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maradványelsz.-ból</t>
    </r>
  </si>
  <si>
    <r>
      <t xml:space="preserve">Szponzori szerződés szerinti támogatás </t>
    </r>
    <r>
      <rPr>
        <b/>
        <i/>
        <sz val="11"/>
        <rFont val="Arial"/>
        <family val="2"/>
      </rPr>
      <t>Barátság Sportegyesület részére 80.000,-Ft/hó</t>
    </r>
  </si>
  <si>
    <t xml:space="preserve"> - Kisértékű tárgyi eszk.vás. (mezőőr)</t>
  </si>
  <si>
    <r>
      <t xml:space="preserve"> - TOP-2.1.3-15-BS1-2016-0000 - Települési környezetvédelmi infrastruktúra fejlesztések - </t>
    </r>
    <r>
      <rPr>
        <b/>
        <i/>
        <sz val="11"/>
        <rFont val="Arial"/>
        <family val="2"/>
      </rPr>
      <t>Dózsa u. csatornázás pályázat</t>
    </r>
  </si>
  <si>
    <r>
      <t xml:space="preserve"> - TOP-2.1.2-15-BS1-2016-0001 -</t>
    </r>
    <r>
      <rPr>
        <b/>
        <i/>
        <sz val="11"/>
        <rFont val="Arial"/>
        <family val="2"/>
      </rPr>
      <t xml:space="preserve"> Zöld város kialakítása pályázat</t>
    </r>
  </si>
  <si>
    <r>
      <t xml:space="preserve"> - TOP-1.1.3-15 - Helyi gazdaságfejlesztés -</t>
    </r>
    <r>
      <rPr>
        <b/>
        <i/>
        <sz val="11"/>
        <rFont val="Arial"/>
        <family val="2"/>
      </rPr>
      <t xml:space="preserve"> Piac felújítás pályázat</t>
    </r>
  </si>
  <si>
    <t xml:space="preserve"> - Önkormányzat épületének elektromos hálózat felújítása</t>
  </si>
  <si>
    <t xml:space="preserve"> - TOP-4.1.1-15-BS1-2016-0001 - Egészségügyi alapellátás infrastrukturális fejlesztése - Orvosi rendelő felújítás</t>
  </si>
  <si>
    <r>
      <t>Természetben nyújt.gyermekvédelmi támog.</t>
    </r>
    <r>
      <rPr>
        <b/>
        <sz val="11"/>
        <rFont val="Arial"/>
        <family val="2"/>
      </rPr>
      <t xml:space="preserve"> - Erzsébet utalvány</t>
    </r>
  </si>
  <si>
    <r>
      <t>Átmeneti pénzbeli segély</t>
    </r>
    <r>
      <rPr>
        <b/>
        <sz val="11"/>
        <rFont val="Arial"/>
        <family val="2"/>
      </rPr>
      <t xml:space="preserve"> - rendkívüli települési támog.</t>
    </r>
  </si>
  <si>
    <t>Köztemetés</t>
  </si>
  <si>
    <r>
      <t>Települési támogatás</t>
    </r>
    <r>
      <rPr>
        <b/>
        <sz val="11"/>
        <rFont val="Arial"/>
        <family val="2"/>
      </rPr>
      <t xml:space="preserve"> - lakhatási települési támog.</t>
    </r>
  </si>
  <si>
    <r>
      <t xml:space="preserve">Egyéb célú telek értékesítés - </t>
    </r>
    <r>
      <rPr>
        <b/>
        <i/>
        <sz val="10"/>
        <rFont val="Arial"/>
        <family val="2"/>
      </rPr>
      <t>beépítetlen terület értékes bevétele</t>
    </r>
  </si>
  <si>
    <r>
      <t xml:space="preserve">Lakóépület értékesítése - </t>
    </r>
    <r>
      <rPr>
        <b/>
        <i/>
        <sz val="10"/>
        <rFont val="Arial"/>
        <family val="2"/>
      </rPr>
      <t>önk-i lakások értékesítése</t>
    </r>
  </si>
  <si>
    <t>Lakóingatlan szociális célú bérbeadása, üzemeltet.</t>
  </si>
  <si>
    <t>Működési célú támogatások ÁH-on belülről</t>
  </si>
  <si>
    <t>Felhalmozási célú támogatások ÁH-on belülről</t>
  </si>
  <si>
    <t>Finanszírozási  bevételek</t>
  </si>
  <si>
    <t>Egyéb működési célú kiadások</t>
  </si>
  <si>
    <t>Egyéb felhalmozási célú kiadások</t>
  </si>
  <si>
    <t>Battonya Város Önkormányzat likvidási terv</t>
  </si>
  <si>
    <r>
      <t>Állom. nem tartozók megbízási díja</t>
    </r>
    <r>
      <rPr>
        <b/>
        <sz val="10"/>
        <rFont val="Arial"/>
        <family val="2"/>
      </rPr>
      <t xml:space="preserve"> - szakmai vezető 100e/hó</t>
    </r>
  </si>
  <si>
    <t>Finanszírozási  bevételek (maradvány igénybevétele)</t>
  </si>
  <si>
    <t>Finanszírozási  bevételek (kp-i irány.szervi műk.c.támog.)</t>
  </si>
  <si>
    <t>Battonyai Polgármesteri Hivatal előirányzat felhasználási terv</t>
  </si>
  <si>
    <t>Egészségügyi és Szociális Ellátó Szervezet előirányzat felhasználási terv</t>
  </si>
  <si>
    <t>Városellátó  Szervezet előirányzat felhasználási terv</t>
  </si>
  <si>
    <t>menny.e.</t>
  </si>
  <si>
    <t xml:space="preserve">          I.1. A települési önkormányzatok működésének támogatása</t>
  </si>
  <si>
    <t>elismert hivatali létszám - fő</t>
  </si>
  <si>
    <t>m²</t>
  </si>
  <si>
    <t xml:space="preserve">I.1.c) Egyéb önkormányzati feladatok támogatása - beszámítás után </t>
  </si>
  <si>
    <t>I.1.d) Lakott külterülettel kapcsolatos feladatok támogatása</t>
  </si>
  <si>
    <t>Idősek nappali ellátása</t>
  </si>
  <si>
    <t>Demens betegek nappali ellátása</t>
  </si>
  <si>
    <t>Önkormányzatok és önkormányzati hivatalok jogalkotó és általános igazgatási tevékenysége</t>
  </si>
  <si>
    <t>külterületi lakos - fő</t>
  </si>
  <si>
    <t xml:space="preserve">          III.2. A települési önkormányzatok szociális feladatainak egyéb támogatása</t>
  </si>
  <si>
    <t xml:space="preserve">          III.3. Egyes szociális és gyermekjóléti feladatok támogatása</t>
  </si>
  <si>
    <t>III.3.a) Család- és gyermekjóléti szolgálat</t>
  </si>
  <si>
    <t>III.3.c) Szociális étkeztetés</t>
  </si>
  <si>
    <t>III.3.f) Időskorúak nappali intézményi ellátása</t>
  </si>
  <si>
    <t>III.3.g) Fogyatékos és demens személyek nappali intézményi ellátása</t>
  </si>
  <si>
    <t xml:space="preserve">          III.5. Gyermekétkeztetés támogatása</t>
  </si>
  <si>
    <t>III.5.a) Az intézményi gyermekétkeztetés kapcsán az étkeztetési feladatot ellátók után járó bértámogatás</t>
  </si>
  <si>
    <t>III.5.b)  Az intézményi gyermekétkeztetés üzemeltetési támogatása</t>
  </si>
  <si>
    <t>III.5.c) A rászoruló gyermekek intézményen kívüli szünidei étkeztetésének támogatása</t>
  </si>
  <si>
    <t xml:space="preserve">          IV.1. Könyvtári, közművelődési és múzeumi feladatok támogatása</t>
  </si>
  <si>
    <t>IV.1.d) Települési önkormányzatok nyilvános könyvtári és közművelődési feladatainak támogatása</t>
  </si>
  <si>
    <t>lakosság-szám - fő</t>
  </si>
  <si>
    <t>Battonyai Városi Művelődési Központ és Könyvtár</t>
  </si>
  <si>
    <t xml:space="preserve"> - Mezőőri szolgálatra átvett - ÖK</t>
  </si>
  <si>
    <t>B16/4</t>
  </si>
  <si>
    <t xml:space="preserve">Elk.áll.pénzalap működési c.támogatás bev. </t>
  </si>
  <si>
    <t xml:space="preserve">Tb.pü.alap.működ.c.támogatás bev. </t>
  </si>
  <si>
    <t>Termőföld bérbead.miatti SZJA</t>
  </si>
  <si>
    <t>Magánszem.kommunális adója</t>
  </si>
  <si>
    <t>Állandó jell.végz.tevék.ut.iparűzési adó</t>
  </si>
  <si>
    <t>Helyi önkorm.megillető belf.gépjárműadó</t>
  </si>
  <si>
    <t>Talajterhelési díj</t>
  </si>
  <si>
    <t>Idegenforgalmi adó (tartózkodás alapján)</t>
  </si>
  <si>
    <t>Helyi adópótlék, adóbírság,elkobzás</t>
  </si>
  <si>
    <t>52.</t>
  </si>
  <si>
    <t>53.</t>
  </si>
  <si>
    <t>55.</t>
  </si>
  <si>
    <t>56.</t>
  </si>
  <si>
    <t>Telep.önk.szoc.és gyermekjól.és gyermekétkeztetési fel.tám</t>
  </si>
  <si>
    <t>Helyi önkormányzatok működésének általános támogatása</t>
  </si>
  <si>
    <t xml:space="preserve">Ellátottak pénzbeli juttatásai előirányzat részletezése </t>
  </si>
  <si>
    <t>Civil szervezetek támogatása</t>
  </si>
  <si>
    <t>feladat-egység</t>
  </si>
  <si>
    <t>működési hó</t>
  </si>
  <si>
    <t>51.</t>
  </si>
  <si>
    <t>54.</t>
  </si>
  <si>
    <t>2.oldal</t>
  </si>
  <si>
    <t>1.oldal</t>
  </si>
  <si>
    <t xml:space="preserve">          I.6. Polgármesteri illetmény támogatása</t>
  </si>
  <si>
    <t xml:space="preserve"> -  bérkompenzáció</t>
  </si>
  <si>
    <t>-  Gyermekvédelmi Erzsébet utalvány</t>
  </si>
  <si>
    <t xml:space="preserve"> -  KÖZMUNKÁ-ra</t>
  </si>
  <si>
    <t xml:space="preserve"> - köv. évi várható állami előleg</t>
  </si>
  <si>
    <t xml:space="preserve">E </t>
  </si>
  <si>
    <t>III.3.da) Házi segítségnyújtás - szociális segítés</t>
  </si>
  <si>
    <t xml:space="preserve"> - bérkompenzáció</t>
  </si>
  <si>
    <t>B16/32</t>
  </si>
  <si>
    <t>77.</t>
  </si>
  <si>
    <t>78.</t>
  </si>
  <si>
    <t>B16      műk-i támog.</t>
  </si>
  <si>
    <t>B16          műk-i támog.</t>
  </si>
  <si>
    <t>Országos és helyi népszavazással kapcsolatos tevékenységek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</si>
  <si>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</si>
  <si>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</si>
  <si>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</si>
  <si>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</si>
  <si>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</si>
  <si>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</si>
  <si>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</si>
  <si>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</si>
  <si>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</si>
  <si>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</si>
  <si>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</si>
  <si>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</si>
  <si>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 xml:space="preserve"> - könyvtári érdekeltségnövelő támogatás</t>
  </si>
  <si>
    <t xml:space="preserve"> - Biztos Kezdet Gyerekház támogatása</t>
  </si>
  <si>
    <t>Likv.műk.c.hitelkölcs.felvét. pü.váll. (folyószámla hitel)</t>
  </si>
  <si>
    <t>Likv.műk.c.hitelkölcs.felvét. pü.váll. (működési hitel)</t>
  </si>
  <si>
    <t>személyi juttatások</t>
  </si>
  <si>
    <t>munkaadókat terhelő járulékok és szociális hozzájárulási adó</t>
  </si>
  <si>
    <t>dologi kiadások</t>
  </si>
  <si>
    <t>működési célú átvett pénzeszközök</t>
  </si>
  <si>
    <t>egyéb működési célú kiadások</t>
  </si>
  <si>
    <t>64.</t>
  </si>
  <si>
    <t>66.</t>
  </si>
  <si>
    <t>71.</t>
  </si>
  <si>
    <t>72.</t>
  </si>
  <si>
    <t>75.</t>
  </si>
  <si>
    <t>INTÉZMÉNYEK</t>
  </si>
  <si>
    <t>Finanszírozási bevételek összesen</t>
  </si>
  <si>
    <t>Finanszírozás</t>
  </si>
  <si>
    <t>Működési kiadások</t>
  </si>
  <si>
    <t>Finanszírozási kiadások összesen</t>
  </si>
  <si>
    <t>közfoglalkoztatás</t>
  </si>
  <si>
    <r>
      <t xml:space="preserve">Belföldi kiküldetések kiadásai </t>
    </r>
    <r>
      <rPr>
        <b/>
        <sz val="10"/>
        <rFont val="Arial"/>
        <family val="2"/>
      </rPr>
      <t>- területre kijárás, saját szgk. igenybevétel kapcs. Ktgtérítés</t>
    </r>
  </si>
  <si>
    <r>
      <t>Egyéb különf.inform.szolgáltatás</t>
    </r>
    <r>
      <rPr>
        <b/>
        <sz val="10"/>
        <rFont val="Arial"/>
        <family val="2"/>
      </rPr>
      <t xml:space="preserve"> - inf. szaktanácsadás, szoftverfelügyelet, tv előfiz, internet díj</t>
    </r>
  </si>
  <si>
    <t>Augusztus</t>
  </si>
  <si>
    <t>Szeptember</t>
  </si>
  <si>
    <t>Október</t>
  </si>
  <si>
    <t>November</t>
  </si>
  <si>
    <t>December</t>
  </si>
  <si>
    <t>60.</t>
  </si>
  <si>
    <t>61.</t>
  </si>
  <si>
    <t>62.</t>
  </si>
  <si>
    <t>65.</t>
  </si>
  <si>
    <t>Működési célú átvett pénzeszközök</t>
  </si>
  <si>
    <t>70.</t>
  </si>
  <si>
    <t>76.</t>
  </si>
  <si>
    <t xml:space="preserve"> - Vízmű értéknövelő felújítás (ÖK)</t>
  </si>
  <si>
    <t xml:space="preserve">Battonya Város Önkormányzata </t>
  </si>
  <si>
    <t>III. A TELEPÜLÉSI ÖNKORMÁNYZATOK SZOCIÁLIS, GYERMEKJÓLÉTI ÉS GYERMEKÉTKEZTETÉSI FELADATAINAK TÁMOGATÁSA</t>
  </si>
  <si>
    <t>IV. A TELEPÜLÉSI ÖNKORMÁNYZATOK KULTURÁLIS FELADATAINAK TÁMOGATÁSA</t>
  </si>
  <si>
    <t>kötelező</t>
  </si>
  <si>
    <t>nem kötelező</t>
  </si>
  <si>
    <t>Összesen</t>
  </si>
  <si>
    <t>A</t>
  </si>
  <si>
    <t>B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</si>
  <si>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</si>
  <si>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</si>
  <si>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</si>
  <si>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</si>
  <si>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</si>
  <si>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</si>
  <si>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</si>
  <si>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</si>
  <si>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</si>
  <si>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</si>
  <si>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</si>
  <si>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</si>
  <si>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</si>
  <si>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</si>
  <si>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</si>
  <si>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</si>
  <si>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</si>
  <si>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</si>
  <si>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</si>
  <si>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</si>
  <si>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</si>
  <si>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</si>
  <si>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</si>
  <si>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</si>
  <si>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</si>
  <si>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</si>
  <si>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</si>
  <si>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</si>
  <si>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</si>
  <si>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</si>
  <si>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I</t>
  </si>
  <si>
    <t>Megnevezés</t>
  </si>
  <si>
    <t>Polgármesteri Hivatal</t>
  </si>
  <si>
    <t>Mindösszesen</t>
  </si>
  <si>
    <t>Bevételek</t>
  </si>
  <si>
    <t>Költségvetési bevételek összesen</t>
  </si>
  <si>
    <t>Bevételek összesen</t>
  </si>
  <si>
    <t>Kiadások összesen</t>
  </si>
  <si>
    <t>Kiadások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</si>
  <si>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</si>
  <si>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</si>
  <si>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</si>
  <si>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</si>
  <si>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Felhalmozási kiadások</t>
  </si>
  <si>
    <t>Költségvetési kiadások összesen</t>
  </si>
  <si>
    <t>Felhalmozási bevételek</t>
  </si>
  <si>
    <t>Adósságszolgálat összesen</t>
  </si>
  <si>
    <t>kiadás</t>
  </si>
  <si>
    <t>Személyi juttatások</t>
  </si>
  <si>
    <t>Egészségügyi és Szociális Ellátó Szervezet</t>
  </si>
  <si>
    <t>Házi segítségnyújtás</t>
  </si>
  <si>
    <t>Dologi kiadások</t>
  </si>
  <si>
    <t>Közvilágítás</t>
  </si>
  <si>
    <t>intézmény összesen</t>
  </si>
  <si>
    <t>Városellátó Szervezet</t>
  </si>
  <si>
    <t>finanszírozás forrása</t>
  </si>
  <si>
    <t>tevékenység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</si>
  <si>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</si>
  <si>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</si>
  <si>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</si>
  <si>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</si>
  <si>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</si>
  <si>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</si>
  <si>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</si>
  <si>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</si>
  <si>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Közhatalmi bevételek</t>
  </si>
  <si>
    <t>Bevételek összesen:</t>
  </si>
  <si>
    <t>Ellátottak pénzbeli juttatása</t>
  </si>
  <si>
    <t>Kiadások összesen:</t>
  </si>
  <si>
    <t>Egyenleg</t>
  </si>
  <si>
    <t>Nyitó pénzkészlet</t>
  </si>
  <si>
    <t>-----</t>
  </si>
  <si>
    <t>Egyenleg (10-23)</t>
  </si>
  <si>
    <t>Battonyai Polgármesteri Hivatal</t>
  </si>
  <si>
    <t>Bevételi jogcímek</t>
  </si>
  <si>
    <t>SAJÁT BEVÉTELEK ÖSSZESEN*</t>
  </si>
  <si>
    <t xml:space="preserve"> I. A HELYI ÖNKORMÁNYZATOK MŰKÖDÉSÉNEK ÁLTALÁNOS TÁMOGATÁSA</t>
  </si>
  <si>
    <t>I.1.a) Önkormányzati hivatal működésének támogatása - elismert hivatali létszám alapján</t>
  </si>
  <si>
    <t>I.1.b) Település-üzemeltetéshez kapcsolódó feladatellátás támogatása összesen</t>
  </si>
  <si>
    <t>I.1.ba) A zöldterület-gazdálkodással kapcsolatos feladatok ellátásának támogatása</t>
  </si>
  <si>
    <t>I.1.c) Egyéb önkormányzati feladatok támogatása</t>
  </si>
  <si>
    <t xml:space="preserve"> </t>
  </si>
  <si>
    <t>Alapilletmény</t>
  </si>
  <si>
    <t>Működési bevételek</t>
  </si>
  <si>
    <t>SEBÖK MÁTÉ</t>
  </si>
  <si>
    <t>Munkaruha, védőruha,egyenruha beszerzés</t>
  </si>
  <si>
    <t>Víz- és csatornadíjak</t>
  </si>
  <si>
    <t>Működ.célú előzet.felsz.le nem vonh.ÁFA</t>
  </si>
  <si>
    <t>Köztemető-fenntartás és -működtetés</t>
  </si>
  <si>
    <t>Piac üzemeltetése</t>
  </si>
  <si>
    <t>Nem veszélyes (települési) hulladék vegyes begyűjt</t>
  </si>
  <si>
    <t>Sportlétesítmények, edzőtáborok működtet.és fejl.</t>
  </si>
  <si>
    <t>Könyvtári állomány gyarapítása, nyilvántartása</t>
  </si>
  <si>
    <t>Könyvtári állomány feltárása, megőrzése, védelme</t>
  </si>
  <si>
    <t>Könyvtári szolgáltatások</t>
  </si>
  <si>
    <t xml:space="preserve">Közművelődés – közösségi és társadalmi részvétel </t>
  </si>
  <si>
    <t>Múzeumi gyűjteményi tevékenység</t>
  </si>
  <si>
    <t>Háziorvosi ellátás</t>
  </si>
  <si>
    <t>Fogorvosi alapellátás</t>
  </si>
  <si>
    <t>Egészségügyi laboratóriumi szolgáltatások</t>
  </si>
  <si>
    <t>Fizikoterápiás szolgáltatás</t>
  </si>
  <si>
    <t xml:space="preserve">Család és nővédelmi egészségügyi gondozás  </t>
  </si>
  <si>
    <t>Ifjúság-egészségügyi gondozás</t>
  </si>
  <si>
    <t xml:space="preserve">Szenvedélybetegek közösségi alapellátása (kivéve: </t>
  </si>
  <si>
    <t xml:space="preserve">Szociális étkeztetés </t>
  </si>
  <si>
    <t>fajlagos összeg</t>
  </si>
  <si>
    <t xml:space="preserve">Az Áht. 24.§ (4) bekezdés c) pontja és az Ávr. 28.§-a szerint </t>
  </si>
  <si>
    <t>Helyi adóból és a települési adóból származó bevétel</t>
  </si>
  <si>
    <t>Önkormányzati vagyon és az önkormányzatot megillető vagyoni értékű jog értékesítéséből és hasznosításából származó bevétel</t>
  </si>
  <si>
    <t>Osztalék, koncessziós díj és hozambevétel</t>
  </si>
  <si>
    <t xml:space="preserve">Tárgyi eszköz és immateriális jószág, részvény, részesedés, vállalat értékesítéséből vagy privatizációból származó bevétel </t>
  </si>
  <si>
    <t>Bírság-, pótlék- és díjbevétel</t>
  </si>
  <si>
    <t>Kezesség- illetve garanciavállalással kapcsolatos megtérülés</t>
  </si>
  <si>
    <t>Battonya Város Önkormányzata saját bevételeinek részletezése az adósságot keletkeztető ügyletből származó tárgyévi fizetési kötelezettség megállapításához</t>
  </si>
  <si>
    <t xml:space="preserve">ezer forintban </t>
  </si>
  <si>
    <t>*Az adósságot keletkeztető ügyletekhez történő hozzájárulás részletes szabályairól szóló 353/2011. (XII.30.) Korm. rendelet 2.§ (1) bekezdése alapján.</t>
  </si>
  <si>
    <t>A költségvetési évet követő három év tervezett bevételi előirányzatai</t>
  </si>
  <si>
    <t>A költségvetési évet követő három év tervezett kiadási előirányzatai</t>
  </si>
  <si>
    <t>finansz.</t>
  </si>
  <si>
    <t>1.oldal 1.</t>
  </si>
  <si>
    <t>1.oldal 2.</t>
  </si>
  <si>
    <t>2.oldal 1.</t>
  </si>
  <si>
    <t>2.oldal 2.</t>
  </si>
  <si>
    <t>3.oldal 1.</t>
  </si>
  <si>
    <t>3.oldal 2.</t>
  </si>
  <si>
    <t>hektár</t>
  </si>
  <si>
    <t>km</t>
  </si>
  <si>
    <t>I.1.e) Üdülőhelyi feladatok támogatása</t>
  </si>
  <si>
    <t>ifa forint</t>
  </si>
  <si>
    <t>ki- és belépők száma</t>
  </si>
  <si>
    <t>Beruházások</t>
  </si>
  <si>
    <t>Felújítások</t>
  </si>
  <si>
    <t>Működési célú  átvett pénzeszközök</t>
  </si>
  <si>
    <t>Finanszírozási  kiadások</t>
  </si>
  <si>
    <t>101144 Szenvedélybetegek közösségi alapellátása (kivéve: alacsonyküszöbű ellátás)</t>
  </si>
  <si>
    <t>BUZITAI ISTVÁN</t>
  </si>
  <si>
    <t>K1109</t>
  </si>
  <si>
    <r>
      <t>Közlekedési költségtérítés -</t>
    </r>
    <r>
      <rPr>
        <b/>
        <sz val="10"/>
        <rFont val="Arial"/>
        <family val="2"/>
      </rPr>
      <t xml:space="preserve"> munkábajárás</t>
    </r>
  </si>
  <si>
    <t>K1110</t>
  </si>
  <si>
    <r>
      <t xml:space="preserve">Egyéb költségtérítések </t>
    </r>
    <r>
      <rPr>
        <b/>
        <sz val="10"/>
        <rFont val="Arial"/>
        <family val="2"/>
      </rPr>
      <t>- lafo költséghez hozzájár.</t>
    </r>
  </si>
  <si>
    <t>K311/4</t>
  </si>
  <si>
    <r>
      <t>Folyóirat-beszerzés</t>
    </r>
    <r>
      <rPr>
        <b/>
        <sz val="10"/>
        <rFont val="Arial"/>
        <family val="2"/>
      </rPr>
      <t xml:space="preserve"> - a tevékenységet segítő és a  napi, rendszeres tájékoztatást szolgáló közlönyök, folyóiratok - egészségügyi folyóiratok, inf.füzetek, egyéb</t>
    </r>
  </si>
  <si>
    <t>K311/9</t>
  </si>
  <si>
    <r>
      <t>Egyéb szakmai anyagbeszerzés</t>
    </r>
    <r>
      <rPr>
        <b/>
        <sz val="10"/>
        <rFont val="Arial"/>
        <family val="2"/>
      </rPr>
      <t xml:space="preserve"> - szakmai eszközök amelyek a tevékenységet legfeljebb 1 évig szolgálják</t>
    </r>
  </si>
  <si>
    <t>K312/2</t>
  </si>
  <si>
    <r>
      <t xml:space="preserve">Irodaszer,nyomtatv.beszerzés </t>
    </r>
    <r>
      <rPr>
        <b/>
        <sz val="10"/>
        <rFont val="Arial"/>
        <family val="2"/>
      </rPr>
      <t>- irodai célt szolgáló anyagok, eü-i és egyéb nyomtatványok, festékpatronok</t>
    </r>
  </si>
  <si>
    <t>K312/5</t>
  </si>
  <si>
    <t>K312/9</t>
  </si>
  <si>
    <r>
      <t>Egyéb üzemelt.anyagbeszerzés</t>
    </r>
    <r>
      <rPr>
        <b/>
        <sz val="10"/>
        <rFont val="Arial"/>
        <family val="2"/>
      </rPr>
      <t xml:space="preserve"> - karbantarási anyagok, tisztítószerek, a mindennapi működéshez szüks. anyagok, eszközök amelyek nem számolhatók el szakmai anyagként</t>
    </r>
  </si>
  <si>
    <t>K321/9</t>
  </si>
  <si>
    <t>K322/1</t>
  </si>
  <si>
    <r>
      <t xml:space="preserve">Nem adatátvit.célú távközlési díjak </t>
    </r>
    <r>
      <rPr>
        <b/>
        <sz val="10"/>
        <rFont val="Arial"/>
        <family val="2"/>
      </rPr>
      <t>- telefondíj vezetékes, mobil</t>
    </r>
  </si>
  <si>
    <t>K331/1</t>
  </si>
  <si>
    <t>Villamosenergia szolg. díjak</t>
  </si>
  <si>
    <t>K331/2</t>
  </si>
  <si>
    <t>Gázenergia-szolgáltatási díjak</t>
  </si>
  <si>
    <t>K331/4</t>
  </si>
  <si>
    <t>K333/2</t>
  </si>
  <si>
    <r>
      <t xml:space="preserve">Egyéb bérleti és lízing díjak </t>
    </r>
    <r>
      <rPr>
        <b/>
        <sz val="10"/>
        <rFont val="Arial"/>
        <family val="2"/>
      </rPr>
      <t>- fénymásolóbérlet</t>
    </r>
  </si>
  <si>
    <t>K334</t>
  </si>
  <si>
    <r>
      <t>Karbantartási, kisjavítási szolgáltatás</t>
    </r>
    <r>
      <rPr>
        <b/>
        <sz val="10"/>
        <rFont val="Arial"/>
        <family val="2"/>
      </rPr>
      <t xml:space="preserve"> -</t>
    </r>
  </si>
  <si>
    <t>K336/1</t>
  </si>
  <si>
    <t>K337/9</t>
  </si>
  <si>
    <r>
      <t xml:space="preserve">Egyéb üzemeltetési szolgáltatások </t>
    </r>
    <r>
      <rPr>
        <b/>
        <sz val="10"/>
        <rFont val="Arial"/>
        <family val="2"/>
      </rPr>
      <t>- szemétdíj, távfel.díj, kéményell.díja, kártevőírtás, munka-tûzvéd.szolg., vesz.hull.árt., ételhulladék elszállítás</t>
    </r>
  </si>
  <si>
    <t>K341/1</t>
  </si>
  <si>
    <t>K351/2</t>
  </si>
  <si>
    <t>K355/9</t>
  </si>
  <si>
    <r>
      <t>Egyéb külünféle dologi kiadások</t>
    </r>
    <r>
      <rPr>
        <b/>
        <sz val="10"/>
        <rFont val="Arial"/>
        <family val="2"/>
      </rPr>
      <t xml:space="preserve"> - késedelmi kamat, behajtási költségátalány, a más rovaton nem szerepeltethető dologi jellegű kiadások</t>
    </r>
  </si>
  <si>
    <t>26.</t>
  </si>
  <si>
    <t>27.</t>
  </si>
  <si>
    <t>28.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</si>
  <si>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</si>
  <si>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</si>
  <si>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</si>
  <si>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</si>
  <si>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</si>
  <si>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</si>
  <si>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</si>
  <si>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</si>
  <si>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</si>
  <si>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C</t>
  </si>
  <si>
    <t>D</t>
  </si>
  <si>
    <t>E</t>
  </si>
  <si>
    <t>B1</t>
  </si>
  <si>
    <t>Működési célú támogatások államháztartáson belülről</t>
  </si>
  <si>
    <t>Önkormányzatok működési támogatásai</t>
  </si>
  <si>
    <t>Egyéb működési támogatások bevételei államháztartáson belülről</t>
  </si>
  <si>
    <t>41.</t>
  </si>
  <si>
    <t>42.</t>
  </si>
  <si>
    <t>43.</t>
  </si>
  <si>
    <t>44.</t>
  </si>
  <si>
    <t>45.</t>
  </si>
  <si>
    <t>B2</t>
  </si>
  <si>
    <t>Felhalmozási célú támogatások államháztartáson belülről</t>
  </si>
  <si>
    <t xml:space="preserve">B3 </t>
  </si>
  <si>
    <t>B4</t>
  </si>
  <si>
    <t>B5</t>
  </si>
  <si>
    <t>B6</t>
  </si>
  <si>
    <t>Működési célú pénzeszköz átvétel</t>
  </si>
  <si>
    <t>B7</t>
  </si>
  <si>
    <t>Felhalmozási célú átvett pénzeszközök</t>
  </si>
  <si>
    <t>B8</t>
  </si>
  <si>
    <t>Finanszírozási bevételek</t>
  </si>
  <si>
    <t>Maradvány igénybevétele</t>
  </si>
  <si>
    <t>K4</t>
  </si>
  <si>
    <t xml:space="preserve">Ellátottak pénzbeli juttatásai </t>
  </si>
  <si>
    <t>K5</t>
  </si>
  <si>
    <t>K8</t>
  </si>
  <si>
    <t xml:space="preserve">Egyéb felhalmozási célú kiadások </t>
  </si>
  <si>
    <t>K9</t>
  </si>
  <si>
    <t xml:space="preserve">Finanszírozási kiadások </t>
  </si>
  <si>
    <t>29.</t>
  </si>
  <si>
    <t>35.</t>
  </si>
  <si>
    <t>40.</t>
  </si>
  <si>
    <t>K1</t>
  </si>
  <si>
    <t>K2</t>
  </si>
  <si>
    <t>Munkaadókat terhelő járulék és szoc.hozzájárulás</t>
  </si>
  <si>
    <t>K3</t>
  </si>
  <si>
    <t>K6</t>
  </si>
  <si>
    <t xml:space="preserve">Egyéb működési célú kiadások </t>
  </si>
  <si>
    <t>K7</t>
  </si>
  <si>
    <t>felújítások</t>
  </si>
  <si>
    <t>46.</t>
  </si>
  <si>
    <t>47.</t>
  </si>
  <si>
    <t>48.</t>
  </si>
  <si>
    <t>49.</t>
  </si>
  <si>
    <t>50.</t>
  </si>
  <si>
    <t>Városellátó  Szervezet</t>
  </si>
  <si>
    <t>Pü.váll.fejl.c.röv.lej.hit.kölcs.felv.</t>
  </si>
  <si>
    <t>KIADÁSOK</t>
  </si>
  <si>
    <t>rovat</t>
  </si>
  <si>
    <t>sorszám</t>
  </si>
  <si>
    <t>B3</t>
  </si>
  <si>
    <t>BEVÉTELEK</t>
  </si>
  <si>
    <t>Telep.önkorm.kulturális felad.támogatása</t>
  </si>
  <si>
    <t>Működ.célú kv-i támog.és kiegészítő támogatás</t>
  </si>
  <si>
    <t>B11</t>
  </si>
  <si>
    <t>B16</t>
  </si>
  <si>
    <t>B111</t>
  </si>
  <si>
    <t>B113</t>
  </si>
  <si>
    <t>B114</t>
  </si>
  <si>
    <t>B115</t>
  </si>
  <si>
    <t>Egyéb fejezeti kezelésű ei.működési c.támog.bev.</t>
  </si>
  <si>
    <t>B16/5</t>
  </si>
  <si>
    <t>B16/6</t>
  </si>
  <si>
    <t>Helyi önk.kv.sz.működési c.támogatás bev.</t>
  </si>
  <si>
    <t xml:space="preserve">KIADÁSOK   </t>
  </si>
  <si>
    <t>ÁH.bel.megelőlegezések visszafizetése</t>
  </si>
  <si>
    <t>57.</t>
  </si>
  <si>
    <t>58.</t>
  </si>
  <si>
    <t>59.</t>
  </si>
  <si>
    <t>ezer forintban</t>
  </si>
  <si>
    <t>működési célú támogatások államháztartáson belülről</t>
  </si>
  <si>
    <t>közhatalmi bevételek</t>
  </si>
  <si>
    <t>működési bevételek</t>
  </si>
  <si>
    <t>ellátottak pénzbeli juttatásai</t>
  </si>
  <si>
    <t>működési bevétel</t>
  </si>
  <si>
    <t>működési kiadás</t>
  </si>
  <si>
    <t xml:space="preserve">összeg                     </t>
  </si>
  <si>
    <t xml:space="preserve">összeg                               </t>
  </si>
  <si>
    <t>felhalmozási célú támogatások államháztartáson belülről</t>
  </si>
  <si>
    <t>beruházások</t>
  </si>
  <si>
    <t>felhalmozási bevételek</t>
  </si>
  <si>
    <t>felhalmozási célú átvett pénzeszközök</t>
  </si>
  <si>
    <t>egyéb felhalmozási célú kiadások</t>
  </si>
  <si>
    <t>felhalmozási bevétel</t>
  </si>
  <si>
    <t>felhalmozási kiadás</t>
  </si>
  <si>
    <t xml:space="preserve">költségvetési bevétel </t>
  </si>
  <si>
    <t>költségvetési kiadás</t>
  </si>
  <si>
    <t>finanszírozási bevétel</t>
  </si>
  <si>
    <t>finanszírozási kiadás</t>
  </si>
  <si>
    <t xml:space="preserve">BEVÉTELEK </t>
  </si>
  <si>
    <t>Egyéb működési célú kiadások részletezése</t>
  </si>
  <si>
    <t xml:space="preserve">K42       </t>
  </si>
  <si>
    <t xml:space="preserve">K4        </t>
  </si>
  <si>
    <t xml:space="preserve">Ellátottak pénzbeli juttatásai          </t>
  </si>
  <si>
    <t>Felhalmozási kiadások részletezése</t>
  </si>
  <si>
    <t xml:space="preserve"> - Kisértékű tárgyi eszk.vás. (VSZ)</t>
  </si>
  <si>
    <t xml:space="preserve"> - Kisértékű tárgyi eszk.vás. (ESZESZ)</t>
  </si>
  <si>
    <t xml:space="preserve"> - Kisértékű tárgyi eszk.vás. (Könyvtár)</t>
  </si>
  <si>
    <t>Közterület rendjének fenntartása (közterület felügyelő)</t>
  </si>
  <si>
    <t>Működési célúátvett pénzeszközök</t>
  </si>
  <si>
    <t>Battonyai Városi Művelődési Központ és Könyvtár előirányzat felhasználási terv</t>
  </si>
  <si>
    <t>B3 közhat. bev.</t>
  </si>
  <si>
    <t>B2 felhalm. támog.</t>
  </si>
  <si>
    <t>K1 szem. jutt</t>
  </si>
  <si>
    <t>Az önkormányzati vagyonnal való gazdálk.kapcs.fel.(üzletbér, tart.föld)</t>
  </si>
  <si>
    <t>Biztos Kezdet Gyerekház</t>
  </si>
  <si>
    <t>Család- és gyermekjóléti szolgálat</t>
  </si>
  <si>
    <t xml:space="preserve"> - Kisértékű tárgyi eszk.vás. (PH)</t>
  </si>
  <si>
    <t>Mentesség</t>
  </si>
  <si>
    <t>Elengedés</t>
  </si>
  <si>
    <t>Építményadó</t>
  </si>
  <si>
    <t>Telekadó</t>
  </si>
  <si>
    <t>Magánszemélyek kommunális adója</t>
  </si>
  <si>
    <t>Gépjárműadó</t>
  </si>
  <si>
    <t>Iparűzési adó</t>
  </si>
  <si>
    <t>Termőföld beérbeadás. Jövedelemadó</t>
  </si>
  <si>
    <t>Késedelmi pótlék</t>
  </si>
  <si>
    <t>Bírság</t>
  </si>
  <si>
    <t>Egyéb bevétel</t>
  </si>
  <si>
    <t>Kedvezmény (50%)</t>
  </si>
  <si>
    <t xml:space="preserve">Egyéb szociális pénzbeli és természetbeni ellátás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</si>
  <si>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</si>
  <si>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Közvetített szolgáltatások ellenértéke</t>
  </si>
  <si>
    <t xml:space="preserve">Kamatbevételek és más nyereségjellegű bevételek </t>
  </si>
  <si>
    <r>
      <t xml:space="preserve">Készletértékesítés ellenértéke </t>
    </r>
    <r>
      <rPr>
        <b/>
        <i/>
        <sz val="10"/>
        <rFont val="Arial"/>
        <family val="2"/>
      </rPr>
      <t>- malac, mezőgazdasági termények, vállalkozási tevékenység bevétele, egyéb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</si>
  <si>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 - piaci helypénz, síhelymegváltás bevétele, többéves hátralékok megtérülése, egyéb</t>
    </r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</si>
  <si>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továbbszámlázott rezsiktg-ek bev.</t>
    </r>
  </si>
  <si>
    <r>
      <t>Tulajdonosi bevételek</t>
    </r>
    <r>
      <rPr>
        <b/>
        <i/>
        <sz val="10"/>
        <rFont val="Arial"/>
        <family val="2"/>
      </rPr>
      <t xml:space="preserve"> - lakbér, üzletbér, önkormányzati földek bérbeadásából származó bevétel</t>
    </r>
  </si>
  <si>
    <r>
      <t xml:space="preserve">Ellátási díjak </t>
    </r>
    <r>
      <rPr>
        <b/>
        <i/>
        <sz val="10"/>
        <rFont val="Arial"/>
        <family val="2"/>
      </rPr>
      <t>- étkezési díjak bevétele</t>
    </r>
  </si>
  <si>
    <r>
      <t xml:space="preserve">Egyéb működési bevételek </t>
    </r>
    <r>
      <rPr>
        <b/>
        <i/>
        <sz val="10"/>
        <rFont val="Arial"/>
        <family val="2"/>
      </rPr>
      <t>- behajtott követelések utáni késedelmi kamat</t>
    </r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</si>
  <si>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orvosok részére továbbszámlázott rezsiköltségek és egyéb költségek</t>
    </r>
  </si>
  <si>
    <r>
      <t xml:space="preserve">Szolgáltatások ellenértéke </t>
    </r>
    <r>
      <rPr>
        <b/>
        <i/>
        <sz val="10"/>
        <rFont val="Arial"/>
        <family val="2"/>
      </rPr>
      <t xml:space="preserve">  - terembérleti díj, egyéb</t>
    </r>
  </si>
  <si>
    <r>
      <t xml:space="preserve">Ellátási díjak </t>
    </r>
    <r>
      <rPr>
        <b/>
        <i/>
        <sz val="10"/>
        <rFont val="Arial"/>
        <family val="2"/>
      </rPr>
      <t>- szoc. étkezési díjak bevétele</t>
    </r>
  </si>
  <si>
    <t>Általános forgalmi adó(ÁFA) visszatérít.</t>
  </si>
  <si>
    <r>
      <t>Egyéb működési bevételek</t>
    </r>
    <r>
      <rPr>
        <b/>
        <i/>
        <sz val="10"/>
        <rFont val="Arial"/>
        <family val="2"/>
      </rPr>
      <t xml:space="preserve"> - könyvtári, művelődési, múzeumi feladatokkal kapcsolatos bevételek</t>
    </r>
  </si>
  <si>
    <t xml:space="preserve">Készletértékesítés ellenértéke </t>
  </si>
  <si>
    <r>
      <t xml:space="preserve">Közvetített szolgáltatások ellenértéke </t>
    </r>
    <r>
      <rPr>
        <b/>
        <i/>
        <sz val="10"/>
        <rFont val="Arial"/>
        <family val="2"/>
      </rPr>
      <t xml:space="preserve"> - vodafone számlák</t>
    </r>
  </si>
  <si>
    <t xml:space="preserve"> - Önkormányzati intézmények tetőfelújítására</t>
  </si>
  <si>
    <r>
      <t xml:space="preserve"> - megvalósíthatósági tanulmány készítése a </t>
    </r>
    <r>
      <rPr>
        <b/>
        <i/>
        <sz val="11"/>
        <rFont val="Arial"/>
        <family val="2"/>
      </rPr>
      <t>Fő u. vasúton túli szakaszára járda építéshez</t>
    </r>
  </si>
  <si>
    <t xml:space="preserve">                    I.1.ba) A zöldterület-gazdálkodással kapcsolatos feladatok ellátásának támogatása</t>
  </si>
  <si>
    <t xml:space="preserve">                    I.1.bb) Közvilágítás fenntartásának támogatása</t>
  </si>
  <si>
    <t xml:space="preserve">                    I.1.bc) Köztemető fenntartással kapcsolatos feladatok támogatása</t>
  </si>
  <si>
    <t xml:space="preserve">                    I.1.bd) Közutak fenntartásának támogatása</t>
  </si>
  <si>
    <t xml:space="preserve">          I.1.a) Önkormányzati hivatal működésének támogatása - elismert hivatali létszám alapján</t>
  </si>
  <si>
    <t xml:space="preserve">          I.1.b) Település-üzemeltetéshez kapcsolódó feladatellátás támogatása összesen</t>
  </si>
  <si>
    <t xml:space="preserve">          I.1.c) Egyéb önkormányzati feladatok támogatása - beszámítás után </t>
  </si>
  <si>
    <t xml:space="preserve">          I.1.d) Lakott külterülettel kapcsolatos feladatok támogatása</t>
  </si>
  <si>
    <t xml:space="preserve">          I.1.e) Üdülőhelyi feladatok támogatása</t>
  </si>
  <si>
    <t xml:space="preserve">          III.3.a) Család- és gyermekjóléti szolgálat</t>
  </si>
  <si>
    <t xml:space="preserve">          III.3.c) Szociális étkeztetés</t>
  </si>
  <si>
    <t xml:space="preserve">          III.3.da) Házi segítségnyújtás - szociális segítés</t>
  </si>
  <si>
    <t xml:space="preserve">          III.3.db (1) Házi segítségnyújtás - személyi gondozás</t>
  </si>
  <si>
    <t xml:space="preserve">          III.3.f) Időskorúak nappali intézményi ellátása</t>
  </si>
  <si>
    <t xml:space="preserve">          III.3.g) Fogyatékos és demens személyek nappali intézményi ellátása</t>
  </si>
  <si>
    <t xml:space="preserve">          III.3.m) Közösségi alapellátások</t>
  </si>
  <si>
    <t xml:space="preserve">          III.5.a) Az intézményi gyermekétkeztetés kapcsán az étkeztetési feladatot ellátók után járó bértámogatás</t>
  </si>
  <si>
    <t xml:space="preserve">          III.5.b)  Az intézményi gyermekétkeztetés üzemeltetési támogatása</t>
  </si>
  <si>
    <t xml:space="preserve">          III.5.c) A rászoruló gyermekek intézményen kívüli szünidei étkeztetésének támogatása</t>
  </si>
  <si>
    <t xml:space="preserve">          IV.1.d) Települési önkormányzatok nyilvános könyvtári és közművelődési feladatainak támogatása</t>
  </si>
  <si>
    <t>III.2. A települési önkormányzatok szociális feladatainak egyéb támogatása</t>
  </si>
  <si>
    <t>III.3. Egyes szociális és gyermekjóléti feladatok támogatása</t>
  </si>
  <si>
    <t>III.5. Gyermekétkeztetés támogatása</t>
  </si>
  <si>
    <t>I.1. A települési önkormányzatok működésének támogatása</t>
  </si>
  <si>
    <t>I.5. Előző évről áthúzódó bérkompenzáció támogatása</t>
  </si>
  <si>
    <t>I.6. Polgármesteri illetmény támogatása</t>
  </si>
  <si>
    <t>IV.1. Könyvtári, közművelődési és múzeumi feladatok támogatása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</si>
  <si>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</si>
  <si>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</si>
  <si>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</si>
  <si>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</si>
  <si>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</si>
  <si>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</si>
  <si>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</si>
  <si>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</si>
  <si>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</si>
  <si>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</si>
  <si>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</si>
  <si>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</si>
  <si>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</si>
  <si>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</si>
  <si>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</si>
  <si>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</si>
  <si>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</si>
  <si>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</si>
  <si>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</si>
  <si>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</si>
  <si>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</si>
  <si>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</si>
  <si>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5.oldal</t>
  </si>
  <si>
    <t>2018. évi engedélyezett létszámkeret</t>
  </si>
  <si>
    <t xml:space="preserve">          I.3. Határátkelőhelyek fenntartásának támogatása</t>
  </si>
  <si>
    <t>III.3.db Házi segítségnyújtás - személyi gondozás</t>
  </si>
  <si>
    <t>2021. évi előirányzat</t>
  </si>
  <si>
    <t>önk-i kieg.</t>
  </si>
  <si>
    <t>polgármester</t>
  </si>
  <si>
    <t>alpolgármester</t>
  </si>
  <si>
    <t>képviselők, bizottsági tagok</t>
  </si>
  <si>
    <t>KÖZMUNKA</t>
  </si>
  <si>
    <t>Településüzemeltetés (013360 korm.funkc.)</t>
  </si>
  <si>
    <t>(konyha )- 066020 korm.funkció</t>
  </si>
  <si>
    <t>MEZŐŐR</t>
  </si>
  <si>
    <t>Gyermekvédelmi pénzbeli és természetbeni ellátás - ERZSÉBET utalvány</t>
  </si>
  <si>
    <t>STRAND</t>
  </si>
  <si>
    <t>Társulások műk-i támogatása</t>
  </si>
  <si>
    <t>Bursa Hungarica</t>
  </si>
  <si>
    <t>Szponzori szerződés - Barátság Sportegyesület</t>
  </si>
  <si>
    <t>vállalkozási tevékenység</t>
  </si>
  <si>
    <t>műk-i kiadások</t>
  </si>
  <si>
    <t>B1      műk-i támog.</t>
  </si>
  <si>
    <t>K2 járulék</t>
  </si>
  <si>
    <t>2018.évi EREDETI előirányzat</t>
  </si>
  <si>
    <t xml:space="preserve"> - kulturális illetménypótlék </t>
  </si>
  <si>
    <t xml:space="preserve"> - ebből vállalkozási tevékenység maradványa</t>
  </si>
  <si>
    <r>
      <t xml:space="preserve"> - KÖFOP-1.2.1-VEKOP-16-2017-00661 Battonya Város Önkormányzata </t>
    </r>
    <r>
      <rPr>
        <b/>
        <sz val="10"/>
        <rFont val="Arial"/>
        <family val="2"/>
      </rPr>
      <t>ASP</t>
    </r>
    <r>
      <rPr>
        <sz val="10"/>
        <rFont val="Arial"/>
        <family val="2"/>
      </rPr>
      <t xml:space="preserve"> KÖZPONTHOZ VALÓ CSATLAKOZÁSA</t>
    </r>
  </si>
  <si>
    <t>2018. évi REHAB-os fogl.</t>
  </si>
  <si>
    <r>
      <t>ÁH-on belüli megelőlegezések -</t>
    </r>
    <r>
      <rPr>
        <b/>
        <sz val="11"/>
        <rFont val="Arial"/>
        <family val="2"/>
      </rPr>
      <t xml:space="preserve"> következő évi előleg </t>
    </r>
  </si>
  <si>
    <t>Helyi közbiztonság javítása érdekében nyújtott tám. - Polgárőrség</t>
  </si>
  <si>
    <t xml:space="preserve"> - KEHOP-2.2.2-15-2015-00008 pályázat - Battonya Város szennyvízelvezetésének és tisztításának bővítése, korszerűsítése</t>
  </si>
  <si>
    <t xml:space="preserve"> - TOP-2.1.3-15-BS1-2016-0000 - Települési környezetvédelmi infrastruktúra fejlesztések - Dózsa u. csatornázás</t>
  </si>
  <si>
    <t>TOP-4.2.1-15-BS1-2016-0002 Szociális alapszolgáltatások infrastruktúrájának bővítése, fejlesztése - ÖNO felújítása</t>
  </si>
  <si>
    <t>TOP-1.4.1-15-BS1-2016-0002 - A foglalkoztatás és az életminőség javítása családbarát, munkába állást segítő intézmények, közszolgáltatások fejlesztésével - Bölcsöde pályázat</t>
  </si>
  <si>
    <t>TOP-5.1.2-15-BS1-2016-00008 – Helyi foglalkoztatási együttműködés kialakítása a Mezőkovácsházi járásban (konzorcium)</t>
  </si>
  <si>
    <t>TOP-1.1.3-15 Helyi gazdaságfejlesztés - Piac felújítás</t>
  </si>
  <si>
    <t>TOP-5.2.1-15-BS1-2016-0002 A társadalmi együttműködés erősítését szolgáló helyi szintű komplex programok - "Egységben a jövő"  ESZESZ pályázat</t>
  </si>
  <si>
    <t>TOP-2.1.2-15-BS1-2016-0001 - Zöld város kialakítása</t>
  </si>
  <si>
    <t>4.oldal 1.</t>
  </si>
  <si>
    <t>4.oldal 2.</t>
  </si>
  <si>
    <t>153.</t>
  </si>
  <si>
    <t>154.</t>
  </si>
  <si>
    <t xml:space="preserve"> - ASP kiegészítő támogatás</t>
  </si>
  <si>
    <t xml:space="preserve"> - KAB-ELT pályázat</t>
  </si>
  <si>
    <t>B16/31</t>
  </si>
  <si>
    <t>Fejezeti kezelésű EU-s programok működési c.támogatás bev.</t>
  </si>
  <si>
    <t xml:space="preserve"> - EFOP 3.9.2.</t>
  </si>
  <si>
    <t xml:space="preserve"> - EFOP 1.5.3</t>
  </si>
  <si>
    <t xml:space="preserve"> - 2017.évi gázolajtámogatás</t>
  </si>
  <si>
    <t xml:space="preserve"> - Gyerekház fejlesztési támogatás</t>
  </si>
  <si>
    <t xml:space="preserve">Kiszámlázott általános forgalmi adó </t>
  </si>
  <si>
    <t>Egyéb működési bevételek</t>
  </si>
  <si>
    <t>Biztosító által fizetett kártérítés</t>
  </si>
  <si>
    <t xml:space="preserve"> - EFOP - 3.9.2.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</si>
  <si>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</si>
  <si>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</si>
  <si>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</si>
  <si>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</si>
  <si>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</si>
  <si>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</si>
  <si>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</si>
  <si>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</si>
  <si>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</si>
  <si>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</si>
  <si>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</si>
  <si>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</si>
  <si>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</si>
  <si>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</si>
  <si>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</si>
  <si>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</si>
  <si>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</si>
  <si>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</si>
  <si>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</si>
  <si>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</si>
  <si>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</si>
  <si>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</si>
  <si>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</si>
  <si>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</si>
  <si>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</si>
  <si>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</si>
  <si>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</si>
  <si>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</si>
  <si>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</si>
  <si>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</si>
  <si>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</si>
  <si>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</si>
  <si>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</si>
  <si>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</si>
  <si>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</si>
  <si>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</si>
  <si>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</si>
  <si>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</si>
  <si>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</si>
  <si>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</si>
  <si>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</si>
  <si>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r>
      <rPr>
        <sz val="12"/>
        <rFont val="Arial"/>
        <family val="2"/>
      </rPr>
      <t>Az Áht. 4/A. § (2) bekezdése szerinti költségvetési egyenleg eredménye</t>
    </r>
    <r>
      <rPr>
        <b/>
        <sz val="12"/>
        <rFont val="Arial"/>
        <family val="2"/>
      </rPr>
      <t xml:space="preserve"> költségvetési hiány</t>
    </r>
  </si>
  <si>
    <t>finanszírozási egyenleg (többlet)</t>
  </si>
  <si>
    <r>
      <t xml:space="preserve">Sportpálya infrastruktúra-fejlesztési támogatás </t>
    </r>
    <r>
      <rPr>
        <b/>
        <sz val="10"/>
        <color indexed="10"/>
        <rFont val="Arial"/>
        <family val="2"/>
      </rPr>
      <t>ÖNERŐ kell!!!! 3530 eFt</t>
    </r>
  </si>
  <si>
    <t>EFOP - 3.9.2.</t>
  </si>
  <si>
    <t>EFOP - 1.5.3.</t>
  </si>
  <si>
    <t xml:space="preserve"> - 2018. évi rendkívüli önkormányzati támogatás - ÖNHIKI</t>
  </si>
  <si>
    <t>B116</t>
  </si>
  <si>
    <t>Elszámolásból származó bevételek</t>
  </si>
  <si>
    <t xml:space="preserve"> - előző évi támogatás elszámolásából visszajáró összeg</t>
  </si>
  <si>
    <t xml:space="preserve"> - ÖNHIKI</t>
  </si>
  <si>
    <r>
      <t xml:space="preserve"> - TOP-3.2.1-16-BS1-2017-00048 Önkormányzati épületek energetikai korszerűsítése - </t>
    </r>
    <r>
      <rPr>
        <b/>
        <i/>
        <sz val="11"/>
        <rFont val="Arial"/>
        <family val="2"/>
      </rPr>
      <t>Sporttelep energetikai felújítása</t>
    </r>
  </si>
  <si>
    <t>Nyári diákmunka program</t>
  </si>
  <si>
    <t>TOP-3.2.1-16-BS1-2017-00048 Sporttelep energetikai korszerűsítése</t>
  </si>
  <si>
    <t>Saját bevételek 50%-a</t>
  </si>
  <si>
    <t xml:space="preserve">B1 </t>
  </si>
  <si>
    <t xml:space="preserve">B4 </t>
  </si>
  <si>
    <t xml:space="preserve">B5 </t>
  </si>
  <si>
    <t xml:space="preserve">B6 </t>
  </si>
  <si>
    <t xml:space="preserve">B7 </t>
  </si>
  <si>
    <t xml:space="preserve">K1 </t>
  </si>
  <si>
    <t xml:space="preserve">K2 </t>
  </si>
  <si>
    <t xml:space="preserve">K3 </t>
  </si>
  <si>
    <t xml:space="preserve">K4 </t>
  </si>
  <si>
    <t xml:space="preserve">K5 </t>
  </si>
  <si>
    <t xml:space="preserve">K6 </t>
  </si>
  <si>
    <t xml:space="preserve">K7 </t>
  </si>
  <si>
    <t xml:space="preserve">K8 </t>
  </si>
  <si>
    <t xml:space="preserve">K9 </t>
  </si>
  <si>
    <t>Közvetett támogatás összesen</t>
  </si>
  <si>
    <t>Adók összesen:</t>
  </si>
  <si>
    <t>0</t>
  </si>
  <si>
    <t>Ellátottak térítési méltányosssági díjának, kártérítésének elengedése</t>
  </si>
  <si>
    <t>Helyiségek, eszközök hasznosításából származó bevételből nyújtott kedvezmények, mentességek</t>
  </si>
  <si>
    <t>Egyéb nyújtott kedvezmény vagy kölcsön elengedése</t>
  </si>
  <si>
    <t>KÖZVETETT TÁMOGATÁSOK ÖSSZESEN:</t>
  </si>
  <si>
    <t>2019.évi tervezett előirányzat</t>
  </si>
  <si>
    <t>2020.évi tervezett előirányzat</t>
  </si>
  <si>
    <t>2021.évi tervezett előirányzat</t>
  </si>
  <si>
    <t>ebből helyi adók (saját bevételek meghatározásához)</t>
  </si>
  <si>
    <t>ebből díjak, pótlékok, bírságok, települési adók (saját bevételek meghatározásához)</t>
  </si>
  <si>
    <t>ebből tulajdonosi bevételek (saját bevételek meghatározásához)</t>
  </si>
  <si>
    <t>ebből immateriális javak, ingatlanok és egyéb tárgyi eszközök értékesítése (saját bevételek meghatározásához)</t>
  </si>
  <si>
    <t>ebből saját bevételek összesen</t>
  </si>
  <si>
    <t>saját bevételek 50%-a</t>
  </si>
  <si>
    <t>Pü.váll.fejlesztési c.hitel felv.</t>
  </si>
  <si>
    <t>hitel</t>
  </si>
  <si>
    <r>
      <t>VP6-7.2.1-7.4.1.2-16 utak, gréder +</t>
    </r>
    <r>
      <rPr>
        <b/>
        <sz val="11"/>
        <rFont val="Arial"/>
        <family val="2"/>
      </rPr>
      <t>"sikerdíj"</t>
    </r>
  </si>
  <si>
    <r>
      <t>VP6-7.2.1-7.4.1.3-17 konyha +</t>
    </r>
    <r>
      <rPr>
        <b/>
        <sz val="11"/>
        <rFont val="Arial"/>
        <family val="2"/>
      </rPr>
      <t>"sikerdíj"</t>
    </r>
  </si>
  <si>
    <t xml:space="preserve"> hitelfelvétel </t>
  </si>
  <si>
    <t xml:space="preserve">Több éves kihatású kötelezettségvállalások </t>
  </si>
  <si>
    <t>Fejlesztési hitel törlesztés - tőketörlesztés</t>
  </si>
  <si>
    <t>Kamat, egyéb költség - hiteldíj</t>
  </si>
  <si>
    <t>A tőke- és kamatfizetés negyedévente esedékes. (Tőketörlesztés negyedévente egyenlő részletekben.)</t>
  </si>
  <si>
    <r>
      <rPr>
        <b/>
        <sz val="12"/>
        <rFont val="Times New Roman"/>
        <family val="1"/>
      </rPr>
      <t>Adósságszolgálat</t>
    </r>
    <r>
      <rPr>
        <sz val="12"/>
        <rFont val="Times New Roman"/>
        <family val="1"/>
      </rPr>
      <t xml:space="preserve">                                                                       (változó kamat; azaz 3 havi BUBOR +3% éves kamatmérték mellett)</t>
    </r>
  </si>
  <si>
    <t>ebből hitel</t>
  </si>
  <si>
    <t>ebből hitel összesen</t>
  </si>
  <si>
    <t>2018.évi  előirányzat</t>
  </si>
  <si>
    <t>ebből adósságszolgálat összesen</t>
  </si>
  <si>
    <t>2018.évi előirányzat</t>
  </si>
  <si>
    <t xml:space="preserve"> - téli rezsicsökkentés (12.000Ft) támogatás - 346 háztartás</t>
  </si>
  <si>
    <t xml:space="preserve"> - Erzsébet utalvány gyvt-ben részesülőknek 1.ütem (310*6e+65*6,5e), 2.ütem (298*6e+38*6,5e+12*6e)</t>
  </si>
  <si>
    <r>
      <t xml:space="preserve"> - Választás 2018 -</t>
    </r>
    <r>
      <rPr>
        <b/>
        <sz val="11"/>
        <rFont val="Arial"/>
        <family val="2"/>
      </rPr>
      <t xml:space="preserve"> PH</t>
    </r>
  </si>
  <si>
    <r>
      <t xml:space="preserve"> - EMMI támogatás népzene citera - </t>
    </r>
    <r>
      <rPr>
        <b/>
        <sz val="11"/>
        <rFont val="Arial"/>
        <family val="2"/>
      </rPr>
      <t>KÖNYVTÁR</t>
    </r>
  </si>
  <si>
    <r>
      <t xml:space="preserve"> - "Értékmentés Battonyán" HUNG-2018/5017- Agrárminisztérium támogatása - </t>
    </r>
    <r>
      <rPr>
        <b/>
        <sz val="11"/>
        <rFont val="Arial"/>
        <family val="2"/>
      </rPr>
      <t>KÖNYVTÁR</t>
    </r>
  </si>
  <si>
    <t xml:space="preserve"> - TOP-5.3.1. KOHÉZIÓ „Együtt a közösségért! – helyi identitás és kohézió erősítése </t>
  </si>
  <si>
    <t>Felhalm.c. visszatérítendő kölcs.nyújt. visszatér. - PH</t>
  </si>
  <si>
    <t>B8        köv.évi előleg</t>
  </si>
  <si>
    <t xml:space="preserve">TOP-5.3.1. KOHÉZIÓ „Együtt a közösségért! – helyi identitás és kohézió erősítése </t>
  </si>
  <si>
    <t xml:space="preserve">Battonya Város Önkormányzata 2019. évi költségvetésének bevételi előirányzatai </t>
  </si>
  <si>
    <t>2018. évi EREDETI előirányzat</t>
  </si>
  <si>
    <t>2018.évi MÓDOSÍTOTT előirányzat</t>
  </si>
  <si>
    <r>
      <t xml:space="preserve">2018. évi </t>
    </r>
    <r>
      <rPr>
        <b/>
        <sz val="11"/>
        <rFont val="Arial"/>
        <family val="2"/>
      </rPr>
      <t xml:space="preserve">követelés     </t>
    </r>
  </si>
  <si>
    <t xml:space="preserve"> - településképi arculati kézikönyv</t>
  </si>
  <si>
    <t xml:space="preserve"> - maradvány</t>
  </si>
  <si>
    <t xml:space="preserve"> - szállítókra a maradványokon felül</t>
  </si>
  <si>
    <t xml:space="preserve"> - bérkiegyenlítés PH</t>
  </si>
  <si>
    <t>2018.évi maradvány elszámolásból</t>
  </si>
  <si>
    <t xml:space="preserve">B3113    </t>
  </si>
  <si>
    <t xml:space="preserve">B3414    </t>
  </si>
  <si>
    <t xml:space="preserve">B35121   </t>
  </si>
  <si>
    <t xml:space="preserve">B35421   </t>
  </si>
  <si>
    <t>B3629</t>
  </si>
  <si>
    <t>Korábbi évek megsz.adónem fiz.befoly.bev</t>
  </si>
  <si>
    <t xml:space="preserve">B35521   </t>
  </si>
  <si>
    <t>B3628</t>
  </si>
  <si>
    <t>B3612</t>
  </si>
  <si>
    <t>Önk.megill.helysz.és szabálysért.bírság - PH</t>
  </si>
  <si>
    <r>
      <t xml:space="preserve">Szolgáltatások ellenértéke </t>
    </r>
    <r>
      <rPr>
        <b/>
        <i/>
        <sz val="10"/>
        <rFont val="Arial"/>
        <family val="2"/>
      </rPr>
      <t xml:space="preserve"> -  közterület haszn.díj, terembérleti díj, vodafone, egyéb, meteorológiai állomás adatszolg., többéves hátralékok megtérülése, egyéb</t>
    </r>
    <r>
      <rPr>
        <i/>
        <sz val="10"/>
        <rFont val="Arial"/>
        <family val="2"/>
      </rPr>
      <t xml:space="preserve">,  </t>
    </r>
    <r>
      <rPr>
        <b/>
        <i/>
        <sz val="10"/>
        <rFont val="Arial"/>
        <family val="2"/>
      </rPr>
      <t>Telekom, Battonyai újságban megjelentetés</t>
    </r>
  </si>
  <si>
    <r>
      <t xml:space="preserve">Tulajdonosi bevételek </t>
    </r>
    <r>
      <rPr>
        <b/>
        <i/>
        <sz val="10"/>
        <rFont val="Arial"/>
        <family val="2"/>
      </rPr>
      <t>- vízműbérlet</t>
    </r>
  </si>
  <si>
    <r>
      <t xml:space="preserve">Egyéb működési bevételek </t>
    </r>
    <r>
      <rPr>
        <b/>
        <i/>
        <sz val="10"/>
        <rFont val="Arial"/>
        <family val="2"/>
      </rPr>
      <t>-  köztemetés éven túli visszatérülése, közig.bírság, egyéb</t>
    </r>
  </si>
  <si>
    <r>
      <t>Likv.műk.c.hitelkölcs.felvét.pü.váll. -</t>
    </r>
    <r>
      <rPr>
        <b/>
        <sz val="11"/>
        <rFont val="Arial"/>
        <family val="2"/>
      </rPr>
      <t xml:space="preserve"> folyószámla hitel</t>
    </r>
  </si>
  <si>
    <r>
      <t xml:space="preserve">Pü.váll.fejl.c.röv.lej.hit.kölcs.felv.- </t>
    </r>
    <r>
      <rPr>
        <b/>
        <sz val="11"/>
        <rFont val="Arial"/>
        <family val="2"/>
      </rPr>
      <t>fejlesztési célú hitel 40 mFt + 40 mFt előzetes adatszolghoz 4 pályázatra</t>
    </r>
    <r>
      <rPr>
        <b/>
        <i/>
        <sz val="11"/>
        <rFont val="Arial"/>
        <family val="2"/>
      </rPr>
      <t xml:space="preserve"> (Zöld Város, piac, sport, szennyvíz)</t>
    </r>
  </si>
  <si>
    <t>2019. évi közvetett támogatások</t>
  </si>
  <si>
    <t>2022. évi előirányzat</t>
  </si>
  <si>
    <t xml:space="preserve">Battonya Város Önkormányzata 2019. évi kiemelt bevételi előirányzatai intézményenként </t>
  </si>
  <si>
    <r>
      <t xml:space="preserve">2018. évi </t>
    </r>
    <r>
      <rPr>
        <b/>
        <sz val="11"/>
        <rFont val="Arial"/>
        <family val="2"/>
      </rPr>
      <t xml:space="preserve">követelés    </t>
    </r>
  </si>
  <si>
    <t xml:space="preserve">Battonya Város Önkormányzata 2019. évi  kiemelt kiadási előirányzatai intézményenként </t>
  </si>
  <si>
    <t>Battonya Város Önkormányzata 2019. évi  kiemelt kiadási előirányzatai</t>
  </si>
  <si>
    <r>
      <t xml:space="preserve">2018. évi </t>
    </r>
    <r>
      <rPr>
        <b/>
        <sz val="11"/>
        <rFont val="Arial"/>
        <family val="2"/>
      </rPr>
      <t xml:space="preserve">kötelezettség-vállalás </t>
    </r>
    <r>
      <rPr>
        <sz val="11"/>
        <rFont val="Arial"/>
        <family val="2"/>
      </rPr>
      <t xml:space="preserve"> </t>
    </r>
  </si>
  <si>
    <t>2019. évi engedélyezett létszámkeret</t>
  </si>
  <si>
    <t>MT. Könyv</t>
  </si>
  <si>
    <t>megbízási díjas</t>
  </si>
  <si>
    <t>Battonya Város Önkormányzata 2019. évi költségvetésének kiadási előirányzatai</t>
  </si>
  <si>
    <t>Szociális hozzájárulási adó</t>
  </si>
  <si>
    <t>Táppénz hozzájárulás</t>
  </si>
  <si>
    <t>Rehabilitációs hozzájárulás</t>
  </si>
  <si>
    <t xml:space="preserve"> - önkormányzati feladatok</t>
  </si>
  <si>
    <t xml:space="preserve"> - pályázatok</t>
  </si>
  <si>
    <r>
      <t xml:space="preserve">Egészségügyi hozzájárulás - </t>
    </r>
    <r>
      <rPr>
        <b/>
        <sz val="11"/>
        <rFont val="Arial"/>
        <family val="2"/>
      </rPr>
      <t>repi, cégtelefon, utalvány</t>
    </r>
  </si>
  <si>
    <r>
      <t>Munkáltatót terhel.személyi jövedelemadó -</t>
    </r>
    <r>
      <rPr>
        <b/>
        <sz val="11"/>
        <rFont val="Arial"/>
        <family val="2"/>
      </rPr>
      <t xml:space="preserve"> repi, cégtelefon, utalvány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</si>
  <si>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>gyógyszer, szakkönyv, gyerekkönyv, egyéb, folyóirat, egészségügyi folyóirat, fogászati eszközök, laborba vérvételhez szüks. eszközök, egyéb eü.-i, szoc. szakmai eszközök, irodaszer</t>
    </r>
  </si>
  <si>
    <r>
      <t xml:space="preserve">Szolgáltatási kiadások </t>
    </r>
    <r>
      <rPr>
        <i/>
        <sz val="8"/>
        <rFont val="Arial"/>
        <family val="2"/>
      </rPr>
      <t xml:space="preserve">- közüzemi díjak, bérleti és lízing díjak, karbantartási, kisjavítási szolgáltatások, közvetített szolgáltatások, szakmai tevékenységet segítő szolgáltatások, egyéb szolgáltatások - </t>
    </r>
    <r>
      <rPr>
        <b/>
        <i/>
        <sz val="9"/>
        <rFont val="Arial"/>
        <family val="2"/>
      </rPr>
      <t>áramdíj, gázdíj, vízdíj,  karbantartás, bankszámla</t>
    </r>
  </si>
  <si>
    <r>
      <t>Készletbeszerzés</t>
    </r>
    <r>
      <rPr>
        <i/>
        <sz val="8"/>
        <rFont val="Arial"/>
        <family val="2"/>
      </rPr>
      <t xml:space="preserve"> - szakmai anyagok, üzemeltetési anyagok, áruk beszerzése -</t>
    </r>
    <r>
      <rPr>
        <b/>
        <i/>
        <sz val="9"/>
        <rFont val="Arial"/>
        <family val="2"/>
      </rPr>
      <t xml:space="preserve"> irodaszer, üzemanyag, munkaruha,  karbantartási, üzemeltetési anyag beszerzése, MEZŐŐR lőszer beszerzése, TŰZOLTÓK üzemanyagbeszerzése, VÁLLALKOZÁSI tevékenységhez kapcsolódó kiad</t>
    </r>
  </si>
  <si>
    <r>
      <t>Különféle befizetések és egyéb dologi kiadások</t>
    </r>
    <r>
      <rPr>
        <i/>
        <sz val="8"/>
        <rFont val="Arial"/>
        <family val="2"/>
      </rPr>
      <t xml:space="preserve"> - ÁFA, kamatkiadások, egyéb pénzügyi műveletek kiadásai, egyéb dologi kiadások -</t>
    </r>
    <r>
      <rPr>
        <b/>
        <i/>
        <sz val="9"/>
        <rFont val="Arial"/>
        <family val="2"/>
      </rPr>
      <t xml:space="preserve"> kés.kamat, behajtási ktgátalány, ÁFA, Közmunka Önerő,  Közmunkához kapcsolódó kiadások a 2018. évben várható támogatásokra teki</t>
    </r>
  </si>
  <si>
    <r>
      <t>Helyi önkorm.előző évi elszámolásából származó kiadás -</t>
    </r>
    <r>
      <rPr>
        <b/>
        <i/>
        <sz val="11"/>
        <rFont val="Arial CE"/>
        <family val="0"/>
      </rPr>
      <t xml:space="preserve"> a fel nem használt állami támogatás visszafiz.</t>
    </r>
  </si>
  <si>
    <r>
      <t xml:space="preserve">Helyi önk.kv.sz.működ.c.támogatás - </t>
    </r>
    <r>
      <rPr>
        <b/>
        <i/>
        <sz val="11"/>
        <rFont val="Arial CE"/>
        <family val="0"/>
      </rPr>
      <t>maradványelszámolásból</t>
    </r>
  </si>
  <si>
    <t xml:space="preserve">Önkormányzatok működ.c.támogatása - </t>
  </si>
  <si>
    <t xml:space="preserve"> - Balatonfüredi nyaraló, 2019. évi hozzájár.  - Mezőkovácsházi Polgármesteri Hivatal  </t>
  </si>
  <si>
    <t xml:space="preserve"> - Tám.szolg.fogyatékos szem.részére 2019. évi hozzájár. - Mezőkovácsházi Polgármesteri Hivatal </t>
  </si>
  <si>
    <t xml:space="preserve"> - Orvosi ügyelet (hátralék 4.244.292 + 2019. évi 6004*80=480.320 *12 = 5.763.840) - Mezőkovácsházi Polgármesteri Hivatal -</t>
  </si>
  <si>
    <r>
      <t xml:space="preserve"> - </t>
    </r>
    <r>
      <rPr>
        <b/>
        <sz val="10"/>
        <rFont val="Arial CE"/>
        <family val="0"/>
      </rPr>
      <t xml:space="preserve">Dél-Békési Kistérség Többcélú Társulás - Mezőkovácsháza </t>
    </r>
    <r>
      <rPr>
        <b/>
        <i/>
        <sz val="10"/>
        <rFont val="Arial CE"/>
        <family val="0"/>
      </rPr>
      <t>(hátralék 1.405.695Ft + 2019.évi tagdíj 468.565*4=1.874.260Ft)</t>
    </r>
  </si>
  <si>
    <t xml:space="preserve"> - Dombegyház és Térsége Ivóvízminőségj.</t>
  </si>
  <si>
    <t xml:space="preserve"> - DAREH Önk.Társulás tagdíj  - (hátralék 402.720Ft de ez dologi között van, 2019.évi 402.720,- Ft)</t>
  </si>
  <si>
    <t xml:space="preserve"> - Belső ellenőrzés díja</t>
  </si>
  <si>
    <t xml:space="preserve">Tartalékok előirányzata - céltartalék -   pályázati önerő </t>
  </si>
  <si>
    <r>
      <t>Bursa Hungarica</t>
    </r>
    <r>
      <rPr>
        <sz val="11"/>
        <rFont val="Arial"/>
        <family val="2"/>
      </rPr>
      <t xml:space="preserve"> Felsőoktatási Önkormányzati </t>
    </r>
    <r>
      <rPr>
        <b/>
        <sz val="11"/>
        <rFont val="Arial"/>
        <family val="2"/>
      </rPr>
      <t>Ösztöndíj 3 fő 10 hónap 5.000,- Ft/fő/hó</t>
    </r>
  </si>
  <si>
    <r>
      <t>Kp.ktg.szervek -</t>
    </r>
    <r>
      <rPr>
        <b/>
        <i/>
        <sz val="11"/>
        <rFont val="Arial"/>
        <family val="2"/>
      </rPr>
      <t xml:space="preserve"> választás átlagbér megtérítés Bíróság</t>
    </r>
  </si>
  <si>
    <r>
      <t xml:space="preserve">Egyháznak átadott működési célú támogatások államháztartáson kívülre - </t>
    </r>
    <r>
      <rPr>
        <b/>
        <i/>
        <sz val="11"/>
        <rFont val="Arial"/>
        <family val="2"/>
      </rPr>
      <t>választás átlagbér megtérítés Gimnázium</t>
    </r>
  </si>
  <si>
    <r>
      <rPr>
        <b/>
        <sz val="11"/>
        <rFont val="Arial"/>
        <family val="2"/>
      </rPr>
      <t>Arany János Tehetséggondozó Program</t>
    </r>
    <r>
      <rPr>
        <sz val="11"/>
        <rFont val="Arial"/>
        <family val="2"/>
      </rPr>
      <t xml:space="preserve"> -</t>
    </r>
    <r>
      <rPr>
        <b/>
        <i/>
        <sz val="11"/>
        <rFont val="Arial"/>
        <family val="2"/>
      </rPr>
      <t xml:space="preserve"> 1 fő delegált diák</t>
    </r>
    <r>
      <rPr>
        <sz val="11"/>
        <rFont val="Arial"/>
        <family val="2"/>
      </rPr>
      <t xml:space="preserve"> (számára max. 5 tanévre, tanévenként 10 hónapra</t>
    </r>
    <r>
      <rPr>
        <b/>
        <i/>
        <sz val="11"/>
        <rFont val="Arial"/>
        <family val="2"/>
      </rPr>
      <t xml:space="preserve"> 5.000Ft/hó ösztöndíj</t>
    </r>
    <r>
      <rPr>
        <sz val="11"/>
        <rFont val="Arial"/>
        <family val="2"/>
      </rPr>
      <t xml:space="preserve">) a </t>
    </r>
    <r>
      <rPr>
        <b/>
        <i/>
        <sz val="11"/>
        <rFont val="Arial"/>
        <family val="2"/>
      </rPr>
      <t xml:space="preserve">186/2018.(XII.05.) Kt.határozat alapján - </t>
    </r>
    <r>
      <rPr>
        <i/>
        <sz val="11"/>
        <rFont val="Arial"/>
        <family val="2"/>
      </rPr>
      <t>2019. évi költségvetésre vonatkozóan</t>
    </r>
  </si>
  <si>
    <t xml:space="preserve"> - egyéb gép, berendezés vásárlás</t>
  </si>
  <si>
    <t xml:space="preserve"> - informatikai gép, berendezés vásárlás</t>
  </si>
  <si>
    <t xml:space="preserve"> - Kisértékű tárgyi eszk.vás.</t>
  </si>
  <si>
    <r>
      <t xml:space="preserve"> - KÖZMUNKA tárgyi eszközök vásárlására - </t>
    </r>
    <r>
      <rPr>
        <b/>
        <i/>
        <sz val="11"/>
        <rFont val="Arial"/>
        <family val="2"/>
      </rPr>
      <t>ÖNERŐ</t>
    </r>
    <r>
      <rPr>
        <i/>
        <sz val="11"/>
        <rFont val="Arial"/>
        <family val="2"/>
      </rPr>
      <t>, autó vásárlás</t>
    </r>
  </si>
  <si>
    <r>
      <t xml:space="preserve"> -</t>
    </r>
    <r>
      <rPr>
        <b/>
        <i/>
        <sz val="11"/>
        <rFont val="Arial"/>
        <family val="2"/>
      </rPr>
      <t>Vörösmarty - Kossuth u. kereszteződésétől a "Tájházig vezető betonjárda kiépítés várható költségei</t>
    </r>
    <r>
      <rPr>
        <i/>
        <sz val="11"/>
        <rFont val="Arial"/>
        <family val="2"/>
      </rPr>
      <t xml:space="preserve"> (145/2018.(IX.27.) Kt.Határozat alapján</t>
    </r>
  </si>
  <si>
    <t xml:space="preserve"> - egyéb Pályázatoknál jelentkező költségnövekmény, önerő</t>
  </si>
  <si>
    <t xml:space="preserve"> - előzetes adatszolgáltatáshoz 40 millió Ft fejlesztési hitel igény +40 mFt előzetes adatszolghoz 4 pályázatra (Zöld Város, piac, sport, szennyvíz)</t>
  </si>
  <si>
    <t xml:space="preserve"> - TOP-4.2.1-15-BS1-2016-0002 Szociális alapszolgáltatások infrastruktúrájának bővítése, fejlesztése - ÖNO felújítása</t>
  </si>
  <si>
    <r>
      <t xml:space="preserve"> - </t>
    </r>
    <r>
      <rPr>
        <sz val="11"/>
        <rFont val="Arial"/>
        <family val="2"/>
      </rPr>
      <t>Felhalmozási célú visszatér.támog</t>
    </r>
    <r>
      <rPr>
        <i/>
        <sz val="11"/>
        <rFont val="Arial"/>
        <family val="2"/>
      </rPr>
      <t xml:space="preserve">. - </t>
    </r>
    <r>
      <rPr>
        <b/>
        <i/>
        <sz val="11"/>
        <rFont val="Arial"/>
        <family val="2"/>
      </rPr>
      <t xml:space="preserve">lakhatási hitel </t>
    </r>
  </si>
  <si>
    <r>
      <t xml:space="preserve">Helyi önk.kv.sz.felh.c.támogatás </t>
    </r>
    <r>
      <rPr>
        <b/>
        <i/>
        <sz val="10"/>
        <color indexed="8"/>
        <rFont val="Arial"/>
        <family val="2"/>
      </rPr>
      <t xml:space="preserve">-előző évi maradvány elszámolás - Közművelődési érdekeltségnövelő támogatás </t>
    </r>
  </si>
  <si>
    <r>
      <t xml:space="preserve">Likvidit.célú működ.hit.kölcs.törl.pü.vá </t>
    </r>
    <r>
      <rPr>
        <b/>
        <sz val="11"/>
        <rFont val="Arial"/>
        <family val="2"/>
      </rPr>
      <t>(folyószámla hitel)</t>
    </r>
  </si>
  <si>
    <r>
      <t xml:space="preserve">Pü.váll.szárm.fejl.röv.lej.hit.kölcs.tör </t>
    </r>
    <r>
      <rPr>
        <b/>
        <sz val="11"/>
        <rFont val="Arial"/>
        <family val="2"/>
      </rPr>
      <t>(pályázathoz kapcs. támog. Fejlesztési  hitel)</t>
    </r>
  </si>
  <si>
    <r>
      <t xml:space="preserve">Önk.többs.tul.nem pü.váll.műk.c.támogat. - </t>
    </r>
    <r>
      <rPr>
        <b/>
        <sz val="11"/>
        <rFont val="Arial"/>
        <family val="2"/>
      </rPr>
      <t xml:space="preserve">Pannon Holt-tenger Kft. </t>
    </r>
  </si>
  <si>
    <t>Háziorvosi praxisok támogatása</t>
  </si>
  <si>
    <t>Háziorvosi praxisok támogatása KT hat. alapján</t>
  </si>
  <si>
    <t>2019. évi felhalmozási bevételek és felhalmozási kiadások bemutatása mérlegszerűen</t>
  </si>
  <si>
    <t>Magyarország 2019. évi központi költségvetéséről szóló 2018. évi L. törvény   2. melléklete szerinti</t>
  </si>
  <si>
    <t>Battonya Város Önkormányzatára vonatkozó 2019. évi állami támogatás</t>
  </si>
  <si>
    <t>2. melléklet a Magyarország 2019. évi központi költségvetéséről szóló 2018. évi L. törvényhez</t>
  </si>
  <si>
    <t>2019. évi részösszeg</t>
  </si>
  <si>
    <t>2019. évi támogatás összesen</t>
  </si>
  <si>
    <t xml:space="preserve">          I.5. A 2018. évről áthúzódó bérkompenzáció támogatása</t>
  </si>
  <si>
    <t>2019.</t>
  </si>
  <si>
    <t>Battonya Város Önkormányzata 2019. évi költségvetési mérlege</t>
  </si>
  <si>
    <t xml:space="preserve"> 2019. évi költségvetés</t>
  </si>
  <si>
    <t>2019-ben összevont szociális ágazati pótlék támogatása</t>
  </si>
  <si>
    <t>K11079</t>
  </si>
  <si>
    <t>K11011</t>
  </si>
  <si>
    <t>K11019</t>
  </si>
  <si>
    <t>K1221</t>
  </si>
  <si>
    <t>Egészségügyi hozzájárulás -</t>
  </si>
  <si>
    <r>
      <t>Egyéb béren kívüli juttatások -</t>
    </r>
    <r>
      <rPr>
        <b/>
        <sz val="10"/>
        <rFont val="Arial"/>
        <family val="2"/>
      </rPr>
      <t xml:space="preserve"> ajándékutalvány </t>
    </r>
    <r>
      <rPr>
        <sz val="10"/>
        <rFont val="Arial"/>
        <family val="2"/>
      </rPr>
      <t>(14.900Ft/fő)</t>
    </r>
  </si>
  <si>
    <t>Munkáltatót terhel.személyi jövedelemadó -</t>
  </si>
  <si>
    <t>K21</t>
  </si>
  <si>
    <t>K23</t>
  </si>
  <si>
    <t>K27</t>
  </si>
  <si>
    <t>Fenntartói finanszírozás</t>
  </si>
  <si>
    <t xml:space="preserve"> Saját bevétel és adósságot keletkeztető ügyletből eredő fizetési kötelezettség  a tárgyévet követő három évben</t>
  </si>
  <si>
    <t xml:space="preserve">2019. </t>
  </si>
  <si>
    <t>2020.</t>
  </si>
  <si>
    <t xml:space="preserve">2021. </t>
  </si>
  <si>
    <t xml:space="preserve"> Helyi adók </t>
  </si>
  <si>
    <t xml:space="preserve">Tulajdonosi bevételek </t>
  </si>
  <si>
    <t xml:space="preserve">Díjak, pótlékok, bírságok, települési adók </t>
  </si>
  <si>
    <t>Immateriális javak, ingatlanok és egyéb tárgyi eszközök értékesítése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</si>
  <si>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</si>
  <si>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</si>
  <si>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</si>
  <si>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 xml:space="preserve">Saját bevételek </t>
  </si>
  <si>
    <t>Tárgyévben keletkezett illetve keletkező, tárgyévet terhelő fizetési kötelezettség</t>
  </si>
  <si>
    <t>Hitelből eredő fizetési kötelezettség</t>
  </si>
  <si>
    <t>Fizetési kötelezettség összesen</t>
  </si>
  <si>
    <t>Fizetési kötelezettséggel csökkentett saját bevétel</t>
  </si>
  <si>
    <t>2022.</t>
  </si>
  <si>
    <t>Előző években keletkezett fizetési kötelezettség</t>
  </si>
  <si>
    <t>Battonya Város Önkormányzata 40.000.000 Ft fejlesztési hitel (adatok eFt-ban) Futamidő: 10 év</t>
  </si>
  <si>
    <t>2022.évi tervezett előirányzat</t>
  </si>
  <si>
    <t>ebből hiteldíj (fejlesztési hitel Kormányengedéllyel)</t>
  </si>
  <si>
    <t>ebből hiteltörlesztés (fejlesztési hitel Kormányengedéllyel)</t>
  </si>
  <si>
    <t>ebből hiteldíj (előzetes adatszolgáltatás)</t>
  </si>
  <si>
    <t>ebből hiteltörlesztés (előzetes adatszolgáltatás)</t>
  </si>
  <si>
    <t>Előzetes adatszolgáltatás a tárgyévben keletkező adósságot keletkeztető ügyletekhez a 13/2019. (II.14.) Kt határozat alapján</t>
  </si>
  <si>
    <t>Kormányengedéllyel</t>
  </si>
  <si>
    <t>Európai Uniós támogatásból, egyéb támogatásból megvalósuló pályázatainak részletes adatai</t>
  </si>
  <si>
    <t>Projekt kódja</t>
  </si>
  <si>
    <t>Projekt címe</t>
  </si>
  <si>
    <t>TOP-5.2.1-15-BS1-2016-00006</t>
  </si>
  <si>
    <t>"Egységben a jövő" - Komplex program Battonya társadalmi együttműködéséért</t>
  </si>
  <si>
    <t>TOP-4.2.1-15-BS1-2016-00028</t>
  </si>
  <si>
    <t>Battonyai Szociális Szervezet alapszolgáltatásainak infrastrukturális fejlesztése</t>
  </si>
  <si>
    <t>TOP-2.1.3-15-BS1-2016-00001</t>
  </si>
  <si>
    <t>TOP-2.1.2-15-BS1-2016-00013</t>
  </si>
  <si>
    <t>Zöld város kialakítása Battonyán</t>
  </si>
  <si>
    <t>TOP-1.4.1-15-BS1-2016-00028</t>
  </si>
  <si>
    <t>Új bölcsőde építése Battonyán</t>
  </si>
  <si>
    <t>TOP-1.1.3-15-BS1-2016-00040</t>
  </si>
  <si>
    <t>Piaci terület kialakítása és fejlesztése Battonyán</t>
  </si>
  <si>
    <t>TOP-4.3.1-15-BS1-2016-00005</t>
  </si>
  <si>
    <t>Leromlott városi területek rehabilitációja Battonyán</t>
  </si>
  <si>
    <t>TOP-4.1.1-15-BS1-2016-00015</t>
  </si>
  <si>
    <t>Battonyai Orvosi Rendelő infrastrukturális fejlesztése</t>
  </si>
  <si>
    <t>TOP-3.2.1-16-BS1-2017-00048</t>
  </si>
  <si>
    <t>A battonyai sporttelep energetikai korszerűsítése</t>
  </si>
  <si>
    <t>TOP-5.1.2-15-BS1-2016-00008</t>
  </si>
  <si>
    <t>KÖFOP-1.2.1-VEKOP-16-2017-00661</t>
  </si>
  <si>
    <t>Battonya Város Önkormányzata ASP Központhoz való csatlakozása</t>
  </si>
  <si>
    <t>KEHOP-2.2.2-15-2015-00008</t>
  </si>
  <si>
    <t>Szennyvízberuházás</t>
  </si>
  <si>
    <t>EFOP-1.5.3-16-2017-00060</t>
  </si>
  <si>
    <t>Komplex humán kapacitás fejlesztés a minőségi közszolgáltatásokért és a társadalmi hátrányok enyhítéséért</t>
  </si>
  <si>
    <t>EFOP-3.9.2-16-2017-00025</t>
  </si>
  <si>
    <t>Sorszám</t>
  </si>
  <si>
    <r>
      <t xml:space="preserve">Battonya Város Önkormányzata 2019. évi költségvetési bevételi előirányzatai és költségvetési  kiadási előirányzatai intézményenként kötelező feladatok, önként vállalt feladatok és államigazgatási feladatok szerinti bontásban </t>
    </r>
    <r>
      <rPr>
        <b/>
        <sz val="10"/>
        <rFont val="Arial"/>
        <family val="2"/>
      </rPr>
      <t>(ezer forintban)</t>
    </r>
  </si>
  <si>
    <t xml:space="preserve">TOP-5.3.1. </t>
  </si>
  <si>
    <t xml:space="preserve">KOHÉZIÓ „Együtt a közösségért! – helyi identitás és kohézió erősítése </t>
  </si>
  <si>
    <t>VP6-7.2.1-7.4.1.2-16</t>
  </si>
  <si>
    <t xml:space="preserve">„Külterületi helyi közutak 
fejlesztése, önkormányzati utak kezeléséhez, állapotjavításához, karbantartásához
 szükséges erő- és munkagépek beszerzése”
utak, gréder </t>
  </si>
  <si>
    <t xml:space="preserve">VP6-7.2.1-7.4.1.3-17
</t>
  </si>
  <si>
    <t xml:space="preserve">Sportpálya infrastruktúra-fejlesztési támogatás </t>
  </si>
  <si>
    <t>forintban</t>
  </si>
  <si>
    <t xml:space="preserve">Battonya Város Önkormányzat előirányzat felhasználási terv
</t>
  </si>
  <si>
    <t>2019. évi EREDETI előirányzat</t>
  </si>
  <si>
    <t>1. oldal</t>
  </si>
  <si>
    <t>2. oldal</t>
  </si>
  <si>
    <t>Módosítás</t>
  </si>
  <si>
    <t>2019.évi MÓDOSÍTOTT előirányzat</t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</si>
  <si>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költségtérítések</t>
    </r>
  </si>
  <si>
    <r>
      <t>Külső személyi juttatások -</t>
    </r>
    <r>
      <rPr>
        <b/>
        <i/>
        <sz val="10"/>
        <rFont val="Arial"/>
        <family val="2"/>
      </rPr>
      <t xml:space="preserve"> megbízási díjak, reprezentációs kiadások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</si>
  <si>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összevont szociális ágazati pótlék, nyugdíjas védőnő juttatása, jubileumi jutalom, költségtérítések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</si>
  <si>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illetmények, bérkompenzáció, kulturális illetménypótlék, jubileumi jutalom, költségtérítések</t>
    </r>
  </si>
  <si>
    <r>
      <t>Foglalkoztatottak személyi juttatásai -</t>
    </r>
    <r>
      <rPr>
        <b/>
        <i/>
        <sz val="10"/>
        <rFont val="Arial CE"/>
        <family val="0"/>
      </rPr>
      <t xml:space="preserve"> törvény szerinti illetmények (mezőőrök, közfoglalkoztatottak), költségtérítések</t>
    </r>
  </si>
  <si>
    <r>
      <t>Külső személyi juttatások -</t>
    </r>
    <r>
      <rPr>
        <b/>
        <i/>
        <sz val="10"/>
        <rFont val="Arial"/>
        <family val="2"/>
      </rPr>
      <t xml:space="preserve"> választott tisztségviselők juttatásai (polgármester, alpolgármester, képviselők),  megbízási díjak, reprezentációs kiadások, városnapi díjak</t>
    </r>
  </si>
  <si>
    <r>
      <t>Egészségügyi hozzájárulás</t>
    </r>
    <r>
      <rPr>
        <b/>
        <sz val="11"/>
        <rFont val="Arial"/>
        <family val="2"/>
      </rPr>
      <t xml:space="preserve"> (repi, cégtelefon)</t>
    </r>
  </si>
  <si>
    <r>
      <t xml:space="preserve">Munkáltatót terhel.személyi jövedelemadó </t>
    </r>
    <r>
      <rPr>
        <b/>
        <sz val="11"/>
        <rFont val="Arial"/>
        <family val="2"/>
      </rPr>
      <t xml:space="preserve"> (repi, cégtelefon)</t>
    </r>
  </si>
  <si>
    <r>
      <t xml:space="preserve">Egészségügyi hozzájárulás - </t>
    </r>
    <r>
      <rPr>
        <b/>
        <sz val="11"/>
        <rFont val="Arial"/>
        <family val="2"/>
      </rPr>
      <t>repi, cégtelefon</t>
    </r>
  </si>
  <si>
    <r>
      <t>Munkáltatót terhel.személyi jövedelemadó -</t>
    </r>
    <r>
      <rPr>
        <b/>
        <sz val="11"/>
        <rFont val="Arial"/>
        <family val="2"/>
      </rPr>
      <t xml:space="preserve"> repi, cégtelefon</t>
    </r>
  </si>
  <si>
    <r>
      <t>Egészségügyi hozzájárulás -</t>
    </r>
    <r>
      <rPr>
        <b/>
        <sz val="11"/>
        <rFont val="Arial"/>
        <family val="2"/>
      </rPr>
      <t xml:space="preserve"> repi, cégtelefon, cafetéria</t>
    </r>
  </si>
  <si>
    <r>
      <t xml:space="preserve">Munkáltatót terhel.személyi jövedelemadó -  </t>
    </r>
    <r>
      <rPr>
        <b/>
        <sz val="11"/>
        <rFont val="Arial"/>
        <family val="2"/>
      </rPr>
      <t>repi, cégtelefon, cafetéria</t>
    </r>
  </si>
  <si>
    <r>
      <t xml:space="preserve">Szolgáltatási kiadások </t>
    </r>
    <r>
      <rPr>
        <i/>
        <sz val="8"/>
        <rFont val="Arial"/>
        <family val="2"/>
      </rPr>
      <t xml:space="preserve">- közüzemi díjak, bérleti és lízing díjak, karbantartási, kisjavítási szolgáltatások, közvetített szolgáltatások, szakmai tevékenységet segítő szolgáltatások, egyéb szolgáltatások - </t>
    </r>
    <r>
      <rPr>
        <b/>
        <i/>
        <sz val="9"/>
        <rFont val="Arial"/>
        <family val="2"/>
      </rPr>
      <t>áramdíj, gázdíj, vízdíj, fénymásolóbérlet, karbantartás</t>
    </r>
  </si>
  <si>
    <t>2018. évi maradványelszámolás</t>
  </si>
  <si>
    <t xml:space="preserve"> - pénzmaradvány</t>
  </si>
  <si>
    <t xml:space="preserve"> - vállalkozási tevékenység maradványa</t>
  </si>
  <si>
    <t xml:space="preserve"> - TOP-5.1.2-15-BS1-2016-00008 – Helyi foglalkoztatási együttműködés kialakítása a Mezőkovácsházi járásban (konzorcium)</t>
  </si>
  <si>
    <t xml:space="preserve"> - TOP-3.2.1-16-BS1-2017-00048 Sportcsarnok energetikai korszerűsítése</t>
  </si>
  <si>
    <t xml:space="preserve"> - TOP-5.2.1-15-BS1-2016-0002 A társadalmi együttműködés erősítését szolgáló helyi szintű komplex programok - "Egységben a jövő"  ESZESZ pályázat</t>
  </si>
  <si>
    <t>ebből - Közművelődési érdekeltségnövelő támogatás 2018.évi 161 eFt+100 eFt ÖNERŐ</t>
  </si>
  <si>
    <t xml:space="preserve"> - Közművelődési érdekeltségnövelő támogatás 2019.évi 100 eFt ÖNERŐ</t>
  </si>
  <si>
    <r>
      <t xml:space="preserve"> - KEHOP-2.2.2-15-2015-00008 - Battonya Város </t>
    </r>
    <r>
      <rPr>
        <b/>
        <i/>
        <sz val="11"/>
        <rFont val="Arial"/>
        <family val="2"/>
      </rPr>
      <t>szennyvíz</t>
    </r>
    <r>
      <rPr>
        <i/>
        <sz val="11"/>
        <rFont val="Arial"/>
        <family val="2"/>
      </rPr>
      <t xml:space="preserve">elvezetésének és tisztításának bővítése, korszerűsítése </t>
    </r>
    <r>
      <rPr>
        <b/>
        <i/>
        <sz val="11"/>
        <rFont val="Arial"/>
        <family val="2"/>
      </rPr>
      <t>pályázat</t>
    </r>
  </si>
  <si>
    <r>
      <t xml:space="preserve"> - TOP-1.4.1-15-BS1-2016-0002 - A foglalkoztatás és az életminőség javítása családbarát, munkába állást segítő intézmények, közszolgáltatások fejlesztésével - </t>
    </r>
    <r>
      <rPr>
        <b/>
        <i/>
        <sz val="11"/>
        <rFont val="Arial"/>
        <family val="2"/>
      </rPr>
      <t>Bölcsöde pályázat</t>
    </r>
  </si>
  <si>
    <t xml:space="preserve"> - játszótér (1600eFt)</t>
  </si>
  <si>
    <t xml:space="preserve">Battonya Város Önkormányzata 2019. évi kiemelt bevételi előirányzatai </t>
  </si>
  <si>
    <t>2019. évi MÓDOSÍTOTT előirányzat</t>
  </si>
  <si>
    <t xml:space="preserve">Finanszírozási bevételek </t>
  </si>
  <si>
    <r>
      <t xml:space="preserve">MT. könyves foglalkoztatott                     </t>
    </r>
    <r>
      <rPr>
        <b/>
        <i/>
        <sz val="10"/>
        <rFont val="Arial"/>
        <family val="2"/>
      </rPr>
      <t>2019. évi REHAB-os fogl.</t>
    </r>
  </si>
  <si>
    <t>MT. könyves foglalkoztatott</t>
  </si>
  <si>
    <r>
      <rPr>
        <sz val="12"/>
        <rFont val="Arial"/>
        <family val="2"/>
      </rPr>
      <t xml:space="preserve">az Áht. 23.§ (2) bekezdés c) pontjában meghat.cél szerinti bontásban </t>
    </r>
    <r>
      <rPr>
        <b/>
        <sz val="12"/>
        <rFont val="Arial"/>
        <family val="2"/>
      </rPr>
      <t>működési költségvetés egyenlege (hiány)</t>
    </r>
  </si>
  <si>
    <t>Kezdete</t>
  </si>
  <si>
    <t>Befejezése</t>
  </si>
  <si>
    <t>Támogatás intenzitása</t>
  </si>
  <si>
    <t>Támogatás -előleg-  összege</t>
  </si>
  <si>
    <t>Önerő</t>
  </si>
  <si>
    <t>Költség-növekmény</t>
  </si>
  <si>
    <t>Projekt teljes költsége (konzorciumi tagoknak összesen)</t>
  </si>
  <si>
    <r>
      <t xml:space="preserve">Projekt </t>
    </r>
    <r>
      <rPr>
        <b/>
        <u val="single"/>
        <sz val="10"/>
        <color indexed="8"/>
        <rFont val="Arial"/>
        <family val="2"/>
      </rPr>
      <t xml:space="preserve">elszámolható </t>
    </r>
    <r>
      <rPr>
        <b/>
        <sz val="10"/>
        <color indexed="8"/>
        <rFont val="Arial"/>
        <family val="2"/>
      </rPr>
      <t>költsége Battonya Város Önkormányzatára vonatkozóan</t>
    </r>
  </si>
  <si>
    <t>Összköltség - Battonya</t>
  </si>
  <si>
    <t>Fejlesztési hitelből finanszírozott</t>
  </si>
  <si>
    <t>2018.12.31-én fennálló maradvány</t>
  </si>
  <si>
    <t>költségek elszámolható-ságának kezdete</t>
  </si>
  <si>
    <t>megvalósítási időszak kezdete</t>
  </si>
  <si>
    <t>konzorcium</t>
  </si>
  <si>
    <t>Csapadék- és belvízvédelmi fejlesztések Battonyán - Dózsa u.</t>
  </si>
  <si>
    <t>még nem érkezett támogatási előleg</t>
  </si>
  <si>
    <t>-</t>
  </si>
  <si>
    <t>Helyi foglalkoztatási együttműködések kialakítása a Mezőkovácsházi járásban - PAKTUM</t>
  </si>
  <si>
    <t>121 759 Ft visszafizetendő</t>
  </si>
  <si>
    <t xml:space="preserve">„Helyi termékértékesítést szolgáló piacok 
 infrastrukturális fejlesztése, közétkeztetés 
 fejlesztése, Fő u. 117.
konyha </t>
  </si>
  <si>
    <t>Társulások műk-i támogatása - Belső ell., Orvosi ügyelet, egyéb</t>
  </si>
  <si>
    <t>Pannon-Holt tenger műk. Támog.</t>
  </si>
  <si>
    <t>Arany János Tehetséggondozó Program - 1 fő delegált diák</t>
  </si>
  <si>
    <t>téli rezsicsökkenés támogatása</t>
  </si>
  <si>
    <r>
      <t xml:space="preserve">Város-, községgazdálkodási egyéb szolgáltatások (önkéntes </t>
    </r>
    <r>
      <rPr>
        <b/>
        <sz val="10"/>
        <rFont val="Arial"/>
        <family val="2"/>
      </rPr>
      <t>TŰZOLTÓ</t>
    </r>
    <r>
      <rPr>
        <sz val="10"/>
        <rFont val="Arial"/>
        <family val="2"/>
      </rPr>
      <t>i tev.)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</si>
</sst>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0.0%"/>
    <numFmt numFmtId="174" formatCode="0.00_ ;[Red]\-0.00\ "/>
    <numFmt numFmtId="175" formatCode="yyyy\-mm\-dd"/>
    <numFmt numFmtId="176" formatCode="#,###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-40E]yyyy\.\ mmmm\ d\."/>
    <numFmt numFmtId="181" formatCode="m\.\ d\.;@"/>
    <numFmt numFmtId="182" formatCode="0.0"/>
    <numFmt numFmtId="183" formatCode="#,##0.000"/>
    <numFmt numFmtId="184" formatCode="#,##0.0000"/>
    <numFmt numFmtId="185" formatCode="#,##0.0"/>
    <numFmt numFmtId="186" formatCode="[$¥€-2]\ #\ ##,000_);[Red]\([$€-2]\ #\ ##,000\)"/>
    <numFmt numFmtId="187" formatCode="0.000"/>
    <numFmt numFmtId="188" formatCode="yyyy/mm/dd;@"/>
    <numFmt numFmtId="189" formatCode="#,##0\ &quot;Ft&quot;"/>
  </numFmts>
  <fonts count="129">
    <font>
      <sz val="10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Arial CE"/>
      <family val="2"/>
    </font>
    <font>
      <sz val="10"/>
      <color indexed="18"/>
      <name val="Arial"/>
      <family val="2"/>
    </font>
    <font>
      <b/>
      <sz val="11"/>
      <color indexed="17"/>
      <name val="Arial CE"/>
      <family val="0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name val="Arial CE"/>
      <family val="0"/>
    </font>
    <font>
      <b/>
      <i/>
      <sz val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b/>
      <i/>
      <sz val="12"/>
      <name val="Times New Roman CE"/>
      <family val="0"/>
    </font>
    <font>
      <sz val="12"/>
      <name val="Arial CE"/>
      <family val="2"/>
    </font>
    <font>
      <i/>
      <sz val="11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63"/>
      <name val="Arial"/>
      <family val="2"/>
    </font>
    <font>
      <b/>
      <i/>
      <sz val="11"/>
      <name val="Arial"/>
      <family val="2"/>
    </font>
    <font>
      <i/>
      <sz val="11"/>
      <name val="Times New Roman"/>
      <family val="1"/>
    </font>
    <font>
      <i/>
      <sz val="8"/>
      <color indexed="8"/>
      <name val="Arial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63"/>
      <name val="Tahoma"/>
      <family val="2"/>
    </font>
    <font>
      <u val="single"/>
      <sz val="12"/>
      <name val="Arial"/>
      <family val="2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1"/>
      <name val="Tahoma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Arial CE"/>
      <family val="0"/>
    </font>
    <font>
      <b/>
      <sz val="14"/>
      <name val="Times New Roman"/>
      <family val="1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2" fillId="19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2" applyNumberFormat="0" applyFill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6" fillId="0" borderId="0" applyNumberFormat="0" applyFill="0" applyBorder="0" applyAlignment="0" applyProtection="0"/>
    <xf numFmtId="0" fontId="11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0" fillId="21" borderId="7" applyNumberFormat="0" applyFont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20" fillId="28" borderId="0" applyNumberFormat="0" applyBorder="0" applyAlignment="0" applyProtection="0"/>
    <xf numFmtId="0" fontId="121" fillId="29" borderId="8" applyNumberFormat="0" applyAlignment="0" applyProtection="0"/>
    <xf numFmtId="0" fontId="3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30" borderId="0" applyNumberFormat="0" applyBorder="0" applyAlignment="0" applyProtection="0"/>
    <xf numFmtId="0" fontId="125" fillId="31" borderId="0" applyNumberFormat="0" applyBorder="0" applyAlignment="0" applyProtection="0"/>
    <xf numFmtId="0" fontId="126" fillId="29" borderId="1" applyNumberFormat="0" applyAlignment="0" applyProtection="0"/>
    <xf numFmtId="9" fontId="0" fillId="0" borderId="0" applyFont="0" applyFill="0" applyBorder="0" applyAlignment="0" applyProtection="0"/>
  </cellStyleXfs>
  <cellXfs count="110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21" fillId="0" borderId="0" xfId="74" applyFont="1" applyAlignment="1">
      <alignment horizontal="center" vertical="center" wrapText="1"/>
      <protection/>
    </xf>
    <xf numFmtId="0" fontId="22" fillId="0" borderId="0" xfId="74">
      <alignment/>
      <protection/>
    </xf>
    <xf numFmtId="0" fontId="22" fillId="0" borderId="0" xfId="74" applyProtection="1">
      <alignment/>
      <protection locked="0"/>
    </xf>
    <xf numFmtId="0" fontId="23" fillId="0" borderId="0" xfId="74" applyFont="1">
      <alignment/>
      <protection/>
    </xf>
    <xf numFmtId="0" fontId="12" fillId="0" borderId="0" xfId="74" applyFont="1" applyProtection="1">
      <alignment/>
      <protection locked="0"/>
    </xf>
    <xf numFmtId="0" fontId="21" fillId="0" borderId="0" xfId="74" applyFont="1" applyProtection="1">
      <alignment/>
      <protection locked="0"/>
    </xf>
    <xf numFmtId="3" fontId="21" fillId="0" borderId="0" xfId="74" applyNumberFormat="1" applyFont="1" applyProtection="1">
      <alignment/>
      <protection locked="0"/>
    </xf>
    <xf numFmtId="0" fontId="21" fillId="0" borderId="0" xfId="74" applyFont="1" applyAlignment="1" applyProtection="1">
      <alignment horizontal="center" wrapText="1"/>
      <protection locked="0"/>
    </xf>
    <xf numFmtId="176" fontId="26" fillId="0" borderId="0" xfId="74" applyNumberFormat="1" applyFont="1" applyAlignment="1" quotePrefix="1">
      <alignment horizontal="center"/>
      <protection/>
    </xf>
    <xf numFmtId="0" fontId="26" fillId="0" borderId="0" xfId="74" applyFont="1" applyAlignment="1">
      <alignment horizontal="left" vertical="center" indent="1"/>
      <protection/>
    </xf>
    <xf numFmtId="0" fontId="25" fillId="0" borderId="0" xfId="74" applyFont="1" applyAlignment="1">
      <alignment horizontal="left" indent="1"/>
      <protection/>
    </xf>
    <xf numFmtId="176" fontId="26" fillId="0" borderId="0" xfId="74" applyNumberFormat="1" applyFont="1">
      <alignment/>
      <protection/>
    </xf>
    <xf numFmtId="3" fontId="22" fillId="0" borderId="0" xfId="74" applyNumberFormat="1">
      <alignment/>
      <protection/>
    </xf>
    <xf numFmtId="0" fontId="22" fillId="0" borderId="0" xfId="74" applyAlignment="1">
      <alignment horizontal="right"/>
      <protection/>
    </xf>
    <xf numFmtId="0" fontId="22" fillId="0" borderId="0" xfId="74" applyAlignment="1" applyProtection="1">
      <alignment horizontal="right"/>
      <protection locked="0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4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10" fontId="1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7" fillId="0" borderId="0" xfId="0" applyFont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3" fillId="0" borderId="10" xfId="74" applyFont="1" applyBorder="1" applyAlignment="1">
      <alignment horizontal="left" vertical="center" wrapText="1" indent="1"/>
      <protection/>
    </xf>
    <xf numFmtId="0" fontId="13" fillId="0" borderId="10" xfId="74" applyFont="1" applyBorder="1" applyAlignment="1">
      <alignment horizontal="left" vertical="center" indent="1"/>
      <protection/>
    </xf>
    <xf numFmtId="176" fontId="13" fillId="0" borderId="10" xfId="74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wrapText="1" indent="1"/>
    </xf>
    <xf numFmtId="0" fontId="21" fillId="0" borderId="10" xfId="74" applyFont="1" applyBorder="1" applyAlignment="1">
      <alignment horizontal="center" vertical="center" wrapText="1"/>
      <protection/>
    </xf>
    <xf numFmtId="0" fontId="21" fillId="0" borderId="10" xfId="74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56" fillId="0" borderId="0" xfId="70" applyFont="1" applyAlignment="1">
      <alignment horizontal="right"/>
      <protection/>
    </xf>
    <xf numFmtId="3" fontId="13" fillId="0" borderId="10" xfId="74" applyNumberFormat="1" applyFont="1" applyBorder="1" applyAlignment="1" applyProtection="1">
      <alignment vertical="center"/>
      <protection locked="0"/>
    </xf>
    <xf numFmtId="0" fontId="0" fillId="0" borderId="0" xfId="60">
      <alignment/>
      <protection/>
    </xf>
    <xf numFmtId="3" fontId="39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0" fillId="0" borderId="10" xfId="60" applyNumberFormat="1" applyBorder="1">
      <alignment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2" fillId="0" borderId="0" xfId="0" applyFont="1" applyAlignment="1">
      <alignment/>
    </xf>
    <xf numFmtId="3" fontId="51" fillId="0" borderId="10" xfId="0" applyNumberFormat="1" applyFont="1" applyBorder="1" applyAlignment="1">
      <alignment horizontal="right"/>
    </xf>
    <xf numFmtId="0" fontId="59" fillId="0" borderId="10" xfId="60" applyFont="1" applyBorder="1" applyAlignment="1">
      <alignment wrapText="1"/>
      <protection/>
    </xf>
    <xf numFmtId="3" fontId="59" fillId="0" borderId="10" xfId="60" applyNumberFormat="1" applyFont="1" applyBorder="1">
      <alignment/>
      <protection/>
    </xf>
    <xf numFmtId="3" fontId="43" fillId="0" borderId="10" xfId="60" applyNumberFormat="1" applyFont="1" applyBorder="1">
      <alignment/>
      <protection/>
    </xf>
    <xf numFmtId="0" fontId="9" fillId="0" borderId="13" xfId="0" applyFont="1" applyBorder="1" applyAlignment="1">
      <alignment/>
    </xf>
    <xf numFmtId="0" fontId="59" fillId="0" borderId="10" xfId="60" applyFont="1" applyBorder="1">
      <alignment/>
      <protection/>
    </xf>
    <xf numFmtId="185" fontId="59" fillId="0" borderId="10" xfId="60" applyNumberFormat="1" applyFont="1" applyBorder="1">
      <alignment/>
      <protection/>
    </xf>
    <xf numFmtId="3" fontId="0" fillId="0" borderId="0" xfId="60" applyNumberFormat="1">
      <alignment/>
      <protection/>
    </xf>
    <xf numFmtId="3" fontId="60" fillId="0" borderId="10" xfId="60" applyNumberFormat="1" applyFont="1" applyBorder="1">
      <alignment/>
      <protection/>
    </xf>
    <xf numFmtId="3" fontId="58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2" fillId="0" borderId="12" xfId="60" applyFont="1" applyBorder="1" applyAlignment="1">
      <alignment horizontal="left" wrapText="1"/>
      <protection/>
    </xf>
    <xf numFmtId="3" fontId="2" fillId="0" borderId="10" xfId="0" applyNumberFormat="1" applyFont="1" applyBorder="1" applyAlignment="1">
      <alignment horizontal="right"/>
    </xf>
    <xf numFmtId="3" fontId="61" fillId="0" borderId="10" xfId="60" applyNumberFormat="1" applyFont="1" applyBorder="1" applyAlignment="1">
      <alignment horizontal="right" wrapText="1"/>
      <protection/>
    </xf>
    <xf numFmtId="0" fontId="43" fillId="0" borderId="10" xfId="60" applyFont="1" applyBorder="1" applyAlignment="1">
      <alignment wrapText="1"/>
      <protection/>
    </xf>
    <xf numFmtId="0" fontId="43" fillId="0" borderId="10" xfId="60" applyFont="1" applyBorder="1">
      <alignment/>
      <protection/>
    </xf>
    <xf numFmtId="3" fontId="0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right"/>
    </xf>
    <xf numFmtId="1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right"/>
    </xf>
    <xf numFmtId="0" fontId="6" fillId="0" borderId="10" xfId="60" applyFont="1" applyBorder="1" applyAlignment="1">
      <alignment horizontal="right" wrapText="1"/>
      <protection/>
    </xf>
    <xf numFmtId="0" fontId="40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3" fontId="3" fillId="0" borderId="10" xfId="60" applyNumberFormat="1" applyFont="1" applyBorder="1">
      <alignment/>
      <protection/>
    </xf>
    <xf numFmtId="3" fontId="8" fillId="0" borderId="0" xfId="60" applyNumberFormat="1" applyFont="1">
      <alignment/>
      <protection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59" fillId="0" borderId="10" xfId="60" applyFont="1" applyBorder="1" applyAlignment="1">
      <alignment horizontal="left"/>
      <protection/>
    </xf>
    <xf numFmtId="0" fontId="59" fillId="0" borderId="10" xfId="60" applyFont="1" applyBorder="1" applyAlignment="1">
      <alignment horizontal="center"/>
      <protection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0" fontId="43" fillId="0" borderId="10" xfId="0" applyFont="1" applyBorder="1" applyAlignment="1">
      <alignment horizontal="left"/>
    </xf>
    <xf numFmtId="3" fontId="43" fillId="0" borderId="0" xfId="60" applyNumberFormat="1" applyFont="1">
      <alignment/>
      <protection/>
    </xf>
    <xf numFmtId="3" fontId="44" fillId="0" borderId="10" xfId="60" applyNumberFormat="1" applyFont="1" applyBorder="1">
      <alignment/>
      <protection/>
    </xf>
    <xf numFmtId="3" fontId="44" fillId="0" borderId="0" xfId="60" applyNumberFormat="1" applyFont="1">
      <alignment/>
      <protection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39" fillId="0" borderId="0" xfId="0" applyNumberFormat="1" applyFont="1" applyAlignment="1">
      <alignment/>
    </xf>
    <xf numFmtId="49" fontId="39" fillId="0" borderId="15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left"/>
    </xf>
    <xf numFmtId="3" fontId="1" fillId="32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39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10" xfId="74" applyFont="1" applyBorder="1" applyAlignment="1">
      <alignment horizontal="center" vertical="center"/>
      <protection/>
    </xf>
    <xf numFmtId="176" fontId="22" fillId="0" borderId="10" xfId="74" applyNumberFormat="1" applyFont="1" applyBorder="1" applyAlignment="1">
      <alignment vertical="center"/>
      <protection/>
    </xf>
    <xf numFmtId="3" fontId="22" fillId="0" borderId="10" xfId="74" applyNumberFormat="1" applyFont="1" applyBorder="1" applyAlignment="1">
      <alignment vertical="center"/>
      <protection/>
    </xf>
    <xf numFmtId="0" fontId="12" fillId="0" borderId="10" xfId="74" applyFont="1" applyBorder="1" applyAlignment="1">
      <alignment horizontal="left" vertical="center" indent="1"/>
      <protection/>
    </xf>
    <xf numFmtId="176" fontId="12" fillId="0" borderId="10" xfId="74" applyNumberFormat="1" applyFont="1" applyBorder="1" applyAlignment="1">
      <alignment vertical="center"/>
      <protection/>
    </xf>
    <xf numFmtId="176" fontId="21" fillId="0" borderId="10" xfId="74" applyNumberFormat="1" applyFont="1" applyBorder="1" applyAlignment="1">
      <alignment vertical="center"/>
      <protection/>
    </xf>
    <xf numFmtId="0" fontId="12" fillId="0" borderId="10" xfId="74" applyFont="1" applyBorder="1" applyAlignment="1">
      <alignment horizontal="left" indent="1"/>
      <protection/>
    </xf>
    <xf numFmtId="176" fontId="12" fillId="0" borderId="10" xfId="74" applyNumberFormat="1" applyFont="1" applyBorder="1">
      <alignment/>
      <protection/>
    </xf>
    <xf numFmtId="176" fontId="12" fillId="0" borderId="10" xfId="74" applyNumberFormat="1" applyFont="1" applyBorder="1" applyAlignment="1" quotePrefix="1">
      <alignment horizontal="center"/>
      <protection/>
    </xf>
    <xf numFmtId="3" fontId="22" fillId="0" borderId="10" xfId="74" applyNumberFormat="1" applyFont="1" applyBorder="1" applyAlignment="1" applyProtection="1">
      <alignment vertical="center"/>
      <protection locked="0"/>
    </xf>
    <xf numFmtId="0" fontId="12" fillId="0" borderId="10" xfId="74" applyFont="1" applyBorder="1" applyAlignment="1">
      <alignment horizontal="left" vertical="center" indent="1"/>
      <protection/>
    </xf>
    <xf numFmtId="3" fontId="12" fillId="0" borderId="10" xfId="74" applyNumberFormat="1" applyFont="1" applyBorder="1" applyAlignment="1">
      <alignment vertical="center"/>
      <protection/>
    </xf>
    <xf numFmtId="3" fontId="21" fillId="0" borderId="10" xfId="74" applyNumberFormat="1" applyFont="1" applyBorder="1" applyAlignment="1">
      <alignment vertical="center"/>
      <protection/>
    </xf>
    <xf numFmtId="3" fontId="12" fillId="0" borderId="10" xfId="74" applyNumberFormat="1" applyFont="1" applyBorder="1">
      <alignment/>
      <protection/>
    </xf>
    <xf numFmtId="0" fontId="70" fillId="0" borderId="0" xfId="70" applyFont="1" applyAlignment="1">
      <alignment horizontal="right"/>
      <protection/>
    </xf>
    <xf numFmtId="3" fontId="1" fillId="0" borderId="10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right"/>
    </xf>
    <xf numFmtId="0" fontId="0" fillId="0" borderId="10" xfId="74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right"/>
      <protection/>
    </xf>
    <xf numFmtId="0" fontId="5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10" xfId="60" applyFont="1" applyBorder="1" applyAlignment="1">
      <alignment horizontal="left"/>
      <protection/>
    </xf>
    <xf numFmtId="3" fontId="1" fillId="0" borderId="1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0" fontId="8" fillId="0" borderId="10" xfId="60" applyFont="1" applyBorder="1">
      <alignment/>
      <protection/>
    </xf>
    <xf numFmtId="0" fontId="1" fillId="0" borderId="10" xfId="60" applyFont="1" applyBorder="1">
      <alignment/>
      <protection/>
    </xf>
    <xf numFmtId="0" fontId="1" fillId="0" borderId="10" xfId="60" applyFont="1" applyBorder="1" applyAlignment="1">
      <alignment wrapText="1"/>
      <protection/>
    </xf>
    <xf numFmtId="0" fontId="51" fillId="0" borderId="10" xfId="60" applyFont="1" applyBorder="1" applyAlignment="1">
      <alignment wrapText="1"/>
      <protection/>
    </xf>
    <xf numFmtId="0" fontId="51" fillId="0" borderId="10" xfId="60" applyFont="1" applyBorder="1" applyAlignment="1">
      <alignment horizontal="justify" vertical="center" wrapText="1"/>
      <protection/>
    </xf>
    <xf numFmtId="0" fontId="8" fillId="0" borderId="10" xfId="60" applyFont="1" applyBorder="1" applyAlignment="1">
      <alignment wrapText="1"/>
      <protection/>
    </xf>
    <xf numFmtId="3" fontId="8" fillId="0" borderId="10" xfId="60" applyNumberFormat="1" applyFont="1" applyBorder="1">
      <alignment/>
      <protection/>
    </xf>
    <xf numFmtId="49" fontId="3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center" wrapText="1"/>
      <protection/>
    </xf>
    <xf numFmtId="0" fontId="1" fillId="0" borderId="10" xfId="60" applyFont="1" applyBorder="1" applyAlignment="1">
      <alignment horizontal="center" vertical="center"/>
      <protection/>
    </xf>
    <xf numFmtId="0" fontId="6" fillId="0" borderId="0" xfId="60" applyFont="1">
      <alignment/>
      <protection/>
    </xf>
    <xf numFmtId="0" fontId="51" fillId="0" borderId="10" xfId="60" applyFont="1" applyBorder="1" applyAlignment="1">
      <alignment horizontal="left" wrapText="1"/>
      <protection/>
    </xf>
    <xf numFmtId="0" fontId="18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52" fillId="0" borderId="10" xfId="60" applyFont="1" applyBorder="1" applyAlignment="1">
      <alignment horizontal="left" wrapText="1"/>
      <protection/>
    </xf>
    <xf numFmtId="3" fontId="7" fillId="0" borderId="1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3" fontId="43" fillId="0" borderId="17" xfId="60" applyNumberFormat="1" applyFont="1" applyBorder="1">
      <alignment/>
      <protection/>
    </xf>
    <xf numFmtId="3" fontId="43" fillId="0" borderId="11" xfId="60" applyNumberFormat="1" applyFont="1" applyBorder="1">
      <alignment/>
      <protection/>
    </xf>
    <xf numFmtId="3" fontId="42" fillId="0" borderId="10" xfId="0" applyNumberFormat="1" applyFont="1" applyBorder="1" applyAlignment="1">
      <alignment horizontal="right"/>
    </xf>
    <xf numFmtId="3" fontId="33" fillId="0" borderId="12" xfId="0" applyNumberFormat="1" applyFont="1" applyBorder="1" applyAlignment="1">
      <alignment horizontal="right"/>
    </xf>
    <xf numFmtId="2" fontId="36" fillId="0" borderId="10" xfId="0" applyNumberFormat="1" applyFont="1" applyBorder="1" applyAlignment="1">
      <alignment/>
    </xf>
    <xf numFmtId="4" fontId="59" fillId="0" borderId="10" xfId="60" applyNumberFormat="1" applyFont="1" applyBorder="1">
      <alignment/>
      <protection/>
    </xf>
    <xf numFmtId="3" fontId="5" fillId="0" borderId="10" xfId="60" applyNumberFormat="1" applyFont="1" applyBorder="1">
      <alignment/>
      <protection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3" fontId="58" fillId="0" borderId="16" xfId="0" applyNumberFormat="1" applyFont="1" applyBorder="1" applyAlignment="1">
      <alignment horizontal="right"/>
    </xf>
    <xf numFmtId="2" fontId="36" fillId="0" borderId="0" xfId="0" applyNumberFormat="1" applyFont="1" applyAlignment="1">
      <alignment/>
    </xf>
    <xf numFmtId="3" fontId="39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72" fillId="0" borderId="0" xfId="0" applyFont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0" xfId="60" applyFont="1">
      <alignment/>
      <protection/>
    </xf>
    <xf numFmtId="0" fontId="7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0" fontId="58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0" fillId="32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59" fillId="0" borderId="10" xfId="60" applyFont="1" applyBorder="1" applyAlignment="1">
      <alignment horizontal="right"/>
      <protection/>
    </xf>
    <xf numFmtId="0" fontId="58" fillId="0" borderId="18" xfId="0" applyFont="1" applyBorder="1" applyAlignment="1">
      <alignment/>
    </xf>
    <xf numFmtId="0" fontId="77" fillId="0" borderId="10" xfId="60" applyFont="1" applyBorder="1">
      <alignment/>
      <protection/>
    </xf>
    <xf numFmtId="3" fontId="77" fillId="0" borderId="10" xfId="60" applyNumberFormat="1" applyFont="1" applyBorder="1">
      <alignment/>
      <protection/>
    </xf>
    <xf numFmtId="0" fontId="77" fillId="0" borderId="10" xfId="60" applyFont="1" applyBorder="1" applyAlignment="1">
      <alignment wrapText="1"/>
      <protection/>
    </xf>
    <xf numFmtId="3" fontId="5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3" fontId="42" fillId="0" borderId="1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2" fillId="0" borderId="11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3" fontId="42" fillId="0" borderId="10" xfId="60" applyNumberFormat="1" applyFont="1" applyBorder="1">
      <alignment/>
      <protection/>
    </xf>
    <xf numFmtId="49" fontId="9" fillId="0" borderId="1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62" fillId="0" borderId="10" xfId="0" applyFont="1" applyBorder="1" applyAlignment="1">
      <alignment/>
    </xf>
    <xf numFmtId="0" fontId="43" fillId="0" borderId="0" xfId="60" applyFont="1" applyAlignment="1">
      <alignment wrapText="1"/>
      <protection/>
    </xf>
    <xf numFmtId="0" fontId="58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60" applyFont="1" applyAlignment="1">
      <alignment wrapText="1"/>
      <protection/>
    </xf>
    <xf numFmtId="3" fontId="79" fillId="0" borderId="10" xfId="0" applyNumberFormat="1" applyFont="1" applyBorder="1" applyAlignment="1">
      <alignment horizontal="right"/>
    </xf>
    <xf numFmtId="0" fontId="76" fillId="0" borderId="10" xfId="60" applyFont="1" applyBorder="1" applyAlignment="1">
      <alignment wrapText="1"/>
      <protection/>
    </xf>
    <xf numFmtId="0" fontId="76" fillId="0" borderId="10" xfId="0" applyFont="1" applyBorder="1" applyAlignment="1">
      <alignment wrapText="1"/>
    </xf>
    <xf numFmtId="0" fontId="61" fillId="0" borderId="0" xfId="60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43" fillId="0" borderId="0" xfId="60" applyFont="1" applyAlignment="1">
      <alignment horizontal="left" wrapText="1"/>
      <protection/>
    </xf>
    <xf numFmtId="3" fontId="59" fillId="0" borderId="11" xfId="60" applyNumberFormat="1" applyFont="1" applyBorder="1">
      <alignment/>
      <protection/>
    </xf>
    <xf numFmtId="0" fontId="19" fillId="0" borderId="0" xfId="0" applyFont="1" applyAlignment="1">
      <alignment wrapText="1"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3" fontId="5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3" fontId="53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72" fillId="0" borderId="10" xfId="60" applyFont="1" applyBorder="1" applyAlignment="1">
      <alignment horizontal="right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18" fillId="0" borderId="10" xfId="65" applyFont="1" applyBorder="1" applyAlignment="1">
      <alignment wrapText="1"/>
      <protection/>
    </xf>
    <xf numFmtId="0" fontId="1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58" fillId="0" borderId="10" xfId="0" applyNumberFormat="1" applyFont="1" applyBorder="1" applyAlignment="1">
      <alignment horizontal="right" wrapText="1"/>
    </xf>
    <xf numFmtId="0" fontId="49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top"/>
    </xf>
    <xf numFmtId="0" fontId="84" fillId="0" borderId="20" xfId="0" applyFont="1" applyBorder="1" applyAlignment="1">
      <alignment horizontal="center" vertical="top"/>
    </xf>
    <xf numFmtId="0" fontId="82" fillId="0" borderId="21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left" vertical="top"/>
    </xf>
    <xf numFmtId="0" fontId="84" fillId="0" borderId="19" xfId="0" applyFont="1" applyBorder="1" applyAlignment="1">
      <alignment horizontal="left" vertical="top" wrapText="1"/>
    </xf>
    <xf numFmtId="0" fontId="85" fillId="0" borderId="19" xfId="0" applyFont="1" applyBorder="1" applyAlignment="1">
      <alignment horizontal="left" vertical="center"/>
    </xf>
    <xf numFmtId="3" fontId="85" fillId="0" borderId="19" xfId="0" applyNumberFormat="1" applyFont="1" applyBorder="1" applyAlignment="1">
      <alignment horizontal="right" vertical="center"/>
    </xf>
    <xf numFmtId="3" fontId="49" fillId="0" borderId="19" xfId="0" applyNumberFormat="1" applyFont="1" applyBorder="1" applyAlignment="1">
      <alignment horizontal="right" vertical="center"/>
    </xf>
    <xf numFmtId="3" fontId="84" fillId="0" borderId="19" xfId="0" applyNumberFormat="1" applyFont="1" applyBorder="1" applyAlignment="1">
      <alignment horizontal="right" vertical="center"/>
    </xf>
    <xf numFmtId="3" fontId="85" fillId="0" borderId="19" xfId="0" applyNumberFormat="1" applyFont="1" applyBorder="1" applyAlignment="1">
      <alignment horizontal="left" vertical="center"/>
    </xf>
    <xf numFmtId="3" fontId="49" fillId="0" borderId="19" xfId="0" applyNumberFormat="1" applyFont="1" applyBorder="1" applyAlignment="1">
      <alignment horizontal="left" vertical="center"/>
    </xf>
    <xf numFmtId="0" fontId="84" fillId="0" borderId="19" xfId="0" applyFont="1" applyBorder="1" applyAlignment="1">
      <alignment horizontal="left" vertical="center" wrapText="1"/>
    </xf>
    <xf numFmtId="3" fontId="84" fillId="0" borderId="19" xfId="0" applyNumberFormat="1" applyFont="1" applyBorder="1" applyAlignment="1">
      <alignment horizontal="left" vertical="center" wrapText="1"/>
    </xf>
    <xf numFmtId="3" fontId="84" fillId="0" borderId="19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left" vertical="center"/>
    </xf>
    <xf numFmtId="0" fontId="11" fillId="0" borderId="0" xfId="69" applyFont="1">
      <alignment/>
      <protection/>
    </xf>
    <xf numFmtId="176" fontId="48" fillId="0" borderId="0" xfId="69" applyNumberFormat="1" applyFont="1" applyAlignment="1">
      <alignment horizontal="centerContinuous" vertical="center"/>
      <protection/>
    </xf>
    <xf numFmtId="0" fontId="86" fillId="0" borderId="0" xfId="0" applyFont="1" applyAlignment="1">
      <alignment horizontal="right"/>
    </xf>
    <xf numFmtId="0" fontId="48" fillId="0" borderId="10" xfId="69" applyFont="1" applyBorder="1" applyAlignment="1">
      <alignment horizontal="center" vertical="center" wrapText="1"/>
      <protection/>
    </xf>
    <xf numFmtId="3" fontId="11" fillId="0" borderId="0" xfId="69" applyNumberFormat="1" applyFont="1">
      <alignment/>
      <protection/>
    </xf>
    <xf numFmtId="0" fontId="48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48" fillId="0" borderId="18" xfId="0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0" fontId="87" fillId="0" borderId="0" xfId="0" applyFont="1" applyAlignment="1">
      <alignment/>
    </xf>
    <xf numFmtId="3" fontId="48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88" fillId="0" borderId="10" xfId="0" applyNumberFormat="1" applyFont="1" applyBorder="1" applyAlignment="1">
      <alignment vertical="center"/>
    </xf>
    <xf numFmtId="0" fontId="89" fillId="0" borderId="18" xfId="0" applyFont="1" applyBorder="1" applyAlignment="1">
      <alignment horizontal="center" vertical="center"/>
    </xf>
    <xf numFmtId="0" fontId="89" fillId="0" borderId="18" xfId="0" applyFont="1" applyBorder="1" applyAlignment="1">
      <alignment vertical="center"/>
    </xf>
    <xf numFmtId="3" fontId="89" fillId="0" borderId="18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3" fontId="89" fillId="0" borderId="10" xfId="0" applyNumberFormat="1" applyFont="1" applyBorder="1" applyAlignment="1">
      <alignment vertical="center" wrapText="1"/>
    </xf>
    <xf numFmtId="3" fontId="88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89" fillId="0" borderId="18" xfId="0" applyNumberFormat="1" applyFont="1" applyBorder="1" applyAlignment="1">
      <alignment horizontal="center" vertical="center" wrapText="1"/>
    </xf>
    <xf numFmtId="49" fontId="89" fillId="0" borderId="18" xfId="0" applyNumberFormat="1" applyFont="1" applyBorder="1" applyAlignment="1">
      <alignment vertical="center" wrapText="1"/>
    </xf>
    <xf numFmtId="3" fontId="89" fillId="0" borderId="18" xfId="0" applyNumberFormat="1" applyFont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88" fillId="0" borderId="18" xfId="0" applyNumberFormat="1" applyFont="1" applyBorder="1" applyAlignment="1">
      <alignment horizontal="right" vertical="center"/>
    </xf>
    <xf numFmtId="3" fontId="88" fillId="0" borderId="0" xfId="0" applyNumberFormat="1" applyFont="1" applyAlignment="1">
      <alignment horizontal="right"/>
    </xf>
    <xf numFmtId="0" fontId="88" fillId="0" borderId="0" xfId="0" applyFont="1" applyAlignment="1">
      <alignment horizontal="right"/>
    </xf>
    <xf numFmtId="0" fontId="88" fillId="0" borderId="0" xfId="0" applyFont="1" applyAlignment="1">
      <alignment/>
    </xf>
    <xf numFmtId="3" fontId="88" fillId="0" borderId="18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88" fillId="0" borderId="10" xfId="0" applyNumberFormat="1" applyFont="1" applyBorder="1" applyAlignment="1">
      <alignment horizontal="right" vertical="center"/>
    </xf>
    <xf numFmtId="3" fontId="63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3" fontId="83" fillId="0" borderId="1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55" fillId="0" borderId="13" xfId="0" applyNumberFormat="1" applyFont="1" applyBorder="1" applyAlignment="1">
      <alignment/>
    </xf>
    <xf numFmtId="3" fontId="87" fillId="0" borderId="13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88" fillId="0" borderId="12" xfId="0" applyNumberFormat="1" applyFont="1" applyBorder="1" applyAlignment="1">
      <alignment horizontal="right" vertical="center" wrapText="1"/>
    </xf>
    <xf numFmtId="3" fontId="21" fillId="0" borderId="0" xfId="74" applyNumberFormat="1" applyFont="1" applyAlignment="1" applyProtection="1">
      <alignment horizontal="center" wrapText="1"/>
      <protection locked="0"/>
    </xf>
    <xf numFmtId="3" fontId="70" fillId="0" borderId="0" xfId="70" applyNumberFormat="1" applyFont="1" applyAlignment="1">
      <alignment horizontal="right"/>
      <protection/>
    </xf>
    <xf numFmtId="3" fontId="21" fillId="0" borderId="10" xfId="74" applyNumberFormat="1" applyFont="1" applyBorder="1" applyAlignment="1">
      <alignment horizontal="center" vertical="center" wrapText="1"/>
      <protection/>
    </xf>
    <xf numFmtId="3" fontId="21" fillId="0" borderId="10" xfId="74" applyNumberFormat="1" applyFont="1" applyBorder="1" applyAlignment="1">
      <alignment horizontal="center" vertical="center"/>
      <protection/>
    </xf>
    <xf numFmtId="3" fontId="69" fillId="0" borderId="10" xfId="74" applyNumberFormat="1" applyFont="1" applyBorder="1" applyAlignment="1">
      <alignment horizontal="center" vertical="center"/>
      <protection/>
    </xf>
    <xf numFmtId="3" fontId="13" fillId="0" borderId="10" xfId="74" applyNumberFormat="1" applyFont="1" applyBorder="1" applyAlignment="1">
      <alignment horizontal="left" vertical="center" indent="1"/>
      <protection/>
    </xf>
    <xf numFmtId="3" fontId="13" fillId="0" borderId="10" xfId="74" applyNumberFormat="1" applyFont="1" applyBorder="1" applyAlignment="1">
      <alignment vertical="center"/>
      <protection/>
    </xf>
    <xf numFmtId="3" fontId="13" fillId="0" borderId="10" xfId="74" applyNumberFormat="1" applyFont="1" applyBorder="1" applyAlignment="1" quotePrefix="1">
      <alignment horizontal="center" vertical="center"/>
      <protection/>
    </xf>
    <xf numFmtId="3" fontId="13" fillId="0" borderId="10" xfId="74" applyNumberFormat="1" applyFont="1" applyBorder="1" applyAlignment="1">
      <alignment horizontal="left" vertical="center" wrapText="1" indent="1"/>
      <protection/>
    </xf>
    <xf numFmtId="3" fontId="24" fillId="35" borderId="10" xfId="74" applyNumberFormat="1" applyFont="1" applyFill="1" applyBorder="1" applyAlignment="1">
      <alignment horizontal="left" vertical="center" indent="1"/>
      <protection/>
    </xf>
    <xf numFmtId="3" fontId="24" fillId="35" borderId="10" xfId="74" applyNumberFormat="1" applyFont="1" applyFill="1" applyBorder="1" applyAlignment="1">
      <alignment vertical="center"/>
      <protection/>
    </xf>
    <xf numFmtId="3" fontId="12" fillId="0" borderId="10" xfId="74" applyNumberFormat="1" applyFont="1" applyBorder="1" applyAlignment="1">
      <alignment horizontal="left" vertical="center" indent="1"/>
      <protection/>
    </xf>
    <xf numFmtId="3" fontId="15" fillId="0" borderId="10" xfId="0" applyNumberFormat="1" applyFont="1" applyBorder="1" applyAlignment="1">
      <alignment horizontal="left" wrapText="1" indent="1"/>
    </xf>
    <xf numFmtId="3" fontId="13" fillId="35" borderId="10" xfId="74" applyNumberFormat="1" applyFont="1" applyFill="1" applyBorder="1" applyAlignment="1">
      <alignment horizontal="left" vertical="center" indent="1"/>
      <protection/>
    </xf>
    <xf numFmtId="3" fontId="24" fillId="35" borderId="10" xfId="74" applyNumberFormat="1" applyFont="1" applyFill="1" applyBorder="1" applyAlignment="1" applyProtection="1">
      <alignment vertical="center"/>
      <protection locked="0"/>
    </xf>
    <xf numFmtId="3" fontId="12" fillId="0" borderId="10" xfId="74" applyNumberFormat="1" applyFont="1" applyBorder="1" applyAlignment="1">
      <alignment horizontal="left" indent="1"/>
      <protection/>
    </xf>
    <xf numFmtId="3" fontId="12" fillId="0" borderId="10" xfId="74" applyNumberFormat="1" applyFont="1" applyBorder="1" applyAlignment="1" quotePrefix="1">
      <alignment horizontal="center"/>
      <protection/>
    </xf>
    <xf numFmtId="0" fontId="1" fillId="0" borderId="14" xfId="0" applyFont="1" applyBorder="1" applyAlignment="1">
      <alignment horizontal="right"/>
    </xf>
    <xf numFmtId="2" fontId="9" fillId="0" borderId="10" xfId="0" applyNumberFormat="1" applyFont="1" applyBorder="1" applyAlignment="1">
      <alignment horizontal="left" wrapText="1"/>
    </xf>
    <xf numFmtId="3" fontId="6" fillId="0" borderId="22" xfId="0" applyNumberFormat="1" applyFont="1" applyBorder="1" applyAlignment="1">
      <alignment horizontal="right"/>
    </xf>
    <xf numFmtId="3" fontId="53" fillId="3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0" fontId="61" fillId="0" borderId="10" xfId="60" applyFont="1" applyBorder="1" applyAlignment="1">
      <alignment horizontal="left" wrapText="1"/>
      <protection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49" fontId="51" fillId="37" borderId="10" xfId="0" applyNumberFormat="1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0" fontId="64" fillId="0" borderId="10" xfId="60" applyFont="1" applyBorder="1" applyAlignment="1">
      <alignment horizontal="left" wrapText="1"/>
      <protection/>
    </xf>
    <xf numFmtId="0" fontId="64" fillId="0" borderId="10" xfId="60" applyFont="1" applyBorder="1" applyAlignment="1">
      <alignment wrapText="1"/>
      <protection/>
    </xf>
    <xf numFmtId="0" fontId="76" fillId="0" borderId="10" xfId="60" applyFont="1" applyBorder="1" applyAlignment="1">
      <alignment horizontal="left" wrapText="1"/>
      <protection/>
    </xf>
    <xf numFmtId="0" fontId="60" fillId="0" borderId="10" xfId="60" applyFont="1" applyBorder="1" applyAlignment="1">
      <alignment horizontal="left" wrapText="1"/>
      <protection/>
    </xf>
    <xf numFmtId="0" fontId="60" fillId="0" borderId="10" xfId="60" applyFont="1" applyBorder="1" applyAlignment="1">
      <alignment wrapText="1"/>
      <protection/>
    </xf>
    <xf numFmtId="0" fontId="76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9" fontId="127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49" fontId="12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17" xfId="72" applyFont="1" applyBorder="1" applyAlignment="1">
      <alignment horizontal="right"/>
      <protection/>
    </xf>
    <xf numFmtId="0" fontId="0" fillId="0" borderId="14" xfId="72" applyFont="1" applyBorder="1" applyAlignment="1">
      <alignment horizontal="right"/>
      <protection/>
    </xf>
    <xf numFmtId="0" fontId="0" fillId="0" borderId="17" xfId="72" applyFont="1" applyBorder="1" applyAlignment="1">
      <alignment horizontal="right"/>
      <protection/>
    </xf>
    <xf numFmtId="0" fontId="6" fillId="0" borderId="17" xfId="72" applyFont="1" applyBorder="1" applyAlignment="1">
      <alignment horizontal="right"/>
      <protection/>
    </xf>
    <xf numFmtId="3" fontId="1" fillId="0" borderId="17" xfId="0" applyNumberFormat="1" applyFont="1" applyBorder="1" applyAlignment="1">
      <alignment horizontal="right"/>
    </xf>
    <xf numFmtId="3" fontId="18" fillId="0" borderId="10" xfId="65" applyNumberFormat="1" applyFont="1" applyBorder="1" applyAlignment="1">
      <alignment wrapText="1"/>
      <protection/>
    </xf>
    <xf numFmtId="0" fontId="80" fillId="0" borderId="10" xfId="65" applyFont="1" applyBorder="1" applyAlignment="1">
      <alignment wrapText="1"/>
      <protection/>
    </xf>
    <xf numFmtId="3" fontId="1" fillId="0" borderId="11" xfId="0" applyNumberFormat="1" applyFont="1" applyBorder="1" applyAlignment="1">
      <alignment horizontal="right"/>
    </xf>
    <xf numFmtId="0" fontId="3" fillId="0" borderId="10" xfId="60" applyFont="1" applyBorder="1" applyAlignment="1">
      <alignment horizontal="right" wrapText="1"/>
      <protection/>
    </xf>
    <xf numFmtId="0" fontId="11" fillId="0" borderId="0" xfId="0" applyFont="1" applyAlignment="1">
      <alignment vertical="center"/>
    </xf>
    <xf numFmtId="3" fontId="6" fillId="0" borderId="23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9" fillId="0" borderId="16" xfId="0" applyFont="1" applyBorder="1" applyAlignment="1">
      <alignment wrapText="1"/>
    </xf>
    <xf numFmtId="0" fontId="38" fillId="0" borderId="0" xfId="60" applyFont="1" applyAlignment="1">
      <alignment horizontal="center"/>
      <protection/>
    </xf>
    <xf numFmtId="0" fontId="72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17" fillId="0" borderId="0" xfId="60" applyFont="1" applyAlignment="1">
      <alignment horizontal="right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8" fillId="34" borderId="0" xfId="0" applyFont="1" applyFill="1" applyAlignment="1">
      <alignment horizontal="center" wrapText="1"/>
    </xf>
    <xf numFmtId="3" fontId="1" fillId="34" borderId="0" xfId="60" applyNumberFormat="1" applyFont="1" applyFill="1">
      <alignment/>
      <protection/>
    </xf>
    <xf numFmtId="3" fontId="8" fillId="34" borderId="0" xfId="60" applyNumberFormat="1" applyFont="1" applyFill="1">
      <alignment/>
      <protection/>
    </xf>
    <xf numFmtId="0" fontId="8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38" fillId="0" borderId="15" xfId="60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0" borderId="10" xfId="60" applyFont="1" applyBorder="1" applyAlignment="1">
      <alignment horizontal="center" wrapText="1"/>
      <protection/>
    </xf>
    <xf numFmtId="3" fontId="18" fillId="0" borderId="10" xfId="68" applyNumberFormat="1" applyFont="1" applyBorder="1">
      <alignment/>
      <protection/>
    </xf>
    <xf numFmtId="3" fontId="54" fillId="0" borderId="10" xfId="68" applyNumberFormat="1" applyFont="1" applyBorder="1">
      <alignment/>
      <protection/>
    </xf>
    <xf numFmtId="3" fontId="18" fillId="0" borderId="10" xfId="73" applyNumberFormat="1" applyFont="1" applyBorder="1">
      <alignment/>
      <protection/>
    </xf>
    <xf numFmtId="3" fontId="54" fillId="0" borderId="10" xfId="73" applyNumberFormat="1" applyFont="1" applyBorder="1">
      <alignment/>
      <protection/>
    </xf>
    <xf numFmtId="49" fontId="9" fillId="0" borderId="10" xfId="71" applyNumberFormat="1" applyFont="1" applyBorder="1">
      <alignment/>
      <protection/>
    </xf>
    <xf numFmtId="3" fontId="0" fillId="0" borderId="10" xfId="71" applyNumberFormat="1" applyFont="1" applyBorder="1">
      <alignment/>
      <protection/>
    </xf>
    <xf numFmtId="3" fontId="6" fillId="0" borderId="10" xfId="71" applyNumberFormat="1" applyFont="1" applyBorder="1">
      <alignment/>
      <protection/>
    </xf>
    <xf numFmtId="49" fontId="17" fillId="0" borderId="10" xfId="71" applyNumberFormat="1" applyFont="1" applyBorder="1" applyAlignment="1">
      <alignment horizontal="right"/>
      <protection/>
    </xf>
    <xf numFmtId="49" fontId="9" fillId="0" borderId="10" xfId="71" applyNumberFormat="1" applyFont="1" applyBorder="1" applyAlignment="1">
      <alignment wrapText="1"/>
      <protection/>
    </xf>
    <xf numFmtId="3" fontId="18" fillId="0" borderId="10" xfId="60" applyNumberFormat="1" applyFont="1" applyBorder="1">
      <alignment/>
      <protection/>
    </xf>
    <xf numFmtId="3" fontId="54" fillId="0" borderId="10" xfId="60" applyNumberFormat="1" applyFont="1" applyBorder="1">
      <alignment/>
      <protection/>
    </xf>
    <xf numFmtId="0" fontId="7" fillId="0" borderId="10" xfId="0" applyFont="1" applyBorder="1" applyAlignment="1">
      <alignment wrapText="1"/>
    </xf>
    <xf numFmtId="3" fontId="6" fillId="39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3" fontId="39" fillId="36" borderId="0" xfId="0" applyNumberFormat="1" applyFont="1" applyFill="1" applyAlignment="1">
      <alignment/>
    </xf>
    <xf numFmtId="0" fontId="62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wrapText="1"/>
    </xf>
    <xf numFmtId="0" fontId="2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0" fillId="0" borderId="10" xfId="73" applyNumberFormat="1" applyFont="1" applyBorder="1">
      <alignment/>
      <protection/>
    </xf>
    <xf numFmtId="3" fontId="6" fillId="0" borderId="10" xfId="73" applyNumberFormat="1" applyFont="1" applyBorder="1">
      <alignment/>
      <protection/>
    </xf>
    <xf numFmtId="0" fontId="0" fillId="0" borderId="10" xfId="0" applyFont="1" applyBorder="1" applyAlignment="1">
      <alignment horizontal="right" wrapText="1"/>
    </xf>
    <xf numFmtId="0" fontId="58" fillId="0" borderId="10" xfId="71" applyFont="1" applyBorder="1" applyAlignment="1">
      <alignment wrapText="1"/>
      <protection/>
    </xf>
    <xf numFmtId="3" fontId="18" fillId="0" borderId="10" xfId="71" applyNumberFormat="1" applyFont="1" applyBorder="1">
      <alignment/>
      <protection/>
    </xf>
    <xf numFmtId="0" fontId="62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justify" vertical="center" wrapText="1"/>
    </xf>
    <xf numFmtId="0" fontId="1" fillId="38" borderId="10" xfId="0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51" fillId="38" borderId="10" xfId="0" applyFont="1" applyFill="1" applyBorder="1" applyAlignment="1">
      <alignment vertical="center"/>
    </xf>
    <xf numFmtId="0" fontId="51" fillId="38" borderId="10" xfId="0" applyFont="1" applyFill="1" applyBorder="1" applyAlignment="1">
      <alignment horizontal="justify" vertical="center" wrapText="1"/>
    </xf>
    <xf numFmtId="3" fontId="38" fillId="37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1" fillId="37" borderId="10" xfId="0" applyNumberFormat="1" applyFont="1" applyFill="1" applyBorder="1" applyAlignment="1">
      <alignment horizontal="left" vertical="center"/>
    </xf>
    <xf numFmtId="3" fontId="1" fillId="37" borderId="10" xfId="0" applyNumberFormat="1" applyFont="1" applyFill="1" applyBorder="1" applyAlignment="1">
      <alignment horizontal="right" vertic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60" applyFont="1" applyAlignment="1">
      <alignment horizontal="right"/>
      <protection/>
    </xf>
    <xf numFmtId="0" fontId="41" fillId="0" borderId="0" xfId="60" applyFont="1" applyAlignment="1">
      <alignment horizontal="center"/>
      <protection/>
    </xf>
    <xf numFmtId="0" fontId="7" fillId="0" borderId="1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73" fillId="38" borderId="10" xfId="0" applyFont="1" applyFill="1" applyBorder="1" applyAlignment="1">
      <alignment/>
    </xf>
    <xf numFmtId="3" fontId="40" fillId="38" borderId="10" xfId="0" applyNumberFormat="1" applyFont="1" applyFill="1" applyBorder="1" applyAlignment="1">
      <alignment/>
    </xf>
    <xf numFmtId="0" fontId="38" fillId="38" borderId="10" xfId="0" applyFont="1" applyFill="1" applyBorder="1" applyAlignment="1">
      <alignment/>
    </xf>
    <xf numFmtId="0" fontId="74" fillId="38" borderId="10" xfId="0" applyFont="1" applyFill="1" applyBorder="1" applyAlignment="1">
      <alignment/>
    </xf>
    <xf numFmtId="0" fontId="65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/>
    </xf>
    <xf numFmtId="0" fontId="11" fillId="0" borderId="10" xfId="69" applyFont="1" applyBorder="1" applyAlignment="1">
      <alignment vertical="center"/>
      <protection/>
    </xf>
    <xf numFmtId="3" fontId="15" fillId="0" borderId="10" xfId="0" applyNumberFormat="1" applyFont="1" applyBorder="1" applyAlignment="1">
      <alignment vertical="center"/>
    </xf>
    <xf numFmtId="0" fontId="48" fillId="0" borderId="18" xfId="69" applyFont="1" applyBorder="1" applyAlignment="1">
      <alignment horizontal="left" vertical="center"/>
      <protection/>
    </xf>
    <xf numFmtId="0" fontId="48" fillId="0" borderId="12" xfId="69" applyFont="1" applyBorder="1" applyAlignment="1">
      <alignment horizontal="left" vertical="center"/>
      <protection/>
    </xf>
    <xf numFmtId="3" fontId="48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3" fontId="88" fillId="0" borderId="13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wrapText="1"/>
    </xf>
    <xf numFmtId="3" fontId="1" fillId="32" borderId="10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1" fillId="0" borderId="10" xfId="69" applyFont="1" applyBorder="1" applyAlignment="1">
      <alignment horizontal="right" vertical="center"/>
      <protection/>
    </xf>
    <xf numFmtId="0" fontId="48" fillId="0" borderId="10" xfId="69" applyFont="1" applyBorder="1" applyAlignment="1">
      <alignment vertical="center"/>
      <protection/>
    </xf>
    <xf numFmtId="0" fontId="11" fillId="0" borderId="10" xfId="69" applyFont="1" applyBorder="1" applyAlignment="1">
      <alignment vertical="center" wrapText="1"/>
      <protection/>
    </xf>
    <xf numFmtId="3" fontId="54" fillId="0" borderId="10" xfId="0" applyNumberFormat="1" applyFont="1" applyBorder="1" applyAlignment="1">
      <alignment horizontal="center"/>
    </xf>
    <xf numFmtId="3" fontId="54" fillId="0" borderId="25" xfId="0" applyNumberFormat="1" applyFont="1" applyBorder="1" applyAlignment="1">
      <alignment horizontal="center"/>
    </xf>
    <xf numFmtId="3" fontId="54" fillId="0" borderId="26" xfId="0" applyNumberFormat="1" applyFont="1" applyBorder="1" applyAlignment="1">
      <alignment horizontal="center"/>
    </xf>
    <xf numFmtId="3" fontId="54" fillId="0" borderId="27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82" fillId="0" borderId="0" xfId="0" applyNumberFormat="1" applyFont="1" applyAlignment="1">
      <alignment horizontal="right" vertical="center"/>
    </xf>
    <xf numFmtId="3" fontId="18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8" fillId="0" borderId="11" xfId="60" applyFont="1" applyFill="1" applyBorder="1" applyAlignment="1">
      <alignment horizontal="right" wrapText="1"/>
      <protection/>
    </xf>
    <xf numFmtId="3" fontId="42" fillId="0" borderId="10" xfId="0" applyNumberFormat="1" applyFont="1" applyFill="1" applyBorder="1" applyAlignment="1">
      <alignment horizontal="right"/>
    </xf>
    <xf numFmtId="3" fontId="42" fillId="0" borderId="12" xfId="0" applyNumberFormat="1" applyFont="1" applyFill="1" applyBorder="1" applyAlignment="1">
      <alignment horizontal="right"/>
    </xf>
    <xf numFmtId="0" fontId="18" fillId="0" borderId="10" xfId="60" applyFont="1" applyFill="1" applyBorder="1" applyAlignment="1">
      <alignment horizontal="right" wrapText="1"/>
      <protection/>
    </xf>
    <xf numFmtId="3" fontId="42" fillId="0" borderId="11" xfId="0" applyNumberFormat="1" applyFont="1" applyFill="1" applyBorder="1" applyAlignment="1">
      <alignment horizontal="right"/>
    </xf>
    <xf numFmtId="3" fontId="42" fillId="0" borderId="23" xfId="0" applyNumberFormat="1" applyFont="1" applyFill="1" applyBorder="1" applyAlignment="1">
      <alignment horizontal="right"/>
    </xf>
    <xf numFmtId="0" fontId="79" fillId="0" borderId="16" xfId="60" applyFont="1" applyFill="1" applyBorder="1" applyAlignment="1">
      <alignment horizontal="right" wrapText="1"/>
      <protection/>
    </xf>
    <xf numFmtId="3" fontId="42" fillId="0" borderId="16" xfId="0" applyNumberFormat="1" applyFont="1" applyFill="1" applyBorder="1" applyAlignment="1">
      <alignment horizontal="right"/>
    </xf>
    <xf numFmtId="3" fontId="79" fillId="0" borderId="16" xfId="0" applyNumberFormat="1" applyFont="1" applyFill="1" applyBorder="1" applyAlignment="1">
      <alignment horizontal="right"/>
    </xf>
    <xf numFmtId="3" fontId="42" fillId="0" borderId="22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80" fillId="0" borderId="10" xfId="0" applyFont="1" applyBorder="1" applyAlignment="1">
      <alignment wrapText="1"/>
    </xf>
    <xf numFmtId="3" fontId="0" fillId="0" borderId="10" xfId="60" applyNumberFormat="1" applyFont="1" applyBorder="1">
      <alignment/>
      <protection/>
    </xf>
    <xf numFmtId="49" fontId="5" fillId="0" borderId="10" xfId="0" applyNumberFormat="1" applyFont="1" applyFill="1" applyBorder="1" applyAlignment="1">
      <alignment wrapText="1"/>
    </xf>
    <xf numFmtId="3" fontId="79" fillId="0" borderId="10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wrapText="1"/>
    </xf>
    <xf numFmtId="49" fontId="9" fillId="0" borderId="10" xfId="75" applyNumberFormat="1" applyFont="1" applyBorder="1">
      <alignment/>
      <protection/>
    </xf>
    <xf numFmtId="3" fontId="0" fillId="0" borderId="10" xfId="75" applyNumberFormat="1" applyFont="1" applyBorder="1">
      <alignment/>
      <protection/>
    </xf>
    <xf numFmtId="3" fontId="9" fillId="0" borderId="10" xfId="75" applyNumberFormat="1" applyFont="1" applyBorder="1">
      <alignment/>
      <protection/>
    </xf>
    <xf numFmtId="3" fontId="6" fillId="0" borderId="10" xfId="75" applyNumberFormat="1" applyFont="1" applyBorder="1">
      <alignment/>
      <protection/>
    </xf>
    <xf numFmtId="49" fontId="9" fillId="0" borderId="10" xfId="66" applyNumberFormat="1" applyFont="1" applyBorder="1">
      <alignment/>
      <protection/>
    </xf>
    <xf numFmtId="3" fontId="0" fillId="0" borderId="10" xfId="66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9" fillId="0" borderId="10" xfId="66" applyNumberFormat="1" applyFont="1" applyBorder="1">
      <alignment/>
      <protection/>
    </xf>
    <xf numFmtId="49" fontId="9" fillId="0" borderId="10" xfId="68" applyNumberFormat="1" applyFont="1" applyBorder="1">
      <alignment/>
      <protection/>
    </xf>
    <xf numFmtId="3" fontId="9" fillId="0" borderId="10" xfId="68" applyNumberFormat="1" applyFont="1" applyBorder="1">
      <alignment/>
      <protection/>
    </xf>
    <xf numFmtId="49" fontId="9" fillId="0" borderId="10" xfId="73" applyNumberFormat="1" applyFont="1" applyBorder="1">
      <alignment/>
      <protection/>
    </xf>
    <xf numFmtId="3" fontId="58" fillId="0" borderId="10" xfId="73" applyNumberFormat="1" applyFont="1" applyBorder="1">
      <alignment/>
      <protection/>
    </xf>
    <xf numFmtId="49" fontId="9" fillId="0" borderId="10" xfId="73" applyNumberFormat="1" applyFont="1" applyBorder="1" applyAlignment="1">
      <alignment wrapText="1"/>
      <protection/>
    </xf>
    <xf numFmtId="3" fontId="9" fillId="0" borderId="10" xfId="71" applyNumberFormat="1" applyFont="1" applyBorder="1">
      <alignment/>
      <protection/>
    </xf>
    <xf numFmtId="3" fontId="17" fillId="0" borderId="10" xfId="71" applyNumberFormat="1" applyFont="1" applyBorder="1">
      <alignment/>
      <protection/>
    </xf>
    <xf numFmtId="49" fontId="79" fillId="0" borderId="10" xfId="0" applyNumberFormat="1" applyFont="1" applyFill="1" applyBorder="1" applyAlignment="1">
      <alignment wrapText="1"/>
    </xf>
    <xf numFmtId="3" fontId="79" fillId="0" borderId="10" xfId="71" applyNumberFormat="1" applyFont="1" applyFill="1" applyBorder="1">
      <alignment/>
      <protection/>
    </xf>
    <xf numFmtId="3" fontId="79" fillId="0" borderId="10" xfId="0" applyNumberFormat="1" applyFont="1" applyFill="1" applyBorder="1" applyAlignment="1">
      <alignment/>
    </xf>
    <xf numFmtId="3" fontId="79" fillId="0" borderId="10" xfId="71" applyNumberFormat="1" applyFont="1" applyBorder="1">
      <alignment/>
      <protection/>
    </xf>
    <xf numFmtId="0" fontId="79" fillId="0" borderId="10" xfId="0" applyFont="1" applyFill="1" applyBorder="1" applyAlignment="1">
      <alignment wrapText="1"/>
    </xf>
    <xf numFmtId="2" fontId="79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wrapText="1"/>
    </xf>
    <xf numFmtId="3" fontId="0" fillId="0" borderId="10" xfId="71" applyNumberFormat="1" applyFont="1" applyFill="1" applyBorder="1">
      <alignment/>
      <protection/>
    </xf>
    <xf numFmtId="3" fontId="6" fillId="0" borderId="10" xfId="71" applyNumberFormat="1" applyFont="1" applyFill="1" applyBorder="1">
      <alignment/>
      <protection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 wrapText="1"/>
    </xf>
    <xf numFmtId="0" fontId="62" fillId="0" borderId="10" xfId="71" applyFont="1" applyBorder="1" applyAlignment="1">
      <alignment wrapText="1"/>
      <protection/>
    </xf>
    <xf numFmtId="3" fontId="58" fillId="0" borderId="10" xfId="71" applyNumberFormat="1" applyFont="1" applyBorder="1">
      <alignment/>
      <protection/>
    </xf>
    <xf numFmtId="49" fontId="58" fillId="0" borderId="10" xfId="0" applyNumberFormat="1" applyFont="1" applyBorder="1" applyAlignment="1">
      <alignment wrapText="1"/>
    </xf>
    <xf numFmtId="3" fontId="33" fillId="0" borderId="10" xfId="71" applyNumberFormat="1" applyFont="1" applyBorder="1">
      <alignment/>
      <protection/>
    </xf>
    <xf numFmtId="0" fontId="38" fillId="0" borderId="0" xfId="60" applyFont="1" applyAlignment="1">
      <alignment/>
      <protection/>
    </xf>
    <xf numFmtId="0" fontId="17" fillId="0" borderId="15" xfId="60" applyFont="1" applyBorder="1" applyAlignment="1">
      <alignment wrapText="1"/>
      <protection/>
    </xf>
    <xf numFmtId="0" fontId="17" fillId="0" borderId="15" xfId="60" applyFont="1" applyBorder="1" applyAlignment="1">
      <alignment horizontal="right" wrapText="1"/>
      <protection/>
    </xf>
    <xf numFmtId="0" fontId="5" fillId="0" borderId="10" xfId="60" applyFont="1" applyBorder="1" applyAlignment="1">
      <alignment horizontal="center" vertical="center"/>
      <protection/>
    </xf>
    <xf numFmtId="3" fontId="9" fillId="0" borderId="10" xfId="60" applyNumberFormat="1" applyFont="1" applyBorder="1" applyAlignment="1">
      <alignment vertical="center"/>
      <protection/>
    </xf>
    <xf numFmtId="3" fontId="3" fillId="0" borderId="10" xfId="60" applyNumberFormat="1" applyFont="1" applyBorder="1" applyAlignment="1">
      <alignment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1" fillId="0" borderId="10" xfId="60" applyFont="1" applyBorder="1" applyAlignment="1">
      <alignment horizontal="right" vertical="center"/>
      <protection/>
    </xf>
    <xf numFmtId="3" fontId="1" fillId="0" borderId="10" xfId="60" applyNumberFormat="1" applyFont="1" applyBorder="1" applyAlignment="1">
      <alignment vertic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/>
      <protection/>
    </xf>
    <xf numFmtId="3" fontId="0" fillId="0" borderId="1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" fillId="0" borderId="10" xfId="60" applyFont="1" applyBorder="1" applyAlignment="1">
      <alignment horizontal="left" vertical="center"/>
      <protection/>
    </xf>
    <xf numFmtId="3" fontId="18" fillId="0" borderId="10" xfId="60" applyNumberFormat="1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3" fillId="0" borderId="10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0" xfId="60" applyNumberFormat="1" applyFont="1" applyBorder="1" applyAlignment="1">
      <alignment vertical="center" wrapText="1"/>
      <protection/>
    </xf>
    <xf numFmtId="3" fontId="0" fillId="0" borderId="10" xfId="60" applyNumberFormat="1" applyBorder="1" applyAlignment="1">
      <alignment vertical="center"/>
      <protection/>
    </xf>
    <xf numFmtId="49" fontId="9" fillId="0" borderId="10" xfId="60" applyNumberFormat="1" applyFont="1" applyBorder="1" applyAlignment="1">
      <alignment vertical="center"/>
      <protection/>
    </xf>
    <xf numFmtId="0" fontId="9" fillId="0" borderId="10" xfId="60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 wrapText="1"/>
    </xf>
    <xf numFmtId="3" fontId="9" fillId="1" borderId="10" xfId="60" applyNumberFormat="1" applyFont="1" applyFill="1" applyBorder="1" applyAlignment="1">
      <alignment vertical="center"/>
      <protection/>
    </xf>
    <xf numFmtId="3" fontId="9" fillId="1" borderId="10" xfId="60" applyNumberFormat="1" applyFont="1" applyFill="1" applyBorder="1" applyAlignment="1">
      <alignment horizontal="center" vertical="center"/>
      <protection/>
    </xf>
    <xf numFmtId="3" fontId="6" fillId="0" borderId="10" xfId="60" applyNumberFormat="1" applyFont="1" applyBorder="1" applyAlignment="1">
      <alignment vertical="center"/>
      <protection/>
    </xf>
    <xf numFmtId="3" fontId="0" fillId="0" borderId="10" xfId="60" applyNumberFormat="1" applyFont="1" applyFill="1" applyBorder="1" applyAlignment="1">
      <alignment vertical="center"/>
      <protection/>
    </xf>
    <xf numFmtId="3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9" fillId="0" borderId="10" xfId="60" applyFont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vertical="center"/>
      <protection/>
    </xf>
    <xf numFmtId="0" fontId="39" fillId="0" borderId="10" xfId="60" applyFont="1" applyBorder="1" applyAlignment="1">
      <alignment vertical="center"/>
      <protection/>
    </xf>
    <xf numFmtId="0" fontId="40" fillId="0" borderId="10" xfId="60" applyFont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5" fillId="0" borderId="10" xfId="0" applyFont="1" applyBorder="1" applyAlignment="1">
      <alignment/>
    </xf>
    <xf numFmtId="3" fontId="42" fillId="0" borderId="10" xfId="60" applyNumberFormat="1" applyFont="1" applyBorder="1" applyAlignment="1">
      <alignment vertical="center"/>
      <protection/>
    </xf>
    <xf numFmtId="0" fontId="42" fillId="0" borderId="0" xfId="0" applyFont="1" applyAlignment="1">
      <alignment vertical="center"/>
    </xf>
    <xf numFmtId="0" fontId="9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 wrapText="1"/>
      <protection/>
    </xf>
    <xf numFmtId="3" fontId="9" fillId="0" borderId="10" xfId="60" applyNumberFormat="1" applyFont="1" applyBorder="1" applyAlignment="1">
      <alignment horizontal="right" vertical="center"/>
      <protection/>
    </xf>
    <xf numFmtId="3" fontId="3" fillId="0" borderId="10" xfId="60" applyNumberFormat="1" applyFont="1" applyBorder="1" applyAlignment="1">
      <alignment horizontal="right" vertical="center"/>
      <protection/>
    </xf>
    <xf numFmtId="0" fontId="5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3" fontId="8" fillId="0" borderId="10" xfId="60" applyNumberFormat="1" applyFont="1" applyBorder="1" applyAlignment="1">
      <alignment horizontal="right"/>
      <protection/>
    </xf>
    <xf numFmtId="3" fontId="0" fillId="0" borderId="10" xfId="60" applyNumberFormat="1" applyFont="1" applyBorder="1" applyAlignment="1">
      <alignment horizontal="right"/>
      <protection/>
    </xf>
    <xf numFmtId="0" fontId="0" fillId="0" borderId="10" xfId="60" applyFont="1" applyBorder="1" applyAlignment="1">
      <alignment wrapText="1"/>
      <protection/>
    </xf>
    <xf numFmtId="3" fontId="18" fillId="0" borderId="18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7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128" fillId="0" borderId="10" xfId="0" applyFont="1" applyFill="1" applyBorder="1" applyAlignment="1">
      <alignment vertical="center" wrapText="1"/>
    </xf>
    <xf numFmtId="14" fontId="128" fillId="0" borderId="10" xfId="0" applyNumberFormat="1" applyFont="1" applyFill="1" applyBorder="1" applyAlignment="1">
      <alignment horizontal="center" vertical="center" wrapText="1"/>
    </xf>
    <xf numFmtId="9" fontId="128" fillId="0" borderId="10" xfId="0" applyNumberFormat="1" applyFont="1" applyFill="1" applyBorder="1" applyAlignment="1">
      <alignment horizontal="center" vertical="center" wrapText="1"/>
    </xf>
    <xf numFmtId="3" fontId="128" fillId="0" borderId="10" xfId="0" applyNumberFormat="1" applyFont="1" applyFill="1" applyBorder="1" applyAlignment="1">
      <alignment vertical="center" wrapText="1"/>
    </xf>
    <xf numFmtId="3" fontId="128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28" fillId="0" borderId="10" xfId="0" applyFont="1" applyFill="1" applyBorder="1" applyAlignment="1">
      <alignment horizontal="center" vertical="center"/>
    </xf>
    <xf numFmtId="0" fontId="128" fillId="0" borderId="0" xfId="0" applyFont="1" applyFill="1" applyAlignment="1">
      <alignment vertical="center"/>
    </xf>
    <xf numFmtId="0" fontId="128" fillId="0" borderId="10" xfId="0" applyFont="1" applyFill="1" applyBorder="1" applyAlignment="1">
      <alignment horizontal="center" vertical="center" wrapText="1"/>
    </xf>
    <xf numFmtId="3" fontId="128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/>
    </xf>
    <xf numFmtId="0" fontId="128" fillId="0" borderId="10" xfId="0" applyFont="1" applyFill="1" applyBorder="1" applyAlignment="1">
      <alignment vertical="center"/>
    </xf>
    <xf numFmtId="3" fontId="12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3" fontId="12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128" fillId="0" borderId="10" xfId="0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 wrapText="1"/>
    </xf>
    <xf numFmtId="3" fontId="128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0" fillId="0" borderId="0" xfId="64" applyFont="1" applyAlignment="1">
      <alignment horizontal="left" wrapText="1"/>
      <protection/>
    </xf>
    <xf numFmtId="176" fontId="13" fillId="35" borderId="10" xfId="74" applyNumberFormat="1" applyFont="1" applyFill="1" applyBorder="1" applyAlignment="1" applyProtection="1">
      <alignment vertical="center"/>
      <protection locked="0"/>
    </xf>
    <xf numFmtId="176" fontId="22" fillId="35" borderId="10" xfId="74" applyNumberFormat="1" applyFont="1" applyFill="1" applyBorder="1" applyAlignment="1">
      <alignment vertical="center"/>
      <protection/>
    </xf>
    <xf numFmtId="0" fontId="9" fillId="0" borderId="16" xfId="73" applyFont="1" applyBorder="1" applyAlignment="1">
      <alignment horizontal="center" vertical="center" wrapText="1"/>
      <protection/>
    </xf>
    <xf numFmtId="0" fontId="9" fillId="0" borderId="11" xfId="73" applyFont="1" applyBorder="1" applyAlignment="1">
      <alignment horizontal="center" vertical="center" wrapText="1"/>
      <protection/>
    </xf>
    <xf numFmtId="0" fontId="1" fillId="0" borderId="12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1" fillId="0" borderId="16" xfId="73" applyFont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 wrapText="1"/>
      <protection/>
    </xf>
    <xf numFmtId="0" fontId="38" fillId="37" borderId="10" xfId="0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textRotation="89"/>
    </xf>
    <xf numFmtId="0" fontId="39" fillId="0" borderId="10" xfId="0" applyFont="1" applyBorder="1" applyAlignment="1">
      <alignment horizontal="center" vertical="center" textRotation="89"/>
    </xf>
    <xf numFmtId="0" fontId="40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6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textRotation="89"/>
    </xf>
    <xf numFmtId="0" fontId="5" fillId="0" borderId="10" xfId="0" applyFont="1" applyBorder="1" applyAlignment="1">
      <alignment horizontal="center" vertical="center" textRotation="89"/>
    </xf>
    <xf numFmtId="0" fontId="8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41" fillId="0" borderId="27" xfId="0" applyFont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0" fillId="0" borderId="16" xfId="0" applyFont="1" applyBorder="1" applyAlignment="1">
      <alignment horizontal="center" vertical="center" textRotation="89"/>
    </xf>
    <xf numFmtId="0" fontId="40" fillId="0" borderId="11" xfId="0" applyFont="1" applyBorder="1" applyAlignment="1">
      <alignment horizontal="center" vertical="center" textRotation="89"/>
    </xf>
    <xf numFmtId="0" fontId="40" fillId="0" borderId="16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9" fillId="0" borderId="16" xfId="75" applyFont="1" applyBorder="1" applyAlignment="1">
      <alignment horizontal="center" vertical="center" wrapText="1"/>
      <protection/>
    </xf>
    <xf numFmtId="0" fontId="9" fillId="0" borderId="11" xfId="75" applyFont="1" applyBorder="1" applyAlignment="1">
      <alignment horizontal="center" vertical="center" wrapText="1"/>
      <protection/>
    </xf>
    <xf numFmtId="0" fontId="6" fillId="0" borderId="16" xfId="75" applyFont="1" applyBorder="1" applyAlignment="1">
      <alignment horizontal="center" vertical="center" wrapText="1"/>
      <protection/>
    </xf>
    <xf numFmtId="0" fontId="6" fillId="0" borderId="11" xfId="75" applyFont="1" applyBorder="1" applyAlignment="1">
      <alignment horizontal="center" vertical="center" wrapText="1"/>
      <protection/>
    </xf>
    <xf numFmtId="0" fontId="9" fillId="0" borderId="10" xfId="75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0" fontId="9" fillId="0" borderId="10" xfId="73" applyFont="1" applyBorder="1" applyAlignment="1">
      <alignment horizontal="center" vertical="center" wrapText="1"/>
      <protection/>
    </xf>
    <xf numFmtId="0" fontId="38" fillId="0" borderId="18" xfId="60" applyFont="1" applyBorder="1" applyAlignment="1">
      <alignment horizontal="center" vertical="center"/>
      <protection/>
    </xf>
    <xf numFmtId="0" fontId="38" fillId="0" borderId="12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2" xfId="60" applyFont="1" applyBorder="1" applyAlignment="1">
      <alignment horizontal="center" vertical="center" wrapText="1"/>
      <protection/>
    </xf>
    <xf numFmtId="3" fontId="9" fillId="1" borderId="10" xfId="60" applyNumberFormat="1" applyFont="1" applyFill="1" applyBorder="1" applyAlignment="1">
      <alignment horizontal="center" vertical="center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12" xfId="60" applyFont="1" applyFill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3" fillId="0" borderId="16" xfId="73" applyFont="1" applyBorder="1" applyAlignment="1">
      <alignment horizontal="center" vertical="center" wrapText="1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40" fillId="0" borderId="10" xfId="60" applyFont="1" applyBorder="1" applyAlignment="1">
      <alignment horizontal="center" vertical="center" textRotation="90"/>
      <protection/>
    </xf>
    <xf numFmtId="0" fontId="38" fillId="0" borderId="10" xfId="60" applyFont="1" applyBorder="1" applyAlignment="1">
      <alignment horizontal="center" vertical="center"/>
      <protection/>
    </xf>
    <xf numFmtId="0" fontId="38" fillId="0" borderId="0" xfId="60" applyFont="1" applyAlignment="1">
      <alignment horizontal="center"/>
      <protection/>
    </xf>
    <xf numFmtId="0" fontId="38" fillId="0" borderId="0" xfId="60" applyFont="1" applyAlignment="1">
      <alignment horizontal="center" wrapText="1"/>
      <protection/>
    </xf>
    <xf numFmtId="0" fontId="1" fillId="0" borderId="18" xfId="60" applyFont="1" applyBorder="1" applyAlignment="1">
      <alignment horizontal="center" vertical="center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0" fillId="0" borderId="18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40" fillId="0" borderId="16" xfId="60" applyFont="1" applyBorder="1" applyAlignment="1">
      <alignment horizontal="center" vertical="center" textRotation="90"/>
      <protection/>
    </xf>
    <xf numFmtId="0" fontId="40" fillId="0" borderId="11" xfId="60" applyFont="1" applyBorder="1" applyAlignment="1">
      <alignment horizontal="center" vertical="center" textRotation="90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left" wrapText="1"/>
      <protection/>
    </xf>
    <xf numFmtId="0" fontId="0" fillId="0" borderId="12" xfId="60" applyFont="1" applyBorder="1" applyAlignment="1">
      <alignment horizontal="left" wrapText="1"/>
      <protection/>
    </xf>
    <xf numFmtId="0" fontId="0" fillId="0" borderId="18" xfId="60" applyFont="1" applyBorder="1" applyAlignment="1">
      <alignment horizontal="left"/>
      <protection/>
    </xf>
    <xf numFmtId="0" fontId="0" fillId="0" borderId="12" xfId="60" applyFont="1" applyBorder="1" applyAlignment="1">
      <alignment horizontal="left"/>
      <protection/>
    </xf>
    <xf numFmtId="0" fontId="50" fillId="0" borderId="18" xfId="60" applyFont="1" applyBorder="1" applyAlignment="1">
      <alignment horizontal="center" vertical="center"/>
      <protection/>
    </xf>
    <xf numFmtId="0" fontId="50" fillId="0" borderId="12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left" vertical="center" wrapText="1"/>
      <protection/>
    </xf>
    <xf numFmtId="0" fontId="8" fillId="0" borderId="12" xfId="60" applyFont="1" applyBorder="1" applyAlignment="1">
      <alignment horizontal="left" vertical="center" wrapText="1"/>
      <protection/>
    </xf>
    <xf numFmtId="0" fontId="5" fillId="0" borderId="18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8" fillId="0" borderId="18" xfId="60" applyFont="1" applyBorder="1" applyAlignment="1">
      <alignment horizontal="left" wrapText="1"/>
      <protection/>
    </xf>
    <xf numFmtId="0" fontId="8" fillId="0" borderId="12" xfId="60" applyFont="1" applyBorder="1" applyAlignment="1">
      <alignment horizontal="left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wrapText="1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38" fillId="0" borderId="16" xfId="60" applyFont="1" applyBorder="1" applyAlignment="1">
      <alignment horizontal="center"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0" xfId="60" applyFont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38" fillId="0" borderId="18" xfId="60" applyFont="1" applyBorder="1" applyAlignment="1">
      <alignment horizontal="center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38" fillId="0" borderId="12" xfId="6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textRotation="89"/>
    </xf>
    <xf numFmtId="0" fontId="40" fillId="0" borderId="11" xfId="0" applyFont="1" applyBorder="1" applyAlignment="1">
      <alignment horizontal="center" textRotation="89"/>
    </xf>
    <xf numFmtId="0" fontId="40" fillId="0" borderId="16" xfId="0" applyFont="1" applyBorder="1" applyAlignment="1">
      <alignment horizontal="center" textRotation="90"/>
    </xf>
    <xf numFmtId="0" fontId="40" fillId="0" borderId="1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73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" borderId="18" xfId="0" applyFont="1" applyFill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3" fillId="0" borderId="18" xfId="60" applyFont="1" applyBorder="1" applyAlignment="1">
      <alignment horizontal="left" wrapText="1"/>
      <protection/>
    </xf>
    <xf numFmtId="0" fontId="43" fillId="0" borderId="13" xfId="60" applyFont="1" applyBorder="1" applyAlignment="1">
      <alignment horizontal="left" wrapText="1"/>
      <protection/>
    </xf>
    <xf numFmtId="0" fontId="43" fillId="0" borderId="12" xfId="60" applyFont="1" applyBorder="1" applyAlignment="1">
      <alignment horizontal="left" wrapText="1"/>
      <protection/>
    </xf>
    <xf numFmtId="3" fontId="5" fillId="0" borderId="18" xfId="0" applyNumberFormat="1" applyFont="1" applyBorder="1" applyAlignment="1">
      <alignment horizontal="left" wrapText="1"/>
    </xf>
    <xf numFmtId="0" fontId="43" fillId="0" borderId="18" xfId="0" applyFont="1" applyBorder="1" applyAlignment="1">
      <alignment/>
    </xf>
    <xf numFmtId="0" fontId="43" fillId="0" borderId="10" xfId="60" applyFont="1" applyBorder="1" applyAlignment="1">
      <alignment wrapText="1"/>
      <protection/>
    </xf>
    <xf numFmtId="0" fontId="0" fillId="0" borderId="10" xfId="0" applyBorder="1" applyAlignment="1">
      <alignment/>
    </xf>
    <xf numFmtId="0" fontId="43" fillId="0" borderId="18" xfId="60" applyFont="1" applyBorder="1" applyAlignment="1">
      <alignment wrapText="1"/>
      <protection/>
    </xf>
    <xf numFmtId="0" fontId="64" fillId="0" borderId="18" xfId="60" applyFont="1" applyBorder="1" applyAlignment="1">
      <alignment horizontal="center"/>
      <protection/>
    </xf>
    <xf numFmtId="0" fontId="64" fillId="0" borderId="13" xfId="60" applyFont="1" applyBorder="1" applyAlignment="1">
      <alignment horizontal="center"/>
      <protection/>
    </xf>
    <xf numFmtId="0" fontId="64" fillId="0" borderId="12" xfId="60" applyFont="1" applyBorder="1" applyAlignment="1">
      <alignment horizontal="center"/>
      <protection/>
    </xf>
    <xf numFmtId="0" fontId="76" fillId="0" borderId="10" xfId="0" applyFont="1" applyBorder="1" applyAlignment="1">
      <alignment horizontal="right" wrapText="1"/>
    </xf>
    <xf numFmtId="0" fontId="61" fillId="0" borderId="12" xfId="60" applyFont="1" applyBorder="1" applyAlignment="1">
      <alignment horizontal="left" wrapText="1"/>
      <protection/>
    </xf>
    <xf numFmtId="0" fontId="61" fillId="0" borderId="10" xfId="60" applyFont="1" applyBorder="1" applyAlignment="1">
      <alignment horizontal="left" wrapText="1"/>
      <protection/>
    </xf>
    <xf numFmtId="0" fontId="52" fillId="0" borderId="18" xfId="60" applyFont="1" applyBorder="1" applyAlignment="1">
      <alignment horizontal="center" wrapText="1"/>
      <protection/>
    </xf>
    <xf numFmtId="0" fontId="52" fillId="0" borderId="13" xfId="60" applyFont="1" applyBorder="1" applyAlignment="1">
      <alignment horizontal="center" wrapText="1"/>
      <protection/>
    </xf>
    <xf numFmtId="0" fontId="52" fillId="0" borderId="12" xfId="60" applyFont="1" applyBorder="1" applyAlignment="1">
      <alignment horizontal="center" wrapText="1"/>
      <protection/>
    </xf>
    <xf numFmtId="0" fontId="76" fillId="0" borderId="18" xfId="0" applyFont="1" applyBorder="1" applyAlignment="1">
      <alignment horizontal="right" wrapText="1"/>
    </xf>
    <xf numFmtId="0" fontId="76" fillId="0" borderId="13" xfId="0" applyFont="1" applyBorder="1" applyAlignment="1">
      <alignment horizontal="right" wrapText="1"/>
    </xf>
    <xf numFmtId="0" fontId="76" fillId="0" borderId="12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52" fillId="0" borderId="12" xfId="60" applyFont="1" applyBorder="1" applyAlignment="1">
      <alignment horizontal="left" wrapText="1"/>
      <protection/>
    </xf>
    <xf numFmtId="0" fontId="52" fillId="0" borderId="10" xfId="60" applyFont="1" applyBorder="1" applyAlignment="1">
      <alignment horizontal="left" wrapText="1"/>
      <protection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18" xfId="60" applyFont="1" applyBorder="1">
      <alignment/>
      <protection/>
    </xf>
    <xf numFmtId="0" fontId="60" fillId="0" borderId="13" xfId="60" applyFont="1" applyBorder="1" applyAlignment="1">
      <alignment wrapText="1"/>
      <protection/>
    </xf>
    <xf numFmtId="0" fontId="33" fillId="0" borderId="13" xfId="0" applyFont="1" applyBorder="1" applyAlignment="1">
      <alignment/>
    </xf>
    <xf numFmtId="0" fontId="33" fillId="0" borderId="12" xfId="0" applyFont="1" applyBorder="1" applyAlignment="1">
      <alignment/>
    </xf>
    <xf numFmtId="3" fontId="5" fillId="0" borderId="18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3" fillId="0" borderId="18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9" fillId="0" borderId="18" xfId="60" applyFont="1" applyBorder="1" applyAlignment="1">
      <alignment wrapText="1"/>
      <protection/>
    </xf>
    <xf numFmtId="0" fontId="58" fillId="0" borderId="18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0" fillId="0" borderId="18" xfId="60" applyFont="1" applyBorder="1" applyAlignment="1">
      <alignment horizontal="left" wrapText="1"/>
      <protection/>
    </xf>
    <xf numFmtId="0" fontId="60" fillId="0" borderId="27" xfId="60" applyFont="1" applyBorder="1" applyAlignment="1">
      <alignment wrapText="1"/>
      <protection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59" fillId="0" borderId="18" xfId="60" applyFont="1" applyBorder="1" applyAlignment="1">
      <alignment horizontal="left" wrapText="1"/>
      <protection/>
    </xf>
    <xf numFmtId="0" fontId="1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3" fontId="35" fillId="0" borderId="18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53" fillId="0" borderId="18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0" xfId="74" applyFont="1" applyAlignment="1">
      <alignment horizontal="center" vertical="center" wrapText="1"/>
      <protection/>
    </xf>
    <xf numFmtId="0" fontId="21" fillId="0" borderId="0" xfId="74" applyFont="1" applyAlignment="1">
      <alignment horizontal="center" vertical="center"/>
      <protection/>
    </xf>
    <xf numFmtId="0" fontId="47" fillId="0" borderId="10" xfId="74" applyFont="1" applyBorder="1" applyAlignment="1">
      <alignment horizontal="left" vertical="center" indent="1"/>
      <protection/>
    </xf>
    <xf numFmtId="0" fontId="13" fillId="40" borderId="10" xfId="74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0" fontId="9" fillId="40" borderId="10" xfId="0" applyFont="1" applyFill="1" applyBorder="1" applyAlignment="1">
      <alignment vertical="center"/>
    </xf>
    <xf numFmtId="0" fontId="21" fillId="0" borderId="0" xfId="74" applyFont="1" applyAlignment="1">
      <alignment horizontal="center" wrapText="1"/>
      <protection/>
    </xf>
    <xf numFmtId="0" fontId="21" fillId="0" borderId="0" xfId="74" applyFont="1" applyAlignment="1">
      <alignment horizontal="center"/>
      <protection/>
    </xf>
    <xf numFmtId="0" fontId="47" fillId="0" borderId="18" xfId="74" applyFont="1" applyBorder="1" applyAlignment="1">
      <alignment horizontal="left" vertical="center" indent="1"/>
      <protection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1" fillId="0" borderId="0" xfId="74" applyFont="1" applyAlignment="1" applyProtection="1">
      <alignment horizontal="center"/>
      <protection locked="0"/>
    </xf>
    <xf numFmtId="3" fontId="21" fillId="0" borderId="0" xfId="74" applyNumberFormat="1" applyFont="1" applyAlignment="1" applyProtection="1">
      <alignment horizontal="center" wrapText="1"/>
      <protection locked="0"/>
    </xf>
    <xf numFmtId="3" fontId="21" fillId="0" borderId="0" xfId="74" applyNumberFormat="1" applyFont="1" applyAlignment="1" applyProtection="1">
      <alignment horizontal="center"/>
      <protection locked="0"/>
    </xf>
    <xf numFmtId="3" fontId="47" fillId="0" borderId="18" xfId="74" applyNumberFormat="1" applyFont="1" applyBorder="1" applyAlignment="1">
      <alignment horizontal="left" vertical="center" indent="1"/>
      <protection/>
    </xf>
    <xf numFmtId="3" fontId="0" fillId="0" borderId="13" xfId="0" applyNumberFormat="1" applyBorder="1" applyAlignment="1">
      <alignment horizontal="left" vertical="center" indent="1"/>
    </xf>
    <xf numFmtId="3" fontId="0" fillId="0" borderId="12" xfId="0" applyNumberFormat="1" applyBorder="1" applyAlignment="1">
      <alignment horizontal="left" vertical="center" indent="1"/>
    </xf>
    <xf numFmtId="0" fontId="15" fillId="0" borderId="0" xfId="69" applyFont="1" applyAlignment="1">
      <alignment horizontal="justify" vertical="center" wrapText="1"/>
      <protection/>
    </xf>
    <xf numFmtId="176" fontId="48" fillId="0" borderId="0" xfId="69" applyNumberFormat="1" applyFont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8" xfId="69" applyFont="1" applyBorder="1" applyAlignment="1">
      <alignment horizontal="left" vertical="center"/>
      <protection/>
    </xf>
    <xf numFmtId="0" fontId="48" fillId="0" borderId="12" xfId="69" applyFont="1" applyBorder="1" applyAlignment="1">
      <alignment horizontal="left" vertical="center"/>
      <protection/>
    </xf>
    <xf numFmtId="0" fontId="48" fillId="0" borderId="18" xfId="69" applyFont="1" applyBorder="1" applyAlignment="1">
      <alignment horizontal="left" vertical="center" wrapText="1"/>
      <protection/>
    </xf>
    <xf numFmtId="0" fontId="48" fillId="0" borderId="12" xfId="69" applyFont="1" applyBorder="1" applyAlignment="1">
      <alignment horizontal="left" vertical="center" wrapText="1"/>
      <protection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83" fillId="0" borderId="15" xfId="0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textRotation="89"/>
    </xf>
    <xf numFmtId="0" fontId="0" fillId="0" borderId="10" xfId="0" applyFont="1" applyBorder="1" applyAlignment="1">
      <alignment horizontal="center" textRotation="89"/>
    </xf>
    <xf numFmtId="0" fontId="8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6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84" fillId="0" borderId="2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85" fillId="0" borderId="20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49" fontId="88" fillId="0" borderId="18" xfId="0" applyNumberFormat="1" applyFont="1" applyBorder="1" applyAlignment="1">
      <alignment horizontal="right" vertical="center" wrapText="1"/>
    </xf>
    <xf numFmtId="49" fontId="88" fillId="0" borderId="12" xfId="0" applyNumberFormat="1" applyFont="1" applyBorder="1" applyAlignment="1">
      <alignment horizontal="right" vertical="center" wrapText="1"/>
    </xf>
    <xf numFmtId="49" fontId="86" fillId="0" borderId="18" xfId="0" applyNumberFormat="1" applyFont="1" applyBorder="1" applyAlignment="1">
      <alignment horizontal="right" vertical="center" wrapText="1"/>
    </xf>
    <xf numFmtId="49" fontId="86" fillId="0" borderId="12" xfId="0" applyNumberFormat="1" applyFont="1" applyBorder="1" applyAlignment="1">
      <alignment horizontal="right" vertical="center" wrapText="1"/>
    </xf>
    <xf numFmtId="0" fontId="88" fillId="0" borderId="18" xfId="0" applyFont="1" applyBorder="1" applyAlignment="1">
      <alignment horizontal="right" vertical="center"/>
    </xf>
    <xf numFmtId="0" fontId="88" fillId="0" borderId="12" xfId="0" applyFont="1" applyBorder="1" applyAlignment="1">
      <alignment horizontal="right" vertical="center"/>
    </xf>
    <xf numFmtId="0" fontId="83" fillId="0" borderId="18" xfId="0" applyFont="1" applyBorder="1" applyAlignment="1">
      <alignment horizontal="right" vertical="center"/>
    </xf>
    <xf numFmtId="0" fontId="83" fillId="0" borderId="12" xfId="0" applyFont="1" applyBorder="1" applyAlignment="1">
      <alignment horizontal="right" vertical="center"/>
    </xf>
    <xf numFmtId="0" fontId="88" fillId="0" borderId="18" xfId="0" applyFont="1" applyBorder="1" applyAlignment="1">
      <alignment horizontal="right" vertical="center" wrapText="1"/>
    </xf>
    <xf numFmtId="0" fontId="88" fillId="0" borderId="12" xfId="0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 4" xfId="62"/>
    <cellStyle name="Normál 5" xfId="63"/>
    <cellStyle name="Normál 5 2" xfId="64"/>
    <cellStyle name="Normál 6" xfId="65"/>
    <cellStyle name="Normál_ESZESZ - KIADÁSOK" xfId="66"/>
    <cellStyle name="Normal_KARSZJ3" xfId="67"/>
    <cellStyle name="Normál_KÖNYVTÁR - KIADÁSOK" xfId="68"/>
    <cellStyle name="Normál_KVRENMUNKA" xfId="69"/>
    <cellStyle name="Normál_Munka1" xfId="70"/>
    <cellStyle name="Normál_ÖK - BEVÉTELEK" xfId="71"/>
    <cellStyle name="Normál_PH - BEVÉTELEK" xfId="72"/>
    <cellStyle name="Normál_PH - KIADÁSOK" xfId="73"/>
    <cellStyle name="Normál_SEGEDLETEK" xfId="74"/>
    <cellStyle name="Normál_VSZ - KIADÁSOK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6\K&#214;LTS&#201;GVET&#201;S%202016\tervez&#233;s2016%20int&#233;zm&#233;nyi%20sz&#246;veges%20ktgvet&#233;s\1.fordul&#243;%202016.01.28\PH\1.fordul&#243;%20PH%202016%20rendelet%20szerk-b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&#218;j%20mappa\&#214;K%202019%20KTGV%20t&#225;bl&#225;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TERVEZETmell.2015.&#233;vi%20ktgvm&#243;d5.%20%20....2015.(X.02.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mell.15.2016.&#233;vi%20ktgv.m&#243;d3%202016.09.29-r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1.2019.(II.1.)mell.rendelet%202018.&#233;viktgvm&#243;d7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6\K&#214;LTS&#201;GVET&#201;S%202016\tervez&#233;s2016%20int&#233;zm&#233;nyi%20sz&#246;veges%20ktgvet&#233;s\1.fordul&#243;%202016.01.28\ESZESZ\1.fordul&#243;%20ESZESZ%202016%20korm&#225;nyzati%20funk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1.31\2019ktgv.m&#243;d7.2018.&#233;vi\VSZ%202018%20KTGV\VSZ%202018%20KTGV%20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1.31\2019ktgv.m&#243;d7.2018.&#233;vi\1.2019.(II.1.)ktgvm&#243;d.7\21.2018.(XI.22.)mell.rendelet%20ktgvm&#243;d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2019.&#233;vi%20ktgv%20&#246;sszes&#237;tett\2019.&#233;vi%20ktgv.TERV%20int&#233;zm&#233;nyenk&#233;nt%20&#233;s%20&#246;sszes&#237;tve%20-%20r&#233;szle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&#218;j%20mappa\PH%202019%20KTGV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.....2019.(.....%20)mell.rendelet%20ktgvm&#243;d1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2019.&#233;vi%20TERV%20k&#233;pvisel&#337;knek\2019-%20&#233;vi%20ktgv%20TERV%20r&#233;szletes%20sz&#246;veges%20mell&#233;klet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2019\2019.TEST&#220;LETI%20&#220;L&#201;SEK\2019.05\MARADV&#193;NY%202018\K&#233;pvisel&#337;knek%20elk&#252;ldve%202019\2019.&#233;vi%20ktgv.TERV%20int&#233;zm&#233;nyenk&#233;nt%20&#233;s%20&#246;sszes&#237;tve%20-%20r&#233;szle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1.mell. bevétel"/>
      <sheetName val="2.mell. kiadás"/>
      <sheetName val="3.mell"/>
      <sheetName val="4.mell."/>
      <sheetName val="4A melléklet"/>
      <sheetName val="5.mell. átadott"/>
      <sheetName val="6.mell. segélyek"/>
      <sheetName val="7.mell. felhalmozási kiadás"/>
      <sheetName val="8.mell. felhalmozási bevétel"/>
      <sheetName val="9.mell. felh.mérleg"/>
      <sheetName val="Munka2"/>
      <sheetName val="10.mell. állami 2015."/>
      <sheetName val="11.mell. ph ök kiad.korm.funkc"/>
      <sheetName val="12.mell korm.funkc ök össz"/>
      <sheetName val="13.mell közösségi ellátás"/>
      <sheetName val="14.mell. saját bevétel"/>
      <sheetName val="15.mell. ÖK finansz."/>
      <sheetName val="16.mell. likviditási terv"/>
      <sheetName val="17.mell. PH ei.felh."/>
      <sheetName val="18.mell. eszesz finterv"/>
      <sheetName val="19.mell. vsz finterv"/>
      <sheetName val="20.mell. könyvtár fin terv"/>
      <sheetName val="21.mell. több éves"/>
      <sheetName val="22.mell. bevételek 2015-2018"/>
      <sheetName val="23.mell. kiadások 2015-2018"/>
      <sheetName val="MINTA Hatásvizsgálat"/>
    </sheetNames>
    <sheetDataSet>
      <sheetData sheetId="1">
        <row r="42">
          <cell r="G42">
            <v>0</v>
          </cell>
        </row>
      </sheetData>
      <sheetData sheetId="2">
        <row r="62">
          <cell r="G62">
            <v>0</v>
          </cell>
        </row>
        <row r="76">
          <cell r="G76">
            <v>0</v>
          </cell>
        </row>
        <row r="80">
          <cell r="G8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9 KTGV összesítő"/>
      <sheetName val="2019 BEVÉTELEK ÖK"/>
      <sheetName val="Munka1"/>
      <sheetName val="Munka2"/>
      <sheetName val="Munka4"/>
      <sheetName val="2019 KIADÁSOK ÖK"/>
      <sheetName val="2019ÖK BÉR"/>
      <sheetName val="STYLE"/>
      <sheetName val="2019. évi szöveges beszámolóhoz"/>
      <sheetName val="Munka3"/>
    </sheetNames>
    <sheetDataSet>
      <sheetData sheetId="3">
        <row r="19">
          <cell r="D19">
            <v>224183</v>
          </cell>
          <cell r="E19">
            <v>257313</v>
          </cell>
          <cell r="F19">
            <v>251835</v>
          </cell>
          <cell r="H19">
            <v>164960</v>
          </cell>
          <cell r="I19">
            <v>185387</v>
          </cell>
          <cell r="J19">
            <v>182761</v>
          </cell>
          <cell r="L19">
            <v>24113</v>
          </cell>
          <cell r="M19">
            <v>32409</v>
          </cell>
          <cell r="N19">
            <v>28335</v>
          </cell>
          <cell r="S19">
            <v>137102</v>
          </cell>
          <cell r="T19">
            <v>152941</v>
          </cell>
          <cell r="U19">
            <v>133572</v>
          </cell>
          <cell r="W19">
            <v>437641.7</v>
          </cell>
          <cell r="X19">
            <v>2912839</v>
          </cell>
          <cell r="Y19">
            <v>1282685</v>
          </cell>
          <cell r="AC19">
            <v>987999.7</v>
          </cell>
          <cell r="AD19">
            <v>3540889</v>
          </cell>
          <cell r="AE19">
            <v>1879188</v>
          </cell>
          <cell r="AF19">
            <v>1158740.7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1.mell. bevétel"/>
      <sheetName val="2.mell. kiadás"/>
      <sheetName val="3.mell"/>
      <sheetName val="4.mell."/>
      <sheetName val="4A melléklet"/>
      <sheetName val="5.mell."/>
      <sheetName val="6.mell.segélyek"/>
      <sheetName val="7.mell."/>
      <sheetName val="8.mell. felhalmozási bevétel"/>
      <sheetName val="9.mell. felh.mérleg"/>
      <sheetName val="állami"/>
      <sheetName val="11.mell. ph ök kiad.korm.funkc"/>
      <sheetName val="12.mell korm.funkc ök össz"/>
      <sheetName val="13.mell közösségi ellátás"/>
      <sheetName val="14.mell. saját bevétel"/>
      <sheetName val="15.mell.ÖK ei felhaszn.terv"/>
      <sheetName val="16.mell. likviditási terv"/>
      <sheetName val="17.mell. PH ei.felh."/>
      <sheetName val="18.mell. eszesz finterv"/>
      <sheetName val="19.mell. vsz finterv"/>
      <sheetName val="20.mell. könyvtár fin terv"/>
      <sheetName val="21.mell. több éves"/>
      <sheetName val="22.mell. bevételek 2015-2018"/>
      <sheetName val="23.mell. kiadások 2015-2018"/>
      <sheetName val="MINTA Hatásvizsgálat"/>
    </sheetNames>
    <sheetDataSet>
      <sheetData sheetId="1">
        <row r="42">
          <cell r="C42" t="str">
            <v>Felhalmozási célú támogatások államháztartáson belülről</v>
          </cell>
        </row>
        <row r="67">
          <cell r="C67" t="str">
            <v>Felhalmozási bevételek</v>
          </cell>
        </row>
        <row r="73">
          <cell r="C73" t="str">
            <v>Felhalmozási célú átvett pénzeszközök</v>
          </cell>
        </row>
      </sheetData>
      <sheetData sheetId="4">
        <row r="17">
          <cell r="F17">
            <v>0</v>
          </cell>
          <cell r="I17">
            <v>0</v>
          </cell>
          <cell r="L17">
            <v>0</v>
          </cell>
        </row>
      </sheetData>
      <sheetData sheetId="8">
        <row r="44">
          <cell r="C44" t="str">
            <v>Egyéb felhalmozási célú kiadások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4.mell."/>
      <sheetName val="4A melléklet"/>
      <sheetName val="5.mell.települési támog."/>
      <sheetName val="6.mell. felhalmozási kiadás"/>
      <sheetName val="7.mell. felh.mérleg"/>
      <sheetName val="8.mell. ph ök kiad.korm.funkc"/>
      <sheetName val="9.mell korm.funkc ök össz"/>
      <sheetName val="10.mell. ÖK finansz."/>
      <sheetName val="11.mell. likviditási terv"/>
      <sheetName val="12.mell. PH ei.felh."/>
      <sheetName val="13.mell. eszesz finterv"/>
      <sheetName val="14.mell. vsz finterv"/>
      <sheetName val="15.mell. könyvtár fin terv"/>
      <sheetName val="16.mell."/>
    </sheetNames>
    <sheetDataSet>
      <sheetData sheetId="3">
        <row r="8">
          <cell r="I8">
            <v>0</v>
          </cell>
        </row>
        <row r="9">
          <cell r="I9">
            <v>0</v>
          </cell>
        </row>
        <row r="13">
          <cell r="I1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3. össz"/>
      <sheetName val="4.mell."/>
      <sheetName val="4. össz."/>
      <sheetName val="4A melléklet"/>
      <sheetName val="5.mell. átadott"/>
      <sheetName val="6.mell."/>
      <sheetName val="7.mell. felhalmozási kiadások"/>
      <sheetName val="8.mell. felhalm.bevétel"/>
      <sheetName val="9.mell. felh.mérleg"/>
      <sheetName val="10.mell. ph ök kiad.korm.funkc"/>
      <sheetName val="11.mell korm.funkc ök össz"/>
      <sheetName val="12.mell. ÖK finansz."/>
      <sheetName val="13.mell. likviditási terv"/>
      <sheetName val="14.mell. PH "/>
      <sheetName val="15.mell. ESZESZ"/>
      <sheetName val="16.mell. VSZ"/>
      <sheetName val="17.mell. KÖNYVTÁR"/>
    </sheetNames>
    <sheetDataSet>
      <sheetData sheetId="2">
        <row r="11">
          <cell r="O11">
            <v>0</v>
          </cell>
        </row>
      </sheetData>
      <sheetData sheetId="12">
        <row r="10">
          <cell r="G10">
            <v>0</v>
          </cell>
        </row>
        <row r="11">
          <cell r="G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össz.BEVÉTEL"/>
      <sheetName val="össz.KIADÁS"/>
      <sheetName val="háziorvos"/>
      <sheetName val="fogorvos"/>
      <sheetName val="labor"/>
      <sheetName val="fiziko"/>
      <sheetName val="védőnő"/>
      <sheetName val="ifj.védőnő"/>
      <sheetName val="szoc.étk."/>
      <sheetName val="hsny."/>
      <sheetName val="nappali"/>
      <sheetName val="demens"/>
      <sheetName val="gyerekház"/>
      <sheetName val="családs.és gyerekjólét"/>
      <sheetName val="közösségi"/>
      <sheetName val="13.melléklet közösségi ellátás"/>
      <sheetName val="3.mell"/>
      <sheetName val="4.mell."/>
      <sheetName val="4A melléklet"/>
      <sheetName val="5.mell. átadott"/>
      <sheetName val="6.mell. segélyek"/>
      <sheetName val="7.mell. felhalmozási kiadás"/>
      <sheetName val="8.mell. felhalmozási bevétel"/>
      <sheetName val="9.mell. felh.mérleg"/>
      <sheetName val="Munka2"/>
      <sheetName val="10.mell. állami 2015."/>
      <sheetName val="11.mell. ph ök kiad.korm.funkc"/>
      <sheetName val="12.mell korm.funkc ök össz"/>
      <sheetName val="14.mell. saját bevétel"/>
      <sheetName val="18.mell. eszesz finterv"/>
    </sheetNames>
    <sheetDataSet>
      <sheetData sheetId="4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5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6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  <sheetData sheetId="7">
        <row r="59">
          <cell r="D59">
            <v>0</v>
          </cell>
        </row>
        <row r="61">
          <cell r="D61">
            <v>0</v>
          </cell>
        </row>
        <row r="71">
          <cell r="D71">
            <v>0</v>
          </cell>
        </row>
        <row r="73">
          <cell r="D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2018 bevétel rész.VSZ"/>
      <sheetName val="2018 kiadás részl.VSZ"/>
      <sheetName val="2018 VSZ BEVÉTEL"/>
      <sheetName val="2018 vsz FINANSZBEVÉTEL"/>
      <sheetName val="2018 VSZ KIADÁS"/>
      <sheetName val="2018 VSZ BÉR"/>
      <sheetName val="STYLE"/>
    </sheetNames>
    <sheetDataSet>
      <sheetData sheetId="1">
        <row r="10">
          <cell r="G10">
            <v>0</v>
          </cell>
        </row>
        <row r="12">
          <cell r="G12">
            <v>0</v>
          </cell>
        </row>
        <row r="49">
          <cell r="G49">
            <v>0</v>
          </cell>
        </row>
        <row r="51">
          <cell r="G51">
            <v>0</v>
          </cell>
        </row>
        <row r="53">
          <cell r="G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3. össz"/>
      <sheetName val="4.mell."/>
      <sheetName val="4. össz."/>
      <sheetName val="4A melléklet"/>
      <sheetName val="5.mell. felhalmozási kiadások"/>
      <sheetName val="6.mell. felh.mérleg"/>
      <sheetName val="7.mell. ph ök kiad.korm.funkc"/>
      <sheetName val="8.mell korm.funkc ök össz"/>
      <sheetName val="9.mell. ÖK finansz."/>
      <sheetName val="10.mell. likviditási terv"/>
      <sheetName val="11.mell saját bev."/>
      <sheetName val="12.mell több éves"/>
      <sheetName val="13.mell.BEVÉTEL"/>
      <sheetName val="14.mell.KIADÁS"/>
    </sheetNames>
    <sheetDataSet>
      <sheetData sheetId="0">
        <row r="7">
          <cell r="I7">
            <v>802662</v>
          </cell>
        </row>
        <row r="91">
          <cell r="I91">
            <v>147077</v>
          </cell>
        </row>
        <row r="97">
          <cell r="I97">
            <v>165452</v>
          </cell>
        </row>
        <row r="99">
          <cell r="I99">
            <v>23000</v>
          </cell>
        </row>
        <row r="100">
          <cell r="I100">
            <v>121000</v>
          </cell>
        </row>
        <row r="107">
          <cell r="I107">
            <v>144204</v>
          </cell>
        </row>
        <row r="162">
          <cell r="I162">
            <v>7400</v>
          </cell>
        </row>
        <row r="172">
          <cell r="I172">
            <v>208</v>
          </cell>
        </row>
        <row r="177">
          <cell r="I177">
            <v>1354</v>
          </cell>
        </row>
        <row r="182">
          <cell r="I182">
            <v>2204502</v>
          </cell>
        </row>
        <row r="184">
          <cell r="I184">
            <v>8829</v>
          </cell>
        </row>
      </sheetData>
      <sheetData sheetId="1">
        <row r="7">
          <cell r="I7">
            <v>618528.7</v>
          </cell>
        </row>
        <row r="38">
          <cell r="I38">
            <v>99560</v>
          </cell>
        </row>
        <row r="63">
          <cell r="I63">
            <v>406217</v>
          </cell>
        </row>
        <row r="164">
          <cell r="I164">
            <v>17500</v>
          </cell>
        </row>
        <row r="170">
          <cell r="I170">
            <v>47222</v>
          </cell>
        </row>
        <row r="197">
          <cell r="I197">
            <v>2015320</v>
          </cell>
        </row>
        <row r="239">
          <cell r="I239">
            <v>254568</v>
          </cell>
        </row>
        <row r="258">
          <cell r="I258">
            <v>1116</v>
          </cell>
        </row>
        <row r="265">
          <cell r="I265">
            <v>12827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nk.összesen"/>
      <sheetName val="KIADÁSOK Önk.összesen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1">
        <row r="208">
          <cell r="D208">
            <v>987999.7</v>
          </cell>
          <cell r="E208">
            <v>3540889.17</v>
          </cell>
          <cell r="F208">
            <v>1886098.6400000001</v>
          </cell>
          <cell r="G208">
            <v>1158740.7</v>
          </cell>
        </row>
      </sheetData>
      <sheetData sheetId="2">
        <row r="16">
          <cell r="E16">
            <v>2105</v>
          </cell>
          <cell r="F16">
            <v>1955</v>
          </cell>
          <cell r="G16">
            <v>1900</v>
          </cell>
        </row>
        <row r="17">
          <cell r="E17">
            <v>2143</v>
          </cell>
          <cell r="F17">
            <v>1826</v>
          </cell>
          <cell r="G17">
            <v>2300</v>
          </cell>
        </row>
        <row r="18">
          <cell r="E18">
            <v>3100</v>
          </cell>
          <cell r="F18">
            <v>2527</v>
          </cell>
          <cell r="G18">
            <v>2297</v>
          </cell>
        </row>
        <row r="19">
          <cell r="E19">
            <v>2400</v>
          </cell>
          <cell r="F19">
            <v>2332</v>
          </cell>
          <cell r="G19">
            <v>2835</v>
          </cell>
        </row>
        <row r="20">
          <cell r="E20">
            <v>4789</v>
          </cell>
          <cell r="F20">
            <v>3045</v>
          </cell>
          <cell r="G20">
            <v>2346</v>
          </cell>
        </row>
        <row r="21">
          <cell r="E21">
            <v>3010</v>
          </cell>
          <cell r="F21">
            <v>2825</v>
          </cell>
          <cell r="G21">
            <v>2213</v>
          </cell>
        </row>
        <row r="22">
          <cell r="E22">
            <v>34631</v>
          </cell>
          <cell r="F22">
            <v>34630</v>
          </cell>
          <cell r="G22">
            <v>32608</v>
          </cell>
        </row>
        <row r="23">
          <cell r="E23">
            <v>1680</v>
          </cell>
          <cell r="F23">
            <v>1680</v>
          </cell>
          <cell r="G23">
            <v>1650</v>
          </cell>
        </row>
        <row r="24">
          <cell r="E24">
            <v>14004</v>
          </cell>
          <cell r="F24">
            <v>13599</v>
          </cell>
          <cell r="G24">
            <v>12235</v>
          </cell>
        </row>
        <row r="25">
          <cell r="E25">
            <v>0</v>
          </cell>
          <cell r="F25">
            <v>0</v>
          </cell>
          <cell r="G25">
            <v>2486</v>
          </cell>
        </row>
        <row r="26">
          <cell r="E26">
            <v>1</v>
          </cell>
          <cell r="F26">
            <v>0</v>
          </cell>
          <cell r="G26">
            <v>1</v>
          </cell>
        </row>
        <row r="27">
          <cell r="E27">
            <v>570</v>
          </cell>
          <cell r="F27">
            <v>566</v>
          </cell>
          <cell r="G27">
            <v>100</v>
          </cell>
        </row>
      </sheetData>
      <sheetData sheetId="4">
        <row r="10">
          <cell r="D10">
            <v>46000</v>
          </cell>
          <cell r="E10">
            <v>53327</v>
          </cell>
          <cell r="F10">
            <v>53326</v>
          </cell>
          <cell r="G10">
            <v>48000</v>
          </cell>
        </row>
        <row r="25">
          <cell r="E25">
            <v>198</v>
          </cell>
          <cell r="F25">
            <v>198</v>
          </cell>
          <cell r="G25">
            <v>200</v>
          </cell>
        </row>
        <row r="26">
          <cell r="E26">
            <v>2247</v>
          </cell>
          <cell r="F26">
            <v>1803</v>
          </cell>
          <cell r="G26">
            <v>1417</v>
          </cell>
        </row>
        <row r="27">
          <cell r="E27">
            <v>8300</v>
          </cell>
          <cell r="F27">
            <v>7871</v>
          </cell>
          <cell r="G27">
            <v>8125</v>
          </cell>
        </row>
        <row r="28">
          <cell r="E28">
            <v>2781</v>
          </cell>
          <cell r="F28">
            <v>1596</v>
          </cell>
          <cell r="G28">
            <v>2630</v>
          </cell>
        </row>
        <row r="29">
          <cell r="E29">
            <v>1596</v>
          </cell>
          <cell r="F29">
            <v>1439</v>
          </cell>
          <cell r="G29">
            <v>500</v>
          </cell>
        </row>
        <row r="30">
          <cell r="E30">
            <v>1</v>
          </cell>
          <cell r="F30">
            <v>0</v>
          </cell>
          <cell r="G30">
            <v>1</v>
          </cell>
        </row>
        <row r="31">
          <cell r="E31">
            <v>510</v>
          </cell>
          <cell r="F31">
            <v>510</v>
          </cell>
          <cell r="G31">
            <v>200</v>
          </cell>
        </row>
      </sheetData>
      <sheetData sheetId="6">
        <row r="21">
          <cell r="E21">
            <v>778</v>
          </cell>
          <cell r="F21">
            <v>633</v>
          </cell>
          <cell r="G21">
            <v>1000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1</v>
          </cell>
          <cell r="F23">
            <v>0</v>
          </cell>
          <cell r="G23">
            <v>1</v>
          </cell>
        </row>
        <row r="24">
          <cell r="E24">
            <v>900</v>
          </cell>
          <cell r="F24">
            <v>750</v>
          </cell>
          <cell r="G24">
            <v>1000</v>
          </cell>
        </row>
      </sheetData>
      <sheetData sheetId="8">
        <row r="17">
          <cell r="E17">
            <v>657</v>
          </cell>
          <cell r="F17">
            <v>738</v>
          </cell>
          <cell r="G17">
            <v>800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2942</v>
          </cell>
          <cell r="F19">
            <v>2472</v>
          </cell>
          <cell r="G19">
            <v>2500</v>
          </cell>
        </row>
        <row r="20">
          <cell r="E20">
            <v>1604</v>
          </cell>
          <cell r="F20">
            <v>1556</v>
          </cell>
          <cell r="G20">
            <v>2150</v>
          </cell>
        </row>
        <row r="21">
          <cell r="E21">
            <v>3169</v>
          </cell>
          <cell r="F21">
            <v>2771</v>
          </cell>
          <cell r="G21">
            <v>2766</v>
          </cell>
        </row>
        <row r="22">
          <cell r="E22">
            <v>1244</v>
          </cell>
          <cell r="F22">
            <v>1042</v>
          </cell>
          <cell r="G22">
            <v>1327</v>
          </cell>
        </row>
        <row r="23">
          <cell r="E23">
            <v>179</v>
          </cell>
          <cell r="F23">
            <v>199</v>
          </cell>
          <cell r="G23">
            <v>215</v>
          </cell>
        </row>
        <row r="25">
          <cell r="E25">
            <v>1</v>
          </cell>
          <cell r="F25">
            <v>0</v>
          </cell>
          <cell r="G25">
            <v>1</v>
          </cell>
        </row>
        <row r="26">
          <cell r="E26">
            <v>3101</v>
          </cell>
          <cell r="F26">
            <v>2907</v>
          </cell>
          <cell r="G26">
            <v>2580</v>
          </cell>
        </row>
      </sheetData>
      <sheetData sheetId="10">
        <row r="10">
          <cell r="G10">
            <v>658731</v>
          </cell>
        </row>
        <row r="80">
          <cell r="G80">
            <v>28967</v>
          </cell>
        </row>
        <row r="118">
          <cell r="G118">
            <v>13600</v>
          </cell>
        </row>
        <row r="119">
          <cell r="G119">
            <v>1931</v>
          </cell>
        </row>
        <row r="120">
          <cell r="G120">
            <v>700</v>
          </cell>
        </row>
        <row r="121">
          <cell r="G121">
            <v>100</v>
          </cell>
        </row>
        <row r="122">
          <cell r="G122">
            <v>10500</v>
          </cell>
        </row>
        <row r="123">
          <cell r="G123">
            <v>7244</v>
          </cell>
        </row>
        <row r="124">
          <cell r="G124">
            <v>675</v>
          </cell>
        </row>
        <row r="125">
          <cell r="G125">
            <v>1017</v>
          </cell>
        </row>
        <row r="126">
          <cell r="G126">
            <v>5</v>
          </cell>
        </row>
        <row r="127">
          <cell r="G127">
            <v>500</v>
          </cell>
        </row>
        <row r="128">
          <cell r="G128">
            <v>675</v>
          </cell>
        </row>
        <row r="148">
          <cell r="G148">
            <v>120000</v>
          </cell>
        </row>
      </sheetData>
      <sheetData sheetId="11">
        <row r="187">
          <cell r="H187">
            <v>74800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9 KTGV összesítő"/>
      <sheetName val="2019 bevétel rész.PH"/>
      <sheetName val="2019 kiadás részl.PH"/>
      <sheetName val="Munka1"/>
      <sheetName val="vált.végeges 2018 PH Bér"/>
      <sheetName val="STYLE"/>
      <sheetName val="Munka3"/>
      <sheetName val="Istvánnak"/>
      <sheetName val="Munka5"/>
      <sheetName val="Munka8"/>
      <sheetName val="Munka7"/>
      <sheetName val="Munka6"/>
      <sheetName val="Munka4"/>
      <sheetName val="Munka2"/>
      <sheetName val="igazgatás"/>
      <sheetName val="közterületfelügyelő"/>
      <sheetName val="finansz"/>
    </sheetNames>
    <sheetDataSet>
      <sheetData sheetId="1">
        <row r="14">
          <cell r="D14">
            <v>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mell. BEVÉTEL"/>
      <sheetName val="2.mell. KIADÁS"/>
      <sheetName val="3.mell"/>
      <sheetName val="3. össz"/>
      <sheetName val="4.mell."/>
      <sheetName val="4. össz."/>
      <sheetName val="5. ellátotak p.jutt."/>
      <sheetName val="6.átadott "/>
      <sheetName val="7.felhalmozási kiadások"/>
      <sheetName val="8.mell. felh.mérleg"/>
      <sheetName val="9.mell.közg.mérleg"/>
      <sheetName val="10.mell.állami 2019"/>
      <sheetName val="10.EU-pályázatok és egyéb"/>
      <sheetName val="11.mell korm.funkc ök össz"/>
      <sheetName val="12.mell.vsz finterv"/>
      <sheetName val="13.mell. eszesz finterv"/>
      <sheetName val="14.mell. könyvtár fin terv"/>
      <sheetName val="15.mell. PH ei.felh."/>
      <sheetName val="16.mell. ÖK finansz."/>
      <sheetName val="17.mell. likviditási terv"/>
      <sheetName val="19.mell. saját bevétel"/>
      <sheetName val="20.mell. több éves"/>
      <sheetName val="21.mell. előzetes adatszolg-hoz"/>
      <sheetName val="22.mell közösségi ellátás"/>
      <sheetName val="23.mell. KÖZVETETT támog"/>
      <sheetName val="24.mell. Bevételek 2020-2022."/>
      <sheetName val="25.mell. Kiadások 2020-2022."/>
    </sheetNames>
    <sheetDataSet>
      <sheetData sheetId="0">
        <row r="7">
          <cell r="I7">
            <v>656925</v>
          </cell>
        </row>
        <row r="93">
          <cell r="G93">
            <v>161</v>
          </cell>
          <cell r="H93">
            <v>0</v>
          </cell>
          <cell r="I93">
            <v>161</v>
          </cell>
        </row>
        <row r="101">
          <cell r="I101">
            <v>178200</v>
          </cell>
        </row>
        <row r="112">
          <cell r="I112">
            <v>127332</v>
          </cell>
        </row>
        <row r="161">
          <cell r="G161">
            <v>5750</v>
          </cell>
          <cell r="H161">
            <v>0</v>
          </cell>
          <cell r="I161">
            <v>5750</v>
          </cell>
        </row>
        <row r="165">
          <cell r="I165">
            <v>78</v>
          </cell>
        </row>
        <row r="167">
          <cell r="G167">
            <v>1260</v>
          </cell>
          <cell r="H167">
            <v>0</v>
          </cell>
          <cell r="I167">
            <v>1260</v>
          </cell>
        </row>
        <row r="170">
          <cell r="I170">
            <v>1727675</v>
          </cell>
        </row>
      </sheetData>
      <sheetData sheetId="1">
        <row r="7">
          <cell r="I7">
            <v>516807.7</v>
          </cell>
        </row>
        <row r="35">
          <cell r="I35">
            <v>89336</v>
          </cell>
        </row>
        <row r="79">
          <cell r="I79">
            <v>390666</v>
          </cell>
        </row>
        <row r="129">
          <cell r="I129">
            <v>15200</v>
          </cell>
        </row>
        <row r="130">
          <cell r="G130">
            <v>4500</v>
          </cell>
        </row>
        <row r="131">
          <cell r="G131">
            <v>3000</v>
          </cell>
        </row>
        <row r="132">
          <cell r="G132">
            <v>700</v>
          </cell>
        </row>
        <row r="133">
          <cell r="G133">
            <v>7000</v>
          </cell>
        </row>
        <row r="134">
          <cell r="I134">
            <v>48223</v>
          </cell>
        </row>
        <row r="135">
          <cell r="G135">
            <v>1700</v>
          </cell>
        </row>
        <row r="136">
          <cell r="G136">
            <v>14699</v>
          </cell>
        </row>
        <row r="137">
          <cell r="G137">
            <v>10797</v>
          </cell>
        </row>
        <row r="138">
          <cell r="G138">
            <v>88</v>
          </cell>
        </row>
        <row r="139">
          <cell r="G139">
            <v>700</v>
          </cell>
        </row>
        <row r="140">
          <cell r="G140">
            <v>10009</v>
          </cell>
        </row>
        <row r="141">
          <cell r="G141">
            <v>4392</v>
          </cell>
        </row>
        <row r="142">
          <cell r="G142">
            <v>3280</v>
          </cell>
        </row>
        <row r="143">
          <cell r="G143">
            <v>113</v>
          </cell>
        </row>
        <row r="144">
          <cell r="G144">
            <v>403</v>
          </cell>
        </row>
        <row r="145">
          <cell r="G145">
            <v>596</v>
          </cell>
        </row>
        <row r="146">
          <cell r="G146">
            <v>1000</v>
          </cell>
        </row>
        <row r="147">
          <cell r="G147">
            <v>5500</v>
          </cell>
        </row>
        <row r="148">
          <cell r="G148">
            <v>5000</v>
          </cell>
        </row>
        <row r="149">
          <cell r="G149">
            <v>4000</v>
          </cell>
        </row>
        <row r="151">
          <cell r="G151">
            <v>150</v>
          </cell>
        </row>
        <row r="152">
          <cell r="G152">
            <v>960</v>
          </cell>
        </row>
        <row r="155">
          <cell r="G155">
            <v>25</v>
          </cell>
        </row>
        <row r="162">
          <cell r="G162">
            <v>81156</v>
          </cell>
          <cell r="H162">
            <v>1299153</v>
          </cell>
          <cell r="I162">
            <v>1380309</v>
          </cell>
        </row>
        <row r="164">
          <cell r="E164">
            <v>1368</v>
          </cell>
          <cell r="G164">
            <v>630</v>
          </cell>
        </row>
        <row r="165">
          <cell r="G165">
            <v>570</v>
          </cell>
        </row>
        <row r="167">
          <cell r="E167">
            <v>7130.45</v>
          </cell>
        </row>
        <row r="168">
          <cell r="E168">
            <v>2133</v>
          </cell>
          <cell r="G168">
            <v>555</v>
          </cell>
        </row>
        <row r="169">
          <cell r="E169">
            <v>4997.45</v>
          </cell>
          <cell r="G169">
            <v>445</v>
          </cell>
        </row>
        <row r="171">
          <cell r="E171">
            <v>595</v>
          </cell>
        </row>
        <row r="172">
          <cell r="E172">
            <v>595</v>
          </cell>
          <cell r="G172">
            <v>338</v>
          </cell>
        </row>
        <row r="173">
          <cell r="E173">
            <v>0</v>
          </cell>
          <cell r="G173">
            <v>262</v>
          </cell>
        </row>
        <row r="177">
          <cell r="E177">
            <v>3399.7200000000003</v>
          </cell>
        </row>
        <row r="178">
          <cell r="E178">
            <v>3093.7200000000003</v>
          </cell>
          <cell r="G178">
            <v>3175</v>
          </cell>
        </row>
        <row r="179">
          <cell r="E179">
            <v>306</v>
          </cell>
          <cell r="G179">
            <v>381</v>
          </cell>
        </row>
        <row r="182">
          <cell r="D182">
            <v>200</v>
          </cell>
          <cell r="E182">
            <v>200</v>
          </cell>
          <cell r="G182">
            <v>200</v>
          </cell>
        </row>
        <row r="183">
          <cell r="G183">
            <v>200</v>
          </cell>
        </row>
        <row r="184">
          <cell r="E184">
            <v>9805</v>
          </cell>
          <cell r="G184">
            <v>3000</v>
          </cell>
        </row>
        <row r="185">
          <cell r="E185">
            <v>200</v>
          </cell>
          <cell r="G185">
            <v>200</v>
          </cell>
        </row>
        <row r="186">
          <cell r="E186">
            <v>0</v>
          </cell>
          <cell r="G186">
            <v>200</v>
          </cell>
        </row>
        <row r="187">
          <cell r="E187">
            <v>1567772</v>
          </cell>
          <cell r="G187">
            <v>0</v>
          </cell>
        </row>
        <row r="200">
          <cell r="G200">
            <v>32516</v>
          </cell>
          <cell r="H200">
            <v>170597</v>
          </cell>
          <cell r="I200">
            <v>203113</v>
          </cell>
        </row>
        <row r="215">
          <cell r="G215">
            <v>1361</v>
          </cell>
          <cell r="H215">
            <v>0</v>
          </cell>
          <cell r="I215">
            <v>1361</v>
          </cell>
        </row>
        <row r="217">
          <cell r="D217">
            <v>1000</v>
          </cell>
          <cell r="E217">
            <v>1000</v>
          </cell>
          <cell r="G217">
            <v>1200</v>
          </cell>
        </row>
        <row r="220">
          <cell r="E220">
            <v>116</v>
          </cell>
          <cell r="G220">
            <v>161</v>
          </cell>
        </row>
        <row r="221">
          <cell r="I221">
            <v>52365</v>
          </cell>
        </row>
        <row r="225">
          <cell r="H225">
            <v>1538640</v>
          </cell>
          <cell r="I225">
            <v>2697380.7</v>
          </cell>
        </row>
      </sheetData>
      <sheetData sheetId="2">
        <row r="6">
          <cell r="I6">
            <v>12768</v>
          </cell>
          <cell r="O6">
            <v>49660</v>
          </cell>
          <cell r="U6">
            <v>271</v>
          </cell>
          <cell r="AD6">
            <v>0</v>
          </cell>
          <cell r="AJ6">
            <v>594226</v>
          </cell>
        </row>
        <row r="7">
          <cell r="AB7">
            <v>100</v>
          </cell>
          <cell r="AH7">
            <v>178100</v>
          </cell>
        </row>
        <row r="8">
          <cell r="G8">
            <v>62971</v>
          </cell>
          <cell r="O8">
            <v>13074</v>
          </cell>
          <cell r="S8">
            <v>2001</v>
          </cell>
          <cell r="AB8">
            <v>12339</v>
          </cell>
          <cell r="AH8">
            <v>36947</v>
          </cell>
        </row>
        <row r="9">
          <cell r="AH9">
            <v>78</v>
          </cell>
        </row>
        <row r="11">
          <cell r="S11">
            <v>161</v>
          </cell>
          <cell r="AH11">
            <v>0</v>
          </cell>
        </row>
        <row r="12">
          <cell r="AH12">
            <v>5750</v>
          </cell>
        </row>
        <row r="13">
          <cell r="AB13">
            <v>750</v>
          </cell>
          <cell r="AH13">
            <v>510</v>
          </cell>
        </row>
        <row r="16">
          <cell r="AH16">
            <v>120000</v>
          </cell>
        </row>
        <row r="20">
          <cell r="I20">
            <v>1558</v>
          </cell>
          <cell r="O20">
            <v>396</v>
          </cell>
          <cell r="T20">
            <v>1395</v>
          </cell>
          <cell r="AC20">
            <v>1189</v>
          </cell>
          <cell r="AJ20">
            <v>1603137</v>
          </cell>
        </row>
        <row r="24">
          <cell r="M24">
            <v>63130</v>
          </cell>
          <cell r="U24">
            <v>3828</v>
          </cell>
          <cell r="AJ24">
            <v>2538748</v>
          </cell>
        </row>
      </sheetData>
      <sheetData sheetId="4">
        <row r="6">
          <cell r="G6">
            <v>78389</v>
          </cell>
          <cell r="M6">
            <v>118374.7</v>
          </cell>
          <cell r="S6">
            <v>14798</v>
          </cell>
          <cell r="AB6">
            <v>102136</v>
          </cell>
          <cell r="AJ6">
            <v>203110</v>
          </cell>
        </row>
        <row r="7">
          <cell r="G7">
            <v>15904</v>
          </cell>
          <cell r="M7">
            <v>22745</v>
          </cell>
          <cell r="S7">
            <v>2926</v>
          </cell>
          <cell r="AB7">
            <v>20452</v>
          </cell>
          <cell r="AJ7">
            <v>27309</v>
          </cell>
        </row>
        <row r="8">
          <cell r="G8">
            <v>158430</v>
          </cell>
          <cell r="M8">
            <v>47111</v>
          </cell>
          <cell r="U8">
            <v>12931</v>
          </cell>
          <cell r="AD8">
            <v>30427</v>
          </cell>
          <cell r="AJ8">
            <v>141767</v>
          </cell>
        </row>
        <row r="9">
          <cell r="AJ9">
            <v>15200</v>
          </cell>
        </row>
        <row r="10">
          <cell r="AJ10">
            <v>48223</v>
          </cell>
        </row>
        <row r="12">
          <cell r="G12">
            <v>1200</v>
          </cell>
          <cell r="M12">
            <v>1000</v>
          </cell>
          <cell r="S12">
            <v>600</v>
          </cell>
          <cell r="AB12">
            <v>3556</v>
          </cell>
          <cell r="AJ12">
            <v>1373953</v>
          </cell>
        </row>
        <row r="13">
          <cell r="AB13">
            <v>0</v>
          </cell>
          <cell r="AJ13">
            <v>203113</v>
          </cell>
        </row>
        <row r="14">
          <cell r="AB14">
            <v>1200</v>
          </cell>
          <cell r="AJ14">
            <v>161</v>
          </cell>
        </row>
        <row r="17">
          <cell r="AJ17">
            <v>52365</v>
          </cell>
        </row>
        <row r="19">
          <cell r="G19">
            <v>253923</v>
          </cell>
          <cell r="H19">
            <v>0</v>
          </cell>
          <cell r="I19">
            <v>253923</v>
          </cell>
          <cell r="M19">
            <v>189230.7</v>
          </cell>
          <cell r="N19">
            <v>0</v>
          </cell>
          <cell r="O19">
            <v>189230.7</v>
          </cell>
          <cell r="S19">
            <v>31256</v>
          </cell>
          <cell r="T19">
            <v>-1</v>
          </cell>
          <cell r="U19">
            <v>31255</v>
          </cell>
          <cell r="AB19">
            <v>157762</v>
          </cell>
          <cell r="AC19">
            <v>9</v>
          </cell>
          <cell r="AD19">
            <v>157771</v>
          </cell>
          <cell r="AH19">
            <v>526569</v>
          </cell>
          <cell r="AI19">
            <v>1538632</v>
          </cell>
          <cell r="AJ19">
            <v>2065201</v>
          </cell>
        </row>
      </sheetData>
      <sheetData sheetId="14">
        <row r="7">
          <cell r="D7">
            <v>0</v>
          </cell>
          <cell r="E7">
            <v>0</v>
          </cell>
          <cell r="F7">
            <v>12768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5248</v>
          </cell>
          <cell r="E10">
            <v>5248</v>
          </cell>
          <cell r="F10">
            <v>5248</v>
          </cell>
          <cell r="G10">
            <v>5248</v>
          </cell>
          <cell r="H10">
            <v>5248</v>
          </cell>
          <cell r="I10">
            <v>5248</v>
          </cell>
          <cell r="J10">
            <v>5248</v>
          </cell>
          <cell r="K10">
            <v>5248</v>
          </cell>
          <cell r="L10">
            <v>5248</v>
          </cell>
          <cell r="M10">
            <v>5248</v>
          </cell>
          <cell r="N10">
            <v>5248</v>
          </cell>
          <cell r="O10">
            <v>5243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1558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15811</v>
          </cell>
          <cell r="E15">
            <v>15811</v>
          </cell>
          <cell r="F15">
            <v>1735</v>
          </cell>
          <cell r="G15">
            <v>15811</v>
          </cell>
          <cell r="H15">
            <v>15811</v>
          </cell>
          <cell r="I15">
            <v>16061</v>
          </cell>
          <cell r="J15">
            <v>16011</v>
          </cell>
          <cell r="K15">
            <v>16011</v>
          </cell>
          <cell r="L15">
            <v>15811</v>
          </cell>
          <cell r="M15">
            <v>15911</v>
          </cell>
          <cell r="N15">
            <v>15911</v>
          </cell>
          <cell r="O15">
            <v>15931</v>
          </cell>
        </row>
        <row r="18">
          <cell r="D18">
            <v>6532</v>
          </cell>
          <cell r="E18">
            <v>6532</v>
          </cell>
          <cell r="F18">
            <v>6532</v>
          </cell>
          <cell r="G18">
            <v>6532</v>
          </cell>
          <cell r="H18">
            <v>6532</v>
          </cell>
          <cell r="I18">
            <v>6532</v>
          </cell>
          <cell r="J18">
            <v>6532</v>
          </cell>
          <cell r="K18">
            <v>6532</v>
          </cell>
          <cell r="L18">
            <v>6532</v>
          </cell>
          <cell r="M18">
            <v>6532</v>
          </cell>
          <cell r="N18">
            <v>6532</v>
          </cell>
          <cell r="O18">
            <v>6537</v>
          </cell>
        </row>
        <row r="19">
          <cell r="D19">
            <v>1325</v>
          </cell>
          <cell r="E19">
            <v>1325</v>
          </cell>
          <cell r="F19">
            <v>1325</v>
          </cell>
          <cell r="G19">
            <v>1325</v>
          </cell>
          <cell r="H19">
            <v>1325</v>
          </cell>
          <cell r="I19">
            <v>1325</v>
          </cell>
          <cell r="J19">
            <v>1325</v>
          </cell>
          <cell r="K19">
            <v>1325</v>
          </cell>
          <cell r="L19">
            <v>1325</v>
          </cell>
          <cell r="M19">
            <v>1325</v>
          </cell>
          <cell r="N19">
            <v>1325</v>
          </cell>
          <cell r="O19">
            <v>1329</v>
          </cell>
        </row>
        <row r="20">
          <cell r="D20">
            <v>13202</v>
          </cell>
          <cell r="E20">
            <v>13202</v>
          </cell>
          <cell r="F20">
            <v>13202</v>
          </cell>
          <cell r="G20">
            <v>13202</v>
          </cell>
          <cell r="H20">
            <v>13202</v>
          </cell>
          <cell r="I20">
            <v>13202</v>
          </cell>
          <cell r="J20">
            <v>13202</v>
          </cell>
          <cell r="K20">
            <v>13202</v>
          </cell>
          <cell r="L20">
            <v>13202</v>
          </cell>
          <cell r="M20">
            <v>13202</v>
          </cell>
          <cell r="N20">
            <v>13202</v>
          </cell>
          <cell r="O20">
            <v>13208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250</v>
          </cell>
          <cell r="G23">
            <v>0</v>
          </cell>
          <cell r="H23">
            <v>0</v>
          </cell>
          <cell r="I23">
            <v>250</v>
          </cell>
          <cell r="J23">
            <v>200</v>
          </cell>
          <cell r="K23">
            <v>200</v>
          </cell>
          <cell r="L23">
            <v>0</v>
          </cell>
          <cell r="M23">
            <v>100</v>
          </cell>
          <cell r="N23">
            <v>100</v>
          </cell>
          <cell r="O23">
            <v>100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15">
        <row r="8">
          <cell r="D8">
            <v>4171</v>
          </cell>
          <cell r="E8">
            <v>4171</v>
          </cell>
          <cell r="F8">
            <v>3774</v>
          </cell>
          <cell r="G8">
            <v>4171</v>
          </cell>
          <cell r="H8">
            <v>4171</v>
          </cell>
          <cell r="I8">
            <v>4171</v>
          </cell>
          <cell r="J8">
            <v>4171</v>
          </cell>
          <cell r="K8">
            <v>4171</v>
          </cell>
          <cell r="L8">
            <v>4171</v>
          </cell>
          <cell r="M8">
            <v>4171</v>
          </cell>
          <cell r="N8">
            <v>4171</v>
          </cell>
          <cell r="O8">
            <v>4176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1089</v>
          </cell>
          <cell r="E11">
            <v>1089</v>
          </cell>
          <cell r="F11">
            <v>1090</v>
          </cell>
          <cell r="G11">
            <v>1089</v>
          </cell>
          <cell r="H11">
            <v>1089</v>
          </cell>
          <cell r="I11">
            <v>1089</v>
          </cell>
          <cell r="J11">
            <v>1089</v>
          </cell>
          <cell r="K11">
            <v>1089</v>
          </cell>
          <cell r="L11">
            <v>1089</v>
          </cell>
          <cell r="M11">
            <v>1089</v>
          </cell>
          <cell r="N11">
            <v>1089</v>
          </cell>
          <cell r="O11">
            <v>1094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396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10425</v>
          </cell>
          <cell r="E16">
            <v>10425</v>
          </cell>
          <cell r="F16">
            <v>10725</v>
          </cell>
          <cell r="G16">
            <v>10525</v>
          </cell>
          <cell r="H16">
            <v>10625</v>
          </cell>
          <cell r="I16">
            <v>10425</v>
          </cell>
          <cell r="J16">
            <v>10425</v>
          </cell>
          <cell r="K16">
            <v>10425</v>
          </cell>
          <cell r="L16">
            <v>10625</v>
          </cell>
          <cell r="M16">
            <v>10425</v>
          </cell>
          <cell r="N16">
            <v>10625</v>
          </cell>
          <cell r="O16">
            <v>10426</v>
          </cell>
        </row>
        <row r="19">
          <cell r="D19">
            <v>9865</v>
          </cell>
          <cell r="E19">
            <v>9865</v>
          </cell>
          <cell r="F19">
            <v>9865</v>
          </cell>
          <cell r="G19">
            <v>9865</v>
          </cell>
          <cell r="H19">
            <v>9865</v>
          </cell>
          <cell r="I19">
            <v>9865</v>
          </cell>
          <cell r="J19">
            <v>9865</v>
          </cell>
          <cell r="K19">
            <v>9865</v>
          </cell>
          <cell r="L19">
            <v>9865</v>
          </cell>
          <cell r="M19">
            <v>9865</v>
          </cell>
          <cell r="N19">
            <v>9865</v>
          </cell>
          <cell r="O19">
            <v>9860</v>
          </cell>
        </row>
        <row r="20">
          <cell r="D20">
            <v>1895</v>
          </cell>
          <cell r="E20">
            <v>1895</v>
          </cell>
          <cell r="F20">
            <v>1895</v>
          </cell>
          <cell r="G20">
            <v>1895</v>
          </cell>
          <cell r="H20">
            <v>1895</v>
          </cell>
          <cell r="I20">
            <v>1895</v>
          </cell>
          <cell r="J20">
            <v>1895</v>
          </cell>
          <cell r="K20">
            <v>1895</v>
          </cell>
          <cell r="L20">
            <v>1895</v>
          </cell>
          <cell r="M20">
            <v>1895</v>
          </cell>
          <cell r="N20">
            <v>1895</v>
          </cell>
          <cell r="O20">
            <v>1900</v>
          </cell>
        </row>
        <row r="21">
          <cell r="D21">
            <v>3925</v>
          </cell>
          <cell r="E21">
            <v>3925</v>
          </cell>
          <cell r="F21">
            <v>3925</v>
          </cell>
          <cell r="G21">
            <v>3925</v>
          </cell>
          <cell r="H21">
            <v>3925</v>
          </cell>
          <cell r="I21">
            <v>3925</v>
          </cell>
          <cell r="J21">
            <v>3925</v>
          </cell>
          <cell r="K21">
            <v>3925</v>
          </cell>
          <cell r="L21">
            <v>3925</v>
          </cell>
          <cell r="M21">
            <v>3925</v>
          </cell>
          <cell r="N21">
            <v>3925</v>
          </cell>
          <cell r="O21">
            <v>3936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300</v>
          </cell>
          <cell r="G24">
            <v>100</v>
          </cell>
          <cell r="H24">
            <v>200</v>
          </cell>
          <cell r="I24">
            <v>0</v>
          </cell>
          <cell r="J24">
            <v>0</v>
          </cell>
          <cell r="K24">
            <v>0</v>
          </cell>
          <cell r="L24">
            <v>200</v>
          </cell>
          <cell r="M24">
            <v>0</v>
          </cell>
          <cell r="N24">
            <v>200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6">
        <row r="7">
          <cell r="D7">
            <v>0</v>
          </cell>
          <cell r="E7">
            <v>0</v>
          </cell>
          <cell r="F7">
            <v>271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161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167</v>
          </cell>
          <cell r="E10">
            <v>167</v>
          </cell>
          <cell r="F10">
            <v>167</v>
          </cell>
          <cell r="G10">
            <v>167</v>
          </cell>
          <cell r="H10">
            <v>167</v>
          </cell>
          <cell r="I10">
            <v>167</v>
          </cell>
          <cell r="J10">
            <v>167</v>
          </cell>
          <cell r="K10">
            <v>167</v>
          </cell>
          <cell r="L10">
            <v>167</v>
          </cell>
          <cell r="M10">
            <v>167</v>
          </cell>
          <cell r="N10">
            <v>167</v>
          </cell>
          <cell r="O10">
            <v>164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1395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2388</v>
          </cell>
          <cell r="E15">
            <v>2388</v>
          </cell>
          <cell r="F15">
            <v>860</v>
          </cell>
          <cell r="G15">
            <v>2388</v>
          </cell>
          <cell r="H15">
            <v>2588</v>
          </cell>
          <cell r="I15">
            <v>2388</v>
          </cell>
          <cell r="J15">
            <v>2388</v>
          </cell>
          <cell r="K15">
            <v>2388</v>
          </cell>
          <cell r="L15">
            <v>2488</v>
          </cell>
          <cell r="M15">
            <v>2388</v>
          </cell>
          <cell r="N15">
            <v>2388</v>
          </cell>
          <cell r="O15">
            <v>2387</v>
          </cell>
        </row>
        <row r="18">
          <cell r="D18">
            <v>1233</v>
          </cell>
          <cell r="E18">
            <v>1233</v>
          </cell>
          <cell r="F18">
            <v>1233</v>
          </cell>
          <cell r="G18">
            <v>1233</v>
          </cell>
          <cell r="H18">
            <v>1233</v>
          </cell>
          <cell r="I18">
            <v>1233</v>
          </cell>
          <cell r="J18">
            <v>1233</v>
          </cell>
          <cell r="K18">
            <v>1233</v>
          </cell>
          <cell r="L18">
            <v>1233</v>
          </cell>
          <cell r="M18">
            <v>1233</v>
          </cell>
          <cell r="N18">
            <v>1233</v>
          </cell>
          <cell r="O18">
            <v>1235</v>
          </cell>
        </row>
        <row r="19">
          <cell r="D19">
            <v>244</v>
          </cell>
          <cell r="E19">
            <v>244</v>
          </cell>
          <cell r="F19">
            <v>244</v>
          </cell>
          <cell r="G19">
            <v>244</v>
          </cell>
          <cell r="H19">
            <v>244</v>
          </cell>
          <cell r="I19">
            <v>244</v>
          </cell>
          <cell r="J19">
            <v>244</v>
          </cell>
          <cell r="K19">
            <v>244</v>
          </cell>
          <cell r="L19">
            <v>244</v>
          </cell>
          <cell r="M19">
            <v>244</v>
          </cell>
          <cell r="N19">
            <v>244</v>
          </cell>
          <cell r="O19">
            <v>242</v>
          </cell>
        </row>
        <row r="20">
          <cell r="D20">
            <v>1078</v>
          </cell>
          <cell r="E20">
            <v>1078</v>
          </cell>
          <cell r="F20">
            <v>1077</v>
          </cell>
          <cell r="G20">
            <v>1078</v>
          </cell>
          <cell r="H20">
            <v>1078</v>
          </cell>
          <cell r="I20">
            <v>1078</v>
          </cell>
          <cell r="J20">
            <v>1078</v>
          </cell>
          <cell r="K20">
            <v>1078</v>
          </cell>
          <cell r="L20">
            <v>1078</v>
          </cell>
          <cell r="M20">
            <v>1078</v>
          </cell>
          <cell r="N20">
            <v>1078</v>
          </cell>
          <cell r="O20">
            <v>1074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300</v>
          </cell>
          <cell r="G23">
            <v>0</v>
          </cell>
          <cell r="H23">
            <v>200</v>
          </cell>
          <cell r="I23">
            <v>0</v>
          </cell>
          <cell r="J23">
            <v>0</v>
          </cell>
          <cell r="L23">
            <v>100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</sheetData>
      <sheetData sheetId="17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20</v>
          </cell>
          <cell r="G10">
            <v>0</v>
          </cell>
          <cell r="H10">
            <v>0</v>
          </cell>
          <cell r="I10">
            <v>20</v>
          </cell>
          <cell r="J10">
            <v>0</v>
          </cell>
          <cell r="K10">
            <v>20</v>
          </cell>
          <cell r="L10">
            <v>0</v>
          </cell>
          <cell r="M10">
            <v>20</v>
          </cell>
          <cell r="N10">
            <v>20</v>
          </cell>
          <cell r="O10">
            <v>0</v>
          </cell>
        </row>
        <row r="11">
          <cell r="D11">
            <v>1028</v>
          </cell>
          <cell r="E11">
            <v>1028</v>
          </cell>
          <cell r="F11">
            <v>1028</v>
          </cell>
          <cell r="G11">
            <v>1028</v>
          </cell>
          <cell r="H11">
            <v>1028</v>
          </cell>
          <cell r="I11">
            <v>1028</v>
          </cell>
          <cell r="J11">
            <v>1028</v>
          </cell>
          <cell r="K11">
            <v>1028</v>
          </cell>
          <cell r="L11">
            <v>1028</v>
          </cell>
          <cell r="M11">
            <v>1028</v>
          </cell>
          <cell r="N11">
            <v>1028</v>
          </cell>
          <cell r="O11">
            <v>1031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80</v>
          </cell>
          <cell r="E14">
            <v>70</v>
          </cell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60</v>
          </cell>
          <cell r="N14">
            <v>60</v>
          </cell>
          <cell r="O14">
            <v>60</v>
          </cell>
        </row>
        <row r="15">
          <cell r="D15">
            <v>0</v>
          </cell>
          <cell r="E15">
            <v>0</v>
          </cell>
          <cell r="F15">
            <v>1189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11642</v>
          </cell>
          <cell r="E16">
            <v>11852</v>
          </cell>
          <cell r="F16">
            <v>11062</v>
          </cell>
          <cell r="G16">
            <v>12262</v>
          </cell>
          <cell r="H16">
            <v>12062</v>
          </cell>
          <cell r="I16">
            <v>12342</v>
          </cell>
          <cell r="J16">
            <v>11962</v>
          </cell>
          <cell r="K16">
            <v>11942</v>
          </cell>
          <cell r="L16">
            <v>12562</v>
          </cell>
          <cell r="M16">
            <v>11842</v>
          </cell>
          <cell r="N16">
            <v>11642</v>
          </cell>
          <cell r="O16">
            <v>12221</v>
          </cell>
        </row>
        <row r="19">
          <cell r="D19">
            <v>8510</v>
          </cell>
          <cell r="E19">
            <v>8510</v>
          </cell>
          <cell r="F19">
            <v>8510</v>
          </cell>
          <cell r="G19">
            <v>8510</v>
          </cell>
          <cell r="H19">
            <v>8510</v>
          </cell>
          <cell r="I19">
            <v>8510</v>
          </cell>
          <cell r="J19">
            <v>8510</v>
          </cell>
          <cell r="K19">
            <v>8510</v>
          </cell>
          <cell r="L19">
            <v>8510</v>
          </cell>
          <cell r="M19">
            <v>8510</v>
          </cell>
          <cell r="N19">
            <v>8510</v>
          </cell>
          <cell r="O19">
            <v>8526</v>
          </cell>
        </row>
        <row r="20">
          <cell r="D20">
            <v>1705</v>
          </cell>
          <cell r="E20">
            <v>1705</v>
          </cell>
          <cell r="F20">
            <v>1705</v>
          </cell>
          <cell r="G20">
            <v>1705</v>
          </cell>
          <cell r="H20">
            <v>1705</v>
          </cell>
          <cell r="I20">
            <v>1705</v>
          </cell>
          <cell r="J20">
            <v>1705</v>
          </cell>
          <cell r="K20">
            <v>1705</v>
          </cell>
          <cell r="L20">
            <v>1705</v>
          </cell>
          <cell r="M20">
            <v>1705</v>
          </cell>
          <cell r="N20">
            <v>1705</v>
          </cell>
          <cell r="O20">
            <v>1697</v>
          </cell>
        </row>
        <row r="21">
          <cell r="D21">
            <v>2535</v>
          </cell>
          <cell r="E21">
            <v>2535</v>
          </cell>
          <cell r="F21">
            <v>2544</v>
          </cell>
          <cell r="G21">
            <v>2535</v>
          </cell>
          <cell r="H21">
            <v>2535</v>
          </cell>
          <cell r="I21">
            <v>2535</v>
          </cell>
          <cell r="J21">
            <v>2535</v>
          </cell>
          <cell r="K21">
            <v>2535</v>
          </cell>
          <cell r="L21">
            <v>2535</v>
          </cell>
          <cell r="M21">
            <v>2535</v>
          </cell>
          <cell r="N21">
            <v>2535</v>
          </cell>
          <cell r="O21">
            <v>2533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200</v>
          </cell>
          <cell r="F24">
            <v>300</v>
          </cell>
          <cell r="G24">
            <v>600</v>
          </cell>
          <cell r="H24">
            <v>400</v>
          </cell>
          <cell r="I24">
            <v>400</v>
          </cell>
          <cell r="J24">
            <v>300</v>
          </cell>
          <cell r="K24">
            <v>300</v>
          </cell>
          <cell r="L24">
            <v>600</v>
          </cell>
          <cell r="M24">
            <v>200</v>
          </cell>
          <cell r="N24">
            <v>0</v>
          </cell>
          <cell r="O24">
            <v>256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300</v>
          </cell>
          <cell r="G26">
            <v>0</v>
          </cell>
          <cell r="H26">
            <v>0</v>
          </cell>
          <cell r="I26">
            <v>300</v>
          </cell>
          <cell r="K26">
            <v>0</v>
          </cell>
          <cell r="L26">
            <v>300</v>
          </cell>
          <cell r="M26">
            <v>0</v>
          </cell>
          <cell r="N26">
            <v>0</v>
          </cell>
          <cell r="O26">
            <v>300</v>
          </cell>
        </row>
      </sheetData>
      <sheetData sheetId="18">
        <row r="6">
          <cell r="C6">
            <v>54894</v>
          </cell>
          <cell r="D6">
            <v>54894</v>
          </cell>
          <cell r="E6">
            <v>48443</v>
          </cell>
          <cell r="F6">
            <v>48443</v>
          </cell>
          <cell r="G6">
            <v>48443</v>
          </cell>
          <cell r="H6">
            <v>48443</v>
          </cell>
          <cell r="I6">
            <v>48443</v>
          </cell>
          <cell r="J6">
            <v>48443</v>
          </cell>
          <cell r="K6">
            <v>48443</v>
          </cell>
          <cell r="L6">
            <v>48443</v>
          </cell>
          <cell r="M6">
            <v>48443</v>
          </cell>
          <cell r="N6">
            <v>48451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2100</v>
          </cell>
          <cell r="D8">
            <v>2500</v>
          </cell>
          <cell r="E8">
            <v>70000</v>
          </cell>
          <cell r="F8">
            <v>4500</v>
          </cell>
          <cell r="G8">
            <v>2000</v>
          </cell>
          <cell r="H8">
            <v>2000</v>
          </cell>
          <cell r="I8">
            <v>3000</v>
          </cell>
          <cell r="J8">
            <v>4000</v>
          </cell>
          <cell r="K8">
            <v>70000</v>
          </cell>
          <cell r="L8">
            <v>5000</v>
          </cell>
          <cell r="M8">
            <v>1000</v>
          </cell>
          <cell r="N8">
            <v>12000</v>
          </cell>
        </row>
        <row r="9">
          <cell r="C9">
            <v>3079</v>
          </cell>
          <cell r="D9">
            <v>3079</v>
          </cell>
          <cell r="E9">
            <v>3079</v>
          </cell>
          <cell r="F9">
            <v>3079</v>
          </cell>
          <cell r="G9">
            <v>3079</v>
          </cell>
          <cell r="H9">
            <v>3079</v>
          </cell>
          <cell r="I9">
            <v>3079</v>
          </cell>
          <cell r="J9">
            <v>3079</v>
          </cell>
          <cell r="K9">
            <v>3079</v>
          </cell>
          <cell r="L9">
            <v>3079</v>
          </cell>
          <cell r="M9">
            <v>3079</v>
          </cell>
          <cell r="N9">
            <v>3078</v>
          </cell>
        </row>
        <row r="10">
          <cell r="C10">
            <v>0</v>
          </cell>
          <cell r="D10">
            <v>3250</v>
          </cell>
          <cell r="E10">
            <v>0</v>
          </cell>
          <cell r="F10">
            <v>0</v>
          </cell>
          <cell r="G10">
            <v>1550</v>
          </cell>
          <cell r="H10">
            <v>0</v>
          </cell>
          <cell r="I10">
            <v>0</v>
          </cell>
          <cell r="J10">
            <v>0</v>
          </cell>
          <cell r="K10">
            <v>950</v>
          </cell>
          <cell r="L10">
            <v>0</v>
          </cell>
          <cell r="M10">
            <v>0</v>
          </cell>
          <cell r="N10">
            <v>0</v>
          </cell>
        </row>
        <row r="11">
          <cell r="E11">
            <v>19</v>
          </cell>
          <cell r="H11">
            <v>20</v>
          </cell>
          <cell r="K11">
            <v>20</v>
          </cell>
          <cell r="N11">
            <v>19</v>
          </cell>
        </row>
        <row r="12">
          <cell r="C12">
            <v>40</v>
          </cell>
          <cell r="D12">
            <v>43</v>
          </cell>
          <cell r="E12">
            <v>43</v>
          </cell>
          <cell r="F12">
            <v>43</v>
          </cell>
          <cell r="G12">
            <v>43</v>
          </cell>
          <cell r="H12">
            <v>43</v>
          </cell>
          <cell r="I12">
            <v>43</v>
          </cell>
          <cell r="J12">
            <v>43</v>
          </cell>
          <cell r="K12">
            <v>43</v>
          </cell>
          <cell r="L12">
            <v>43</v>
          </cell>
          <cell r="M12">
            <v>43</v>
          </cell>
          <cell r="N12">
            <v>40</v>
          </cell>
        </row>
        <row r="13">
          <cell r="C13">
            <v>0</v>
          </cell>
          <cell r="D13">
            <v>0</v>
          </cell>
          <cell r="E13">
            <v>1629137</v>
          </cell>
          <cell r="F13">
            <v>3000</v>
          </cell>
          <cell r="G13">
            <v>3000</v>
          </cell>
          <cell r="H13">
            <v>35000</v>
          </cell>
          <cell r="I13">
            <v>4000</v>
          </cell>
          <cell r="J13">
            <v>5000</v>
          </cell>
          <cell r="K13">
            <v>32000</v>
          </cell>
          <cell r="L13">
            <v>12000</v>
          </cell>
          <cell r="M13">
            <v>0</v>
          </cell>
          <cell r="N13">
            <v>0</v>
          </cell>
        </row>
        <row r="17">
          <cell r="C17">
            <v>15578</v>
          </cell>
          <cell r="D17">
            <v>15578</v>
          </cell>
          <cell r="E17">
            <v>17195</v>
          </cell>
          <cell r="F17">
            <v>17195</v>
          </cell>
          <cell r="G17">
            <v>17195</v>
          </cell>
          <cell r="H17">
            <v>17195</v>
          </cell>
          <cell r="I17">
            <v>17195</v>
          </cell>
          <cell r="J17">
            <v>17195</v>
          </cell>
          <cell r="K17">
            <v>17195</v>
          </cell>
          <cell r="L17">
            <v>17195</v>
          </cell>
          <cell r="M17">
            <v>17195</v>
          </cell>
          <cell r="N17">
            <v>17199</v>
          </cell>
        </row>
        <row r="18">
          <cell r="C18">
            <v>1893</v>
          </cell>
          <cell r="D18">
            <v>1893</v>
          </cell>
          <cell r="E18">
            <v>2353</v>
          </cell>
          <cell r="F18">
            <v>2353</v>
          </cell>
          <cell r="G18">
            <v>2353</v>
          </cell>
          <cell r="H18">
            <v>2353</v>
          </cell>
          <cell r="I18">
            <v>2353</v>
          </cell>
          <cell r="J18">
            <v>2353</v>
          </cell>
          <cell r="K18">
            <v>2353</v>
          </cell>
          <cell r="L18">
            <v>2353</v>
          </cell>
          <cell r="M18">
            <v>2353</v>
          </cell>
          <cell r="N18">
            <v>2346</v>
          </cell>
        </row>
        <row r="19">
          <cell r="C19">
            <v>7805</v>
          </cell>
          <cell r="D19">
            <v>7805</v>
          </cell>
          <cell r="E19">
            <v>12616</v>
          </cell>
          <cell r="F19">
            <v>12616</v>
          </cell>
          <cell r="G19">
            <v>12616</v>
          </cell>
          <cell r="H19">
            <v>12616</v>
          </cell>
          <cell r="I19">
            <v>12616</v>
          </cell>
          <cell r="J19">
            <v>12616</v>
          </cell>
          <cell r="K19">
            <v>12616</v>
          </cell>
          <cell r="L19">
            <v>12616</v>
          </cell>
          <cell r="M19">
            <v>12616</v>
          </cell>
          <cell r="N19">
            <v>12613</v>
          </cell>
        </row>
        <row r="20">
          <cell r="C20">
            <v>1267</v>
          </cell>
          <cell r="D20">
            <v>1267</v>
          </cell>
          <cell r="E20">
            <v>1267</v>
          </cell>
          <cell r="F20">
            <v>1267</v>
          </cell>
          <cell r="G20">
            <v>1267</v>
          </cell>
          <cell r="H20">
            <v>1267</v>
          </cell>
          <cell r="I20">
            <v>1267</v>
          </cell>
          <cell r="J20">
            <v>1267</v>
          </cell>
          <cell r="K20">
            <v>1267</v>
          </cell>
          <cell r="L20">
            <v>1267</v>
          </cell>
          <cell r="M20">
            <v>1267</v>
          </cell>
          <cell r="N20">
            <v>1263</v>
          </cell>
        </row>
        <row r="21">
          <cell r="C21">
            <v>4019</v>
          </cell>
          <cell r="D21">
            <v>4019</v>
          </cell>
          <cell r="E21">
            <v>4019</v>
          </cell>
          <cell r="F21">
            <v>4019</v>
          </cell>
          <cell r="G21">
            <v>4019</v>
          </cell>
          <cell r="H21">
            <v>4019</v>
          </cell>
          <cell r="I21">
            <v>4019</v>
          </cell>
          <cell r="J21">
            <v>4019</v>
          </cell>
          <cell r="K21">
            <v>4019</v>
          </cell>
          <cell r="L21">
            <v>4019</v>
          </cell>
          <cell r="M21">
            <v>4019</v>
          </cell>
          <cell r="N21">
            <v>4014</v>
          </cell>
        </row>
        <row r="22">
          <cell r="C22">
            <v>6233</v>
          </cell>
          <cell r="D22">
            <v>6233</v>
          </cell>
          <cell r="E22">
            <v>136148</v>
          </cell>
          <cell r="F22">
            <v>136148</v>
          </cell>
          <cell r="G22">
            <v>136148</v>
          </cell>
          <cell r="H22">
            <v>136148</v>
          </cell>
          <cell r="I22">
            <v>136148</v>
          </cell>
          <cell r="J22">
            <v>136148</v>
          </cell>
          <cell r="K22">
            <v>136148</v>
          </cell>
          <cell r="L22">
            <v>136148</v>
          </cell>
          <cell r="M22">
            <v>136148</v>
          </cell>
          <cell r="N22">
            <v>136155</v>
          </cell>
        </row>
        <row r="23">
          <cell r="C23">
            <v>0</v>
          </cell>
          <cell r="D23">
            <v>0</v>
          </cell>
          <cell r="E23">
            <v>31318</v>
          </cell>
          <cell r="F23">
            <v>17060</v>
          </cell>
          <cell r="G23">
            <v>17060</v>
          </cell>
          <cell r="H23">
            <v>17060</v>
          </cell>
          <cell r="I23">
            <v>18560</v>
          </cell>
          <cell r="J23">
            <v>18060</v>
          </cell>
          <cell r="K23">
            <v>31318</v>
          </cell>
          <cell r="L23">
            <v>18560</v>
          </cell>
          <cell r="M23">
            <v>17060</v>
          </cell>
          <cell r="N23">
            <v>17057</v>
          </cell>
        </row>
        <row r="24">
          <cell r="C24">
            <v>0</v>
          </cell>
          <cell r="D24">
            <v>0</v>
          </cell>
          <cell r="E24">
            <v>161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12365</v>
          </cell>
          <cell r="D25">
            <v>0</v>
          </cell>
          <cell r="E25">
            <v>25000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10000</v>
          </cell>
          <cell r="L25">
            <v>0</v>
          </cell>
          <cell r="N2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mell szöveges2019. BEVÉTELEK "/>
      <sheetName val="2.mell szöveges KIADÁSOK "/>
      <sheetName val="3.mell"/>
      <sheetName val="4.mell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5">
        <row r="8">
          <cell r="E8">
            <v>73580</v>
          </cell>
          <cell r="F8">
            <v>73029</v>
          </cell>
          <cell r="G8">
            <v>78389</v>
          </cell>
        </row>
        <row r="20">
          <cell r="G20">
            <v>420</v>
          </cell>
        </row>
        <row r="22">
          <cell r="G22">
            <v>50</v>
          </cell>
        </row>
        <row r="24">
          <cell r="G24">
            <v>14905</v>
          </cell>
        </row>
        <row r="25">
          <cell r="G25">
            <v>154</v>
          </cell>
        </row>
        <row r="26">
          <cell r="G26">
            <v>250</v>
          </cell>
        </row>
        <row r="27">
          <cell r="G27">
            <v>453</v>
          </cell>
        </row>
        <row r="28">
          <cell r="G28">
            <v>142</v>
          </cell>
        </row>
        <row r="30">
          <cell r="D30">
            <v>15</v>
          </cell>
          <cell r="E30">
            <v>15</v>
          </cell>
          <cell r="F30">
            <v>9</v>
          </cell>
          <cell r="G30">
            <v>10</v>
          </cell>
        </row>
        <row r="31">
          <cell r="D31">
            <v>15</v>
          </cell>
          <cell r="E31">
            <v>5</v>
          </cell>
          <cell r="F31">
            <v>0</v>
          </cell>
          <cell r="G31">
            <v>10</v>
          </cell>
        </row>
        <row r="32">
          <cell r="D32">
            <v>7</v>
          </cell>
          <cell r="E32">
            <v>7</v>
          </cell>
          <cell r="F32">
            <v>11</v>
          </cell>
          <cell r="G32">
            <v>15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48000</v>
          </cell>
          <cell r="E34">
            <v>67082</v>
          </cell>
          <cell r="F34">
            <v>64164</v>
          </cell>
          <cell r="G34">
            <v>64000</v>
          </cell>
        </row>
        <row r="35">
          <cell r="D35">
            <v>200</v>
          </cell>
          <cell r="E35">
            <v>256</v>
          </cell>
          <cell r="F35">
            <v>256</v>
          </cell>
          <cell r="G35">
            <v>260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2000</v>
          </cell>
          <cell r="E37">
            <v>2191</v>
          </cell>
          <cell r="F37">
            <v>2191</v>
          </cell>
          <cell r="G37">
            <v>2200</v>
          </cell>
        </row>
        <row r="38">
          <cell r="D38">
            <v>230</v>
          </cell>
          <cell r="E38">
            <v>2</v>
          </cell>
          <cell r="F38">
            <v>2</v>
          </cell>
          <cell r="G38">
            <v>230</v>
          </cell>
        </row>
        <row r="39">
          <cell r="D39">
            <v>7500</v>
          </cell>
          <cell r="E39">
            <v>9213</v>
          </cell>
          <cell r="F39">
            <v>9213</v>
          </cell>
          <cell r="G39">
            <v>9000</v>
          </cell>
        </row>
        <row r="40">
          <cell r="D40">
            <v>1500</v>
          </cell>
          <cell r="E40">
            <v>1819</v>
          </cell>
          <cell r="F40">
            <v>1818</v>
          </cell>
          <cell r="G40">
            <v>1820</v>
          </cell>
        </row>
        <row r="41">
          <cell r="D41">
            <v>620</v>
          </cell>
          <cell r="E41">
            <v>670</v>
          </cell>
          <cell r="F41">
            <v>670</v>
          </cell>
          <cell r="G41">
            <v>670</v>
          </cell>
        </row>
        <row r="42">
          <cell r="D42">
            <v>23000</v>
          </cell>
          <cell r="E42">
            <v>20645</v>
          </cell>
          <cell r="F42">
            <v>20428</v>
          </cell>
          <cell r="G42">
            <v>20450</v>
          </cell>
        </row>
        <row r="43">
          <cell r="D43">
            <v>8000</v>
          </cell>
          <cell r="E43">
            <v>11650</v>
          </cell>
          <cell r="F43">
            <v>11431</v>
          </cell>
          <cell r="G43">
            <v>11450</v>
          </cell>
        </row>
        <row r="44">
          <cell r="D44">
            <v>1000</v>
          </cell>
          <cell r="E44">
            <v>3535</v>
          </cell>
          <cell r="F44">
            <v>3379</v>
          </cell>
          <cell r="G44">
            <v>3380</v>
          </cell>
        </row>
        <row r="45">
          <cell r="D45">
            <v>80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800</v>
          </cell>
          <cell r="E46">
            <v>1205</v>
          </cell>
          <cell r="F46">
            <v>1199</v>
          </cell>
          <cell r="G46">
            <v>1200</v>
          </cell>
        </row>
        <row r="47">
          <cell r="D47">
            <v>2000</v>
          </cell>
          <cell r="E47">
            <v>2350</v>
          </cell>
          <cell r="F47">
            <v>2300</v>
          </cell>
          <cell r="G47">
            <v>2300</v>
          </cell>
        </row>
        <row r="48">
          <cell r="D48">
            <v>2000</v>
          </cell>
          <cell r="E48">
            <v>1476</v>
          </cell>
          <cell r="F48">
            <v>1449</v>
          </cell>
          <cell r="G48">
            <v>1450</v>
          </cell>
        </row>
        <row r="49">
          <cell r="D49">
            <v>3500</v>
          </cell>
          <cell r="E49">
            <v>4589</v>
          </cell>
          <cell r="F49">
            <v>4566</v>
          </cell>
          <cell r="G49">
            <v>4000</v>
          </cell>
        </row>
        <row r="50">
          <cell r="D50">
            <v>1000</v>
          </cell>
          <cell r="E50">
            <v>532</v>
          </cell>
          <cell r="F50">
            <v>532</v>
          </cell>
          <cell r="G50">
            <v>800</v>
          </cell>
        </row>
        <row r="51">
          <cell r="D51">
            <v>120</v>
          </cell>
          <cell r="E51">
            <v>135</v>
          </cell>
          <cell r="F51">
            <v>119</v>
          </cell>
          <cell r="G51">
            <v>120</v>
          </cell>
        </row>
        <row r="52">
          <cell r="D52">
            <v>90</v>
          </cell>
          <cell r="E52">
            <v>110</v>
          </cell>
          <cell r="F52">
            <v>60</v>
          </cell>
          <cell r="G52">
            <v>65</v>
          </cell>
        </row>
        <row r="53">
          <cell r="D53">
            <v>1000</v>
          </cell>
          <cell r="E53">
            <v>2190</v>
          </cell>
          <cell r="F53">
            <v>2131</v>
          </cell>
          <cell r="G53">
            <v>2630</v>
          </cell>
        </row>
        <row r="54">
          <cell r="D54">
            <v>50</v>
          </cell>
          <cell r="E54">
            <v>6</v>
          </cell>
          <cell r="F54">
            <v>5</v>
          </cell>
          <cell r="G54">
            <v>20</v>
          </cell>
        </row>
        <row r="55">
          <cell r="D55">
            <v>12100</v>
          </cell>
          <cell r="E55">
            <v>17850</v>
          </cell>
          <cell r="F55">
            <v>16638</v>
          </cell>
          <cell r="G55">
            <v>15800</v>
          </cell>
        </row>
        <row r="56">
          <cell r="D56">
            <v>11800</v>
          </cell>
          <cell r="E56">
            <v>11568</v>
          </cell>
          <cell r="F56">
            <v>11817</v>
          </cell>
          <cell r="G56">
            <v>10950</v>
          </cell>
        </row>
        <row r="57">
          <cell r="D57">
            <v>4000</v>
          </cell>
          <cell r="E57">
            <v>2461</v>
          </cell>
          <cell r="F57">
            <v>2461</v>
          </cell>
          <cell r="G57">
            <v>2500</v>
          </cell>
        </row>
        <row r="58">
          <cell r="D58">
            <v>300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700</v>
          </cell>
          <cell r="E59">
            <v>1400</v>
          </cell>
          <cell r="F59">
            <v>1400</v>
          </cell>
          <cell r="G59">
            <v>1100</v>
          </cell>
        </row>
        <row r="60">
          <cell r="D60">
            <v>2500</v>
          </cell>
          <cell r="E60">
            <v>3276</v>
          </cell>
          <cell r="F60">
            <v>3135</v>
          </cell>
          <cell r="G60">
            <v>2000</v>
          </cell>
        </row>
        <row r="62">
          <cell r="E62">
            <v>227</v>
          </cell>
          <cell r="F62">
            <v>189</v>
          </cell>
          <cell r="G62">
            <v>200</v>
          </cell>
        </row>
        <row r="63">
          <cell r="G63">
            <v>450</v>
          </cell>
        </row>
        <row r="64">
          <cell r="E64">
            <v>901</v>
          </cell>
          <cell r="F64">
            <v>876</v>
          </cell>
          <cell r="G64">
            <v>300</v>
          </cell>
        </row>
        <row r="66">
          <cell r="E66">
            <v>43</v>
          </cell>
          <cell r="F66">
            <v>35</v>
          </cell>
        </row>
        <row r="67">
          <cell r="E67">
            <v>197</v>
          </cell>
          <cell r="F67">
            <v>198</v>
          </cell>
        </row>
      </sheetData>
      <sheetData sheetId="7">
        <row r="9">
          <cell r="F9">
            <v>106213</v>
          </cell>
          <cell r="G9">
            <v>118374.7</v>
          </cell>
        </row>
        <row r="23">
          <cell r="G23">
            <v>9058</v>
          </cell>
        </row>
        <row r="31">
          <cell r="G31">
            <v>50</v>
          </cell>
        </row>
        <row r="33">
          <cell r="G33">
            <v>22371</v>
          </cell>
        </row>
        <row r="34">
          <cell r="G34">
            <v>183</v>
          </cell>
        </row>
        <row r="35">
          <cell r="G35">
            <v>50</v>
          </cell>
        </row>
        <row r="36">
          <cell r="G36">
            <v>141</v>
          </cell>
        </row>
        <row r="38">
          <cell r="D38">
            <v>1300</v>
          </cell>
          <cell r="E38">
            <v>1125</v>
          </cell>
          <cell r="F38">
            <v>1138</v>
          </cell>
          <cell r="G38">
            <v>1200</v>
          </cell>
        </row>
        <row r="39">
          <cell r="D39">
            <v>20</v>
          </cell>
          <cell r="E39">
            <v>30</v>
          </cell>
          <cell r="F39">
            <v>20</v>
          </cell>
          <cell r="G39">
            <v>20</v>
          </cell>
        </row>
        <row r="40">
          <cell r="D40">
            <v>80</v>
          </cell>
          <cell r="E40">
            <v>37</v>
          </cell>
          <cell r="F40">
            <v>37</v>
          </cell>
          <cell r="G40">
            <v>50</v>
          </cell>
        </row>
        <row r="41">
          <cell r="D41">
            <v>1700</v>
          </cell>
          <cell r="E41">
            <v>2547</v>
          </cell>
          <cell r="F41">
            <v>2456</v>
          </cell>
          <cell r="G41">
            <v>2400</v>
          </cell>
        </row>
        <row r="42">
          <cell r="D42">
            <v>400</v>
          </cell>
          <cell r="E42">
            <v>574</v>
          </cell>
          <cell r="F42">
            <v>545</v>
          </cell>
          <cell r="G42">
            <v>500</v>
          </cell>
        </row>
        <row r="43">
          <cell r="D43">
            <v>10</v>
          </cell>
          <cell r="E43">
            <v>16</v>
          </cell>
          <cell r="F43">
            <v>13</v>
          </cell>
          <cell r="G43">
            <v>15</v>
          </cell>
        </row>
        <row r="44">
          <cell r="D44">
            <v>600</v>
          </cell>
          <cell r="E44">
            <v>555</v>
          </cell>
          <cell r="F44">
            <v>554</v>
          </cell>
          <cell r="G44">
            <v>600</v>
          </cell>
        </row>
        <row r="45">
          <cell r="D45">
            <v>700</v>
          </cell>
          <cell r="E45">
            <v>1377</v>
          </cell>
          <cell r="F45">
            <v>1410</v>
          </cell>
          <cell r="G45">
            <v>1400</v>
          </cell>
        </row>
        <row r="46">
          <cell r="D46">
            <v>800</v>
          </cell>
          <cell r="E46">
            <v>1957</v>
          </cell>
          <cell r="F46">
            <v>1951</v>
          </cell>
          <cell r="G46">
            <v>1900</v>
          </cell>
        </row>
        <row r="47">
          <cell r="D47">
            <v>900</v>
          </cell>
          <cell r="E47">
            <v>1009</v>
          </cell>
          <cell r="F47">
            <v>997</v>
          </cell>
          <cell r="G47">
            <v>1000</v>
          </cell>
        </row>
        <row r="48">
          <cell r="D48">
            <v>500</v>
          </cell>
          <cell r="E48">
            <v>971</v>
          </cell>
          <cell r="F48">
            <v>952</v>
          </cell>
          <cell r="G48">
            <v>750</v>
          </cell>
        </row>
        <row r="49">
          <cell r="D49">
            <v>2500</v>
          </cell>
          <cell r="E49">
            <v>3064</v>
          </cell>
          <cell r="F49">
            <v>3135</v>
          </cell>
          <cell r="G49">
            <v>2500</v>
          </cell>
        </row>
        <row r="50">
          <cell r="D50">
            <v>300</v>
          </cell>
          <cell r="E50">
            <v>971</v>
          </cell>
          <cell r="F50">
            <v>876</v>
          </cell>
          <cell r="G50">
            <v>800</v>
          </cell>
        </row>
        <row r="51">
          <cell r="D51">
            <v>10500</v>
          </cell>
          <cell r="E51">
            <v>10060</v>
          </cell>
          <cell r="F51">
            <v>10011</v>
          </cell>
          <cell r="G51">
            <v>10100</v>
          </cell>
        </row>
        <row r="52">
          <cell r="D52">
            <v>50</v>
          </cell>
          <cell r="E52">
            <v>7</v>
          </cell>
          <cell r="F52">
            <v>6</v>
          </cell>
          <cell r="G52">
            <v>50</v>
          </cell>
        </row>
        <row r="53">
          <cell r="D53">
            <v>100</v>
          </cell>
          <cell r="E53">
            <v>271</v>
          </cell>
          <cell r="F53">
            <v>271</v>
          </cell>
          <cell r="G53">
            <v>250</v>
          </cell>
        </row>
        <row r="54">
          <cell r="D54">
            <v>600</v>
          </cell>
          <cell r="E54">
            <v>954</v>
          </cell>
          <cell r="F54">
            <v>916</v>
          </cell>
          <cell r="G54">
            <v>901</v>
          </cell>
        </row>
        <row r="55">
          <cell r="D55">
            <v>8800</v>
          </cell>
          <cell r="E55">
            <v>12570</v>
          </cell>
          <cell r="F55">
            <v>11963</v>
          </cell>
          <cell r="G55">
            <v>11000</v>
          </cell>
        </row>
        <row r="56">
          <cell r="D56">
            <v>30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50</v>
          </cell>
          <cell r="E57">
            <v>329</v>
          </cell>
          <cell r="F57">
            <v>261</v>
          </cell>
          <cell r="G57">
            <v>300</v>
          </cell>
        </row>
        <row r="58">
          <cell r="D58">
            <v>350</v>
          </cell>
          <cell r="E58">
            <v>355</v>
          </cell>
          <cell r="F58">
            <v>389</v>
          </cell>
          <cell r="G58">
            <v>390</v>
          </cell>
        </row>
        <row r="59">
          <cell r="D59">
            <v>50</v>
          </cell>
          <cell r="E59">
            <v>215</v>
          </cell>
          <cell r="F59">
            <v>184</v>
          </cell>
          <cell r="G59">
            <v>100</v>
          </cell>
        </row>
        <row r="60">
          <cell r="D60">
            <v>100</v>
          </cell>
          <cell r="E60">
            <v>90</v>
          </cell>
          <cell r="F60">
            <v>83</v>
          </cell>
          <cell r="G60">
            <v>100</v>
          </cell>
        </row>
        <row r="61">
          <cell r="D61">
            <v>750</v>
          </cell>
          <cell r="E61">
            <v>1620</v>
          </cell>
          <cell r="F61">
            <v>1456</v>
          </cell>
          <cell r="G61">
            <v>1500</v>
          </cell>
        </row>
        <row r="62">
          <cell r="D62">
            <v>1100</v>
          </cell>
          <cell r="E62">
            <v>2178</v>
          </cell>
          <cell r="F62">
            <v>2178</v>
          </cell>
          <cell r="G62">
            <v>2000</v>
          </cell>
        </row>
        <row r="63">
          <cell r="D63">
            <v>25</v>
          </cell>
          <cell r="E63">
            <v>0</v>
          </cell>
          <cell r="F63">
            <v>0</v>
          </cell>
          <cell r="G63">
            <v>25</v>
          </cell>
        </row>
        <row r="64">
          <cell r="D64">
            <v>3000</v>
          </cell>
          <cell r="E64">
            <v>2461</v>
          </cell>
          <cell r="F64">
            <v>2570</v>
          </cell>
          <cell r="G64">
            <v>2970</v>
          </cell>
        </row>
        <row r="65">
          <cell r="D65">
            <v>2600</v>
          </cell>
          <cell r="E65">
            <v>4682</v>
          </cell>
          <cell r="F65">
            <v>4304</v>
          </cell>
          <cell r="G65">
            <v>3750</v>
          </cell>
        </row>
        <row r="66">
          <cell r="D66">
            <v>10</v>
          </cell>
          <cell r="E66">
            <v>46</v>
          </cell>
          <cell r="F66">
            <v>39</v>
          </cell>
          <cell r="G66">
            <v>40</v>
          </cell>
        </row>
        <row r="67">
          <cell r="D67">
            <v>150</v>
          </cell>
          <cell r="E67">
            <v>1801</v>
          </cell>
          <cell r="F67">
            <v>538</v>
          </cell>
          <cell r="G67">
            <v>500</v>
          </cell>
        </row>
        <row r="73">
          <cell r="E73">
            <v>235</v>
          </cell>
          <cell r="F73">
            <v>235</v>
          </cell>
        </row>
        <row r="74">
          <cell r="E74">
            <v>276</v>
          </cell>
          <cell r="F74">
            <v>159</v>
          </cell>
          <cell r="G74">
            <v>250</v>
          </cell>
        </row>
        <row r="75">
          <cell r="E75">
            <v>3700</v>
          </cell>
          <cell r="F75">
            <v>3331</v>
          </cell>
          <cell r="G75">
            <v>350</v>
          </cell>
        </row>
        <row r="76">
          <cell r="E76">
            <v>1475</v>
          </cell>
          <cell r="F76">
            <v>1132</v>
          </cell>
          <cell r="G76">
            <v>200</v>
          </cell>
        </row>
      </sheetData>
      <sheetData sheetId="9">
        <row r="8">
          <cell r="E8">
            <v>13672</v>
          </cell>
          <cell r="F8">
            <v>11714</v>
          </cell>
          <cell r="G8">
            <v>14798</v>
          </cell>
        </row>
        <row r="18">
          <cell r="G18">
            <v>1000</v>
          </cell>
        </row>
        <row r="21">
          <cell r="G21">
            <v>40</v>
          </cell>
        </row>
        <row r="23">
          <cell r="G23">
            <v>2850</v>
          </cell>
        </row>
        <row r="24">
          <cell r="G24">
            <v>43</v>
          </cell>
        </row>
        <row r="25">
          <cell r="G25">
            <v>33</v>
          </cell>
        </row>
        <row r="27">
          <cell r="D27">
            <v>700</v>
          </cell>
          <cell r="E27">
            <v>803</v>
          </cell>
          <cell r="F27">
            <v>840</v>
          </cell>
          <cell r="G27">
            <v>601</v>
          </cell>
        </row>
        <row r="28">
          <cell r="D28">
            <v>500</v>
          </cell>
          <cell r="E28">
            <v>501</v>
          </cell>
          <cell r="F28">
            <v>432</v>
          </cell>
          <cell r="G28">
            <v>380</v>
          </cell>
        </row>
        <row r="29">
          <cell r="D29">
            <v>30</v>
          </cell>
          <cell r="E29">
            <v>215</v>
          </cell>
          <cell r="F29">
            <v>167</v>
          </cell>
          <cell r="G29">
            <v>170</v>
          </cell>
        </row>
        <row r="30">
          <cell r="D30">
            <v>300</v>
          </cell>
          <cell r="E30">
            <v>321</v>
          </cell>
          <cell r="F30">
            <v>339</v>
          </cell>
          <cell r="G30">
            <v>340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30</v>
          </cell>
          <cell r="E32">
            <v>0</v>
          </cell>
          <cell r="F32">
            <v>0</v>
          </cell>
          <cell r="G32">
            <v>36</v>
          </cell>
        </row>
        <row r="33">
          <cell r="D33">
            <v>300</v>
          </cell>
          <cell r="E33">
            <v>469</v>
          </cell>
          <cell r="F33">
            <v>450</v>
          </cell>
          <cell r="G33">
            <v>450</v>
          </cell>
        </row>
        <row r="34">
          <cell r="D34">
            <v>70</v>
          </cell>
          <cell r="E34">
            <v>215</v>
          </cell>
          <cell r="F34">
            <v>213</v>
          </cell>
          <cell r="G34">
            <v>210</v>
          </cell>
        </row>
        <row r="35">
          <cell r="D35">
            <v>300</v>
          </cell>
          <cell r="E35">
            <v>426</v>
          </cell>
          <cell r="F35">
            <v>397</v>
          </cell>
          <cell r="G35">
            <v>400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600</v>
          </cell>
          <cell r="E37">
            <v>622</v>
          </cell>
          <cell r="F37">
            <v>594</v>
          </cell>
          <cell r="G37">
            <v>600</v>
          </cell>
        </row>
        <row r="38">
          <cell r="D38">
            <v>2350</v>
          </cell>
          <cell r="E38">
            <v>4176</v>
          </cell>
          <cell r="F38">
            <v>4130</v>
          </cell>
          <cell r="G38">
            <v>4150</v>
          </cell>
        </row>
        <row r="39">
          <cell r="D39">
            <v>100</v>
          </cell>
          <cell r="E39">
            <v>20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360</v>
          </cell>
          <cell r="F41">
            <v>340</v>
          </cell>
          <cell r="G41">
            <v>340</v>
          </cell>
        </row>
        <row r="42">
          <cell r="D42">
            <v>50</v>
          </cell>
          <cell r="E42">
            <v>45</v>
          </cell>
          <cell r="F42">
            <v>37</v>
          </cell>
          <cell r="G42">
            <v>40</v>
          </cell>
        </row>
        <row r="43">
          <cell r="D43">
            <v>700</v>
          </cell>
          <cell r="E43">
            <v>670</v>
          </cell>
          <cell r="F43">
            <v>656</v>
          </cell>
          <cell r="G43">
            <v>655</v>
          </cell>
        </row>
        <row r="44">
          <cell r="D44">
            <v>85</v>
          </cell>
          <cell r="E44">
            <v>127</v>
          </cell>
          <cell r="F44">
            <v>127</v>
          </cell>
          <cell r="G44">
            <v>130</v>
          </cell>
        </row>
        <row r="45">
          <cell r="D45">
            <v>25</v>
          </cell>
          <cell r="E45">
            <v>129</v>
          </cell>
          <cell r="F45">
            <v>119</v>
          </cell>
          <cell r="G45">
            <v>120</v>
          </cell>
        </row>
        <row r="46">
          <cell r="D46">
            <v>95</v>
          </cell>
          <cell r="E46">
            <v>83</v>
          </cell>
          <cell r="F46">
            <v>87</v>
          </cell>
          <cell r="G46">
            <v>90</v>
          </cell>
        </row>
        <row r="47">
          <cell r="D47">
            <v>85</v>
          </cell>
          <cell r="E47">
            <v>448</v>
          </cell>
          <cell r="F47">
            <v>432</v>
          </cell>
          <cell r="G47">
            <v>430</v>
          </cell>
        </row>
        <row r="48">
          <cell r="D48">
            <v>70</v>
          </cell>
          <cell r="E48">
            <v>27</v>
          </cell>
          <cell r="F48">
            <v>27</v>
          </cell>
          <cell r="G48">
            <v>25</v>
          </cell>
        </row>
        <row r="49">
          <cell r="D49">
            <v>1259</v>
          </cell>
          <cell r="E49">
            <v>2222</v>
          </cell>
          <cell r="F49">
            <v>2103</v>
          </cell>
          <cell r="G49">
            <v>2020</v>
          </cell>
        </row>
        <row r="50">
          <cell r="D50">
            <v>523</v>
          </cell>
          <cell r="E50">
            <v>1534</v>
          </cell>
          <cell r="F50">
            <v>395</v>
          </cell>
          <cell r="G50">
            <v>1745</v>
          </cell>
        </row>
        <row r="57">
          <cell r="E57">
            <v>70</v>
          </cell>
          <cell r="G57">
            <v>40</v>
          </cell>
        </row>
        <row r="58">
          <cell r="G58">
            <v>206</v>
          </cell>
        </row>
        <row r="59">
          <cell r="E59">
            <v>432</v>
          </cell>
          <cell r="F59">
            <v>258</v>
          </cell>
          <cell r="G59">
            <v>226</v>
          </cell>
        </row>
        <row r="60">
          <cell r="E60">
            <v>93</v>
          </cell>
          <cell r="F60">
            <v>43</v>
          </cell>
        </row>
      </sheetData>
      <sheetData sheetId="11">
        <row r="8">
          <cell r="E8">
            <v>92860</v>
          </cell>
          <cell r="F8">
            <v>82456</v>
          </cell>
          <cell r="G8">
            <v>102136</v>
          </cell>
        </row>
        <row r="20">
          <cell r="G20">
            <v>5066</v>
          </cell>
        </row>
        <row r="24">
          <cell r="G24">
            <v>300</v>
          </cell>
        </row>
        <row r="26">
          <cell r="G26">
            <v>18975</v>
          </cell>
        </row>
        <row r="27">
          <cell r="G27">
            <v>835</v>
          </cell>
        </row>
        <row r="28">
          <cell r="G28">
            <v>0</v>
          </cell>
        </row>
        <row r="29">
          <cell r="G29">
            <v>642</v>
          </cell>
        </row>
        <row r="31">
          <cell r="D31">
            <v>30</v>
          </cell>
          <cell r="E31">
            <v>71</v>
          </cell>
          <cell r="F31">
            <v>62</v>
          </cell>
          <cell r="G31">
            <v>50</v>
          </cell>
        </row>
        <row r="32">
          <cell r="D32">
            <v>50</v>
          </cell>
          <cell r="E32">
            <v>22</v>
          </cell>
          <cell r="F32">
            <v>18</v>
          </cell>
          <cell r="G32">
            <v>25</v>
          </cell>
        </row>
        <row r="33">
          <cell r="D33">
            <v>1000</v>
          </cell>
          <cell r="E33">
            <v>919</v>
          </cell>
          <cell r="F33">
            <v>871</v>
          </cell>
          <cell r="G33">
            <v>900</v>
          </cell>
        </row>
        <row r="34">
          <cell r="D34">
            <v>50</v>
          </cell>
          <cell r="E34">
            <v>12</v>
          </cell>
          <cell r="F34">
            <v>10</v>
          </cell>
          <cell r="G34">
            <v>25</v>
          </cell>
        </row>
        <row r="35">
          <cell r="D35">
            <v>2000</v>
          </cell>
          <cell r="E35">
            <v>1999</v>
          </cell>
          <cell r="F35">
            <v>1849</v>
          </cell>
          <cell r="G35">
            <v>1900</v>
          </cell>
        </row>
        <row r="36">
          <cell r="D36">
            <v>200</v>
          </cell>
          <cell r="E36">
            <v>55</v>
          </cell>
          <cell r="F36">
            <v>47</v>
          </cell>
          <cell r="G36">
            <v>200</v>
          </cell>
        </row>
        <row r="37">
          <cell r="D37">
            <v>300</v>
          </cell>
          <cell r="E37">
            <v>296</v>
          </cell>
          <cell r="F37">
            <v>298</v>
          </cell>
          <cell r="G37">
            <v>300</v>
          </cell>
        </row>
        <row r="38">
          <cell r="D38">
            <v>1200</v>
          </cell>
          <cell r="E38">
            <v>1781</v>
          </cell>
          <cell r="F38">
            <v>1253</v>
          </cell>
          <cell r="G38">
            <v>1300</v>
          </cell>
        </row>
        <row r="39">
          <cell r="D39">
            <v>900</v>
          </cell>
          <cell r="E39">
            <v>1123</v>
          </cell>
          <cell r="F39">
            <v>890</v>
          </cell>
          <cell r="G39">
            <v>900</v>
          </cell>
        </row>
        <row r="40">
          <cell r="D40">
            <v>1700</v>
          </cell>
          <cell r="E40">
            <v>1288</v>
          </cell>
          <cell r="F40">
            <v>1007</v>
          </cell>
          <cell r="G40">
            <v>1010</v>
          </cell>
        </row>
        <row r="41">
          <cell r="D41">
            <v>1500</v>
          </cell>
          <cell r="E41">
            <v>2570</v>
          </cell>
          <cell r="F41">
            <v>2143</v>
          </cell>
          <cell r="G41">
            <v>2150</v>
          </cell>
        </row>
        <row r="42">
          <cell r="D42">
            <v>300</v>
          </cell>
          <cell r="E42">
            <v>650</v>
          </cell>
          <cell r="F42">
            <v>566</v>
          </cell>
          <cell r="G42">
            <v>570</v>
          </cell>
        </row>
        <row r="43">
          <cell r="D43">
            <v>0</v>
          </cell>
          <cell r="E43">
            <v>165</v>
          </cell>
          <cell r="F43">
            <v>136</v>
          </cell>
          <cell r="G43">
            <v>0</v>
          </cell>
        </row>
        <row r="44">
          <cell r="D44">
            <v>2000</v>
          </cell>
          <cell r="E44">
            <v>3599</v>
          </cell>
          <cell r="F44">
            <v>3064</v>
          </cell>
          <cell r="G44">
            <v>5360</v>
          </cell>
        </row>
        <row r="45">
          <cell r="D45">
            <v>50</v>
          </cell>
          <cell r="E45">
            <v>100</v>
          </cell>
          <cell r="F45">
            <v>80</v>
          </cell>
          <cell r="G45">
            <v>80</v>
          </cell>
        </row>
        <row r="46">
          <cell r="D46">
            <v>1500</v>
          </cell>
          <cell r="E46">
            <v>2707</v>
          </cell>
          <cell r="F46">
            <v>1954</v>
          </cell>
          <cell r="G46">
            <v>2150</v>
          </cell>
        </row>
        <row r="47">
          <cell r="D47">
            <v>2800</v>
          </cell>
          <cell r="E47">
            <v>2396</v>
          </cell>
          <cell r="F47">
            <v>1942</v>
          </cell>
          <cell r="G47">
            <v>2100</v>
          </cell>
        </row>
        <row r="48">
          <cell r="D48">
            <v>1200</v>
          </cell>
          <cell r="E48">
            <v>5146</v>
          </cell>
          <cell r="F48">
            <v>4819</v>
          </cell>
          <cell r="G48">
            <v>2000</v>
          </cell>
        </row>
        <row r="49">
          <cell r="D49">
            <v>250</v>
          </cell>
          <cell r="E49">
            <v>230</v>
          </cell>
          <cell r="F49">
            <v>146</v>
          </cell>
          <cell r="G49">
            <v>150</v>
          </cell>
        </row>
        <row r="50">
          <cell r="D50">
            <v>200</v>
          </cell>
          <cell r="E50">
            <v>45</v>
          </cell>
          <cell r="F50">
            <v>52</v>
          </cell>
          <cell r="G50">
            <v>60</v>
          </cell>
        </row>
        <row r="51">
          <cell r="D51">
            <v>2000</v>
          </cell>
          <cell r="E51">
            <v>1685</v>
          </cell>
          <cell r="F51">
            <v>1684</v>
          </cell>
          <cell r="G51">
            <v>1700</v>
          </cell>
        </row>
        <row r="52">
          <cell r="D52">
            <v>100</v>
          </cell>
          <cell r="E52">
            <v>50</v>
          </cell>
          <cell r="F52">
            <v>0</v>
          </cell>
          <cell r="G52">
            <v>150</v>
          </cell>
        </row>
        <row r="53">
          <cell r="D53">
            <v>500</v>
          </cell>
          <cell r="E53">
            <v>1045</v>
          </cell>
          <cell r="F53">
            <v>936</v>
          </cell>
          <cell r="G53">
            <v>1000</v>
          </cell>
        </row>
        <row r="54">
          <cell r="D54">
            <v>300</v>
          </cell>
          <cell r="E54">
            <v>203</v>
          </cell>
          <cell r="F54">
            <v>146</v>
          </cell>
          <cell r="G54">
            <v>100</v>
          </cell>
        </row>
        <row r="55">
          <cell r="D55">
            <v>50</v>
          </cell>
          <cell r="E55">
            <v>121</v>
          </cell>
          <cell r="F55">
            <v>101</v>
          </cell>
          <cell r="G55">
            <v>100</v>
          </cell>
        </row>
        <row r="56">
          <cell r="D56">
            <v>1161</v>
          </cell>
          <cell r="E56">
            <v>1365</v>
          </cell>
          <cell r="F56">
            <v>951</v>
          </cell>
          <cell r="G56">
            <v>1150</v>
          </cell>
        </row>
        <row r="57">
          <cell r="D57">
            <v>2943</v>
          </cell>
          <cell r="E57">
            <v>4581</v>
          </cell>
          <cell r="F57">
            <v>4136</v>
          </cell>
          <cell r="G57">
            <v>4043</v>
          </cell>
        </row>
        <row r="58">
          <cell r="D58">
            <v>270</v>
          </cell>
          <cell r="E58">
            <v>60</v>
          </cell>
          <cell r="F58">
            <v>0</v>
          </cell>
          <cell r="G58">
            <v>0</v>
          </cell>
        </row>
        <row r="59">
          <cell r="D59">
            <v>400</v>
          </cell>
          <cell r="E59">
            <v>345</v>
          </cell>
          <cell r="F59">
            <v>288</v>
          </cell>
          <cell r="G59">
            <v>290</v>
          </cell>
        </row>
        <row r="60">
          <cell r="D60">
            <v>350</v>
          </cell>
          <cell r="E60">
            <v>1107</v>
          </cell>
          <cell r="F60">
            <v>789</v>
          </cell>
          <cell r="G60">
            <v>655</v>
          </cell>
        </row>
        <row r="67">
          <cell r="E67">
            <v>241</v>
          </cell>
          <cell r="F67">
            <v>201</v>
          </cell>
          <cell r="G67">
            <v>300</v>
          </cell>
        </row>
        <row r="69">
          <cell r="E69">
            <v>1310</v>
          </cell>
          <cell r="F69">
            <v>608</v>
          </cell>
          <cell r="G69">
            <v>1500</v>
          </cell>
        </row>
        <row r="71">
          <cell r="E71">
            <v>1126</v>
          </cell>
          <cell r="F71">
            <v>658</v>
          </cell>
          <cell r="G71">
            <v>1000</v>
          </cell>
        </row>
        <row r="76">
          <cell r="D76">
            <v>1000</v>
          </cell>
          <cell r="E76">
            <v>1000</v>
          </cell>
          <cell r="F76">
            <v>900</v>
          </cell>
          <cell r="G76">
            <v>1200</v>
          </cell>
        </row>
      </sheetData>
      <sheetData sheetId="13">
        <row r="9">
          <cell r="F9">
            <v>335007</v>
          </cell>
          <cell r="G9">
            <v>291013</v>
          </cell>
          <cell r="H9">
            <v>186936</v>
          </cell>
        </row>
        <row r="21">
          <cell r="H21">
            <v>35531</v>
          </cell>
        </row>
        <row r="43">
          <cell r="H43">
            <v>2037</v>
          </cell>
        </row>
        <row r="54">
          <cell r="H54">
            <v>500</v>
          </cell>
        </row>
        <row r="55">
          <cell r="H55">
            <v>630</v>
          </cell>
        </row>
        <row r="58">
          <cell r="H58">
            <v>21602</v>
          </cell>
        </row>
        <row r="59">
          <cell r="H59">
            <v>0</v>
          </cell>
        </row>
        <row r="60">
          <cell r="H60">
            <v>297</v>
          </cell>
        </row>
        <row r="61">
          <cell r="H61">
            <v>600</v>
          </cell>
        </row>
        <row r="62">
          <cell r="H62">
            <v>211</v>
          </cell>
        </row>
        <row r="63">
          <cell r="H63">
            <v>93658</v>
          </cell>
        </row>
        <row r="65">
          <cell r="H65">
            <v>1990</v>
          </cell>
        </row>
        <row r="67">
          <cell r="E67">
            <v>2500</v>
          </cell>
        </row>
        <row r="70">
          <cell r="H70">
            <v>40</v>
          </cell>
        </row>
        <row r="76">
          <cell r="H76">
            <v>1400</v>
          </cell>
        </row>
        <row r="80">
          <cell r="H80">
            <v>300</v>
          </cell>
        </row>
        <row r="83">
          <cell r="H83">
            <v>220</v>
          </cell>
        </row>
        <row r="88">
          <cell r="H88">
            <v>692</v>
          </cell>
        </row>
        <row r="93">
          <cell r="H93">
            <v>1376</v>
          </cell>
        </row>
        <row r="99">
          <cell r="H99">
            <v>1028</v>
          </cell>
        </row>
        <row r="100">
          <cell r="H100">
            <v>20</v>
          </cell>
        </row>
        <row r="101">
          <cell r="H101">
            <v>10</v>
          </cell>
        </row>
        <row r="102">
          <cell r="H102">
            <v>0</v>
          </cell>
        </row>
        <row r="103">
          <cell r="H103">
            <v>1706</v>
          </cell>
        </row>
        <row r="104">
          <cell r="H104">
            <v>450</v>
          </cell>
        </row>
        <row r="107">
          <cell r="H107">
            <v>0</v>
          </cell>
        </row>
        <row r="108">
          <cell r="H108">
            <v>1815</v>
          </cell>
        </row>
        <row r="121">
          <cell r="H121">
            <v>4900</v>
          </cell>
        </row>
        <row r="122">
          <cell r="H122">
            <v>3455</v>
          </cell>
        </row>
        <row r="126">
          <cell r="H126">
            <v>20</v>
          </cell>
        </row>
        <row r="127">
          <cell r="H127">
            <v>1425</v>
          </cell>
        </row>
        <row r="128">
          <cell r="H128">
            <v>3321</v>
          </cell>
        </row>
        <row r="132">
          <cell r="H132">
            <v>0</v>
          </cell>
        </row>
        <row r="136">
          <cell r="H136">
            <v>50</v>
          </cell>
        </row>
        <row r="137">
          <cell r="H137">
            <v>1317</v>
          </cell>
        </row>
        <row r="138">
          <cell r="H138">
            <v>1804</v>
          </cell>
        </row>
        <row r="139">
          <cell r="H139">
            <v>955</v>
          </cell>
        </row>
        <row r="140">
          <cell r="H140">
            <v>0</v>
          </cell>
        </row>
        <row r="141">
          <cell r="H141">
            <v>1680</v>
          </cell>
        </row>
        <row r="142">
          <cell r="H142">
            <v>507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63177</v>
          </cell>
        </row>
        <row r="154">
          <cell r="H154">
            <v>15200</v>
          </cell>
        </row>
        <row r="155">
          <cell r="H155">
            <v>4500</v>
          </cell>
        </row>
        <row r="156">
          <cell r="H156">
            <v>3000</v>
          </cell>
        </row>
        <row r="157">
          <cell r="H157">
            <v>700</v>
          </cell>
        </row>
        <row r="158">
          <cell r="H158">
            <v>7000</v>
          </cell>
        </row>
        <row r="161">
          <cell r="H161">
            <v>48223</v>
          </cell>
        </row>
        <row r="162">
          <cell r="H162">
            <v>1700</v>
          </cell>
        </row>
        <row r="163">
          <cell r="H163">
            <v>14699</v>
          </cell>
        </row>
        <row r="164">
          <cell r="H164">
            <v>10797</v>
          </cell>
        </row>
        <row r="165">
          <cell r="H165">
            <v>88</v>
          </cell>
        </row>
        <row r="166">
          <cell r="H166">
            <v>700</v>
          </cell>
        </row>
        <row r="167">
          <cell r="H167">
            <v>10009</v>
          </cell>
        </row>
        <row r="168">
          <cell r="H168">
            <v>4392</v>
          </cell>
        </row>
        <row r="169">
          <cell r="H169">
            <v>3280</v>
          </cell>
        </row>
        <row r="170">
          <cell r="H170">
            <v>113</v>
          </cell>
        </row>
        <row r="171">
          <cell r="H171">
            <v>403</v>
          </cell>
        </row>
        <row r="172">
          <cell r="H172">
            <v>596</v>
          </cell>
        </row>
        <row r="173">
          <cell r="H173">
            <v>1000</v>
          </cell>
        </row>
        <row r="174">
          <cell r="H174">
            <v>5500</v>
          </cell>
        </row>
        <row r="176">
          <cell r="H176">
            <v>4000</v>
          </cell>
        </row>
        <row r="178">
          <cell r="H178">
            <v>0</v>
          </cell>
        </row>
        <row r="183">
          <cell r="H183">
            <v>150</v>
          </cell>
        </row>
        <row r="184">
          <cell r="H184">
            <v>960</v>
          </cell>
        </row>
        <row r="185">
          <cell r="H185">
            <v>25</v>
          </cell>
        </row>
        <row r="188">
          <cell r="H188">
            <v>200</v>
          </cell>
        </row>
        <row r="189">
          <cell r="H189">
            <v>200</v>
          </cell>
        </row>
        <row r="190">
          <cell r="H190">
            <v>3000</v>
          </cell>
        </row>
        <row r="191">
          <cell r="H191">
            <v>200</v>
          </cell>
        </row>
        <row r="192">
          <cell r="H192">
            <v>200</v>
          </cell>
        </row>
        <row r="194">
          <cell r="H194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5">
          <cell r="H205">
            <v>0</v>
          </cell>
        </row>
        <row r="206">
          <cell r="H206">
            <v>31000</v>
          </cell>
        </row>
        <row r="209">
          <cell r="H209">
            <v>3000</v>
          </cell>
        </row>
        <row r="210">
          <cell r="H210">
            <v>28516</v>
          </cell>
        </row>
        <row r="211">
          <cell r="H211">
            <v>1000</v>
          </cell>
        </row>
        <row r="213">
          <cell r="H213">
            <v>0</v>
          </cell>
        </row>
        <row r="214">
          <cell r="H214">
            <v>0</v>
          </cell>
        </row>
        <row r="216">
          <cell r="H216">
            <v>0</v>
          </cell>
        </row>
        <row r="221">
          <cell r="E221">
            <v>0</v>
          </cell>
          <cell r="F221">
            <v>116</v>
          </cell>
          <cell r="G221">
            <v>116</v>
          </cell>
          <cell r="H221">
            <v>161</v>
          </cell>
        </row>
        <row r="225">
          <cell r="E225">
            <v>12827</v>
          </cell>
          <cell r="F225">
            <v>12827</v>
          </cell>
          <cell r="G225">
            <v>12826</v>
          </cell>
          <cell r="H225">
            <v>12365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nk.összesen"/>
      <sheetName val="KIADÁSOK Önk.összesen"/>
      <sheetName val="VSZ - BEVÉTELEK"/>
      <sheetName val="VSZ - KIADÁSOK"/>
      <sheetName val="ESZESZ - BEVÉTELEK"/>
      <sheetName val="ESZESZ - KIADÁSOK"/>
      <sheetName val="KÖNYVTÁR - BEVÉTELEK"/>
      <sheetName val="KÖNYVTÁR - KIADÁSOK"/>
      <sheetName val="PH - BEVÉTELEK"/>
      <sheetName val="PH - KIADÁSOK"/>
      <sheetName val="ÖK - BEVÉTELEK"/>
      <sheetName val="ÖK - KIADÁSOK"/>
    </sheetNames>
    <sheetDataSet>
      <sheetData sheetId="2">
        <row r="8">
          <cell r="D8">
            <v>0</v>
          </cell>
          <cell r="E8">
            <v>14654</v>
          </cell>
          <cell r="F8">
            <v>14653</v>
          </cell>
          <cell r="G8">
            <v>14326</v>
          </cell>
        </row>
        <row r="15">
          <cell r="D15">
            <v>68433</v>
          </cell>
          <cell r="E15">
            <v>68433</v>
          </cell>
          <cell r="F15">
            <v>64985</v>
          </cell>
        </row>
        <row r="35">
          <cell r="E35">
            <v>1194</v>
          </cell>
          <cell r="F35">
            <v>1194</v>
          </cell>
        </row>
        <row r="36">
          <cell r="E36">
            <v>173032</v>
          </cell>
          <cell r="F36">
            <v>163646</v>
          </cell>
        </row>
      </sheetData>
      <sheetData sheetId="3">
        <row r="8">
          <cell r="D8">
            <v>74383</v>
          </cell>
          <cell r="E8">
            <v>73580</v>
          </cell>
          <cell r="F8">
            <v>73029</v>
          </cell>
          <cell r="G8">
            <v>78389</v>
          </cell>
        </row>
        <row r="23">
          <cell r="D23">
            <v>14673</v>
          </cell>
          <cell r="E23">
            <v>15527</v>
          </cell>
          <cell r="F23">
            <v>15524</v>
          </cell>
          <cell r="G23">
            <v>15904</v>
          </cell>
        </row>
        <row r="29">
          <cell r="D29">
            <v>134127</v>
          </cell>
          <cell r="E29">
            <v>166238</v>
          </cell>
          <cell r="F29">
            <v>161384</v>
          </cell>
          <cell r="G29">
            <v>158430</v>
          </cell>
        </row>
        <row r="61">
          <cell r="D61">
            <v>1000</v>
          </cell>
          <cell r="E61">
            <v>1968</v>
          </cell>
          <cell r="F61">
            <v>1898</v>
          </cell>
          <cell r="G61">
            <v>1200</v>
          </cell>
        </row>
      </sheetData>
      <sheetData sheetId="4">
        <row r="8">
          <cell r="D8">
            <v>46000</v>
          </cell>
          <cell r="E8">
            <v>55717</v>
          </cell>
          <cell r="F8">
            <v>55716</v>
          </cell>
          <cell r="G8">
            <v>50057</v>
          </cell>
        </row>
        <row r="24">
          <cell r="D24">
            <v>14082</v>
          </cell>
          <cell r="E24">
            <v>15633</v>
          </cell>
          <cell r="F24">
            <v>13417</v>
          </cell>
          <cell r="G24">
            <v>13073</v>
          </cell>
        </row>
        <row r="39">
          <cell r="E39">
            <v>803</v>
          </cell>
          <cell r="F39">
            <v>802</v>
          </cell>
        </row>
        <row r="40">
          <cell r="F40">
            <v>112511</v>
          </cell>
        </row>
      </sheetData>
      <sheetData sheetId="5">
        <row r="9">
          <cell r="D9">
            <v>105771</v>
          </cell>
          <cell r="E9">
            <v>105771</v>
          </cell>
          <cell r="F9">
            <v>106213</v>
          </cell>
          <cell r="G9">
            <v>118374.7</v>
          </cell>
        </row>
        <row r="32">
          <cell r="D32">
            <v>20514</v>
          </cell>
          <cell r="E32">
            <v>20514</v>
          </cell>
          <cell r="F32">
            <v>21116</v>
          </cell>
          <cell r="G32">
            <v>22745</v>
          </cell>
        </row>
        <row r="37">
          <cell r="D37">
            <v>38075</v>
          </cell>
          <cell r="E37">
            <v>51872</v>
          </cell>
          <cell r="F37">
            <v>49253</v>
          </cell>
          <cell r="G37">
            <v>47111</v>
          </cell>
        </row>
        <row r="72">
          <cell r="D72">
            <v>600</v>
          </cell>
          <cell r="E72">
            <v>7130</v>
          </cell>
          <cell r="F72">
            <v>6105</v>
          </cell>
          <cell r="G72">
            <v>1000</v>
          </cell>
        </row>
        <row r="78">
          <cell r="E78">
            <v>100</v>
          </cell>
          <cell r="F78">
            <v>74</v>
          </cell>
        </row>
      </sheetData>
      <sheetData sheetId="6">
        <row r="8">
          <cell r="D8">
            <v>0</v>
          </cell>
          <cell r="E8">
            <v>1350</v>
          </cell>
          <cell r="F8">
            <v>1350</v>
          </cell>
          <cell r="G8">
            <v>1667</v>
          </cell>
        </row>
        <row r="14">
          <cell r="D14">
            <v>0</v>
          </cell>
          <cell r="E14">
            <v>2116</v>
          </cell>
          <cell r="F14">
            <v>2116</v>
          </cell>
          <cell r="G14">
            <v>161</v>
          </cell>
        </row>
        <row r="20">
          <cell r="D20">
            <v>2201</v>
          </cell>
          <cell r="E20">
            <v>1679</v>
          </cell>
          <cell r="F20">
            <v>1383</v>
          </cell>
          <cell r="G20">
            <v>2001</v>
          </cell>
        </row>
        <row r="32">
          <cell r="E32">
            <v>1518</v>
          </cell>
        </row>
        <row r="33">
          <cell r="E33">
            <v>25746</v>
          </cell>
          <cell r="F33">
            <v>23046</v>
          </cell>
        </row>
      </sheetData>
      <sheetData sheetId="7">
        <row r="8">
          <cell r="D8">
            <v>13047</v>
          </cell>
          <cell r="E8">
            <v>13672</v>
          </cell>
          <cell r="F8">
            <v>11714</v>
          </cell>
          <cell r="G8">
            <v>14798</v>
          </cell>
        </row>
        <row r="22">
          <cell r="D22">
            <v>2576</v>
          </cell>
          <cell r="E22">
            <v>2697</v>
          </cell>
          <cell r="F22">
            <v>2403</v>
          </cell>
          <cell r="G22">
            <v>2926</v>
          </cell>
        </row>
        <row r="26">
          <cell r="D26">
            <v>8172</v>
          </cell>
          <cell r="E26">
            <v>13413</v>
          </cell>
          <cell r="F26">
            <v>11885</v>
          </cell>
          <cell r="G26">
            <v>12932</v>
          </cell>
        </row>
        <row r="55">
          <cell r="D55">
            <v>318</v>
          </cell>
          <cell r="E55">
            <v>595</v>
          </cell>
          <cell r="F55">
            <v>301</v>
          </cell>
          <cell r="G55">
            <v>600</v>
          </cell>
        </row>
        <row r="61">
          <cell r="D61">
            <v>0</v>
          </cell>
          <cell r="E61">
            <v>2032</v>
          </cell>
          <cell r="F61">
            <v>2032</v>
          </cell>
          <cell r="G61">
            <v>0</v>
          </cell>
        </row>
      </sheetData>
      <sheetData sheetId="8">
        <row r="8">
          <cell r="D8">
            <v>0</v>
          </cell>
          <cell r="E8">
            <v>1955</v>
          </cell>
          <cell r="F8">
            <v>1954</v>
          </cell>
          <cell r="G8">
            <v>1180</v>
          </cell>
        </row>
        <row r="14">
          <cell r="D14">
            <v>100</v>
          </cell>
          <cell r="E14">
            <v>100</v>
          </cell>
          <cell r="F14">
            <v>61</v>
          </cell>
          <cell r="G14">
            <v>100</v>
          </cell>
        </row>
        <row r="16">
          <cell r="D16">
            <v>12073</v>
          </cell>
          <cell r="E16">
            <v>12897</v>
          </cell>
          <cell r="F16">
            <v>11685</v>
          </cell>
          <cell r="G16">
            <v>12339</v>
          </cell>
        </row>
        <row r="31">
          <cell r="D31">
            <v>300</v>
          </cell>
          <cell r="E31">
            <v>502</v>
          </cell>
          <cell r="F31">
            <v>410</v>
          </cell>
          <cell r="G31">
            <v>750</v>
          </cell>
        </row>
        <row r="34">
          <cell r="E34">
            <v>1194</v>
          </cell>
          <cell r="F34">
            <v>1193</v>
          </cell>
        </row>
        <row r="35">
          <cell r="E35">
            <v>136293</v>
          </cell>
          <cell r="F35">
            <v>136717</v>
          </cell>
        </row>
      </sheetData>
      <sheetData sheetId="9">
        <row r="8">
          <cell r="D8">
            <v>89556</v>
          </cell>
          <cell r="E8">
            <v>92860</v>
          </cell>
          <cell r="F8">
            <v>82456</v>
          </cell>
          <cell r="G8">
            <v>102136</v>
          </cell>
        </row>
        <row r="25">
          <cell r="D25">
            <v>18194</v>
          </cell>
          <cell r="E25">
            <v>18998</v>
          </cell>
          <cell r="F25">
            <v>17169</v>
          </cell>
          <cell r="G25">
            <v>20452</v>
          </cell>
        </row>
        <row r="30">
          <cell r="D30">
            <v>25304</v>
          </cell>
          <cell r="E30">
            <v>35736</v>
          </cell>
          <cell r="F30">
            <v>30238</v>
          </cell>
          <cell r="G30">
            <v>30418</v>
          </cell>
        </row>
        <row r="63">
          <cell r="D63">
            <v>0</v>
          </cell>
          <cell r="E63">
            <v>97</v>
          </cell>
          <cell r="F63">
            <v>96</v>
          </cell>
          <cell r="G63">
            <v>0</v>
          </cell>
        </row>
        <row r="66">
          <cell r="D66">
            <v>3048</v>
          </cell>
          <cell r="E66">
            <v>4250</v>
          </cell>
          <cell r="F66">
            <v>2713</v>
          </cell>
          <cell r="G66">
            <v>3556</v>
          </cell>
        </row>
        <row r="75">
          <cell r="D75">
            <v>1000</v>
          </cell>
          <cell r="E75">
            <v>1000</v>
          </cell>
          <cell r="F75">
            <v>900</v>
          </cell>
          <cell r="G75">
            <v>1200</v>
          </cell>
        </row>
      </sheetData>
      <sheetData sheetId="10">
        <row r="10">
          <cell r="D10">
            <v>638935</v>
          </cell>
          <cell r="E10">
            <v>752482</v>
          </cell>
          <cell r="F10">
            <v>727615</v>
          </cell>
        </row>
        <row r="92">
          <cell r="D92">
            <v>0</v>
          </cell>
          <cell r="E92">
            <v>148896</v>
          </cell>
          <cell r="F92">
            <v>148895</v>
          </cell>
          <cell r="G92">
            <v>0</v>
          </cell>
        </row>
        <row r="106">
          <cell r="D106">
            <v>164650</v>
          </cell>
          <cell r="E106">
            <v>188352</v>
          </cell>
          <cell r="F106">
            <v>250023</v>
          </cell>
          <cell r="G106">
            <v>178100</v>
          </cell>
        </row>
        <row r="117">
          <cell r="D117">
            <v>36076</v>
          </cell>
          <cell r="E117">
            <v>48056</v>
          </cell>
          <cell r="F117">
            <v>37161</v>
          </cell>
          <cell r="G117">
            <v>36947</v>
          </cell>
        </row>
        <row r="129">
          <cell r="D129">
            <v>4000</v>
          </cell>
          <cell r="E129">
            <v>9855</v>
          </cell>
          <cell r="F129">
            <v>9854</v>
          </cell>
          <cell r="G129">
            <v>5750</v>
          </cell>
        </row>
        <row r="139">
          <cell r="D139">
            <v>208</v>
          </cell>
          <cell r="E139">
            <v>208</v>
          </cell>
          <cell r="F139">
            <v>78</v>
          </cell>
          <cell r="G139">
            <v>78</v>
          </cell>
        </row>
        <row r="144">
          <cell r="D144">
            <v>942</v>
          </cell>
          <cell r="E144">
            <v>1137</v>
          </cell>
          <cell r="F144">
            <v>915</v>
          </cell>
          <cell r="G144">
            <v>510</v>
          </cell>
        </row>
        <row r="148">
          <cell r="D148">
            <v>0</v>
          </cell>
          <cell r="E148">
            <v>2212158</v>
          </cell>
          <cell r="F148">
            <v>2203328</v>
          </cell>
        </row>
      </sheetData>
      <sheetData sheetId="11">
        <row r="9">
          <cell r="E9">
            <v>244183.7</v>
          </cell>
          <cell r="F9">
            <v>335007</v>
          </cell>
          <cell r="G9">
            <v>291013</v>
          </cell>
          <cell r="H9">
            <v>186936</v>
          </cell>
        </row>
        <row r="56">
          <cell r="E56">
            <v>28236</v>
          </cell>
          <cell r="F56">
            <v>43394</v>
          </cell>
          <cell r="G56">
            <v>36465</v>
          </cell>
          <cell r="H56">
            <v>22710</v>
          </cell>
        </row>
        <row r="63">
          <cell r="E63">
            <v>81035</v>
          </cell>
          <cell r="F63">
            <v>185039</v>
          </cell>
          <cell r="G63">
            <v>113383</v>
          </cell>
        </row>
        <row r="153">
          <cell r="E153">
            <v>17500</v>
          </cell>
          <cell r="F153">
            <v>21352</v>
          </cell>
          <cell r="G153">
            <v>13045</v>
          </cell>
        </row>
        <row r="160">
          <cell r="E160">
            <v>24560</v>
          </cell>
          <cell r="F160">
            <v>48796</v>
          </cell>
          <cell r="G160">
            <v>42687</v>
          </cell>
        </row>
        <row r="185">
          <cell r="E185">
            <v>2400</v>
          </cell>
          <cell r="F185">
            <v>2013840</v>
          </cell>
          <cell r="G185">
            <v>657259</v>
          </cell>
        </row>
        <row r="205">
          <cell r="E205">
            <v>26900</v>
          </cell>
          <cell r="F205">
            <v>252468</v>
          </cell>
          <cell r="G205">
            <v>115891</v>
          </cell>
          <cell r="H205">
            <v>32516</v>
          </cell>
        </row>
        <row r="217">
          <cell r="E217">
            <v>0</v>
          </cell>
          <cell r="F217">
            <v>116</v>
          </cell>
          <cell r="G217">
            <v>116</v>
          </cell>
          <cell r="H217">
            <v>161</v>
          </cell>
        </row>
        <row r="221">
          <cell r="H221">
            <v>40000</v>
          </cell>
        </row>
        <row r="222">
          <cell r="E222">
            <v>12827</v>
          </cell>
          <cell r="F222">
            <v>12827</v>
          </cell>
          <cell r="G222">
            <v>12826</v>
          </cell>
          <cell r="H222">
            <v>12365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tabSelected="1" view="pageBreakPreview" zoomScale="90" zoomScaleSheetLayoutView="90" workbookViewId="0" topLeftCell="A1">
      <selection activeCell="K16" sqref="K16"/>
    </sheetView>
  </sheetViews>
  <sheetFormatPr defaultColWidth="9.140625" defaultRowHeight="12.75"/>
  <cols>
    <col min="1" max="1" width="5.8515625" style="0" customWidth="1"/>
    <col min="2" max="2" width="8.8515625" style="0" customWidth="1"/>
    <col min="3" max="3" width="72.8515625" style="0" customWidth="1"/>
    <col min="4" max="4" width="0.2890625" style="0" hidden="1" customWidth="1"/>
    <col min="5" max="6" width="15.28125" style="0" hidden="1" customWidth="1"/>
    <col min="7" max="7" width="14.28125" style="0" customWidth="1"/>
    <col min="8" max="8" width="15.28125" style="0" customWidth="1"/>
    <col min="9" max="9" width="17.140625" style="0" customWidth="1"/>
    <col min="10" max="10" width="14.28125" style="0" bestFit="1" customWidth="1"/>
  </cols>
  <sheetData>
    <row r="1" spans="1:31" s="27" customFormat="1" ht="24" customHeight="1">
      <c r="A1" s="800" t="s">
        <v>804</v>
      </c>
      <c r="B1" s="800"/>
      <c r="C1" s="800"/>
      <c r="D1" s="800"/>
      <c r="E1" s="800"/>
      <c r="F1" s="800"/>
      <c r="G1" s="800"/>
      <c r="H1" s="800"/>
      <c r="I1" s="800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1" s="27" customFormat="1" ht="17.25" customHeight="1">
      <c r="A2" s="791" t="s">
        <v>202</v>
      </c>
      <c r="B2" s="791"/>
      <c r="C2" s="791"/>
      <c r="D2" s="791"/>
      <c r="E2" s="791"/>
      <c r="F2" s="791"/>
      <c r="G2" s="791"/>
      <c r="H2" s="791"/>
      <c r="I2" s="791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</row>
    <row r="3" spans="1:31" s="27" customFormat="1" ht="17.25" customHeight="1">
      <c r="A3" s="292"/>
      <c r="B3" s="56"/>
      <c r="C3" s="56"/>
      <c r="D3" s="62"/>
      <c r="E3" s="62"/>
      <c r="F3" s="62"/>
      <c r="G3" s="573"/>
      <c r="H3" s="62"/>
      <c r="I3" s="573" t="s">
        <v>523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19" s="471" customFormat="1" ht="19.5" customHeight="1">
      <c r="A4" s="803" t="s">
        <v>503</v>
      </c>
      <c r="B4" s="805" t="s">
        <v>502</v>
      </c>
      <c r="C4" s="796" t="s">
        <v>505</v>
      </c>
      <c r="D4" s="784" t="s">
        <v>805</v>
      </c>
      <c r="E4" s="780" t="s">
        <v>806</v>
      </c>
      <c r="F4" s="780" t="s">
        <v>807</v>
      </c>
      <c r="G4" s="782" t="s">
        <v>966</v>
      </c>
      <c r="H4" s="780" t="s">
        <v>969</v>
      </c>
      <c r="I4" s="784" t="s">
        <v>970</v>
      </c>
      <c r="J4" s="470"/>
      <c r="K4" s="470"/>
      <c r="L4" s="470"/>
      <c r="M4" s="470"/>
      <c r="N4" s="470"/>
      <c r="O4" s="470"/>
      <c r="P4" s="470"/>
      <c r="Q4" s="470"/>
      <c r="R4" s="470"/>
      <c r="S4" s="470"/>
    </row>
    <row r="5" spans="1:31" s="471" customFormat="1" ht="34.5" customHeight="1">
      <c r="A5" s="804"/>
      <c r="B5" s="806"/>
      <c r="C5" s="797"/>
      <c r="D5" s="785"/>
      <c r="E5" s="781"/>
      <c r="F5" s="781"/>
      <c r="G5" s="783"/>
      <c r="H5" s="781"/>
      <c r="I5" s="785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</row>
    <row r="6" spans="1:31" s="479" customFormat="1" ht="21.75" customHeight="1">
      <c r="A6" s="474" t="s">
        <v>270</v>
      </c>
      <c r="B6" s="474" t="s">
        <v>271</v>
      </c>
      <c r="C6" s="475" t="s">
        <v>452</v>
      </c>
      <c r="D6" s="476" t="s">
        <v>453</v>
      </c>
      <c r="E6" s="476" t="s">
        <v>454</v>
      </c>
      <c r="F6" s="476" t="s">
        <v>272</v>
      </c>
      <c r="G6" s="476" t="s">
        <v>453</v>
      </c>
      <c r="H6" s="476" t="s">
        <v>454</v>
      </c>
      <c r="I6" s="476" t="s">
        <v>272</v>
      </c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</row>
    <row r="7" spans="1:31" s="60" customFormat="1" ht="30" customHeight="1">
      <c r="A7" s="294" t="s">
        <v>276</v>
      </c>
      <c r="B7" s="572" t="s">
        <v>455</v>
      </c>
      <c r="C7" s="480" t="s">
        <v>456</v>
      </c>
      <c r="D7" s="570">
        <f aca="true" t="shared" si="0" ref="D7:I7">D8+D57</f>
        <v>684935</v>
      </c>
      <c r="E7" s="570">
        <f t="shared" si="0"/>
        <v>826158</v>
      </c>
      <c r="F7" s="570">
        <f t="shared" si="0"/>
        <v>801288</v>
      </c>
      <c r="G7" s="570">
        <f t="shared" si="0"/>
        <v>725961</v>
      </c>
      <c r="H7" s="570">
        <f t="shared" si="0"/>
        <v>-69036</v>
      </c>
      <c r="I7" s="570">
        <f t="shared" si="0"/>
        <v>656925</v>
      </c>
      <c r="J7" s="607"/>
      <c r="K7" s="139"/>
      <c r="L7" s="139"/>
      <c r="M7" s="139"/>
      <c r="N7" s="139"/>
      <c r="O7" s="139"/>
      <c r="P7" s="139"/>
      <c r="Q7" s="139"/>
      <c r="R7" s="139"/>
      <c r="S7" s="13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4" s="60" customFormat="1" ht="24.75" customHeight="1">
      <c r="A8" s="294" t="s">
        <v>277</v>
      </c>
      <c r="B8" s="78" t="s">
        <v>508</v>
      </c>
      <c r="C8" s="155" t="s">
        <v>457</v>
      </c>
      <c r="D8" s="93">
        <f aca="true" t="shared" si="1" ref="D8:I8">D9+D24+D39+D44+D49</f>
        <v>322325</v>
      </c>
      <c r="E8" s="93">
        <f t="shared" si="1"/>
        <v>366532</v>
      </c>
      <c r="F8" s="93">
        <f t="shared" si="1"/>
        <v>366532</v>
      </c>
      <c r="G8" s="93">
        <f t="shared" si="1"/>
        <v>310718</v>
      </c>
      <c r="H8" s="93">
        <f t="shared" si="1"/>
        <v>0</v>
      </c>
      <c r="I8" s="93">
        <f t="shared" si="1"/>
        <v>310718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s="60" customFormat="1" ht="24.75" customHeight="1">
      <c r="A9" s="294" t="s">
        <v>278</v>
      </c>
      <c r="B9" s="78" t="s">
        <v>510</v>
      </c>
      <c r="C9" s="91" t="s">
        <v>194</v>
      </c>
      <c r="D9" s="93">
        <f aca="true" t="shared" si="2" ref="D9:I9">D10+D20+D21+D22</f>
        <v>166081</v>
      </c>
      <c r="E9" s="93">
        <f t="shared" si="2"/>
        <v>166250</v>
      </c>
      <c r="F9" s="93">
        <f t="shared" si="2"/>
        <v>166250</v>
      </c>
      <c r="G9" s="93">
        <f t="shared" si="2"/>
        <v>167414</v>
      </c>
      <c r="H9" s="93">
        <f t="shared" si="2"/>
        <v>0</v>
      </c>
      <c r="I9" s="93">
        <f t="shared" si="2"/>
        <v>167414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s="60" customFormat="1" ht="24.75" customHeight="1">
      <c r="A10" s="294" t="s">
        <v>279</v>
      </c>
      <c r="B10" s="78"/>
      <c r="C10" s="481" t="s">
        <v>616</v>
      </c>
      <c r="D10" s="131">
        <f aca="true" t="shared" si="3" ref="D10:I10">D11+D12+D17+D18+D19</f>
        <v>162655</v>
      </c>
      <c r="E10" s="131">
        <f t="shared" si="3"/>
        <v>162655</v>
      </c>
      <c r="F10" s="131">
        <f t="shared" si="3"/>
        <v>162655</v>
      </c>
      <c r="G10" s="131">
        <f t="shared" si="3"/>
        <v>164131</v>
      </c>
      <c r="H10" s="131">
        <f t="shared" si="3"/>
        <v>0</v>
      </c>
      <c r="I10" s="131">
        <f t="shared" si="3"/>
        <v>164131</v>
      </c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s="60" customFormat="1" ht="28.5" customHeight="1">
      <c r="A11" s="294" t="s">
        <v>280</v>
      </c>
      <c r="B11" s="78"/>
      <c r="C11" s="333" t="s">
        <v>597</v>
      </c>
      <c r="D11" s="278">
        <v>93707</v>
      </c>
      <c r="E11" s="278">
        <v>93707</v>
      </c>
      <c r="F11" s="278">
        <v>93707</v>
      </c>
      <c r="G11" s="278">
        <v>93432</v>
      </c>
      <c r="H11" s="278">
        <v>0</v>
      </c>
      <c r="I11" s="278">
        <v>93432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s="60" customFormat="1" ht="24.75" customHeight="1">
      <c r="A12" s="294" t="s">
        <v>281</v>
      </c>
      <c r="B12" s="78"/>
      <c r="C12" s="333" t="s">
        <v>598</v>
      </c>
      <c r="D12" s="278">
        <f aca="true" t="shared" si="4" ref="D12:I12">SUM(D13:D16)</f>
        <v>58591</v>
      </c>
      <c r="E12" s="278">
        <f t="shared" si="4"/>
        <v>58591</v>
      </c>
      <c r="F12" s="278">
        <f t="shared" si="4"/>
        <v>58591</v>
      </c>
      <c r="G12" s="278">
        <f t="shared" si="4"/>
        <v>63090</v>
      </c>
      <c r="H12" s="278">
        <f t="shared" si="4"/>
        <v>0</v>
      </c>
      <c r="I12" s="278">
        <f t="shared" si="4"/>
        <v>63090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s="60" customFormat="1" ht="24.75" customHeight="1">
      <c r="A13" s="294" t="s">
        <v>282</v>
      </c>
      <c r="B13" s="78"/>
      <c r="C13" s="482" t="s">
        <v>593</v>
      </c>
      <c r="D13" s="332">
        <v>18973</v>
      </c>
      <c r="E13" s="332">
        <v>18973</v>
      </c>
      <c r="F13" s="332">
        <v>18973</v>
      </c>
      <c r="G13" s="332">
        <v>18973</v>
      </c>
      <c r="H13" s="332">
        <v>0</v>
      </c>
      <c r="I13" s="332">
        <v>18973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s="60" customFormat="1" ht="24.75" customHeight="1">
      <c r="A14" s="294" t="s">
        <v>283</v>
      </c>
      <c r="B14" s="78"/>
      <c r="C14" s="483" t="s">
        <v>594</v>
      </c>
      <c r="D14" s="332">
        <v>23712</v>
      </c>
      <c r="E14" s="332">
        <v>23712</v>
      </c>
      <c r="F14" s="332">
        <v>23712</v>
      </c>
      <c r="G14" s="332">
        <v>23776</v>
      </c>
      <c r="H14" s="332">
        <v>0</v>
      </c>
      <c r="I14" s="332">
        <v>23776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s="60" customFormat="1" ht="24.75" customHeight="1">
      <c r="A15" s="294" t="s">
        <v>284</v>
      </c>
      <c r="B15" s="78"/>
      <c r="C15" s="483" t="s">
        <v>595</v>
      </c>
      <c r="D15" s="332">
        <v>100</v>
      </c>
      <c r="E15" s="332">
        <v>100</v>
      </c>
      <c r="F15" s="332">
        <v>100</v>
      </c>
      <c r="G15" s="332">
        <v>4535</v>
      </c>
      <c r="H15" s="332">
        <v>0</v>
      </c>
      <c r="I15" s="332">
        <v>4535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s="60" customFormat="1" ht="24.75" customHeight="1">
      <c r="A16" s="294" t="s">
        <v>285</v>
      </c>
      <c r="B16" s="78"/>
      <c r="C16" s="483" t="s">
        <v>596</v>
      </c>
      <c r="D16" s="332">
        <v>15806</v>
      </c>
      <c r="E16" s="332">
        <v>15806</v>
      </c>
      <c r="F16" s="332">
        <v>15806</v>
      </c>
      <c r="G16" s="332">
        <v>15806</v>
      </c>
      <c r="H16" s="332">
        <v>0</v>
      </c>
      <c r="I16" s="332">
        <v>15806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s="60" customFormat="1" ht="24.75" customHeight="1">
      <c r="A17" s="294" t="s">
        <v>286</v>
      </c>
      <c r="B17" s="78"/>
      <c r="C17" s="333" t="s">
        <v>599</v>
      </c>
      <c r="D17" s="278">
        <v>10316</v>
      </c>
      <c r="E17" s="278">
        <v>10316</v>
      </c>
      <c r="F17" s="278">
        <v>10316</v>
      </c>
      <c r="G17" s="278">
        <v>7556</v>
      </c>
      <c r="H17" s="278">
        <v>0</v>
      </c>
      <c r="I17" s="278">
        <v>7556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s="60" customFormat="1" ht="24.75" customHeight="1">
      <c r="A18" s="294" t="s">
        <v>287</v>
      </c>
      <c r="B18" s="78"/>
      <c r="C18" s="484" t="s">
        <v>600</v>
      </c>
      <c r="D18" s="278">
        <v>13</v>
      </c>
      <c r="E18" s="278">
        <v>13</v>
      </c>
      <c r="F18" s="278">
        <v>13</v>
      </c>
      <c r="G18" s="278">
        <v>13</v>
      </c>
      <c r="H18" s="278">
        <v>0</v>
      </c>
      <c r="I18" s="278">
        <v>13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s="60" customFormat="1" ht="24.75" customHeight="1">
      <c r="A19" s="294" t="s">
        <v>288</v>
      </c>
      <c r="B19" s="78"/>
      <c r="C19" s="333" t="s">
        <v>601</v>
      </c>
      <c r="D19" s="278">
        <v>28</v>
      </c>
      <c r="E19" s="278">
        <v>28</v>
      </c>
      <c r="F19" s="278">
        <v>28</v>
      </c>
      <c r="G19" s="278">
        <v>40</v>
      </c>
      <c r="H19" s="278">
        <v>0</v>
      </c>
      <c r="I19" s="278">
        <v>40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s="60" customFormat="1" ht="24.75" customHeight="1">
      <c r="A20" s="294" t="s">
        <v>289</v>
      </c>
      <c r="B20" s="78"/>
      <c r="C20" s="481" t="s">
        <v>108</v>
      </c>
      <c r="D20" s="131">
        <v>1670</v>
      </c>
      <c r="E20" s="131">
        <v>1670</v>
      </c>
      <c r="F20" s="131">
        <v>1670</v>
      </c>
      <c r="G20" s="131">
        <v>1601</v>
      </c>
      <c r="H20" s="131">
        <v>0</v>
      </c>
      <c r="I20" s="131">
        <v>1601</v>
      </c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s="60" customFormat="1" ht="24.75" customHeight="1">
      <c r="A21" s="294" t="s">
        <v>290</v>
      </c>
      <c r="B21" s="78"/>
      <c r="C21" s="485" t="s">
        <v>617</v>
      </c>
      <c r="D21" s="131">
        <v>0</v>
      </c>
      <c r="E21" s="131">
        <v>169</v>
      </c>
      <c r="F21" s="131">
        <v>169</v>
      </c>
      <c r="G21" s="131">
        <v>0</v>
      </c>
      <c r="H21" s="131">
        <v>0</v>
      </c>
      <c r="I21" s="131">
        <v>0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s="60" customFormat="1" ht="24.75" customHeight="1">
      <c r="A22" s="294" t="s">
        <v>291</v>
      </c>
      <c r="B22" s="78"/>
      <c r="C22" s="486" t="s">
        <v>618</v>
      </c>
      <c r="D22" s="131">
        <v>1756</v>
      </c>
      <c r="E22" s="131">
        <v>1756</v>
      </c>
      <c r="F22" s="131">
        <v>1756</v>
      </c>
      <c r="G22" s="131">
        <v>1682</v>
      </c>
      <c r="H22" s="131">
        <v>0</v>
      </c>
      <c r="I22" s="131">
        <v>1682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s="60" customFormat="1" ht="21.75" customHeight="1">
      <c r="A23" s="294" t="s">
        <v>292</v>
      </c>
      <c r="B23" s="78"/>
      <c r="C23" s="258" t="s">
        <v>808</v>
      </c>
      <c r="D23" s="287">
        <v>0</v>
      </c>
      <c r="E23" s="287"/>
      <c r="F23" s="287"/>
      <c r="G23" s="287">
        <v>0</v>
      </c>
      <c r="H23" s="287">
        <v>0</v>
      </c>
      <c r="I23" s="287">
        <v>0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s="60" customFormat="1" ht="24.75" customHeight="1">
      <c r="A24" s="294" t="s">
        <v>293</v>
      </c>
      <c r="B24" s="78" t="s">
        <v>511</v>
      </c>
      <c r="C24" s="91" t="s">
        <v>193</v>
      </c>
      <c r="D24" s="93">
        <f>D25+D26+D34+D38</f>
        <v>148928</v>
      </c>
      <c r="E24" s="93">
        <f>E25+E26+E34+E38</f>
        <v>163090</v>
      </c>
      <c r="F24" s="93">
        <f>F25+F26+F34+F38</f>
        <v>163090</v>
      </c>
      <c r="G24" s="93">
        <f>G25+G26+G34</f>
        <v>136039</v>
      </c>
      <c r="H24" s="93">
        <f>H25+H26+H34+H38</f>
        <v>0</v>
      </c>
      <c r="I24" s="93">
        <f>I25+I26+I34</f>
        <v>136039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s="60" customFormat="1" ht="37.5" customHeight="1">
      <c r="A25" s="294" t="s">
        <v>294</v>
      </c>
      <c r="B25" s="78"/>
      <c r="C25" s="486" t="s">
        <v>613</v>
      </c>
      <c r="D25" s="131">
        <v>64320</v>
      </c>
      <c r="E25" s="131">
        <v>64320</v>
      </c>
      <c r="F25" s="131">
        <v>64320</v>
      </c>
      <c r="G25" s="131">
        <v>50419</v>
      </c>
      <c r="H25" s="131">
        <v>0</v>
      </c>
      <c r="I25" s="131">
        <v>50419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s="60" customFormat="1" ht="24.75" customHeight="1">
      <c r="A26" s="294" t="s">
        <v>296</v>
      </c>
      <c r="B26" s="78"/>
      <c r="C26" s="486" t="s">
        <v>614</v>
      </c>
      <c r="D26" s="131">
        <f aca="true" t="shared" si="5" ref="D26:I26">SUM(D27:D33)</f>
        <v>39317</v>
      </c>
      <c r="E26" s="131">
        <f t="shared" si="5"/>
        <v>41475</v>
      </c>
      <c r="F26" s="131">
        <f t="shared" si="5"/>
        <v>41475</v>
      </c>
      <c r="G26" s="131">
        <f t="shared" si="5"/>
        <v>41394</v>
      </c>
      <c r="H26" s="131">
        <f t="shared" si="5"/>
        <v>0</v>
      </c>
      <c r="I26" s="131">
        <f t="shared" si="5"/>
        <v>41394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s="60" customFormat="1" ht="24.75" customHeight="1">
      <c r="A27" s="294" t="s">
        <v>297</v>
      </c>
      <c r="B27" s="78"/>
      <c r="C27" s="487" t="s">
        <v>602</v>
      </c>
      <c r="D27" s="278">
        <v>4080</v>
      </c>
      <c r="E27" s="278">
        <v>4080</v>
      </c>
      <c r="F27" s="278">
        <v>4080</v>
      </c>
      <c r="G27" s="278">
        <v>4080</v>
      </c>
      <c r="H27" s="278">
        <v>0</v>
      </c>
      <c r="I27" s="278">
        <v>4080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s="60" customFormat="1" ht="24.75" customHeight="1">
      <c r="A28" s="294" t="s">
        <v>298</v>
      </c>
      <c r="B28" s="78"/>
      <c r="C28" s="333" t="s">
        <v>603</v>
      </c>
      <c r="D28" s="278">
        <f>3820</f>
        <v>3820</v>
      </c>
      <c r="E28" s="278">
        <v>2990</v>
      </c>
      <c r="F28" s="278">
        <v>2990</v>
      </c>
      <c r="G28" s="278">
        <v>2934</v>
      </c>
      <c r="H28" s="278">
        <v>0</v>
      </c>
      <c r="I28" s="278">
        <v>2934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s="60" customFormat="1" ht="24.75" customHeight="1">
      <c r="A29" s="294" t="s">
        <v>299</v>
      </c>
      <c r="B29" s="78"/>
      <c r="C29" s="333" t="s">
        <v>604</v>
      </c>
      <c r="D29" s="278">
        <f>225</f>
        <v>225</v>
      </c>
      <c r="E29" s="278">
        <v>175</v>
      </c>
      <c r="F29" s="278">
        <v>175</v>
      </c>
      <c r="G29" s="278">
        <v>150</v>
      </c>
      <c r="H29" s="278">
        <v>0</v>
      </c>
      <c r="I29" s="278">
        <v>150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s="60" customFormat="1" ht="24.75" customHeight="1">
      <c r="A30" s="294" t="s">
        <v>300</v>
      </c>
      <c r="B30" s="78"/>
      <c r="C30" s="334" t="s">
        <v>605</v>
      </c>
      <c r="D30" s="278">
        <f>9240</f>
        <v>9240</v>
      </c>
      <c r="E30" s="278">
        <v>10560</v>
      </c>
      <c r="F30" s="278">
        <v>10560</v>
      </c>
      <c r="G30" s="278">
        <v>10560</v>
      </c>
      <c r="H30" s="278">
        <v>0</v>
      </c>
      <c r="I30" s="278">
        <v>10560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</row>
    <row r="31" spans="1:34" s="60" customFormat="1" ht="24.75" customHeight="1">
      <c r="A31" s="294" t="s">
        <v>301</v>
      </c>
      <c r="B31" s="78"/>
      <c r="C31" s="333" t="s">
        <v>606</v>
      </c>
      <c r="D31" s="278">
        <f>3052</f>
        <v>3052</v>
      </c>
      <c r="E31" s="278">
        <v>3270</v>
      </c>
      <c r="F31" s="278">
        <v>3270</v>
      </c>
      <c r="G31" s="278">
        <v>3270</v>
      </c>
      <c r="H31" s="278">
        <v>0</v>
      </c>
      <c r="I31" s="278">
        <v>3270</v>
      </c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4" s="60" customFormat="1" ht="24.75" customHeight="1">
      <c r="A32" s="294" t="s">
        <v>440</v>
      </c>
      <c r="B32" s="78"/>
      <c r="C32" s="333" t="s">
        <v>607</v>
      </c>
      <c r="D32" s="278">
        <f>9500</f>
        <v>9500</v>
      </c>
      <c r="E32" s="278">
        <v>11000</v>
      </c>
      <c r="F32" s="278">
        <v>11000</v>
      </c>
      <c r="G32" s="278">
        <v>11000</v>
      </c>
      <c r="H32" s="278">
        <v>0</v>
      </c>
      <c r="I32" s="278">
        <v>11000</v>
      </c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1:34" s="60" customFormat="1" ht="24.75" customHeight="1">
      <c r="A33" s="294" t="s">
        <v>441</v>
      </c>
      <c r="B33" s="78"/>
      <c r="C33" s="488" t="s">
        <v>608</v>
      </c>
      <c r="D33" s="278">
        <v>9400</v>
      </c>
      <c r="E33" s="278">
        <v>9400</v>
      </c>
      <c r="F33" s="278">
        <v>9400</v>
      </c>
      <c r="G33" s="278">
        <v>9400</v>
      </c>
      <c r="H33" s="278">
        <v>0</v>
      </c>
      <c r="I33" s="278">
        <v>9400</v>
      </c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1:34" s="60" customFormat="1" ht="24.75" customHeight="1">
      <c r="A34" s="294" t="s">
        <v>442</v>
      </c>
      <c r="B34" s="78"/>
      <c r="C34" s="486" t="s">
        <v>615</v>
      </c>
      <c r="D34" s="131">
        <f aca="true" t="shared" si="6" ref="D34:I34">SUM(D35:D37)</f>
        <v>45291</v>
      </c>
      <c r="E34" s="131">
        <f t="shared" si="6"/>
        <v>44800</v>
      </c>
      <c r="F34" s="131">
        <f t="shared" si="6"/>
        <v>44800</v>
      </c>
      <c r="G34" s="131">
        <f t="shared" si="6"/>
        <v>44226</v>
      </c>
      <c r="H34" s="131">
        <f t="shared" si="6"/>
        <v>0</v>
      </c>
      <c r="I34" s="131">
        <f t="shared" si="6"/>
        <v>44226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</row>
    <row r="35" spans="1:34" s="60" customFormat="1" ht="30.75" customHeight="1">
      <c r="A35" s="294" t="s">
        <v>483</v>
      </c>
      <c r="B35" s="78"/>
      <c r="C35" s="333" t="s">
        <v>609</v>
      </c>
      <c r="D35" s="278">
        <v>13452</v>
      </c>
      <c r="E35" s="278">
        <v>13452</v>
      </c>
      <c r="F35" s="278">
        <v>13452</v>
      </c>
      <c r="G35" s="278">
        <v>12616</v>
      </c>
      <c r="H35" s="278">
        <v>0</v>
      </c>
      <c r="I35" s="278">
        <v>12616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1:34" s="60" customFormat="1" ht="24" customHeight="1">
      <c r="A36" s="294" t="s">
        <v>443</v>
      </c>
      <c r="B36" s="78"/>
      <c r="C36" s="487" t="s">
        <v>610</v>
      </c>
      <c r="D36" s="278">
        <f>30218</f>
        <v>30218</v>
      </c>
      <c r="E36" s="278">
        <v>30002</v>
      </c>
      <c r="F36" s="278">
        <v>30002</v>
      </c>
      <c r="G36" s="278">
        <v>30308</v>
      </c>
      <c r="H36" s="278">
        <v>0</v>
      </c>
      <c r="I36" s="278">
        <v>30308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s="60" customFormat="1" ht="26.25" customHeight="1">
      <c r="A37" s="294" t="s">
        <v>444</v>
      </c>
      <c r="B37" s="78"/>
      <c r="C37" s="334" t="s">
        <v>611</v>
      </c>
      <c r="D37" s="278">
        <f>1621</f>
        <v>1621</v>
      </c>
      <c r="E37" s="278">
        <v>1346</v>
      </c>
      <c r="F37" s="278">
        <v>1346</v>
      </c>
      <c r="G37" s="278">
        <v>1302</v>
      </c>
      <c r="H37" s="278">
        <v>0</v>
      </c>
      <c r="I37" s="278">
        <v>1302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s="60" customFormat="1" ht="24.75" customHeight="1">
      <c r="A38" s="294" t="s">
        <v>445</v>
      </c>
      <c r="B38" s="78"/>
      <c r="C38" s="258" t="s">
        <v>42</v>
      </c>
      <c r="D38" s="287">
        <v>0</v>
      </c>
      <c r="E38" s="76">
        <f>5148+7344+3</f>
        <v>12495</v>
      </c>
      <c r="F38" s="76">
        <v>12495</v>
      </c>
      <c r="G38" s="287">
        <v>0</v>
      </c>
      <c r="H38" s="76"/>
      <c r="I38" s="287">
        <v>0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s="60" customFormat="1" ht="24.75" customHeight="1">
      <c r="A39" s="294" t="s">
        <v>446</v>
      </c>
      <c r="B39" s="78" t="s">
        <v>512</v>
      </c>
      <c r="C39" s="91" t="s">
        <v>506</v>
      </c>
      <c r="D39" s="93">
        <f>D40+D42+D43</f>
        <v>7316</v>
      </c>
      <c r="E39" s="93">
        <f>E40</f>
        <v>8499</v>
      </c>
      <c r="F39" s="93">
        <f>F40</f>
        <v>8499</v>
      </c>
      <c r="G39" s="93">
        <f>G40</f>
        <v>7265</v>
      </c>
      <c r="H39" s="93">
        <f>H40</f>
        <v>0</v>
      </c>
      <c r="I39" s="93">
        <f>I40</f>
        <v>7265</v>
      </c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s="60" customFormat="1" ht="24.75" customHeight="1">
      <c r="A40" s="294" t="s">
        <v>447</v>
      </c>
      <c r="B40" s="78"/>
      <c r="C40" s="469" t="s">
        <v>619</v>
      </c>
      <c r="D40" s="131">
        <f aca="true" t="shared" si="7" ref="D40:I40">SUM(D41:D43)</f>
        <v>7316</v>
      </c>
      <c r="E40" s="131">
        <f t="shared" si="7"/>
        <v>8499</v>
      </c>
      <c r="F40" s="131">
        <f t="shared" si="7"/>
        <v>8499</v>
      </c>
      <c r="G40" s="131">
        <f t="shared" si="7"/>
        <v>7265</v>
      </c>
      <c r="H40" s="131">
        <f t="shared" si="7"/>
        <v>0</v>
      </c>
      <c r="I40" s="131">
        <f t="shared" si="7"/>
        <v>7265</v>
      </c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</row>
    <row r="41" spans="1:34" s="60" customFormat="1" ht="27.75" customHeight="1">
      <c r="A41" s="294" t="s">
        <v>484</v>
      </c>
      <c r="B41" s="78"/>
      <c r="C41" s="484" t="s">
        <v>612</v>
      </c>
      <c r="D41" s="278">
        <v>7316</v>
      </c>
      <c r="E41" s="278">
        <v>7316</v>
      </c>
      <c r="F41" s="278">
        <v>7316</v>
      </c>
      <c r="G41" s="278">
        <v>7265</v>
      </c>
      <c r="H41" s="278">
        <v>0</v>
      </c>
      <c r="I41" s="278">
        <v>7265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1:34" s="60" customFormat="1" ht="24.75" customHeight="1">
      <c r="A42" s="294" t="s">
        <v>448</v>
      </c>
      <c r="B42" s="78"/>
      <c r="C42" s="258" t="s">
        <v>665</v>
      </c>
      <c r="D42" s="287">
        <v>0</v>
      </c>
      <c r="E42" s="76">
        <f>422+460-2</f>
        <v>880</v>
      </c>
      <c r="F42" s="287">
        <v>880</v>
      </c>
      <c r="G42" s="287">
        <v>0</v>
      </c>
      <c r="H42" s="287"/>
      <c r="I42" s="287">
        <v>0</v>
      </c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1:34" s="60" customFormat="1" ht="24.75" customHeight="1">
      <c r="A43" s="294" t="s">
        <v>449</v>
      </c>
      <c r="B43" s="78"/>
      <c r="C43" s="258" t="s">
        <v>229</v>
      </c>
      <c r="D43" s="287">
        <v>0</v>
      </c>
      <c r="E43" s="76">
        <v>303</v>
      </c>
      <c r="F43" s="287">
        <v>303</v>
      </c>
      <c r="G43" s="287">
        <v>0</v>
      </c>
      <c r="H43" s="287"/>
      <c r="I43" s="287">
        <v>0</v>
      </c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1:34" s="60" customFormat="1" ht="24.75" customHeight="1">
      <c r="A44" s="294" t="s">
        <v>450</v>
      </c>
      <c r="B44" s="78" t="s">
        <v>513</v>
      </c>
      <c r="C44" s="91" t="s">
        <v>507</v>
      </c>
      <c r="D44" s="93">
        <f aca="true" t="shared" si="8" ref="D44:I44">SUM(D45:D48)</f>
        <v>0</v>
      </c>
      <c r="E44" s="93">
        <f t="shared" si="8"/>
        <v>28605</v>
      </c>
      <c r="F44" s="93">
        <f t="shared" si="8"/>
        <v>28605</v>
      </c>
      <c r="G44" s="93">
        <f t="shared" si="8"/>
        <v>0</v>
      </c>
      <c r="H44" s="93">
        <f t="shared" si="8"/>
        <v>0</v>
      </c>
      <c r="I44" s="93">
        <f t="shared" si="8"/>
        <v>0</v>
      </c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1:34" s="60" customFormat="1" ht="24.75" customHeight="1">
      <c r="A45" s="294" t="s">
        <v>451</v>
      </c>
      <c r="B45" s="78"/>
      <c r="C45" s="182" t="s">
        <v>210</v>
      </c>
      <c r="D45" s="287">
        <v>0</v>
      </c>
      <c r="E45" s="76">
        <f>936+293-95</f>
        <v>1134</v>
      </c>
      <c r="F45" s="287">
        <v>1134</v>
      </c>
      <c r="G45" s="287">
        <v>0</v>
      </c>
      <c r="H45" s="287"/>
      <c r="I45" s="287">
        <v>0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1:34" s="60" customFormat="1" ht="24.75" customHeight="1">
      <c r="A46" s="294" t="s">
        <v>485</v>
      </c>
      <c r="B46" s="78"/>
      <c r="C46" s="182" t="s">
        <v>683</v>
      </c>
      <c r="D46" s="287">
        <v>0</v>
      </c>
      <c r="E46" s="76">
        <v>819</v>
      </c>
      <c r="F46" s="287">
        <v>819</v>
      </c>
      <c r="G46" s="287">
        <v>0</v>
      </c>
      <c r="H46" s="287"/>
      <c r="I46" s="287">
        <v>0</v>
      </c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1:34" s="60" customFormat="1" ht="33.75" customHeight="1">
      <c r="A47" s="294" t="s">
        <v>459</v>
      </c>
      <c r="B47" s="78"/>
      <c r="C47" s="318" t="s">
        <v>741</v>
      </c>
      <c r="D47" s="287">
        <v>0</v>
      </c>
      <c r="E47" s="76">
        <f>14500+8000</f>
        <v>22500</v>
      </c>
      <c r="F47" s="76">
        <f>14500+8000</f>
        <v>22500</v>
      </c>
      <c r="G47" s="287">
        <v>0</v>
      </c>
      <c r="H47" s="76"/>
      <c r="I47" s="287">
        <v>0</v>
      </c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1:34" s="60" customFormat="1" ht="24.75" customHeight="1">
      <c r="A48" s="294" t="s">
        <v>460</v>
      </c>
      <c r="B48" s="78"/>
      <c r="C48" s="73" t="s">
        <v>795</v>
      </c>
      <c r="D48" s="287">
        <v>0</v>
      </c>
      <c r="E48" s="92">
        <v>4152</v>
      </c>
      <c r="F48" s="287">
        <v>4152</v>
      </c>
      <c r="G48" s="287">
        <v>0</v>
      </c>
      <c r="H48" s="287"/>
      <c r="I48" s="287">
        <v>0</v>
      </c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1:34" s="60" customFormat="1" ht="24.75" customHeight="1">
      <c r="A49" s="294" t="s">
        <v>461</v>
      </c>
      <c r="B49" s="78" t="s">
        <v>742</v>
      </c>
      <c r="C49" s="91" t="s">
        <v>743</v>
      </c>
      <c r="D49" s="93">
        <f aca="true" t="shared" si="9" ref="D49:I49">D50</f>
        <v>0</v>
      </c>
      <c r="E49" s="93">
        <f t="shared" si="9"/>
        <v>88</v>
      </c>
      <c r="F49" s="93">
        <f t="shared" si="9"/>
        <v>88</v>
      </c>
      <c r="G49" s="93">
        <f t="shared" si="9"/>
        <v>0</v>
      </c>
      <c r="H49" s="93">
        <f t="shared" si="9"/>
        <v>0</v>
      </c>
      <c r="I49" s="93">
        <f t="shared" si="9"/>
        <v>0</v>
      </c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1:34" s="60" customFormat="1" ht="24.75" customHeight="1">
      <c r="A50" s="294" t="s">
        <v>462</v>
      </c>
      <c r="B50" s="78"/>
      <c r="C50" s="314" t="s">
        <v>744</v>
      </c>
      <c r="D50" s="287">
        <v>0</v>
      </c>
      <c r="E50" s="287">
        <v>88</v>
      </c>
      <c r="F50" s="287">
        <v>88</v>
      </c>
      <c r="G50" s="287">
        <v>0</v>
      </c>
      <c r="H50" s="287"/>
      <c r="I50" s="287">
        <v>0</v>
      </c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s="27" customFormat="1" ht="24.75" customHeight="1">
      <c r="A51" s="790" t="s">
        <v>804</v>
      </c>
      <c r="B51" s="790"/>
      <c r="C51" s="790"/>
      <c r="D51" s="790"/>
      <c r="E51" s="790"/>
      <c r="F51" s="790"/>
      <c r="G51" s="790"/>
      <c r="H51" s="790"/>
      <c r="I51" s="79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1" s="27" customFormat="1" ht="17.25" customHeight="1">
      <c r="A52" s="801" t="s">
        <v>201</v>
      </c>
      <c r="B52" s="802"/>
      <c r="C52" s="802"/>
      <c r="D52" s="802"/>
      <c r="E52" s="802"/>
      <c r="F52" s="802"/>
      <c r="G52" s="802"/>
      <c r="H52" s="802"/>
      <c r="I52" s="80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</row>
    <row r="53" spans="1:31" s="27" customFormat="1" ht="17.25" customHeight="1">
      <c r="A53" s="807" t="s">
        <v>523</v>
      </c>
      <c r="B53" s="808"/>
      <c r="C53" s="808"/>
      <c r="D53" s="808"/>
      <c r="E53" s="808"/>
      <c r="F53" s="808"/>
      <c r="G53" s="808"/>
      <c r="H53" s="808"/>
      <c r="I53" s="808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19" s="48" customFormat="1" ht="19.5" customHeight="1">
      <c r="A54" s="792" t="s">
        <v>503</v>
      </c>
      <c r="B54" s="794" t="s">
        <v>502</v>
      </c>
      <c r="C54" s="796" t="s">
        <v>505</v>
      </c>
      <c r="D54" s="798" t="s">
        <v>805</v>
      </c>
      <c r="E54" s="780" t="s">
        <v>806</v>
      </c>
      <c r="F54" s="780" t="s">
        <v>807</v>
      </c>
      <c r="G54" s="782" t="s">
        <v>966</v>
      </c>
      <c r="H54" s="780" t="s">
        <v>969</v>
      </c>
      <c r="I54" s="784" t="s">
        <v>970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31" s="48" customFormat="1" ht="36.75" customHeight="1">
      <c r="A55" s="793"/>
      <c r="B55" s="795"/>
      <c r="C55" s="797"/>
      <c r="D55" s="799"/>
      <c r="E55" s="781"/>
      <c r="F55" s="781"/>
      <c r="G55" s="783"/>
      <c r="H55" s="781"/>
      <c r="I55" s="785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s="479" customFormat="1" ht="21.75" customHeight="1">
      <c r="A56" s="474" t="s">
        <v>270</v>
      </c>
      <c r="B56" s="474" t="s">
        <v>271</v>
      </c>
      <c r="C56" s="475" t="s">
        <v>452</v>
      </c>
      <c r="D56" s="476" t="s">
        <v>453</v>
      </c>
      <c r="E56" s="476" t="s">
        <v>454</v>
      </c>
      <c r="F56" s="476" t="s">
        <v>272</v>
      </c>
      <c r="G56" s="476" t="s">
        <v>453</v>
      </c>
      <c r="H56" s="476" t="s">
        <v>454</v>
      </c>
      <c r="I56" s="476" t="s">
        <v>272</v>
      </c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</row>
    <row r="57" spans="1:34" s="48" customFormat="1" ht="35.25" customHeight="1">
      <c r="A57" s="294" t="s">
        <v>463</v>
      </c>
      <c r="B57" s="78" t="s">
        <v>509</v>
      </c>
      <c r="C57" s="489" t="s">
        <v>458</v>
      </c>
      <c r="D57" s="93">
        <f aca="true" t="shared" si="10" ref="D57:I57">D63+D75+D76+D78+D58+D60</f>
        <v>362610</v>
      </c>
      <c r="E57" s="93">
        <f t="shared" si="10"/>
        <v>459626</v>
      </c>
      <c r="F57" s="93">
        <f t="shared" si="10"/>
        <v>434756</v>
      </c>
      <c r="G57" s="93">
        <f t="shared" si="10"/>
        <v>415243</v>
      </c>
      <c r="H57" s="93">
        <f t="shared" si="10"/>
        <v>-69036</v>
      </c>
      <c r="I57" s="93">
        <f t="shared" si="10"/>
        <v>346207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1:34" s="48" customFormat="1" ht="23.25" customHeight="1">
      <c r="A58" s="294" t="s">
        <v>494</v>
      </c>
      <c r="B58" s="71" t="s">
        <v>50</v>
      </c>
      <c r="C58" s="254" t="s">
        <v>51</v>
      </c>
      <c r="D58" s="93">
        <v>0</v>
      </c>
      <c r="E58" s="75">
        <f>E59</f>
        <v>136</v>
      </c>
      <c r="F58" s="75">
        <f>F59</f>
        <v>136</v>
      </c>
      <c r="G58" s="75">
        <f>G59</f>
        <v>0</v>
      </c>
      <c r="H58" s="75">
        <f>H59</f>
        <v>0</v>
      </c>
      <c r="I58" s="75">
        <f>I59</f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1:34" s="48" customFormat="1" ht="23.25" customHeight="1">
      <c r="A59" s="294" t="s">
        <v>495</v>
      </c>
      <c r="B59" s="78"/>
      <c r="C59" s="207" t="s">
        <v>684</v>
      </c>
      <c r="D59" s="92">
        <v>0</v>
      </c>
      <c r="E59" s="138">
        <f>156-20</f>
        <v>136</v>
      </c>
      <c r="F59" s="92">
        <v>136</v>
      </c>
      <c r="G59" s="92">
        <v>0</v>
      </c>
      <c r="H59" s="92">
        <v>0</v>
      </c>
      <c r="I59" s="92">
        <v>0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</row>
    <row r="60" spans="1:34" s="48" customFormat="1" ht="23.25" customHeight="1">
      <c r="A60" s="294" t="s">
        <v>496</v>
      </c>
      <c r="B60" s="71" t="s">
        <v>685</v>
      </c>
      <c r="C60" s="80" t="s">
        <v>686</v>
      </c>
      <c r="D60" s="93">
        <v>0</v>
      </c>
      <c r="E60" s="75">
        <f>SUM(E61:E62)</f>
        <v>72255</v>
      </c>
      <c r="F60" s="75">
        <f>SUM(F61:F62)</f>
        <v>51051</v>
      </c>
      <c r="G60" s="75">
        <f>SUM(G61:G62)</f>
        <v>0</v>
      </c>
      <c r="H60" s="75">
        <f>SUM(H61:H62)</f>
        <v>0</v>
      </c>
      <c r="I60" s="75">
        <f>SUM(I61:I62)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  <row r="61" spans="1:34" s="48" customFormat="1" ht="23.25" customHeight="1">
      <c r="A61" s="294" t="s">
        <v>497</v>
      </c>
      <c r="B61" s="78"/>
      <c r="C61" s="73" t="s">
        <v>687</v>
      </c>
      <c r="D61" s="92">
        <v>0</v>
      </c>
      <c r="E61" s="79">
        <v>49641</v>
      </c>
      <c r="F61" s="92">
        <v>35699</v>
      </c>
      <c r="G61" s="92">
        <v>0</v>
      </c>
      <c r="H61" s="92">
        <v>0</v>
      </c>
      <c r="I61" s="92">
        <v>0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</row>
    <row r="62" spans="1:34" s="48" customFormat="1" ht="23.25" customHeight="1">
      <c r="A62" s="294" t="s">
        <v>498</v>
      </c>
      <c r="B62" s="78"/>
      <c r="C62" s="73" t="s">
        <v>688</v>
      </c>
      <c r="D62" s="92">
        <v>0</v>
      </c>
      <c r="E62" s="79">
        <v>22614</v>
      </c>
      <c r="F62" s="92">
        <v>15352</v>
      </c>
      <c r="G62" s="92">
        <v>0</v>
      </c>
      <c r="H62" s="92">
        <v>0</v>
      </c>
      <c r="I62" s="92">
        <v>0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5" s="27" customFormat="1" ht="19.5" customHeight="1">
      <c r="A63" s="294" t="s">
        <v>199</v>
      </c>
      <c r="B63" s="71" t="s">
        <v>211</v>
      </c>
      <c r="C63" s="91" t="s">
        <v>514</v>
      </c>
      <c r="D63" s="93">
        <f aca="true" t="shared" si="11" ref="D63:I63">SUM(D64:D74)</f>
        <v>9485</v>
      </c>
      <c r="E63" s="93">
        <f t="shared" si="11"/>
        <v>23412</v>
      </c>
      <c r="F63" s="93">
        <f t="shared" si="11"/>
        <v>23450</v>
      </c>
      <c r="G63" s="93">
        <f t="shared" si="11"/>
        <v>10889</v>
      </c>
      <c r="H63" s="93">
        <f t="shared" si="11"/>
        <v>0</v>
      </c>
      <c r="I63" s="93">
        <f t="shared" si="11"/>
        <v>10889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8"/>
      <c r="AH63" s="48"/>
      <c r="AI63" s="48"/>
    </row>
    <row r="64" spans="1:43" s="60" customFormat="1" ht="24.75" customHeight="1">
      <c r="A64" s="294" t="s">
        <v>189</v>
      </c>
      <c r="B64" s="78"/>
      <c r="C64" s="316" t="s">
        <v>178</v>
      </c>
      <c r="D64" s="92">
        <v>3240</v>
      </c>
      <c r="E64" s="92">
        <v>3240</v>
      </c>
      <c r="F64" s="92">
        <v>3240</v>
      </c>
      <c r="G64" s="92">
        <v>3240</v>
      </c>
      <c r="H64" s="92">
        <v>0</v>
      </c>
      <c r="I64" s="92">
        <v>3240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L64" s="3"/>
      <c r="AM64" s="3"/>
      <c r="AN64" s="3"/>
      <c r="AO64" s="3"/>
      <c r="AP64" s="3"/>
      <c r="AQ64" s="3"/>
    </row>
    <row r="65" spans="1:43" s="60" customFormat="1" ht="24.75" customHeight="1">
      <c r="A65" s="294" t="s">
        <v>190</v>
      </c>
      <c r="B65" s="78"/>
      <c r="C65" s="316" t="s">
        <v>230</v>
      </c>
      <c r="D65" s="92">
        <v>6245</v>
      </c>
      <c r="E65" s="92">
        <v>6245</v>
      </c>
      <c r="F65" s="92">
        <v>6245</v>
      </c>
      <c r="G65" s="92">
        <v>6245</v>
      </c>
      <c r="H65" s="92">
        <v>0</v>
      </c>
      <c r="I65" s="92">
        <v>6245</v>
      </c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L65" s="3"/>
      <c r="AM65" s="3"/>
      <c r="AN65" s="3"/>
      <c r="AO65" s="3"/>
      <c r="AP65" s="3"/>
      <c r="AQ65" s="3"/>
    </row>
    <row r="66" spans="1:43" s="60" customFormat="1" ht="24.75" customHeight="1">
      <c r="A66" s="294" t="s">
        <v>200</v>
      </c>
      <c r="B66" s="78"/>
      <c r="C66" s="316" t="s">
        <v>43</v>
      </c>
      <c r="D66" s="92">
        <v>0</v>
      </c>
      <c r="E66" s="92">
        <f>70</f>
        <v>70</v>
      </c>
      <c r="F66" s="92">
        <f>67+69</f>
        <v>136</v>
      </c>
      <c r="G66" s="92">
        <v>0</v>
      </c>
      <c r="H66" s="92">
        <v>0</v>
      </c>
      <c r="I66" s="92"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L66" s="3"/>
      <c r="AM66" s="3"/>
      <c r="AN66" s="3"/>
      <c r="AO66" s="3"/>
      <c r="AP66" s="3"/>
      <c r="AQ66" s="3"/>
    </row>
    <row r="67" spans="1:43" s="60" customFormat="1" ht="24.75" customHeight="1">
      <c r="A67" s="294" t="s">
        <v>191</v>
      </c>
      <c r="B67" s="78"/>
      <c r="C67" s="77" t="s">
        <v>44</v>
      </c>
      <c r="D67" s="92">
        <v>0</v>
      </c>
      <c r="E67" s="92">
        <v>3700</v>
      </c>
      <c r="F67" s="92">
        <v>3700</v>
      </c>
      <c r="G67" s="92">
        <v>0</v>
      </c>
      <c r="H67" s="92">
        <v>0</v>
      </c>
      <c r="I67" s="92">
        <v>0</v>
      </c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L67" s="3"/>
      <c r="AM67" s="3"/>
      <c r="AN67" s="3"/>
      <c r="AO67" s="3"/>
      <c r="AP67" s="3"/>
      <c r="AQ67" s="3"/>
    </row>
    <row r="68" spans="1:43" s="60" customFormat="1" ht="36" customHeight="1">
      <c r="A68" s="294" t="s">
        <v>192</v>
      </c>
      <c r="B68" s="78"/>
      <c r="C68" s="102" t="s">
        <v>796</v>
      </c>
      <c r="D68" s="92">
        <v>0</v>
      </c>
      <c r="E68" s="92">
        <f>2283+2107</f>
        <v>4390</v>
      </c>
      <c r="F68" s="92">
        <f>2283+2107</f>
        <v>4390</v>
      </c>
      <c r="G68" s="92">
        <v>0</v>
      </c>
      <c r="H68" s="92">
        <v>0</v>
      </c>
      <c r="I68" s="92"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L68" s="3"/>
      <c r="AM68" s="3"/>
      <c r="AN68" s="3"/>
      <c r="AO68" s="3"/>
      <c r="AP68" s="3"/>
      <c r="AQ68" s="3"/>
    </row>
    <row r="69" spans="1:43" s="60" customFormat="1" ht="24.75" customHeight="1">
      <c r="A69" s="294" t="s">
        <v>520</v>
      </c>
      <c r="B69" s="78"/>
      <c r="C69" s="316" t="s">
        <v>45</v>
      </c>
      <c r="D69" s="92">
        <v>0</v>
      </c>
      <c r="E69" s="92">
        <f>142+655+801+26</f>
        <v>1624</v>
      </c>
      <c r="F69" s="92">
        <v>1596</v>
      </c>
      <c r="G69" s="92">
        <f>643+761</f>
        <v>1404</v>
      </c>
      <c r="H69" s="92">
        <v>0</v>
      </c>
      <c r="I69" s="92">
        <f>643+761</f>
        <v>1404</v>
      </c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L69" s="3"/>
      <c r="AM69" s="3"/>
      <c r="AN69" s="3"/>
      <c r="AO69" s="3"/>
      <c r="AP69" s="3"/>
      <c r="AQ69" s="3"/>
    </row>
    <row r="70" spans="1:43" s="60" customFormat="1" ht="24.75" customHeight="1">
      <c r="A70" s="294" t="s">
        <v>521</v>
      </c>
      <c r="B70" s="78"/>
      <c r="C70" s="316" t="s">
        <v>689</v>
      </c>
      <c r="D70" s="92">
        <v>0</v>
      </c>
      <c r="E70" s="92">
        <v>290</v>
      </c>
      <c r="F70" s="92">
        <v>290</v>
      </c>
      <c r="G70" s="92">
        <v>0</v>
      </c>
      <c r="H70" s="92">
        <v>0</v>
      </c>
      <c r="I70" s="92"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L70" s="3"/>
      <c r="AM70" s="3"/>
      <c r="AN70" s="3"/>
      <c r="AO70" s="3"/>
      <c r="AP70" s="3"/>
      <c r="AQ70" s="3"/>
    </row>
    <row r="71" spans="1:43" s="60" customFormat="1" ht="24.75" customHeight="1">
      <c r="A71" s="294" t="s">
        <v>522</v>
      </c>
      <c r="B71" s="78"/>
      <c r="C71" s="316" t="s">
        <v>797</v>
      </c>
      <c r="D71" s="92">
        <v>0</v>
      </c>
      <c r="E71" s="92">
        <f>1571+97</f>
        <v>1668</v>
      </c>
      <c r="F71" s="92">
        <f>1571+97</f>
        <v>1668</v>
      </c>
      <c r="G71" s="92">
        <v>0</v>
      </c>
      <c r="H71" s="92">
        <v>0</v>
      </c>
      <c r="I71" s="92">
        <v>0</v>
      </c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L71" s="3"/>
      <c r="AM71" s="3"/>
      <c r="AN71" s="3"/>
      <c r="AO71" s="3"/>
      <c r="AP71" s="3"/>
      <c r="AQ71" s="3"/>
    </row>
    <row r="72" spans="1:43" s="60" customFormat="1" ht="24.75" customHeight="1">
      <c r="A72" s="294" t="s">
        <v>256</v>
      </c>
      <c r="B72" s="78"/>
      <c r="C72" s="316" t="s">
        <v>690</v>
      </c>
      <c r="D72" s="92">
        <v>0</v>
      </c>
      <c r="E72" s="92">
        <f>835</f>
        <v>835</v>
      </c>
      <c r="F72" s="92">
        <f>835</f>
        <v>835</v>
      </c>
      <c r="G72" s="92">
        <v>0</v>
      </c>
      <c r="H72" s="92">
        <v>0</v>
      </c>
      <c r="I72" s="92"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L72" s="3"/>
      <c r="AM72" s="3"/>
      <c r="AN72" s="3"/>
      <c r="AO72" s="3"/>
      <c r="AP72" s="3"/>
      <c r="AQ72" s="3"/>
    </row>
    <row r="73" spans="1:43" s="60" customFormat="1" ht="24.75" customHeight="1">
      <c r="A73" s="294" t="s">
        <v>257</v>
      </c>
      <c r="B73" s="78"/>
      <c r="C73" s="316" t="s">
        <v>798</v>
      </c>
      <c r="D73" s="92">
        <v>0</v>
      </c>
      <c r="E73" s="92">
        <v>350</v>
      </c>
      <c r="F73" s="92">
        <v>350</v>
      </c>
      <c r="G73" s="92">
        <v>0</v>
      </c>
      <c r="H73" s="92"/>
      <c r="I73" s="92">
        <v>0</v>
      </c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L73" s="3"/>
      <c r="AM73" s="3"/>
      <c r="AN73" s="3"/>
      <c r="AO73" s="3"/>
      <c r="AP73" s="3"/>
      <c r="AQ73" s="3"/>
    </row>
    <row r="74" spans="1:43" s="60" customFormat="1" ht="31.5" customHeight="1">
      <c r="A74" s="294" t="s">
        <v>258</v>
      </c>
      <c r="B74" s="78"/>
      <c r="C74" s="465" t="s">
        <v>799</v>
      </c>
      <c r="D74" s="92">
        <v>0</v>
      </c>
      <c r="E74" s="92">
        <v>1000</v>
      </c>
      <c r="F74" s="92">
        <v>1000</v>
      </c>
      <c r="G74" s="92">
        <v>0</v>
      </c>
      <c r="H74" s="92"/>
      <c r="I74" s="92">
        <v>0</v>
      </c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L74" s="3"/>
      <c r="AM74" s="3"/>
      <c r="AN74" s="3"/>
      <c r="AO74" s="3"/>
      <c r="AP74" s="3"/>
      <c r="AQ74" s="3"/>
    </row>
    <row r="75" spans="1:43" s="142" customFormat="1" ht="24.75" customHeight="1">
      <c r="A75" s="294" t="s">
        <v>52</v>
      </c>
      <c r="B75" s="71" t="s">
        <v>179</v>
      </c>
      <c r="C75" s="58" t="s">
        <v>181</v>
      </c>
      <c r="D75" s="75">
        <f>'[5]ESZESZ - BEVÉTELEK'!D10</f>
        <v>46000</v>
      </c>
      <c r="E75" s="75">
        <f>'[5]ESZESZ - BEVÉTELEK'!E10</f>
        <v>53327</v>
      </c>
      <c r="F75" s="75">
        <f>'[5]ESZESZ - BEVÉTELEK'!F10</f>
        <v>53326</v>
      </c>
      <c r="G75" s="75">
        <f>'[5]ESZESZ - BEVÉTELEK'!G10</f>
        <v>48000</v>
      </c>
      <c r="H75" s="75">
        <v>0</v>
      </c>
      <c r="I75" s="75">
        <v>48000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AL75" s="30"/>
      <c r="AM75" s="30"/>
      <c r="AN75" s="30"/>
      <c r="AO75" s="30"/>
      <c r="AP75" s="30"/>
      <c r="AQ75" s="30"/>
    </row>
    <row r="76" spans="1:44" s="60" customFormat="1" ht="24.75" customHeight="1">
      <c r="A76" s="294" t="s">
        <v>238</v>
      </c>
      <c r="B76" s="71" t="s">
        <v>515</v>
      </c>
      <c r="C76" s="266" t="s">
        <v>180</v>
      </c>
      <c r="D76" s="75">
        <f aca="true" t="shared" si="12" ref="D76:I76">SUM(D77)</f>
        <v>0</v>
      </c>
      <c r="E76" s="75">
        <f t="shared" si="12"/>
        <v>293301</v>
      </c>
      <c r="F76" s="75">
        <f t="shared" si="12"/>
        <v>289599</v>
      </c>
      <c r="G76" s="75">
        <f t="shared" si="12"/>
        <v>0</v>
      </c>
      <c r="H76" s="75">
        <f t="shared" si="12"/>
        <v>0</v>
      </c>
      <c r="I76" s="75">
        <f t="shared" si="12"/>
        <v>0</v>
      </c>
      <c r="J76" s="140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M76" s="3"/>
      <c r="AN76" s="3"/>
      <c r="AO76" s="3"/>
      <c r="AP76" s="3"/>
      <c r="AQ76" s="3"/>
      <c r="AR76" s="3"/>
    </row>
    <row r="77" spans="1:44" s="60" customFormat="1" ht="24.75" customHeight="1">
      <c r="A77" s="294" t="s">
        <v>259</v>
      </c>
      <c r="B77" s="61"/>
      <c r="C77" s="327" t="s">
        <v>124</v>
      </c>
      <c r="D77" s="92">
        <v>0</v>
      </c>
      <c r="E77" s="92">
        <v>293301</v>
      </c>
      <c r="F77" s="92">
        <f>293301-3700-2</f>
        <v>289599</v>
      </c>
      <c r="G77" s="92">
        <v>0</v>
      </c>
      <c r="H77" s="92">
        <v>0</v>
      </c>
      <c r="I77" s="92">
        <v>0</v>
      </c>
      <c r="J77" s="140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M77" s="3"/>
      <c r="AN77" s="3"/>
      <c r="AO77" s="3"/>
      <c r="AP77" s="3"/>
      <c r="AQ77" s="3"/>
      <c r="AR77" s="3"/>
    </row>
    <row r="78" spans="1:35" s="51" customFormat="1" ht="19.5" customHeight="1">
      <c r="A78" s="294" t="s">
        <v>239</v>
      </c>
      <c r="B78" s="71" t="s">
        <v>516</v>
      </c>
      <c r="C78" s="254" t="s">
        <v>517</v>
      </c>
      <c r="D78" s="75">
        <f aca="true" t="shared" si="13" ref="D78:I78">SUM(D79:D92)</f>
        <v>307125</v>
      </c>
      <c r="E78" s="75">
        <f t="shared" si="13"/>
        <v>17195</v>
      </c>
      <c r="F78" s="75">
        <f t="shared" si="13"/>
        <v>17194</v>
      </c>
      <c r="G78" s="75">
        <f t="shared" si="13"/>
        <v>356354</v>
      </c>
      <c r="H78" s="75">
        <f t="shared" si="13"/>
        <v>-69036</v>
      </c>
      <c r="I78" s="75">
        <f t="shared" si="13"/>
        <v>287318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1:35" s="51" customFormat="1" ht="19.5" customHeight="1">
      <c r="A79" s="294" t="s">
        <v>53</v>
      </c>
      <c r="B79" s="71"/>
      <c r="C79" s="255" t="s">
        <v>40</v>
      </c>
      <c r="D79" s="184">
        <v>897</v>
      </c>
      <c r="E79" s="184">
        <v>0</v>
      </c>
      <c r="F79" s="184">
        <v>0</v>
      </c>
      <c r="G79" s="184">
        <v>918</v>
      </c>
      <c r="H79" s="184">
        <v>0</v>
      </c>
      <c r="I79" s="184">
        <v>918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7" s="3" customFormat="1" ht="24.75" customHeight="1">
      <c r="A80" s="294" t="s">
        <v>54</v>
      </c>
      <c r="B80" s="78"/>
      <c r="C80" s="255" t="s">
        <v>204</v>
      </c>
      <c r="D80" s="184">
        <f>741+818+158+264</f>
        <v>1981</v>
      </c>
      <c r="E80" s="184">
        <v>0</v>
      </c>
      <c r="F80" s="184">
        <v>0</v>
      </c>
      <c r="G80" s="184">
        <f>390+647+110+15</f>
        <v>1162</v>
      </c>
      <c r="H80" s="184">
        <v>0</v>
      </c>
      <c r="I80" s="184">
        <f>390+647+110+15</f>
        <v>1162</v>
      </c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60"/>
      <c r="AJ80" s="60"/>
      <c r="AK80" s="60"/>
    </row>
    <row r="81" spans="1:37" s="3" customFormat="1" ht="24.75" customHeight="1">
      <c r="A81" s="294" t="s">
        <v>55</v>
      </c>
      <c r="B81" s="78"/>
      <c r="C81" s="255" t="s">
        <v>42</v>
      </c>
      <c r="D81" s="184">
        <v>11915</v>
      </c>
      <c r="E81" s="184">
        <v>0</v>
      </c>
      <c r="F81" s="184">
        <v>0</v>
      </c>
      <c r="G81" s="184">
        <v>13447</v>
      </c>
      <c r="H81" s="184">
        <v>0</v>
      </c>
      <c r="I81" s="184">
        <v>13447</v>
      </c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60"/>
      <c r="AJ81" s="60"/>
      <c r="AK81" s="60"/>
    </row>
    <row r="82" spans="1:37" s="3" customFormat="1" ht="24.75" customHeight="1">
      <c r="A82" s="294" t="s">
        <v>261</v>
      </c>
      <c r="B82" s="78"/>
      <c r="C82" s="255" t="s">
        <v>205</v>
      </c>
      <c r="D82" s="184">
        <v>5000</v>
      </c>
      <c r="E82" s="184">
        <v>0</v>
      </c>
      <c r="F82" s="184">
        <v>0</v>
      </c>
      <c r="G82" s="184">
        <v>4500</v>
      </c>
      <c r="H82" s="184">
        <v>0</v>
      </c>
      <c r="I82" s="184">
        <v>4500</v>
      </c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60"/>
      <c r="AJ82" s="60"/>
      <c r="AK82" s="60"/>
    </row>
    <row r="83" spans="1:37" s="3" customFormat="1" ht="24.75" customHeight="1">
      <c r="A83" s="294" t="s">
        <v>240</v>
      </c>
      <c r="B83" s="78"/>
      <c r="C83" s="255" t="s">
        <v>206</v>
      </c>
      <c r="D83" s="184">
        <v>274832</v>
      </c>
      <c r="E83" s="184">
        <v>0</v>
      </c>
      <c r="F83" s="184">
        <v>0</v>
      </c>
      <c r="G83" s="184">
        <v>194805</v>
      </c>
      <c r="H83" s="608">
        <v>0</v>
      </c>
      <c r="I83" s="184">
        <f>SUM(G83:H83)</f>
        <v>194805</v>
      </c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60"/>
      <c r="AJ83" s="60"/>
      <c r="AK83" s="60"/>
    </row>
    <row r="84" spans="1:37" s="3" customFormat="1" ht="24.75" customHeight="1">
      <c r="A84" s="294" t="s">
        <v>241</v>
      </c>
      <c r="B84" s="78"/>
      <c r="C84" s="255" t="s">
        <v>207</v>
      </c>
      <c r="D84" s="184">
        <v>12500</v>
      </c>
      <c r="E84" s="184">
        <v>0</v>
      </c>
      <c r="F84" s="184">
        <v>0</v>
      </c>
      <c r="G84" s="184">
        <v>12500</v>
      </c>
      <c r="H84" s="184">
        <v>0</v>
      </c>
      <c r="I84" s="184">
        <v>12500</v>
      </c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60"/>
      <c r="AJ84" s="60"/>
      <c r="AK84" s="60"/>
    </row>
    <row r="85" spans="1:37" s="3" customFormat="1" ht="24.75" customHeight="1">
      <c r="A85" s="294" t="s">
        <v>56</v>
      </c>
      <c r="B85" s="78"/>
      <c r="C85" s="255" t="s">
        <v>809</v>
      </c>
      <c r="D85" s="184"/>
      <c r="E85" s="184">
        <v>0</v>
      </c>
      <c r="F85" s="184">
        <v>0</v>
      </c>
      <c r="G85" s="184">
        <f>1558+397+1396+1180+64505</f>
        <v>69036</v>
      </c>
      <c r="H85" s="609">
        <f>-(1558+397+1395+1180+64505+1)</f>
        <v>-69036</v>
      </c>
      <c r="I85" s="184">
        <f>G85+H85</f>
        <v>0</v>
      </c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60"/>
      <c r="AJ85" s="60"/>
      <c r="AK85" s="60"/>
    </row>
    <row r="86" spans="1:37" s="3" customFormat="1" ht="24.75" customHeight="1">
      <c r="A86" s="294" t="s">
        <v>57</v>
      </c>
      <c r="B86" s="78"/>
      <c r="C86" s="255" t="s">
        <v>810</v>
      </c>
      <c r="D86" s="184"/>
      <c r="E86" s="184">
        <v>0</v>
      </c>
      <c r="F86" s="184">
        <v>0</v>
      </c>
      <c r="G86" s="184">
        <f>12768+1660+271</f>
        <v>14699</v>
      </c>
      <c r="H86" s="184">
        <v>0</v>
      </c>
      <c r="I86" s="184">
        <f>12768+1660+271</f>
        <v>14699</v>
      </c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60"/>
      <c r="AJ86" s="60"/>
      <c r="AK86" s="60"/>
    </row>
    <row r="87" spans="1:37" s="3" customFormat="1" ht="24.75" customHeight="1">
      <c r="A87" s="294" t="s">
        <v>242</v>
      </c>
      <c r="B87" s="78"/>
      <c r="C87" s="255" t="s">
        <v>745</v>
      </c>
      <c r="D87" s="184"/>
      <c r="E87" s="184">
        <v>0</v>
      </c>
      <c r="F87" s="184">
        <v>0</v>
      </c>
      <c r="G87" s="184">
        <f>'[5]ÖK - BEVÉTELEK'!G80</f>
        <v>28967</v>
      </c>
      <c r="H87" s="184">
        <v>0</v>
      </c>
      <c r="I87" s="184">
        <v>28967</v>
      </c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60"/>
      <c r="AJ87" s="60"/>
      <c r="AK87" s="60"/>
    </row>
    <row r="88" spans="1:37" s="3" customFormat="1" ht="24.75" customHeight="1">
      <c r="A88" s="294" t="s">
        <v>262</v>
      </c>
      <c r="B88" s="78"/>
      <c r="C88" s="255" t="s">
        <v>811</v>
      </c>
      <c r="D88" s="184"/>
      <c r="E88" s="184">
        <v>0</v>
      </c>
      <c r="F88" s="184">
        <v>0</v>
      </c>
      <c r="G88" s="184">
        <v>16320</v>
      </c>
      <c r="H88" s="184">
        <v>0</v>
      </c>
      <c r="I88" s="184">
        <v>16320</v>
      </c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60"/>
      <c r="AJ88" s="60"/>
      <c r="AK88" s="60"/>
    </row>
    <row r="89" spans="1:37" s="3" customFormat="1" ht="24.75" customHeight="1">
      <c r="A89" s="294" t="s">
        <v>212</v>
      </c>
      <c r="B89" s="78"/>
      <c r="C89" s="182" t="s">
        <v>125</v>
      </c>
      <c r="D89" s="92">
        <v>0</v>
      </c>
      <c r="E89" s="92">
        <v>14654</v>
      </c>
      <c r="F89" s="92">
        <v>14653</v>
      </c>
      <c r="G89" s="92">
        <v>0</v>
      </c>
      <c r="H89" s="92"/>
      <c r="I89" s="92">
        <v>0</v>
      </c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60"/>
      <c r="AJ89" s="60"/>
      <c r="AK89" s="60"/>
    </row>
    <row r="90" spans="1:37" s="3" customFormat="1" ht="24.75" customHeight="1">
      <c r="A90" s="294" t="s">
        <v>213</v>
      </c>
      <c r="B90" s="78"/>
      <c r="C90" s="182" t="s">
        <v>126</v>
      </c>
      <c r="D90" s="92">
        <v>0</v>
      </c>
      <c r="E90" s="92">
        <v>2254</v>
      </c>
      <c r="F90" s="92">
        <v>2254</v>
      </c>
      <c r="G90" s="92">
        <v>0</v>
      </c>
      <c r="H90" s="92"/>
      <c r="I90" s="92">
        <v>0</v>
      </c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60"/>
      <c r="AJ90" s="60"/>
      <c r="AK90" s="60"/>
    </row>
    <row r="91" spans="1:37" s="3" customFormat="1" ht="24.75" customHeight="1">
      <c r="A91" s="294" t="s">
        <v>217</v>
      </c>
      <c r="B91" s="78"/>
      <c r="C91" s="182" t="s">
        <v>127</v>
      </c>
      <c r="D91" s="92">
        <v>0</v>
      </c>
      <c r="E91" s="92">
        <v>0</v>
      </c>
      <c r="F91" s="92">
        <v>0</v>
      </c>
      <c r="G91" s="92">
        <v>0</v>
      </c>
      <c r="H91" s="92"/>
      <c r="I91" s="92">
        <v>0</v>
      </c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60"/>
      <c r="AJ91" s="60"/>
      <c r="AK91" s="60"/>
    </row>
    <row r="92" spans="1:37" s="3" customFormat="1" ht="24.75" customHeight="1">
      <c r="A92" s="294" t="s">
        <v>218</v>
      </c>
      <c r="B92" s="78"/>
      <c r="C92" s="182" t="s">
        <v>123</v>
      </c>
      <c r="D92" s="92">
        <v>0</v>
      </c>
      <c r="E92" s="92">
        <v>287</v>
      </c>
      <c r="F92" s="92">
        <v>287</v>
      </c>
      <c r="G92" s="92">
        <v>0</v>
      </c>
      <c r="H92" s="92"/>
      <c r="I92" s="92">
        <v>0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60"/>
      <c r="AJ92" s="60"/>
      <c r="AK92" s="60"/>
    </row>
    <row r="93" spans="1:34" s="27" customFormat="1" ht="30" customHeight="1">
      <c r="A93" s="294" t="s">
        <v>219</v>
      </c>
      <c r="B93" s="572" t="s">
        <v>464</v>
      </c>
      <c r="C93" s="569" t="s">
        <v>465</v>
      </c>
      <c r="D93" s="570" t="e">
        <f>SUM(#REF!)</f>
        <v>#REF!</v>
      </c>
      <c r="E93" s="570">
        <f>SUM(E94:E94)</f>
        <v>0</v>
      </c>
      <c r="F93" s="570">
        <f>SUM(F94:F94)</f>
        <v>0</v>
      </c>
      <c r="G93" s="570">
        <f>SUM(G94:G94)</f>
        <v>161</v>
      </c>
      <c r="H93" s="570">
        <f>SUM(H94:H94)</f>
        <v>0</v>
      </c>
      <c r="I93" s="570">
        <f>SUM(I94:I94)</f>
        <v>161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8"/>
      <c r="AG93" s="48"/>
      <c r="AH93" s="48"/>
    </row>
    <row r="94" spans="1:35" s="27" customFormat="1" ht="23.25" customHeight="1">
      <c r="A94" s="294" t="s">
        <v>220</v>
      </c>
      <c r="B94" s="61"/>
      <c r="C94" s="64" t="s">
        <v>812</v>
      </c>
      <c r="D94" s="104">
        <v>0</v>
      </c>
      <c r="E94" s="92">
        <v>0</v>
      </c>
      <c r="F94" s="104">
        <v>0</v>
      </c>
      <c r="G94" s="104">
        <v>161</v>
      </c>
      <c r="H94" s="104"/>
      <c r="I94" s="104">
        <v>161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8"/>
      <c r="AH94" s="48"/>
      <c r="AI94" s="48"/>
    </row>
    <row r="95" spans="1:34" s="27" customFormat="1" ht="24.75" customHeight="1">
      <c r="A95" s="790" t="s">
        <v>804</v>
      </c>
      <c r="B95" s="790"/>
      <c r="C95" s="790"/>
      <c r="D95" s="790"/>
      <c r="E95" s="790"/>
      <c r="F95" s="790"/>
      <c r="G95" s="790"/>
      <c r="H95" s="790"/>
      <c r="I95" s="79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</row>
    <row r="96" spans="1:31" s="27" customFormat="1" ht="17.25" customHeight="1">
      <c r="A96" s="791" t="s">
        <v>98</v>
      </c>
      <c r="B96" s="791"/>
      <c r="C96" s="791"/>
      <c r="D96" s="791"/>
      <c r="E96" s="791"/>
      <c r="F96" s="791"/>
      <c r="G96" s="791"/>
      <c r="H96" s="791"/>
      <c r="I96" s="791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8"/>
    </row>
    <row r="97" spans="1:31" s="27" customFormat="1" ht="17.25" customHeight="1">
      <c r="A97" s="808" t="s">
        <v>523</v>
      </c>
      <c r="B97" s="808"/>
      <c r="C97" s="808"/>
      <c r="D97" s="808"/>
      <c r="E97" s="808"/>
      <c r="F97" s="808"/>
      <c r="G97" s="808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19" s="48" customFormat="1" ht="19.5" customHeight="1">
      <c r="A98" s="792" t="s">
        <v>503</v>
      </c>
      <c r="B98" s="794" t="s">
        <v>502</v>
      </c>
      <c r="C98" s="796" t="s">
        <v>505</v>
      </c>
      <c r="D98" s="798" t="s">
        <v>805</v>
      </c>
      <c r="E98" s="780" t="s">
        <v>806</v>
      </c>
      <c r="F98" s="780" t="s">
        <v>807</v>
      </c>
      <c r="G98" s="782" t="s">
        <v>966</v>
      </c>
      <c r="H98" s="780" t="s">
        <v>969</v>
      </c>
      <c r="I98" s="784" t="s">
        <v>970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31" s="48" customFormat="1" ht="36.75" customHeight="1">
      <c r="A99" s="793"/>
      <c r="B99" s="795"/>
      <c r="C99" s="797"/>
      <c r="D99" s="799"/>
      <c r="E99" s="781"/>
      <c r="F99" s="781"/>
      <c r="G99" s="783"/>
      <c r="H99" s="781"/>
      <c r="I99" s="785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s="479" customFormat="1" ht="21.75" customHeight="1">
      <c r="A100" s="474" t="s">
        <v>270</v>
      </c>
      <c r="B100" s="490" t="s">
        <v>271</v>
      </c>
      <c r="C100" s="491" t="s">
        <v>452</v>
      </c>
      <c r="D100" s="492" t="s">
        <v>453</v>
      </c>
      <c r="E100" s="492" t="s">
        <v>454</v>
      </c>
      <c r="F100" s="492" t="s">
        <v>272</v>
      </c>
      <c r="G100" s="476" t="s">
        <v>453</v>
      </c>
      <c r="H100" s="476" t="s">
        <v>454</v>
      </c>
      <c r="I100" s="476" t="s">
        <v>272</v>
      </c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8"/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</row>
    <row r="101" spans="1:31" s="48" customFormat="1" ht="30" customHeight="1">
      <c r="A101" s="293" t="s">
        <v>221</v>
      </c>
      <c r="B101" s="572" t="s">
        <v>466</v>
      </c>
      <c r="C101" s="571" t="s">
        <v>337</v>
      </c>
      <c r="D101" s="570">
        <f>SUM(D102:D111)</f>
        <v>164750</v>
      </c>
      <c r="E101" s="570">
        <v>188452</v>
      </c>
      <c r="F101" s="570">
        <f>250023+61</f>
        <v>250084</v>
      </c>
      <c r="G101" s="570">
        <f>SUM(G102:G111)</f>
        <v>178200</v>
      </c>
      <c r="H101" s="570">
        <f>SUM(H102:H111)</f>
        <v>0</v>
      </c>
      <c r="I101" s="570">
        <f>SUM(I102:I111)</f>
        <v>178200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s="60" customFormat="1" ht="24.75" customHeight="1">
      <c r="A102" s="293" t="s">
        <v>222</v>
      </c>
      <c r="B102" s="493" t="s">
        <v>813</v>
      </c>
      <c r="C102" s="494" t="s">
        <v>182</v>
      </c>
      <c r="D102" s="90">
        <v>100</v>
      </c>
      <c r="E102" s="90"/>
      <c r="F102" s="90"/>
      <c r="G102" s="90">
        <v>50</v>
      </c>
      <c r="H102" s="90"/>
      <c r="I102" s="90">
        <v>50</v>
      </c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</row>
    <row r="103" spans="1:31" s="60" customFormat="1" ht="24.75" customHeight="1">
      <c r="A103" s="293" t="s">
        <v>223</v>
      </c>
      <c r="B103" s="495" t="s">
        <v>814</v>
      </c>
      <c r="C103" s="64" t="s">
        <v>183</v>
      </c>
      <c r="D103" s="92">
        <v>23000</v>
      </c>
      <c r="E103" s="92"/>
      <c r="F103" s="92"/>
      <c r="G103" s="92">
        <v>22000</v>
      </c>
      <c r="H103" s="92"/>
      <c r="I103" s="92">
        <v>22000</v>
      </c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  <row r="104" spans="1:31" s="60" customFormat="1" ht="24.75" customHeight="1">
      <c r="A104" s="293" t="s">
        <v>224</v>
      </c>
      <c r="B104" s="495" t="s">
        <v>815</v>
      </c>
      <c r="C104" s="64" t="s">
        <v>184</v>
      </c>
      <c r="D104" s="92">
        <v>121000</v>
      </c>
      <c r="E104" s="92"/>
      <c r="F104" s="92"/>
      <c r="G104" s="92">
        <v>130000</v>
      </c>
      <c r="H104" s="92"/>
      <c r="I104" s="92">
        <v>130000</v>
      </c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</row>
    <row r="105" spans="1:31" s="60" customFormat="1" ht="24.75" customHeight="1">
      <c r="A105" s="293" t="s">
        <v>225</v>
      </c>
      <c r="B105" s="495" t="s">
        <v>816</v>
      </c>
      <c r="C105" s="64" t="s">
        <v>185</v>
      </c>
      <c r="D105" s="92">
        <v>10000</v>
      </c>
      <c r="E105" s="92"/>
      <c r="F105" s="92"/>
      <c r="G105" s="92">
        <v>15000</v>
      </c>
      <c r="H105" s="92"/>
      <c r="I105" s="92">
        <v>15000</v>
      </c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</row>
    <row r="106" spans="1:31" s="60" customFormat="1" ht="24.75" customHeight="1">
      <c r="A106" s="293" t="s">
        <v>226</v>
      </c>
      <c r="B106" s="496" t="s">
        <v>817</v>
      </c>
      <c r="C106" s="64" t="s">
        <v>186</v>
      </c>
      <c r="D106" s="92">
        <v>2500</v>
      </c>
      <c r="E106" s="92"/>
      <c r="F106" s="92"/>
      <c r="G106" s="92">
        <v>3000</v>
      </c>
      <c r="H106" s="92"/>
      <c r="I106" s="92">
        <v>3000</v>
      </c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</row>
    <row r="107" spans="1:31" s="60" customFormat="1" ht="24.75" customHeight="1">
      <c r="A107" s="293" t="s">
        <v>227</v>
      </c>
      <c r="B107" s="53"/>
      <c r="C107" s="64" t="s">
        <v>818</v>
      </c>
      <c r="D107" s="92">
        <v>0</v>
      </c>
      <c r="E107" s="92"/>
      <c r="F107" s="92"/>
      <c r="G107" s="92">
        <v>0</v>
      </c>
      <c r="H107" s="92"/>
      <c r="I107" s="92">
        <v>0</v>
      </c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</row>
    <row r="108" spans="1:31" s="60" customFormat="1" ht="24.75" customHeight="1">
      <c r="A108" s="293" t="s">
        <v>228</v>
      </c>
      <c r="B108" s="495" t="s">
        <v>819</v>
      </c>
      <c r="C108" s="64" t="s">
        <v>187</v>
      </c>
      <c r="D108" s="92">
        <v>50</v>
      </c>
      <c r="E108" s="92"/>
      <c r="F108" s="92"/>
      <c r="G108" s="92">
        <v>50</v>
      </c>
      <c r="H108" s="92"/>
      <c r="I108" s="92">
        <v>50</v>
      </c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</row>
    <row r="109" spans="1:31" s="60" customFormat="1" ht="24.75" customHeight="1">
      <c r="A109" s="293" t="s">
        <v>58</v>
      </c>
      <c r="B109" s="496" t="s">
        <v>820</v>
      </c>
      <c r="C109" s="64" t="s">
        <v>188</v>
      </c>
      <c r="D109" s="92">
        <f>1500</f>
        <v>1500</v>
      </c>
      <c r="E109" s="92"/>
      <c r="F109" s="92"/>
      <c r="G109" s="92">
        <f>1500</f>
        <v>1500</v>
      </c>
      <c r="H109" s="92"/>
      <c r="I109" s="92">
        <f>1500</f>
        <v>1500</v>
      </c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</row>
    <row r="110" spans="1:31" s="60" customFormat="1" ht="24.75" customHeight="1">
      <c r="A110" s="293" t="s">
        <v>59</v>
      </c>
      <c r="B110" s="496" t="s">
        <v>821</v>
      </c>
      <c r="C110" s="323" t="s">
        <v>46</v>
      </c>
      <c r="D110" s="92">
        <v>6500</v>
      </c>
      <c r="E110" s="92"/>
      <c r="F110" s="92"/>
      <c r="G110" s="92">
        <v>6500</v>
      </c>
      <c r="H110" s="92"/>
      <c r="I110" s="92">
        <v>6500</v>
      </c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</row>
    <row r="111" spans="1:31" s="60" customFormat="1" ht="24.75" customHeight="1">
      <c r="A111" s="293" t="s">
        <v>60</v>
      </c>
      <c r="B111" s="497"/>
      <c r="C111" s="326" t="s">
        <v>822</v>
      </c>
      <c r="D111" s="498">
        <v>100</v>
      </c>
      <c r="E111" s="499">
        <v>100</v>
      </c>
      <c r="F111" s="500">
        <v>61</v>
      </c>
      <c r="G111" s="501">
        <f>'[6]2019 bevétel rész.PH'!$D$14</f>
        <v>100</v>
      </c>
      <c r="H111" s="500"/>
      <c r="I111" s="501">
        <f>'[6]2019 bevétel rész.PH'!$D$14</f>
        <v>100</v>
      </c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</row>
    <row r="112" spans="1:32" s="27" customFormat="1" ht="30" customHeight="1">
      <c r="A112" s="293" t="s">
        <v>61</v>
      </c>
      <c r="B112" s="572" t="s">
        <v>467</v>
      </c>
      <c r="C112" s="571" t="s">
        <v>355</v>
      </c>
      <c r="D112" s="570">
        <f aca="true" t="shared" si="14" ref="D112:I112">D113+D123+D132+D145+D137</f>
        <v>132865</v>
      </c>
      <c r="E112" s="570">
        <f t="shared" si="14"/>
        <v>146698</v>
      </c>
      <c r="F112" s="570">
        <f t="shared" si="14"/>
        <v>128631</v>
      </c>
      <c r="G112" s="570">
        <f t="shared" si="14"/>
        <v>127331</v>
      </c>
      <c r="H112" s="570">
        <f t="shared" si="14"/>
        <v>1</v>
      </c>
      <c r="I112" s="570">
        <f t="shared" si="14"/>
        <v>127332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51"/>
    </row>
    <row r="113" spans="1:32" s="27" customFormat="1" ht="30" customHeight="1">
      <c r="A113" s="294" t="s">
        <v>62</v>
      </c>
      <c r="B113" s="464"/>
      <c r="C113" s="257" t="s">
        <v>499</v>
      </c>
      <c r="D113" s="502">
        <f aca="true" t="shared" si="15" ref="D113:I113">SUM(D114:D121)</f>
        <v>68433</v>
      </c>
      <c r="E113" s="502">
        <f t="shared" si="15"/>
        <v>68433</v>
      </c>
      <c r="F113" s="502">
        <f t="shared" si="15"/>
        <v>64985</v>
      </c>
      <c r="G113" s="502">
        <f t="shared" si="15"/>
        <v>62971</v>
      </c>
      <c r="H113" s="502">
        <f t="shared" si="15"/>
        <v>0</v>
      </c>
      <c r="I113" s="502">
        <f t="shared" si="15"/>
        <v>62971</v>
      </c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51"/>
    </row>
    <row r="114" spans="1:32" s="27" customFormat="1" ht="30" customHeight="1">
      <c r="A114" s="293" t="s">
        <v>63</v>
      </c>
      <c r="B114" s="78"/>
      <c r="C114" s="300" t="s">
        <v>579</v>
      </c>
      <c r="D114" s="278">
        <v>2150</v>
      </c>
      <c r="E114" s="92">
        <f>SUM('[5]VSZ - BEVÉTELEK'!E16)</f>
        <v>2105</v>
      </c>
      <c r="F114" s="92">
        <f>SUM('[5]VSZ - BEVÉTELEK'!F16)</f>
        <v>1955</v>
      </c>
      <c r="G114" s="92">
        <f>SUM('[5]VSZ - BEVÉTELEK'!G16)</f>
        <v>1900</v>
      </c>
      <c r="H114" s="92"/>
      <c r="I114" s="92">
        <f>SUM(G114:H114)</f>
        <v>1900</v>
      </c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51"/>
    </row>
    <row r="115" spans="1:32" s="27" customFormat="1" ht="18" customHeight="1">
      <c r="A115" s="293" t="s">
        <v>64</v>
      </c>
      <c r="B115" s="78"/>
      <c r="C115" s="300" t="s">
        <v>580</v>
      </c>
      <c r="D115" s="278">
        <v>5250</v>
      </c>
      <c r="E115" s="92">
        <f>SUM('[5]VSZ - BEVÉTELEK'!E17:E18)</f>
        <v>5243</v>
      </c>
      <c r="F115" s="92">
        <f>SUM('[5]VSZ - BEVÉTELEK'!F17:F18)</f>
        <v>4353</v>
      </c>
      <c r="G115" s="92">
        <f>SUM('[5]VSZ - BEVÉTELEK'!G17:G18)</f>
        <v>4597</v>
      </c>
      <c r="H115" s="92"/>
      <c r="I115" s="92">
        <f aca="true" t="shared" si="16" ref="I115:I121">SUM(G115:H115)</f>
        <v>4597</v>
      </c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51"/>
    </row>
    <row r="116" spans="1:32" s="27" customFormat="1" ht="30" customHeight="1">
      <c r="A116" s="293" t="s">
        <v>65</v>
      </c>
      <c r="B116" s="78"/>
      <c r="C116" s="300" t="s">
        <v>581</v>
      </c>
      <c r="D116" s="278">
        <v>11910</v>
      </c>
      <c r="E116" s="92">
        <f>SUM('[5]VSZ - BEVÉTELEK'!E19:E21)</f>
        <v>10199</v>
      </c>
      <c r="F116" s="92">
        <f>SUM('[5]VSZ - BEVÉTELEK'!F19:F21)</f>
        <v>8202</v>
      </c>
      <c r="G116" s="92">
        <f>SUM('[5]VSZ - BEVÉTELEK'!G19:G21)</f>
        <v>7394</v>
      </c>
      <c r="H116" s="92"/>
      <c r="I116" s="92">
        <f t="shared" si="16"/>
        <v>7394</v>
      </c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51"/>
    </row>
    <row r="117" spans="1:32" s="27" customFormat="1" ht="19.5" customHeight="1">
      <c r="A117" s="293" t="s">
        <v>66</v>
      </c>
      <c r="B117" s="78"/>
      <c r="C117" s="300" t="s">
        <v>582</v>
      </c>
      <c r="D117" s="278">
        <v>35100</v>
      </c>
      <c r="E117" s="92">
        <f>SUM('[5]VSZ - BEVÉTELEK'!E22:E23)</f>
        <v>36311</v>
      </c>
      <c r="F117" s="92">
        <f>SUM('[5]VSZ - BEVÉTELEK'!F22:F23)</f>
        <v>36310</v>
      </c>
      <c r="G117" s="92">
        <f>SUM('[5]VSZ - BEVÉTELEK'!G22:G23)</f>
        <v>34258</v>
      </c>
      <c r="H117" s="92"/>
      <c r="I117" s="92">
        <f t="shared" si="16"/>
        <v>34258</v>
      </c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51"/>
    </row>
    <row r="118" spans="1:32" s="27" customFormat="1" ht="18.75" customHeight="1">
      <c r="A118" s="293" t="s">
        <v>67</v>
      </c>
      <c r="B118" s="78"/>
      <c r="C118" s="363" t="s">
        <v>691</v>
      </c>
      <c r="D118" s="503">
        <v>14002</v>
      </c>
      <c r="E118" s="92">
        <f>SUM('[5]VSZ - BEVÉTELEK'!E24:E25)</f>
        <v>14004</v>
      </c>
      <c r="F118" s="92">
        <f>SUM('[5]VSZ - BEVÉTELEK'!F24:F25)</f>
        <v>13599</v>
      </c>
      <c r="G118" s="92">
        <f>SUM('[5]VSZ - BEVÉTELEK'!G24)</f>
        <v>12235</v>
      </c>
      <c r="H118" s="92"/>
      <c r="I118" s="92">
        <f t="shared" si="16"/>
        <v>12235</v>
      </c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51"/>
    </row>
    <row r="119" spans="1:32" s="27" customFormat="1" ht="18.75" customHeight="1">
      <c r="A119" s="293" t="s">
        <v>68</v>
      </c>
      <c r="B119" s="78"/>
      <c r="C119" s="183" t="s">
        <v>587</v>
      </c>
      <c r="D119" s="503">
        <v>0</v>
      </c>
      <c r="E119" s="92">
        <v>0</v>
      </c>
      <c r="F119" s="92">
        <v>0</v>
      </c>
      <c r="G119" s="92">
        <f>SUM('[5]VSZ - BEVÉTELEK'!G25)</f>
        <v>2486</v>
      </c>
      <c r="H119" s="92"/>
      <c r="I119" s="92">
        <f t="shared" si="16"/>
        <v>2486</v>
      </c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51"/>
    </row>
    <row r="120" spans="1:32" s="27" customFormat="1" ht="18.75" customHeight="1">
      <c r="A120" s="293" t="s">
        <v>69</v>
      </c>
      <c r="B120" s="78"/>
      <c r="C120" s="300" t="s">
        <v>577</v>
      </c>
      <c r="D120" s="278">
        <v>1</v>
      </c>
      <c r="E120" s="92">
        <f>SUM('[5]VSZ - BEVÉTELEK'!E26)</f>
        <v>1</v>
      </c>
      <c r="F120" s="92">
        <f>SUM('[5]VSZ - BEVÉTELEK'!F26)</f>
        <v>0</v>
      </c>
      <c r="G120" s="92">
        <f>SUM('[5]VSZ - BEVÉTELEK'!G26)</f>
        <v>1</v>
      </c>
      <c r="H120" s="92"/>
      <c r="I120" s="92">
        <f t="shared" si="16"/>
        <v>1</v>
      </c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51"/>
    </row>
    <row r="121" spans="1:32" s="27" customFormat="1" ht="19.5" customHeight="1">
      <c r="A121" s="293" t="s">
        <v>70</v>
      </c>
      <c r="B121" s="78"/>
      <c r="C121" s="300" t="s">
        <v>583</v>
      </c>
      <c r="D121" s="278">
        <v>20</v>
      </c>
      <c r="E121" s="92">
        <f>SUM('[5]VSZ - BEVÉTELEK'!E27)</f>
        <v>570</v>
      </c>
      <c r="F121" s="92">
        <f>SUM('[5]VSZ - BEVÉTELEK'!F27)</f>
        <v>566</v>
      </c>
      <c r="G121" s="92">
        <f>SUM('[5]VSZ - BEVÉTELEK'!G27)</f>
        <v>100</v>
      </c>
      <c r="H121" s="92"/>
      <c r="I121" s="92">
        <f t="shared" si="16"/>
        <v>100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51"/>
    </row>
    <row r="122" spans="1:32" s="27" customFormat="1" ht="15" customHeight="1">
      <c r="A122" s="293" t="s">
        <v>71</v>
      </c>
      <c r="B122" s="78"/>
      <c r="C122" s="489"/>
      <c r="D122" s="93"/>
      <c r="E122" s="93"/>
      <c r="F122" s="93"/>
      <c r="G122" s="93"/>
      <c r="H122" s="93"/>
      <c r="I122" s="93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51"/>
    </row>
    <row r="123" spans="1:32" s="27" customFormat="1" ht="30" customHeight="1">
      <c r="A123" s="293" t="s">
        <v>72</v>
      </c>
      <c r="B123" s="78"/>
      <c r="C123" s="259" t="s">
        <v>321</v>
      </c>
      <c r="D123" s="93">
        <f aca="true" t="shared" si="17" ref="D123:I123">SUM(D124:D130)</f>
        <v>14082</v>
      </c>
      <c r="E123" s="93">
        <f t="shared" si="17"/>
        <v>15633</v>
      </c>
      <c r="F123" s="93">
        <f t="shared" si="17"/>
        <v>13417</v>
      </c>
      <c r="G123" s="93">
        <f t="shared" si="17"/>
        <v>13073</v>
      </c>
      <c r="H123" s="93">
        <f t="shared" si="17"/>
        <v>1</v>
      </c>
      <c r="I123" s="93">
        <f t="shared" si="17"/>
        <v>13074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51"/>
    </row>
    <row r="124" spans="1:32" s="27" customFormat="1" ht="23.25" customHeight="1">
      <c r="A124" s="293" t="s">
        <v>73</v>
      </c>
      <c r="B124" s="78"/>
      <c r="C124" s="300" t="s">
        <v>585</v>
      </c>
      <c r="D124" s="278">
        <v>500</v>
      </c>
      <c r="E124" s="92">
        <f>SUM('[5]ESZESZ - BEVÉTELEK'!E25)</f>
        <v>198</v>
      </c>
      <c r="F124" s="92">
        <f>SUM('[5]ESZESZ - BEVÉTELEK'!F25)</f>
        <v>198</v>
      </c>
      <c r="G124" s="92">
        <f>SUM('[5]ESZESZ - BEVÉTELEK'!G25)</f>
        <v>200</v>
      </c>
      <c r="H124" s="92"/>
      <c r="I124" s="92">
        <f>SUM(G124:H124)</f>
        <v>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51"/>
    </row>
    <row r="125" spans="1:32" s="27" customFormat="1" ht="30" customHeight="1">
      <c r="A125" s="293" t="s">
        <v>74</v>
      </c>
      <c r="B125" s="78"/>
      <c r="C125" s="300" t="s">
        <v>584</v>
      </c>
      <c r="D125" s="278">
        <v>1800</v>
      </c>
      <c r="E125" s="92">
        <f>SUM('[5]ESZESZ - BEVÉTELEK'!E26)</f>
        <v>2247</v>
      </c>
      <c r="F125" s="92">
        <f>SUM('[5]ESZESZ - BEVÉTELEK'!F26)</f>
        <v>1803</v>
      </c>
      <c r="G125" s="92">
        <f>SUM('[5]ESZESZ - BEVÉTELEK'!G26)</f>
        <v>1417</v>
      </c>
      <c r="H125" s="92"/>
      <c r="I125" s="92">
        <f aca="true" t="shared" si="18" ref="I125:I130">SUM(G125:H125)</f>
        <v>1417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51"/>
    </row>
    <row r="126" spans="1:32" s="27" customFormat="1" ht="24" customHeight="1">
      <c r="A126" s="293" t="s">
        <v>75</v>
      </c>
      <c r="B126" s="78"/>
      <c r="C126" s="300" t="s">
        <v>586</v>
      </c>
      <c r="D126" s="278">
        <v>8500</v>
      </c>
      <c r="E126" s="92">
        <f>SUM('[5]ESZESZ - BEVÉTELEK'!E27)</f>
        <v>8300</v>
      </c>
      <c r="F126" s="92">
        <f>SUM('[5]ESZESZ - BEVÉTELEK'!F27)</f>
        <v>7871</v>
      </c>
      <c r="G126" s="92">
        <f>SUM('[5]ESZESZ - BEVÉTELEK'!G27)</f>
        <v>8125</v>
      </c>
      <c r="H126" s="92"/>
      <c r="I126" s="92">
        <f t="shared" si="18"/>
        <v>8125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51"/>
    </row>
    <row r="127" spans="1:32" s="27" customFormat="1" ht="19.5" customHeight="1">
      <c r="A127" s="293" t="s">
        <v>76</v>
      </c>
      <c r="B127" s="78"/>
      <c r="C127" s="363" t="s">
        <v>691</v>
      </c>
      <c r="D127" s="278">
        <v>2781</v>
      </c>
      <c r="E127" s="92">
        <f>SUM('[5]ESZESZ - BEVÉTELEK'!E28)</f>
        <v>2781</v>
      </c>
      <c r="F127" s="92">
        <f>SUM('[5]ESZESZ - BEVÉTELEK'!F28)</f>
        <v>1596</v>
      </c>
      <c r="G127" s="92">
        <f>SUM('[5]ESZESZ - BEVÉTELEK'!G28)</f>
        <v>2630</v>
      </c>
      <c r="H127" s="92"/>
      <c r="I127" s="92">
        <f t="shared" si="18"/>
        <v>2630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51"/>
    </row>
    <row r="128" spans="1:32" s="27" customFormat="1" ht="18" customHeight="1">
      <c r="A128" s="293" t="s">
        <v>77</v>
      </c>
      <c r="B128" s="78"/>
      <c r="C128" s="183" t="s">
        <v>587</v>
      </c>
      <c r="D128" s="278">
        <v>500</v>
      </c>
      <c r="E128" s="92">
        <f>SUM('[5]ESZESZ - BEVÉTELEK'!E29)</f>
        <v>1596</v>
      </c>
      <c r="F128" s="92">
        <f>SUM('[5]ESZESZ - BEVÉTELEK'!F29)</f>
        <v>1439</v>
      </c>
      <c r="G128" s="92">
        <f>SUM('[5]ESZESZ - BEVÉTELEK'!G29)</f>
        <v>500</v>
      </c>
      <c r="H128" s="92"/>
      <c r="I128" s="92">
        <f t="shared" si="18"/>
        <v>500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51"/>
    </row>
    <row r="129" spans="1:32" s="27" customFormat="1" ht="18" customHeight="1">
      <c r="A129" s="293" t="s">
        <v>78</v>
      </c>
      <c r="B129" s="78"/>
      <c r="C129" s="300" t="s">
        <v>577</v>
      </c>
      <c r="D129" s="278">
        <v>1</v>
      </c>
      <c r="E129" s="92">
        <f>SUM('[5]ESZESZ - BEVÉTELEK'!E30)</f>
        <v>1</v>
      </c>
      <c r="F129" s="92">
        <f>SUM('[5]ESZESZ - BEVÉTELEK'!F30)</f>
        <v>0</v>
      </c>
      <c r="G129" s="92">
        <f>SUM('[5]ESZESZ - BEVÉTELEK'!G30)</f>
        <v>1</v>
      </c>
      <c r="H129" s="92"/>
      <c r="I129" s="92">
        <f t="shared" si="18"/>
        <v>1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51"/>
    </row>
    <row r="130" spans="1:32" s="27" customFormat="1" ht="20.25" customHeight="1">
      <c r="A130" s="293" t="s">
        <v>79</v>
      </c>
      <c r="B130" s="78"/>
      <c r="C130" s="504" t="s">
        <v>692</v>
      </c>
      <c r="D130" s="504">
        <v>0</v>
      </c>
      <c r="E130" s="92">
        <f>SUM('[5]ESZESZ - BEVÉTELEK'!E31)</f>
        <v>510</v>
      </c>
      <c r="F130" s="92">
        <f>SUM('[5]ESZESZ - BEVÉTELEK'!F31)</f>
        <v>510</v>
      </c>
      <c r="G130" s="92">
        <f>SUM('[5]ESZESZ - BEVÉTELEK'!G31)</f>
        <v>200</v>
      </c>
      <c r="H130" s="92">
        <v>1</v>
      </c>
      <c r="I130" s="92">
        <f t="shared" si="18"/>
        <v>201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51"/>
    </row>
    <row r="131" spans="1:32" s="27" customFormat="1" ht="14.25" customHeight="1">
      <c r="A131" s="293" t="s">
        <v>80</v>
      </c>
      <c r="B131" s="78"/>
      <c r="C131" s="489"/>
      <c r="D131" s="93"/>
      <c r="E131" s="93"/>
      <c r="F131" s="93"/>
      <c r="G131" s="93"/>
      <c r="H131" s="93"/>
      <c r="I131" s="93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51"/>
    </row>
    <row r="132" spans="1:32" s="27" customFormat="1" ht="30" customHeight="1">
      <c r="A132" s="293" t="s">
        <v>81</v>
      </c>
      <c r="B132" s="78"/>
      <c r="C132" s="259" t="s">
        <v>177</v>
      </c>
      <c r="D132" s="505">
        <f aca="true" t="shared" si="19" ref="D132:I132">SUM(D133:D135)</f>
        <v>2201</v>
      </c>
      <c r="E132" s="505">
        <f t="shared" si="19"/>
        <v>1679</v>
      </c>
      <c r="F132" s="505">
        <f t="shared" si="19"/>
        <v>1383</v>
      </c>
      <c r="G132" s="505">
        <f t="shared" si="19"/>
        <v>2001</v>
      </c>
      <c r="H132" s="505">
        <f t="shared" si="19"/>
        <v>0</v>
      </c>
      <c r="I132" s="505">
        <f t="shared" si="19"/>
        <v>2001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51"/>
    </row>
    <row r="133" spans="1:32" s="27" customFormat="1" ht="21.75" customHeight="1">
      <c r="A133" s="293" t="s">
        <v>82</v>
      </c>
      <c r="B133" s="78"/>
      <c r="C133" s="300" t="s">
        <v>585</v>
      </c>
      <c r="D133" s="321">
        <v>1100</v>
      </c>
      <c r="E133" s="92">
        <f>SUM('[5]KÖNYVTÁR - BEVÉTELEK'!E21:E22)</f>
        <v>778</v>
      </c>
      <c r="F133" s="92">
        <f>SUM('[5]KÖNYVTÁR - BEVÉTELEK'!F21:F22)</f>
        <v>633</v>
      </c>
      <c r="G133" s="92">
        <f>SUM('[5]KÖNYVTÁR - BEVÉTELEK'!G21:G22)</f>
        <v>1000</v>
      </c>
      <c r="H133" s="92"/>
      <c r="I133" s="92">
        <f>SUM(G133:H133)</f>
        <v>1000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51"/>
    </row>
    <row r="134" spans="1:32" s="27" customFormat="1" ht="18.75" customHeight="1">
      <c r="A134" s="293" t="s">
        <v>83</v>
      </c>
      <c r="B134" s="78"/>
      <c r="C134" s="300" t="s">
        <v>577</v>
      </c>
      <c r="D134" s="321">
        <v>1</v>
      </c>
      <c r="E134" s="92">
        <f>SUM('[5]KÖNYVTÁR - BEVÉTELEK'!E23)</f>
        <v>1</v>
      </c>
      <c r="F134" s="92">
        <f>SUM('[5]KÖNYVTÁR - BEVÉTELEK'!F23)</f>
        <v>0</v>
      </c>
      <c r="G134" s="92">
        <f>SUM('[5]KÖNYVTÁR - BEVÉTELEK'!G23)</f>
        <v>1</v>
      </c>
      <c r="H134" s="92"/>
      <c r="I134" s="92">
        <f>SUM(G134:H134)</f>
        <v>1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51"/>
    </row>
    <row r="135" spans="1:32" s="27" customFormat="1" ht="30" customHeight="1">
      <c r="A135" s="293" t="s">
        <v>84</v>
      </c>
      <c r="B135" s="78"/>
      <c r="C135" s="300" t="s">
        <v>588</v>
      </c>
      <c r="D135" s="321">
        <v>1100</v>
      </c>
      <c r="E135" s="92">
        <f>SUM('[5]KÖNYVTÁR - BEVÉTELEK'!E24)</f>
        <v>900</v>
      </c>
      <c r="F135" s="92">
        <f>SUM('[5]KÖNYVTÁR - BEVÉTELEK'!F24)</f>
        <v>750</v>
      </c>
      <c r="G135" s="92">
        <f>SUM('[5]KÖNYVTÁR - BEVÉTELEK'!G24)</f>
        <v>1000</v>
      </c>
      <c r="H135" s="92"/>
      <c r="I135" s="92">
        <f>SUM(G135:H135)</f>
        <v>1000</v>
      </c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51"/>
    </row>
    <row r="136" spans="1:32" s="27" customFormat="1" ht="12.75" customHeight="1">
      <c r="A136" s="293" t="s">
        <v>85</v>
      </c>
      <c r="B136" s="78"/>
      <c r="C136" s="506"/>
      <c r="D136" s="90"/>
      <c r="E136" s="93"/>
      <c r="F136" s="93"/>
      <c r="G136" s="93"/>
      <c r="H136" s="93"/>
      <c r="I136" s="93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51"/>
    </row>
    <row r="137" spans="1:32" s="27" customFormat="1" ht="30" customHeight="1">
      <c r="A137" s="293" t="s">
        <v>86</v>
      </c>
      <c r="B137" s="78"/>
      <c r="C137" s="259" t="s">
        <v>345</v>
      </c>
      <c r="D137" s="505">
        <f aca="true" t="shared" si="20" ref="D137:I137">SUM(D138:D143)</f>
        <v>12073</v>
      </c>
      <c r="E137" s="505">
        <f t="shared" si="20"/>
        <v>12897</v>
      </c>
      <c r="F137" s="505">
        <f t="shared" si="20"/>
        <v>11685</v>
      </c>
      <c r="G137" s="505">
        <f t="shared" si="20"/>
        <v>12339</v>
      </c>
      <c r="H137" s="505">
        <f t="shared" si="20"/>
        <v>0</v>
      </c>
      <c r="I137" s="505">
        <f t="shared" si="20"/>
        <v>12339</v>
      </c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51"/>
    </row>
    <row r="138" spans="1:32" s="27" customFormat="1" ht="22.5" customHeight="1">
      <c r="A138" s="293" t="s">
        <v>87</v>
      </c>
      <c r="B138" s="78"/>
      <c r="C138" s="300" t="s">
        <v>589</v>
      </c>
      <c r="D138" s="321">
        <v>800</v>
      </c>
      <c r="E138" s="92">
        <f>SUM('[5]PH - BEVÉTELEK'!E17)</f>
        <v>657</v>
      </c>
      <c r="F138" s="92">
        <f>SUM('[5]PH - BEVÉTELEK'!F17)</f>
        <v>738</v>
      </c>
      <c r="G138" s="92">
        <f>SUM('[5]PH - BEVÉTELEK'!G17)</f>
        <v>800</v>
      </c>
      <c r="H138" s="92"/>
      <c r="I138" s="92">
        <f aca="true" t="shared" si="21" ref="I138:I143">SUM(G138:H138)</f>
        <v>800</v>
      </c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51"/>
    </row>
    <row r="139" spans="1:32" s="27" customFormat="1" ht="30" customHeight="1">
      <c r="A139" s="293" t="s">
        <v>88</v>
      </c>
      <c r="B139" s="78"/>
      <c r="C139" s="300" t="s">
        <v>49</v>
      </c>
      <c r="D139" s="321">
        <v>1900</v>
      </c>
      <c r="E139" s="92">
        <f>SUM('[5]PH - BEVÉTELEK'!E18:E19)</f>
        <v>2942</v>
      </c>
      <c r="F139" s="92">
        <f>SUM('[5]PH - BEVÉTELEK'!F18:F19)</f>
        <v>2472</v>
      </c>
      <c r="G139" s="92">
        <f>SUM('[5]PH - BEVÉTELEK'!G18:G19)</f>
        <v>2500</v>
      </c>
      <c r="H139" s="92"/>
      <c r="I139" s="92">
        <f t="shared" si="21"/>
        <v>2500</v>
      </c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51"/>
    </row>
    <row r="140" spans="1:32" s="27" customFormat="1" ht="20.25" customHeight="1">
      <c r="A140" s="293" t="s">
        <v>89</v>
      </c>
      <c r="B140" s="78"/>
      <c r="C140" s="300" t="s">
        <v>590</v>
      </c>
      <c r="D140" s="321">
        <v>4500</v>
      </c>
      <c r="E140" s="92">
        <f>SUM('[5]PH - BEVÉTELEK'!E20:E21)</f>
        <v>4773</v>
      </c>
      <c r="F140" s="92">
        <f>SUM('[5]PH - BEVÉTELEK'!F20:F21)</f>
        <v>4327</v>
      </c>
      <c r="G140" s="92">
        <f>SUM('[5]PH - BEVÉTELEK'!G20:G21)</f>
        <v>4916</v>
      </c>
      <c r="H140" s="92"/>
      <c r="I140" s="92">
        <f t="shared" si="21"/>
        <v>4916</v>
      </c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51"/>
    </row>
    <row r="141" spans="1:32" s="27" customFormat="1" ht="20.25" customHeight="1">
      <c r="A141" s="293" t="s">
        <v>90</v>
      </c>
      <c r="B141" s="78"/>
      <c r="C141" s="363" t="s">
        <v>691</v>
      </c>
      <c r="D141" s="321">
        <v>1430</v>
      </c>
      <c r="E141" s="92">
        <f>SUM('[5]PH - BEVÉTELEK'!E22:E23)</f>
        <v>1423</v>
      </c>
      <c r="F141" s="92">
        <f>SUM('[5]PH - BEVÉTELEK'!F22:F23)</f>
        <v>1241</v>
      </c>
      <c r="G141" s="92">
        <f>SUM('[5]PH - BEVÉTELEK'!G22:G23)</f>
        <v>1542</v>
      </c>
      <c r="H141" s="92"/>
      <c r="I141" s="92">
        <f t="shared" si="21"/>
        <v>1542</v>
      </c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51"/>
    </row>
    <row r="142" spans="1:32" s="27" customFormat="1" ht="19.5" customHeight="1">
      <c r="A142" s="293" t="s">
        <v>91</v>
      </c>
      <c r="B142" s="78"/>
      <c r="C142" s="300" t="s">
        <v>577</v>
      </c>
      <c r="D142" s="321">
        <v>1</v>
      </c>
      <c r="E142" s="92">
        <f>SUM('[5]PH - BEVÉTELEK'!E25)</f>
        <v>1</v>
      </c>
      <c r="F142" s="92">
        <f>SUM('[5]PH - BEVÉTELEK'!F25)</f>
        <v>0</v>
      </c>
      <c r="G142" s="92">
        <f>SUM('[5]PH - BEVÉTELEK'!G25)</f>
        <v>1</v>
      </c>
      <c r="H142" s="92"/>
      <c r="I142" s="92">
        <f t="shared" si="21"/>
        <v>1</v>
      </c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51"/>
    </row>
    <row r="143" spans="1:32" s="27" customFormat="1" ht="30" customHeight="1">
      <c r="A143" s="293" t="s">
        <v>92</v>
      </c>
      <c r="B143" s="78"/>
      <c r="C143" s="300" t="s">
        <v>48</v>
      </c>
      <c r="D143" s="321">
        <v>3442</v>
      </c>
      <c r="E143" s="92">
        <f>SUM('[5]PH - BEVÉTELEK'!E26)</f>
        <v>3101</v>
      </c>
      <c r="F143" s="92">
        <f>SUM('[5]PH - BEVÉTELEK'!F26)</f>
        <v>2907</v>
      </c>
      <c r="G143" s="92">
        <f>SUM('[5]PH - BEVÉTELEK'!G26)</f>
        <v>2580</v>
      </c>
      <c r="H143" s="92"/>
      <c r="I143" s="92">
        <f t="shared" si="21"/>
        <v>2580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51"/>
    </row>
    <row r="144" spans="1:32" s="27" customFormat="1" ht="12" customHeight="1">
      <c r="A144" s="293" t="s">
        <v>93</v>
      </c>
      <c r="B144" s="78"/>
      <c r="C144" s="506"/>
      <c r="D144" s="90"/>
      <c r="E144" s="93"/>
      <c r="F144" s="93"/>
      <c r="G144" s="93"/>
      <c r="H144" s="93"/>
      <c r="I144" s="93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51"/>
    </row>
    <row r="145" spans="1:32" s="27" customFormat="1" ht="30" customHeight="1">
      <c r="A145" s="293" t="s">
        <v>94</v>
      </c>
      <c r="B145" s="78"/>
      <c r="C145" s="259" t="s">
        <v>295</v>
      </c>
      <c r="D145" s="505">
        <f>SUM(D146:D154)</f>
        <v>36076</v>
      </c>
      <c r="E145" s="505">
        <v>48056</v>
      </c>
      <c r="F145" s="505">
        <v>37161</v>
      </c>
      <c r="G145" s="505">
        <f>SUM(G146:G154)</f>
        <v>36947</v>
      </c>
      <c r="H145" s="505">
        <f>SUM(H146:H154)</f>
        <v>0</v>
      </c>
      <c r="I145" s="505">
        <f>SUM(I146:I154)</f>
        <v>36947</v>
      </c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51"/>
    </row>
    <row r="146" spans="1:32" s="27" customFormat="1" ht="30" customHeight="1">
      <c r="A146" s="293" t="s">
        <v>95</v>
      </c>
      <c r="B146" s="78"/>
      <c r="C146" s="300" t="s">
        <v>578</v>
      </c>
      <c r="D146" s="278">
        <v>20000</v>
      </c>
      <c r="E146" s="92" t="e">
        <f>SUM('[5]ÖK - BEVÉTELEK'!E118)</f>
        <v>#REF!</v>
      </c>
      <c r="F146" s="92" t="e">
        <f>SUM('[5]ÖK - BEVÉTELEK'!F118)</f>
        <v>#REF!</v>
      </c>
      <c r="G146" s="92">
        <f>SUM('[5]ÖK - BEVÉTELEK'!G118)</f>
        <v>13600</v>
      </c>
      <c r="H146" s="92"/>
      <c r="I146" s="92">
        <f aca="true" t="shared" si="22" ref="I146:I153">SUM(G146:H146)</f>
        <v>13600</v>
      </c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51"/>
    </row>
    <row r="147" spans="1:32" s="27" customFormat="1" ht="45.75" customHeight="1">
      <c r="A147" s="293" t="s">
        <v>96</v>
      </c>
      <c r="B147" s="78"/>
      <c r="C147" s="300" t="s">
        <v>823</v>
      </c>
      <c r="D147" s="278">
        <v>897</v>
      </c>
      <c r="E147" s="92" t="e">
        <f>SUM('[5]ÖK - BEVÉTELEK'!E119:E120)</f>
        <v>#REF!</v>
      </c>
      <c r="F147" s="92" t="e">
        <f>SUM('[5]ÖK - BEVÉTELEK'!F119:F120)</f>
        <v>#REF!</v>
      </c>
      <c r="G147" s="92">
        <f>SUM('[5]ÖK - BEVÉTELEK'!G119:G120)</f>
        <v>2631</v>
      </c>
      <c r="H147" s="92"/>
      <c r="I147" s="92">
        <f t="shared" si="22"/>
        <v>2631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51"/>
    </row>
    <row r="148" spans="1:32" s="27" customFormat="1" ht="20.25" customHeight="1">
      <c r="A148" s="293" t="s">
        <v>97</v>
      </c>
      <c r="B148" s="78"/>
      <c r="C148" s="300" t="s">
        <v>576</v>
      </c>
      <c r="D148" s="278">
        <v>300</v>
      </c>
      <c r="E148" s="92" t="e">
        <f>SUM('[5]ÖK - BEVÉTELEK'!E121)</f>
        <v>#REF!</v>
      </c>
      <c r="F148" s="92" t="e">
        <f>SUM('[5]ÖK - BEVÉTELEK'!F121)</f>
        <v>#REF!</v>
      </c>
      <c r="G148" s="92">
        <f>SUM('[5]ÖK - BEVÉTELEK'!G121)</f>
        <v>100</v>
      </c>
      <c r="H148" s="92"/>
      <c r="I148" s="92">
        <f t="shared" si="22"/>
        <v>100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51"/>
    </row>
    <row r="149" spans="1:32" s="27" customFormat="1" ht="20.25" customHeight="1">
      <c r="A149" s="293" t="s">
        <v>620</v>
      </c>
      <c r="B149" s="78"/>
      <c r="C149" s="300" t="s">
        <v>824</v>
      </c>
      <c r="D149" s="278">
        <v>6500</v>
      </c>
      <c r="E149" s="92" t="e">
        <f>SUM('[5]ÖK - BEVÉTELEK'!E122)</f>
        <v>#REF!</v>
      </c>
      <c r="F149" s="92" t="e">
        <f>SUM('[5]ÖK - BEVÉTELEK'!F122)</f>
        <v>#REF!</v>
      </c>
      <c r="G149" s="92">
        <f>SUM('[5]ÖK - BEVÉTELEK'!G122)</f>
        <v>10500</v>
      </c>
      <c r="H149" s="92"/>
      <c r="I149" s="92">
        <f t="shared" si="22"/>
        <v>10500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51"/>
    </row>
    <row r="150" spans="1:32" s="27" customFormat="1" ht="20.25" customHeight="1">
      <c r="A150" s="293" t="s">
        <v>621</v>
      </c>
      <c r="B150" s="78"/>
      <c r="C150" s="363" t="s">
        <v>691</v>
      </c>
      <c r="D150" s="278">
        <v>7874</v>
      </c>
      <c r="E150" s="92" t="e">
        <f>SUM('[5]ÖK - BEVÉTELEK'!E123:E124)</f>
        <v>#REF!</v>
      </c>
      <c r="F150" s="92" t="e">
        <f>SUM('[5]ÖK - BEVÉTELEK'!F123:F124)</f>
        <v>#REF!</v>
      </c>
      <c r="G150" s="92">
        <f>SUM('[5]ÖK - BEVÉTELEK'!G123:G124)</f>
        <v>7919</v>
      </c>
      <c r="H150" s="92"/>
      <c r="I150" s="92">
        <f t="shared" si="22"/>
        <v>7919</v>
      </c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51"/>
    </row>
    <row r="151" spans="1:32" s="27" customFormat="1" ht="20.25" customHeight="1">
      <c r="A151" s="293" t="s">
        <v>622</v>
      </c>
      <c r="B151" s="78"/>
      <c r="C151" s="183" t="s">
        <v>587</v>
      </c>
      <c r="D151" s="278">
        <v>0</v>
      </c>
      <c r="E151" s="92" t="e">
        <f>SUM('[5]ÖK - BEVÉTELEK'!E125)</f>
        <v>#REF!</v>
      </c>
      <c r="F151" s="92" t="e">
        <f>SUM('[5]ÖK - BEVÉTELEK'!F125)</f>
        <v>#REF!</v>
      </c>
      <c r="G151" s="92">
        <f>SUM('[5]ÖK - BEVÉTELEK'!G125)</f>
        <v>1017</v>
      </c>
      <c r="H151" s="92"/>
      <c r="I151" s="92">
        <f t="shared" si="22"/>
        <v>1017</v>
      </c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51"/>
    </row>
    <row r="152" spans="1:32" s="27" customFormat="1" ht="21.75" customHeight="1">
      <c r="A152" s="293" t="s">
        <v>623</v>
      </c>
      <c r="B152" s="78"/>
      <c r="C152" s="300" t="s">
        <v>577</v>
      </c>
      <c r="D152" s="278">
        <v>5</v>
      </c>
      <c r="E152" s="92" t="e">
        <f>SUM('[5]ÖK - BEVÉTELEK'!E126)</f>
        <v>#REF!</v>
      </c>
      <c r="F152" s="92" t="e">
        <f>SUM('[5]ÖK - BEVÉTELEK'!F126)</f>
        <v>#REF!</v>
      </c>
      <c r="G152" s="92">
        <f>SUM('[5]ÖK - BEVÉTELEK'!G126)</f>
        <v>5</v>
      </c>
      <c r="H152" s="92"/>
      <c r="I152" s="92">
        <f t="shared" si="22"/>
        <v>5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51"/>
    </row>
    <row r="153" spans="1:32" s="27" customFormat="1" ht="20.25" customHeight="1">
      <c r="A153" s="293" t="s">
        <v>624</v>
      </c>
      <c r="B153" s="78"/>
      <c r="C153" s="300" t="s">
        <v>693</v>
      </c>
      <c r="D153" s="278">
        <v>0</v>
      </c>
      <c r="E153" s="92" t="e">
        <f>SUM('[5]ÖK - BEVÉTELEK'!E127)</f>
        <v>#REF!</v>
      </c>
      <c r="F153" s="92" t="e">
        <f>SUM('[5]ÖK - BEVÉTELEK'!F127)</f>
        <v>#REF!</v>
      </c>
      <c r="G153" s="92">
        <f>SUM('[5]ÖK - BEVÉTELEK'!G127)</f>
        <v>500</v>
      </c>
      <c r="H153" s="92"/>
      <c r="I153" s="92">
        <f t="shared" si="22"/>
        <v>500</v>
      </c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51"/>
    </row>
    <row r="154" spans="1:32" s="27" customFormat="1" ht="30" customHeight="1">
      <c r="A154" s="293" t="s">
        <v>625</v>
      </c>
      <c r="B154" s="78"/>
      <c r="C154" s="300" t="s">
        <v>825</v>
      </c>
      <c r="D154" s="287">
        <v>500</v>
      </c>
      <c r="E154" s="92" t="e">
        <f>SUM('[5]ÖK - BEVÉTELEK'!E128)</f>
        <v>#REF!</v>
      </c>
      <c r="F154" s="92" t="e">
        <f>SUM('[5]ÖK - BEVÉTELEK'!F128)</f>
        <v>#REF!</v>
      </c>
      <c r="G154" s="92">
        <f>SUM('[5]ÖK - BEVÉTELEK'!G128)</f>
        <v>675</v>
      </c>
      <c r="H154" s="92"/>
      <c r="I154" s="92">
        <f>SUM(G154:H154)</f>
        <v>675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51"/>
    </row>
    <row r="155" spans="1:34" s="27" customFormat="1" ht="24.75" customHeight="1">
      <c r="A155" s="790" t="s">
        <v>804</v>
      </c>
      <c r="B155" s="790"/>
      <c r="C155" s="790"/>
      <c r="D155" s="790"/>
      <c r="E155" s="790"/>
      <c r="F155" s="790"/>
      <c r="G155" s="790"/>
      <c r="H155" s="790"/>
      <c r="I155" s="79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</row>
    <row r="156" spans="1:31" s="27" customFormat="1" ht="17.25" customHeight="1">
      <c r="A156" s="791" t="s">
        <v>118</v>
      </c>
      <c r="B156" s="791"/>
      <c r="C156" s="791"/>
      <c r="D156" s="791"/>
      <c r="E156" s="791"/>
      <c r="F156" s="791"/>
      <c r="G156" s="791"/>
      <c r="H156" s="791"/>
      <c r="I156" s="791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8"/>
    </row>
    <row r="157" spans="1:31" s="27" customFormat="1" ht="17.25" customHeight="1">
      <c r="A157" s="292"/>
      <c r="B157" s="56"/>
      <c r="C157" s="56"/>
      <c r="D157" s="62"/>
      <c r="E157" s="62"/>
      <c r="F157" s="62"/>
      <c r="G157" s="573" t="s">
        <v>523</v>
      </c>
      <c r="H157" s="62"/>
      <c r="I157" s="573" t="s">
        <v>523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1:34" s="507" customFormat="1" ht="19.5" customHeight="1">
      <c r="A158" s="792" t="s">
        <v>503</v>
      </c>
      <c r="B158" s="794" t="s">
        <v>502</v>
      </c>
      <c r="C158" s="796" t="s">
        <v>505</v>
      </c>
      <c r="D158" s="798" t="s">
        <v>805</v>
      </c>
      <c r="E158" s="780" t="s">
        <v>806</v>
      </c>
      <c r="F158" s="780" t="s">
        <v>807</v>
      </c>
      <c r="G158" s="782" t="s">
        <v>966</v>
      </c>
      <c r="H158" s="780" t="s">
        <v>969</v>
      </c>
      <c r="I158" s="784" t="s">
        <v>970</v>
      </c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1"/>
      <c r="U158" s="471"/>
      <c r="V158" s="471"/>
      <c r="W158" s="471"/>
      <c r="X158" s="471"/>
      <c r="Y158" s="471"/>
      <c r="Z158" s="471"/>
      <c r="AA158" s="471"/>
      <c r="AB158" s="471"/>
      <c r="AC158" s="471"/>
      <c r="AD158" s="471"/>
      <c r="AE158" s="471"/>
      <c r="AF158" s="471"/>
      <c r="AG158" s="471"/>
      <c r="AH158" s="471"/>
    </row>
    <row r="159" spans="1:34" s="507" customFormat="1" ht="36.75" customHeight="1">
      <c r="A159" s="793"/>
      <c r="B159" s="795"/>
      <c r="C159" s="797"/>
      <c r="D159" s="799"/>
      <c r="E159" s="781"/>
      <c r="F159" s="781"/>
      <c r="G159" s="783"/>
      <c r="H159" s="781"/>
      <c r="I159" s="785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3"/>
      <c r="U159" s="473"/>
      <c r="V159" s="473"/>
      <c r="W159" s="473"/>
      <c r="X159" s="473"/>
      <c r="Y159" s="473"/>
      <c r="Z159" s="473"/>
      <c r="AA159" s="473"/>
      <c r="AB159" s="473"/>
      <c r="AC159" s="473"/>
      <c r="AD159" s="473"/>
      <c r="AE159" s="473"/>
      <c r="AF159" s="471"/>
      <c r="AG159" s="471"/>
      <c r="AH159" s="471"/>
    </row>
    <row r="160" spans="1:31" s="479" customFormat="1" ht="21.75" customHeight="1">
      <c r="A160" s="474" t="s">
        <v>270</v>
      </c>
      <c r="B160" s="490" t="s">
        <v>271</v>
      </c>
      <c r="C160" s="491" t="s">
        <v>452</v>
      </c>
      <c r="D160" s="492" t="s">
        <v>453</v>
      </c>
      <c r="E160" s="492" t="s">
        <v>454</v>
      </c>
      <c r="F160" s="492" t="s">
        <v>272</v>
      </c>
      <c r="G160" s="476" t="s">
        <v>453</v>
      </c>
      <c r="H160" s="476" t="s">
        <v>454</v>
      </c>
      <c r="I160" s="476" t="s">
        <v>272</v>
      </c>
      <c r="J160" s="477"/>
      <c r="K160" s="477"/>
      <c r="L160" s="477"/>
      <c r="M160" s="477"/>
      <c r="N160" s="477"/>
      <c r="O160" s="477"/>
      <c r="P160" s="477"/>
      <c r="Q160" s="477"/>
      <c r="R160" s="477"/>
      <c r="S160" s="477"/>
      <c r="T160" s="478"/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8"/>
    </row>
    <row r="161" spans="1:34" s="3" customFormat="1" ht="30" customHeight="1">
      <c r="A161" s="293" t="s">
        <v>626</v>
      </c>
      <c r="B161" s="572" t="s">
        <v>468</v>
      </c>
      <c r="C161" s="569" t="s">
        <v>317</v>
      </c>
      <c r="D161" s="570">
        <f aca="true" t="shared" si="23" ref="D161:I161">SUM(D162:D164)</f>
        <v>4000</v>
      </c>
      <c r="E161" s="570">
        <f t="shared" si="23"/>
        <v>9855</v>
      </c>
      <c r="F161" s="570">
        <f t="shared" si="23"/>
        <v>9854</v>
      </c>
      <c r="G161" s="570">
        <f t="shared" si="23"/>
        <v>5750</v>
      </c>
      <c r="H161" s="570">
        <f t="shared" si="23"/>
        <v>0</v>
      </c>
      <c r="I161" s="570">
        <f t="shared" si="23"/>
        <v>5750</v>
      </c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</row>
    <row r="162" spans="1:34" s="3" customFormat="1" ht="21" customHeight="1">
      <c r="A162" s="293" t="s">
        <v>627</v>
      </c>
      <c r="B162" s="94"/>
      <c r="C162" s="494" t="s">
        <v>139</v>
      </c>
      <c r="D162" s="100">
        <v>1500</v>
      </c>
      <c r="E162" s="100">
        <v>2705</v>
      </c>
      <c r="F162" s="100">
        <v>2704</v>
      </c>
      <c r="G162" s="100">
        <v>2500</v>
      </c>
      <c r="H162" s="100"/>
      <c r="I162" s="100">
        <v>2500</v>
      </c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</row>
    <row r="163" spans="1:34" s="3" customFormat="1" ht="21" customHeight="1">
      <c r="A163" s="293" t="s">
        <v>628</v>
      </c>
      <c r="B163" s="78"/>
      <c r="C163" s="64" t="s">
        <v>140</v>
      </c>
      <c r="D163" s="79">
        <v>2500</v>
      </c>
      <c r="E163" s="79">
        <v>7150</v>
      </c>
      <c r="F163" s="79">
        <v>7150</v>
      </c>
      <c r="G163" s="79">
        <v>3250</v>
      </c>
      <c r="H163" s="79"/>
      <c r="I163" s="79">
        <v>3250</v>
      </c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</row>
    <row r="164" spans="1:34" s="3" customFormat="1" ht="21" customHeight="1">
      <c r="A164" s="293" t="s">
        <v>629</v>
      </c>
      <c r="B164" s="78"/>
      <c r="C164" s="64" t="s">
        <v>47</v>
      </c>
      <c r="D164" s="92">
        <v>0</v>
      </c>
      <c r="E164" s="92">
        <v>0</v>
      </c>
      <c r="F164" s="92"/>
      <c r="G164" s="92">
        <v>0</v>
      </c>
      <c r="H164" s="92"/>
      <c r="I164" s="92">
        <v>0</v>
      </c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</row>
    <row r="165" spans="1:34" s="3" customFormat="1" ht="30" customHeight="1">
      <c r="A165" s="293" t="s">
        <v>630</v>
      </c>
      <c r="B165" s="572" t="s">
        <v>469</v>
      </c>
      <c r="C165" s="569" t="s">
        <v>260</v>
      </c>
      <c r="D165" s="570">
        <f aca="true" t="shared" si="24" ref="D165:I165">SUM(D166:D166)</f>
        <v>78</v>
      </c>
      <c r="E165" s="570">
        <f t="shared" si="24"/>
        <v>78</v>
      </c>
      <c r="F165" s="570">
        <f t="shared" si="24"/>
        <v>78</v>
      </c>
      <c r="G165" s="570">
        <f t="shared" si="24"/>
        <v>78</v>
      </c>
      <c r="H165" s="570">
        <f t="shared" si="24"/>
        <v>0</v>
      </c>
      <c r="I165" s="570">
        <f t="shared" si="24"/>
        <v>78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9"/>
      <c r="X165" s="99"/>
      <c r="Y165" s="99"/>
      <c r="Z165" s="99"/>
      <c r="AE165" s="99"/>
      <c r="AF165" s="99"/>
      <c r="AG165" s="99"/>
      <c r="AH165" s="60"/>
    </row>
    <row r="166" spans="1:34" s="3" customFormat="1" ht="31.5" customHeight="1">
      <c r="A166" s="293" t="s">
        <v>631</v>
      </c>
      <c r="B166" s="54"/>
      <c r="C166" s="315" t="s">
        <v>120</v>
      </c>
      <c r="D166" s="90">
        <f>4*19.5</f>
        <v>78</v>
      </c>
      <c r="E166" s="508">
        <v>78</v>
      </c>
      <c r="F166" s="508">
        <v>78</v>
      </c>
      <c r="G166" s="508">
        <f>4*19.5</f>
        <v>78</v>
      </c>
      <c r="H166" s="508">
        <v>0</v>
      </c>
      <c r="I166" s="508">
        <f>4*19.5</f>
        <v>78</v>
      </c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9"/>
      <c r="X166" s="99"/>
      <c r="Y166" s="99"/>
      <c r="Z166" s="99"/>
      <c r="AE166" s="99"/>
      <c r="AF166" s="99"/>
      <c r="AG166" s="99"/>
      <c r="AH166" s="60"/>
    </row>
    <row r="167" spans="1:34" s="3" customFormat="1" ht="30" customHeight="1">
      <c r="A167" s="293" t="s">
        <v>632</v>
      </c>
      <c r="B167" s="572" t="s">
        <v>471</v>
      </c>
      <c r="C167" s="569" t="s">
        <v>472</v>
      </c>
      <c r="D167" s="570">
        <f aca="true" t="shared" si="25" ref="D167:I167">SUM(D168:D169)</f>
        <v>1020</v>
      </c>
      <c r="E167" s="570">
        <f t="shared" si="25"/>
        <v>1417</v>
      </c>
      <c r="F167" s="570">
        <f t="shared" si="25"/>
        <v>1325</v>
      </c>
      <c r="G167" s="570">
        <f t="shared" si="25"/>
        <v>1260</v>
      </c>
      <c r="H167" s="570">
        <f t="shared" si="25"/>
        <v>0</v>
      </c>
      <c r="I167" s="570">
        <f t="shared" si="25"/>
        <v>1260</v>
      </c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</row>
    <row r="168" spans="1:34" s="3" customFormat="1" ht="21.75" customHeight="1">
      <c r="A168" s="293" t="s">
        <v>633</v>
      </c>
      <c r="B168" s="54"/>
      <c r="C168" s="494" t="s">
        <v>119</v>
      </c>
      <c r="D168" s="90">
        <v>720</v>
      </c>
      <c r="E168" s="508">
        <v>915</v>
      </c>
      <c r="F168" s="508">
        <v>915</v>
      </c>
      <c r="G168" s="508">
        <v>510</v>
      </c>
      <c r="H168" s="508"/>
      <c r="I168" s="508">
        <v>510</v>
      </c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</row>
    <row r="169" spans="1:34" s="3" customFormat="1" ht="21.75" customHeight="1">
      <c r="A169" s="293" t="s">
        <v>634</v>
      </c>
      <c r="B169" s="54"/>
      <c r="C169" s="72" t="s">
        <v>801</v>
      </c>
      <c r="D169" s="90">
        <v>300</v>
      </c>
      <c r="E169" s="508">
        <v>502</v>
      </c>
      <c r="F169" s="508">
        <v>410</v>
      </c>
      <c r="G169" s="508">
        <v>750</v>
      </c>
      <c r="H169" s="508"/>
      <c r="I169" s="508">
        <v>750</v>
      </c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</row>
    <row r="170" spans="1:36" s="27" customFormat="1" ht="30" customHeight="1">
      <c r="A170" s="293" t="s">
        <v>635</v>
      </c>
      <c r="B170" s="572" t="s">
        <v>473</v>
      </c>
      <c r="C170" s="569" t="s">
        <v>474</v>
      </c>
      <c r="D170" s="570">
        <f aca="true" t="shared" si="26" ref="D170:I170">D171+D172+D173+D180</f>
        <v>0</v>
      </c>
      <c r="E170" s="570">
        <f t="shared" si="26"/>
        <v>2216867</v>
      </c>
      <c r="F170" s="570">
        <f t="shared" si="26"/>
        <v>2208037</v>
      </c>
      <c r="G170" s="570">
        <f t="shared" si="26"/>
        <v>120000</v>
      </c>
      <c r="H170" s="570">
        <f t="shared" si="26"/>
        <v>1607675</v>
      </c>
      <c r="I170" s="570">
        <f t="shared" si="26"/>
        <v>1727675</v>
      </c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J170" s="51"/>
    </row>
    <row r="171" spans="1:34" s="27" customFormat="1" ht="19.5" customHeight="1">
      <c r="A171" s="293" t="s">
        <v>636</v>
      </c>
      <c r="B171" s="96"/>
      <c r="C171" s="325" t="s">
        <v>826</v>
      </c>
      <c r="D171" s="90">
        <v>0</v>
      </c>
      <c r="E171" s="508">
        <v>0</v>
      </c>
      <c r="F171" s="508">
        <v>0</v>
      </c>
      <c r="G171" s="508">
        <v>40000</v>
      </c>
      <c r="H171" s="508">
        <v>0</v>
      </c>
      <c r="I171" s="508">
        <v>40000</v>
      </c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  <c r="X171" s="50"/>
      <c r="Y171" s="50"/>
      <c r="Z171" s="50"/>
      <c r="AA171" s="50"/>
      <c r="AB171" s="50"/>
      <c r="AC171" s="50"/>
      <c r="AD171" s="50"/>
      <c r="AE171" s="52"/>
      <c r="AF171" s="52"/>
      <c r="AG171" s="52"/>
      <c r="AH171" s="52"/>
    </row>
    <row r="172" spans="1:34" s="27" customFormat="1" ht="37.5" customHeight="1" thickBot="1">
      <c r="A172" s="293" t="s">
        <v>637</v>
      </c>
      <c r="B172" s="97"/>
      <c r="C172" s="102" t="s">
        <v>827</v>
      </c>
      <c r="D172" s="92">
        <v>0</v>
      </c>
      <c r="E172" s="509">
        <v>8829</v>
      </c>
      <c r="F172" s="509">
        <v>0</v>
      </c>
      <c r="G172" s="509">
        <f>40000+40000</f>
        <v>80000</v>
      </c>
      <c r="H172" s="509">
        <v>0</v>
      </c>
      <c r="I172" s="509">
        <f>40000+40000</f>
        <v>80000</v>
      </c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</row>
    <row r="173" spans="1:34" s="27" customFormat="1" ht="34.5" customHeight="1" thickBot="1">
      <c r="A173" s="293" t="s">
        <v>638</v>
      </c>
      <c r="B173" s="97"/>
      <c r="C173" s="317" t="s">
        <v>121</v>
      </c>
      <c r="D173" s="92">
        <f aca="true" t="shared" si="27" ref="D173:I173">SUM(D174:D178)</f>
        <v>0</v>
      </c>
      <c r="E173" s="92">
        <f t="shared" si="27"/>
        <v>2195673</v>
      </c>
      <c r="F173" s="92">
        <f t="shared" si="27"/>
        <v>2195672</v>
      </c>
      <c r="G173" s="509">
        <f t="shared" si="27"/>
        <v>0</v>
      </c>
      <c r="H173" s="92">
        <f t="shared" si="27"/>
        <v>1607675</v>
      </c>
      <c r="I173" s="92">
        <f t="shared" si="27"/>
        <v>1607675</v>
      </c>
      <c r="J173" s="610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</row>
    <row r="174" spans="1:34" s="27" customFormat="1" ht="22.5" customHeight="1">
      <c r="A174" s="293" t="s">
        <v>639</v>
      </c>
      <c r="B174" s="97"/>
      <c r="C174" s="611" t="s">
        <v>499</v>
      </c>
      <c r="D174" s="612">
        <v>0</v>
      </c>
      <c r="E174" s="612">
        <v>1194</v>
      </c>
      <c r="F174" s="613">
        <v>1194</v>
      </c>
      <c r="G174" s="613">
        <v>0</v>
      </c>
      <c r="H174" s="613">
        <v>1558</v>
      </c>
      <c r="I174" s="613">
        <f aca="true" t="shared" si="28" ref="I174:I179">SUM(G174:H174)</f>
        <v>1558</v>
      </c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48"/>
    </row>
    <row r="175" spans="1:34" s="27" customFormat="1" ht="27" customHeight="1">
      <c r="A175" s="293" t="s">
        <v>640</v>
      </c>
      <c r="B175" s="256"/>
      <c r="C175" s="614" t="s">
        <v>321</v>
      </c>
      <c r="D175" s="615">
        <v>0</v>
      </c>
      <c r="E175" s="616">
        <v>803</v>
      </c>
      <c r="F175" s="616">
        <v>803</v>
      </c>
      <c r="G175" s="616">
        <v>0</v>
      </c>
      <c r="H175" s="616">
        <v>396</v>
      </c>
      <c r="I175" s="613">
        <f t="shared" si="28"/>
        <v>396</v>
      </c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48"/>
    </row>
    <row r="176" spans="1:34" s="27" customFormat="1" ht="25.5" customHeight="1">
      <c r="A176" s="293" t="s">
        <v>641</v>
      </c>
      <c r="B176" s="256"/>
      <c r="C176" s="614" t="s">
        <v>177</v>
      </c>
      <c r="D176" s="615">
        <v>0</v>
      </c>
      <c r="E176" s="615">
        <v>1518</v>
      </c>
      <c r="F176" s="615">
        <v>1518</v>
      </c>
      <c r="G176" s="616">
        <v>0</v>
      </c>
      <c r="H176" s="615">
        <v>1395</v>
      </c>
      <c r="I176" s="613">
        <f t="shared" si="28"/>
        <v>1395</v>
      </c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48"/>
    </row>
    <row r="177" spans="1:34" s="27" customFormat="1" ht="25.5" customHeight="1">
      <c r="A177" s="293" t="s">
        <v>681</v>
      </c>
      <c r="B177" s="256"/>
      <c r="C177" s="614" t="s">
        <v>345</v>
      </c>
      <c r="D177" s="615">
        <v>0</v>
      </c>
      <c r="E177" s="615">
        <v>1194</v>
      </c>
      <c r="F177" s="615">
        <v>1194</v>
      </c>
      <c r="G177" s="616">
        <v>0</v>
      </c>
      <c r="H177" s="615">
        <v>1189</v>
      </c>
      <c r="I177" s="613">
        <f t="shared" si="28"/>
        <v>1189</v>
      </c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48"/>
    </row>
    <row r="178" spans="1:34" s="27" customFormat="1" ht="24.75" customHeight="1">
      <c r="A178" s="293" t="s">
        <v>682</v>
      </c>
      <c r="B178" s="256"/>
      <c r="C178" s="614" t="s">
        <v>295</v>
      </c>
      <c r="D178" s="612">
        <v>0</v>
      </c>
      <c r="E178" s="612">
        <v>2190964</v>
      </c>
      <c r="F178" s="612">
        <v>2190963</v>
      </c>
      <c r="G178" s="613">
        <v>0</v>
      </c>
      <c r="H178" s="612">
        <v>1603137</v>
      </c>
      <c r="I178" s="613">
        <f t="shared" si="28"/>
        <v>1603137</v>
      </c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48"/>
    </row>
    <row r="179" spans="1:34" s="27" customFormat="1" ht="24.75" customHeight="1">
      <c r="A179" s="293" t="s">
        <v>695</v>
      </c>
      <c r="B179" s="256"/>
      <c r="C179" s="617" t="s">
        <v>666</v>
      </c>
      <c r="D179" s="618"/>
      <c r="E179" s="619">
        <v>3975</v>
      </c>
      <c r="F179" s="619">
        <v>3974</v>
      </c>
      <c r="G179" s="620"/>
      <c r="H179" s="619">
        <v>3859</v>
      </c>
      <c r="I179" s="620">
        <f t="shared" si="28"/>
        <v>3859</v>
      </c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48"/>
    </row>
    <row r="180" spans="1:34" s="27" customFormat="1" ht="19.5" customHeight="1">
      <c r="A180" s="293" t="s">
        <v>696</v>
      </c>
      <c r="B180" s="256"/>
      <c r="C180" s="326" t="s">
        <v>122</v>
      </c>
      <c r="D180" s="322">
        <v>0</v>
      </c>
      <c r="E180" s="322">
        <v>12365</v>
      </c>
      <c r="F180" s="322">
        <v>12365</v>
      </c>
      <c r="G180" s="466">
        <v>0</v>
      </c>
      <c r="H180" s="322">
        <v>0</v>
      </c>
      <c r="I180" s="466">
        <v>0</v>
      </c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48"/>
    </row>
    <row r="181" spans="1:34" s="27" customFormat="1" ht="40.5" customHeight="1">
      <c r="A181" s="293" t="s">
        <v>697</v>
      </c>
      <c r="B181" s="786" t="s">
        <v>308</v>
      </c>
      <c r="C181" s="787"/>
      <c r="D181" s="567" t="e">
        <f aca="true" t="shared" si="29" ref="D181:I181">+D101+D93+D7+D170+D161+D165+D167+D112</f>
        <v>#REF!</v>
      </c>
      <c r="E181" s="567">
        <f t="shared" si="29"/>
        <v>3389525</v>
      </c>
      <c r="F181" s="567">
        <f t="shared" si="29"/>
        <v>3399297</v>
      </c>
      <c r="G181" s="567">
        <f t="shared" si="29"/>
        <v>1158741</v>
      </c>
      <c r="H181" s="567">
        <f t="shared" si="29"/>
        <v>1538640</v>
      </c>
      <c r="I181" s="567">
        <f t="shared" si="29"/>
        <v>2697381</v>
      </c>
      <c r="J181" s="49"/>
      <c r="K181" s="49"/>
      <c r="L181" s="49"/>
      <c r="M181" s="621"/>
      <c r="N181" s="49"/>
      <c r="O181" s="49"/>
      <c r="P181" s="49"/>
      <c r="Q181" s="49"/>
      <c r="R181" s="49"/>
      <c r="S181" s="49"/>
      <c r="T181" s="49"/>
      <c r="U181" s="49"/>
      <c r="V181" s="49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</row>
    <row r="182" spans="1:10" ht="36.75" customHeight="1">
      <c r="A182" s="293" t="s">
        <v>698</v>
      </c>
      <c r="B182" s="788" t="s">
        <v>309</v>
      </c>
      <c r="C182" s="789"/>
      <c r="D182" s="353">
        <f>'[5]KIADÁSOK Önk.összesen'!D208</f>
        <v>987999.7</v>
      </c>
      <c r="E182" s="353">
        <f>'[5]KIADÁSOK Önk.összesen'!E208</f>
        <v>3540889.17</v>
      </c>
      <c r="F182" s="353">
        <f>'[5]KIADÁSOK Önk.összesen'!F208</f>
        <v>1886098.6400000001</v>
      </c>
      <c r="G182" s="353">
        <f>'[5]KIADÁSOK Önk.összesen'!G208</f>
        <v>1158740.7</v>
      </c>
      <c r="H182" s="353">
        <f>'[7]2.mell. KIADÁS'!H225</f>
        <v>1538640</v>
      </c>
      <c r="I182" s="353">
        <f>'[7]2.mell. KIADÁS'!I225</f>
        <v>2697380.7</v>
      </c>
      <c r="J182" s="5"/>
    </row>
  </sheetData>
  <sheetProtection password="CD92" sheet="1"/>
  <mergeCells count="48">
    <mergeCell ref="A96:I96"/>
    <mergeCell ref="A97:G97"/>
    <mergeCell ref="G54:G55"/>
    <mergeCell ref="G4:G5"/>
    <mergeCell ref="A53:I53"/>
    <mergeCell ref="H54:H55"/>
    <mergeCell ref="I54:I55"/>
    <mergeCell ref="A95:I95"/>
    <mergeCell ref="A54:A55"/>
    <mergeCell ref="B54:B55"/>
    <mergeCell ref="C54:C55"/>
    <mergeCell ref="D54:D55"/>
    <mergeCell ref="E54:E55"/>
    <mergeCell ref="F54:F55"/>
    <mergeCell ref="C4:C5"/>
    <mergeCell ref="D4:D5"/>
    <mergeCell ref="E4:E5"/>
    <mergeCell ref="F4:F5"/>
    <mergeCell ref="A1:I1"/>
    <mergeCell ref="A2:I2"/>
    <mergeCell ref="H4:H5"/>
    <mergeCell ref="I4:I5"/>
    <mergeCell ref="A51:I51"/>
    <mergeCell ref="A52:I52"/>
    <mergeCell ref="A4:A5"/>
    <mergeCell ref="B4:B5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A155:I155"/>
    <mergeCell ref="A156:I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B181:C181"/>
    <mergeCell ref="B182:C182"/>
  </mergeCells>
  <printOptions/>
  <pageMargins left="0.5511811023622047" right="0.2362204724409449" top="0.35433070866141736" bottom="0.15748031496062992" header="0.15748031496062992" footer="0.35433070866141736"/>
  <pageSetup horizontalDpi="600" verticalDpi="600" orientation="portrait" paperSize="9" scale="55" r:id="rId1"/>
  <headerFooter>
    <oddHeader>&amp;L1.melléklet&amp;X1&amp;R2/2019.(II.15.) ÖK rendelethez</oddHeader>
    <oddFooter>&amp;L&amp;X1&amp;XMód: 7/2019.(V.31.) ÖK rendelet</oddFooter>
  </headerFooter>
  <rowBreaks count="3" manualBreakCount="3">
    <brk id="50" max="8" man="1"/>
    <brk id="94" max="8" man="1"/>
    <brk id="154" max="8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workbookViewId="0" topLeftCell="A1">
      <selection activeCell="L21" sqref="L21"/>
    </sheetView>
  </sheetViews>
  <sheetFormatPr defaultColWidth="9.140625" defaultRowHeight="12.75"/>
  <cols>
    <col min="1" max="1" width="4.57421875" style="171" customWidth="1"/>
    <col min="2" max="2" width="7.7109375" style="0" customWidth="1"/>
    <col min="3" max="3" width="8.00390625" style="0" customWidth="1"/>
    <col min="4" max="4" width="31.57421875" style="0" customWidth="1"/>
    <col min="5" max="5" width="39.00390625" style="0" customWidth="1"/>
    <col min="6" max="6" width="11.8515625" style="6" customWidth="1"/>
    <col min="7" max="7" width="9.7109375" style="6" customWidth="1"/>
    <col min="8" max="8" width="9.28125" style="6" customWidth="1"/>
    <col min="9" max="9" width="14.7109375" style="6" customWidth="1"/>
    <col min="10" max="10" width="17.28125" style="37" customWidth="1"/>
    <col min="11" max="11" width="13.8515625" style="0" customWidth="1"/>
    <col min="12" max="12" width="19.00390625" style="0" customWidth="1"/>
    <col min="13" max="13" width="13.7109375" style="0" customWidth="1"/>
    <col min="15" max="15" width="13.8515625" style="0" customWidth="1"/>
    <col min="16" max="16" width="12.7109375" style="0" customWidth="1"/>
    <col min="17" max="17" width="13.421875" style="0" customWidth="1"/>
    <col min="18" max="18" width="19.7109375" style="0" customWidth="1"/>
    <col min="22" max="22" width="19.140625" style="0" customWidth="1"/>
    <col min="23" max="23" width="14.28125" style="0" customWidth="1"/>
    <col min="29" max="29" width="11.140625" style="0" customWidth="1"/>
  </cols>
  <sheetData>
    <row r="1" spans="1:18" ht="18" customHeight="1">
      <c r="A1" s="800" t="s">
        <v>881</v>
      </c>
      <c r="B1" s="800"/>
      <c r="C1" s="800"/>
      <c r="D1" s="800"/>
      <c r="E1" s="800"/>
      <c r="F1" s="800"/>
      <c r="G1" s="800"/>
      <c r="H1" s="800"/>
      <c r="I1" s="800"/>
      <c r="J1" s="800"/>
      <c r="K1" s="119"/>
      <c r="L1" s="119"/>
      <c r="M1" s="119"/>
      <c r="N1" s="119"/>
      <c r="O1" s="119"/>
      <c r="P1" s="119"/>
      <c r="Q1" s="119"/>
      <c r="R1" s="120"/>
    </row>
    <row r="2" spans="1:18" ht="18" customHeight="1">
      <c r="A2" s="800" t="s">
        <v>882</v>
      </c>
      <c r="B2" s="800"/>
      <c r="C2" s="800"/>
      <c r="D2" s="800"/>
      <c r="E2" s="800"/>
      <c r="F2" s="800"/>
      <c r="G2" s="800"/>
      <c r="H2" s="800"/>
      <c r="I2" s="800"/>
      <c r="J2" s="800"/>
      <c r="K2" s="119"/>
      <c r="L2" s="119"/>
      <c r="M2" s="119"/>
      <c r="N2" s="119"/>
      <c r="O2" s="119"/>
      <c r="P2" s="119"/>
      <c r="Q2" s="119"/>
      <c r="R2" s="120"/>
    </row>
    <row r="3" spans="1:18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119"/>
      <c r="L3" s="119"/>
      <c r="M3" s="119"/>
      <c r="N3" s="119"/>
      <c r="O3" s="119"/>
      <c r="P3" s="119"/>
      <c r="Q3" s="119"/>
      <c r="R3" s="120"/>
    </row>
    <row r="4" spans="1:18" ht="15">
      <c r="A4" s="966" t="s">
        <v>202</v>
      </c>
      <c r="B4" s="966"/>
      <c r="C4" s="966"/>
      <c r="D4" s="966"/>
      <c r="E4" s="966"/>
      <c r="F4" s="966"/>
      <c r="G4" s="966"/>
      <c r="H4" s="966"/>
      <c r="I4" s="966"/>
      <c r="J4" s="966"/>
      <c r="K4" s="119"/>
      <c r="L4" s="119"/>
      <c r="M4" s="119"/>
      <c r="N4" s="119"/>
      <c r="O4" s="119"/>
      <c r="P4" s="119"/>
      <c r="Q4" s="119"/>
      <c r="R4" s="120"/>
    </row>
    <row r="5" spans="1:18" ht="49.5" customHeight="1">
      <c r="A5" s="975" t="s">
        <v>883</v>
      </c>
      <c r="B5" s="976"/>
      <c r="C5" s="976"/>
      <c r="D5" s="976"/>
      <c r="E5" s="977"/>
      <c r="F5" s="584" t="s">
        <v>154</v>
      </c>
      <c r="G5" s="584" t="s">
        <v>33</v>
      </c>
      <c r="H5" s="584" t="s">
        <v>377</v>
      </c>
      <c r="I5" s="585" t="s">
        <v>884</v>
      </c>
      <c r="J5" s="583" t="s">
        <v>885</v>
      </c>
      <c r="K5" s="121"/>
      <c r="L5" s="121"/>
      <c r="M5" s="121"/>
      <c r="N5" s="121"/>
      <c r="O5" s="121"/>
      <c r="P5" s="121"/>
      <c r="Q5" s="121"/>
      <c r="R5" s="120"/>
    </row>
    <row r="6" spans="1:18" ht="40.5" customHeight="1">
      <c r="A6" s="582" t="s">
        <v>508</v>
      </c>
      <c r="B6" s="978" t="s">
        <v>457</v>
      </c>
      <c r="C6" s="979"/>
      <c r="D6" s="979"/>
      <c r="E6" s="979"/>
      <c r="F6" s="979"/>
      <c r="G6" s="979"/>
      <c r="H6" s="979"/>
      <c r="I6" s="980"/>
      <c r="J6" s="586">
        <f>J7+J26+J43</f>
        <v>310717666.9997</v>
      </c>
      <c r="K6" s="121"/>
      <c r="L6" s="121"/>
      <c r="M6" s="121"/>
      <c r="N6" s="121"/>
      <c r="O6" s="121"/>
      <c r="P6" s="121"/>
      <c r="Q6" s="121"/>
      <c r="R6" s="120"/>
    </row>
    <row r="7" spans="1:18" ht="27" customHeight="1">
      <c r="A7" s="172" t="s">
        <v>510</v>
      </c>
      <c r="B7" s="971" t="s">
        <v>348</v>
      </c>
      <c r="C7" s="972"/>
      <c r="D7" s="972"/>
      <c r="E7" s="972"/>
      <c r="F7" s="972"/>
      <c r="G7" s="972"/>
      <c r="H7" s="972"/>
      <c r="I7" s="305"/>
      <c r="J7" s="122">
        <f>I8+I19+I20+I21</f>
        <v>167413382.9997</v>
      </c>
      <c r="K7" s="121"/>
      <c r="L7" s="121"/>
      <c r="M7" s="121"/>
      <c r="N7" s="121"/>
      <c r="O7" s="121"/>
      <c r="P7" s="121"/>
      <c r="Q7" s="121"/>
      <c r="R7" s="120"/>
    </row>
    <row r="8" spans="1:18" ht="27" customHeight="1">
      <c r="A8" s="172"/>
      <c r="B8" s="973" t="s">
        <v>155</v>
      </c>
      <c r="C8" s="973"/>
      <c r="D8" s="973"/>
      <c r="E8" s="974"/>
      <c r="F8" s="969"/>
      <c r="G8" s="957"/>
      <c r="H8" s="958"/>
      <c r="I8" s="279">
        <f>I9+I10+I16+I17+I18</f>
        <v>164130202.9997</v>
      </c>
      <c r="J8" s="272"/>
      <c r="K8" s="121"/>
      <c r="L8" s="121"/>
      <c r="M8" s="121"/>
      <c r="N8" s="121"/>
      <c r="O8" s="121"/>
      <c r="P8" s="121"/>
      <c r="Q8" s="121"/>
      <c r="R8" s="120"/>
    </row>
    <row r="9" spans="1:18" ht="27" customHeight="1">
      <c r="A9" s="172"/>
      <c r="B9" s="101"/>
      <c r="C9" s="919" t="s">
        <v>349</v>
      </c>
      <c r="D9" s="905"/>
      <c r="E9" s="896"/>
      <c r="F9" s="123" t="s">
        <v>156</v>
      </c>
      <c r="G9" s="280">
        <f>19+(6004-5001)/(10000-5001)*(26-19)</f>
        <v>20.404480896179237</v>
      </c>
      <c r="H9" s="124">
        <v>4580000</v>
      </c>
      <c r="I9" s="276">
        <f>20.4*4580000</f>
        <v>93432000</v>
      </c>
      <c r="J9" s="273"/>
      <c r="K9" s="121"/>
      <c r="L9" s="328"/>
      <c r="O9" s="329"/>
      <c r="P9" s="121"/>
      <c r="Q9" s="121"/>
      <c r="R9" s="120"/>
    </row>
    <row r="10" spans="1:18" ht="27" customHeight="1">
      <c r="A10" s="172"/>
      <c r="B10" s="101"/>
      <c r="C10" s="919" t="s">
        <v>350</v>
      </c>
      <c r="D10" s="905"/>
      <c r="E10" s="896"/>
      <c r="F10" s="943"/>
      <c r="G10" s="963"/>
      <c r="H10" s="964"/>
      <c r="I10" s="125">
        <f>I11+I12+I13+I14</f>
        <v>63089530</v>
      </c>
      <c r="J10" s="273"/>
      <c r="K10" s="121"/>
      <c r="L10" s="328"/>
      <c r="O10" s="330"/>
      <c r="P10" s="121"/>
      <c r="Q10" s="121"/>
      <c r="R10" s="120"/>
    </row>
    <row r="11" spans="1:17" ht="22.5" customHeight="1">
      <c r="A11" s="172"/>
      <c r="B11" s="965"/>
      <c r="C11" s="896"/>
      <c r="D11" s="970" t="s">
        <v>351</v>
      </c>
      <c r="E11" s="958"/>
      <c r="F11" s="127" t="s">
        <v>397</v>
      </c>
      <c r="G11" s="281">
        <v>850.8</v>
      </c>
      <c r="H11" s="124">
        <v>22300</v>
      </c>
      <c r="I11" s="124">
        <v>18972840</v>
      </c>
      <c r="J11" s="273"/>
      <c r="K11" s="121">
        <f>G11*H11</f>
        <v>18972840</v>
      </c>
      <c r="N11" s="330"/>
      <c r="O11" s="121"/>
      <c r="P11" s="121"/>
      <c r="Q11" s="120"/>
    </row>
    <row r="12" spans="1:17" ht="22.5" customHeight="1">
      <c r="A12" s="172"/>
      <c r="B12" s="965"/>
      <c r="C12" s="896"/>
      <c r="D12" s="955" t="s">
        <v>312</v>
      </c>
      <c r="E12" s="896"/>
      <c r="F12" s="127" t="s">
        <v>398</v>
      </c>
      <c r="G12" s="128">
        <v>74.3</v>
      </c>
      <c r="H12" s="124">
        <v>320000</v>
      </c>
      <c r="I12" s="124">
        <v>23776000</v>
      </c>
      <c r="J12" s="273"/>
      <c r="K12" s="121">
        <f>G12*H12</f>
        <v>23776000</v>
      </c>
      <c r="N12" s="151"/>
      <c r="O12" s="121"/>
      <c r="P12" s="121"/>
      <c r="Q12" s="120"/>
    </row>
    <row r="13" spans="1:17" ht="22.5" customHeight="1">
      <c r="A13" s="172"/>
      <c r="B13" s="126"/>
      <c r="C13" s="288"/>
      <c r="D13" s="955" t="s">
        <v>313</v>
      </c>
      <c r="E13" s="896"/>
      <c r="F13" s="127" t="s">
        <v>157</v>
      </c>
      <c r="G13" s="124">
        <v>65720</v>
      </c>
      <c r="H13" s="124">
        <v>69</v>
      </c>
      <c r="I13" s="124">
        <v>4534680</v>
      </c>
      <c r="J13" s="273"/>
      <c r="K13" s="121">
        <f>G13*H13</f>
        <v>4534680</v>
      </c>
      <c r="L13" s="337"/>
      <c r="M13" s="337"/>
      <c r="N13" s="121"/>
      <c r="O13" s="121"/>
      <c r="P13" s="121"/>
      <c r="Q13" s="120"/>
    </row>
    <row r="14" spans="1:17" ht="22.5" customHeight="1">
      <c r="A14" s="172"/>
      <c r="B14" s="965"/>
      <c r="C14" s="896"/>
      <c r="D14" s="955" t="s">
        <v>314</v>
      </c>
      <c r="E14" s="896"/>
      <c r="F14" s="127" t="s">
        <v>398</v>
      </c>
      <c r="G14" s="281">
        <v>69.63</v>
      </c>
      <c r="H14" s="124">
        <v>227000</v>
      </c>
      <c r="I14" s="338">
        <v>15806010</v>
      </c>
      <c r="J14" s="273"/>
      <c r="K14" s="121">
        <f>G14*H14</f>
        <v>15806009.999999998</v>
      </c>
      <c r="N14" s="121"/>
      <c r="O14" s="121"/>
      <c r="P14" s="121"/>
      <c r="Q14" s="120"/>
    </row>
    <row r="15" spans="1:18" ht="27" customHeight="1">
      <c r="A15" s="172"/>
      <c r="B15" s="126"/>
      <c r="C15" s="919" t="s">
        <v>352</v>
      </c>
      <c r="D15" s="905"/>
      <c r="E15" s="896"/>
      <c r="F15" s="169" t="s">
        <v>311</v>
      </c>
      <c r="G15" s="308">
        <v>6004</v>
      </c>
      <c r="H15" s="170">
        <v>2700</v>
      </c>
      <c r="I15" s="124">
        <f>6004*2700</f>
        <v>16210800</v>
      </c>
      <c r="J15" s="282">
        <f>I15-(6869202727*0.55%)*20%</f>
        <v>8654677.000299998</v>
      </c>
      <c r="K15" s="121">
        <f>G15*H15</f>
        <v>16210800</v>
      </c>
      <c r="L15" s="331"/>
      <c r="N15" s="121"/>
      <c r="O15" s="121"/>
      <c r="P15" s="121"/>
      <c r="Q15" s="121"/>
      <c r="R15" s="120"/>
    </row>
    <row r="16" spans="1:18" ht="27" customHeight="1">
      <c r="A16" s="172"/>
      <c r="B16" s="101"/>
      <c r="C16" s="919" t="s">
        <v>158</v>
      </c>
      <c r="D16" s="905"/>
      <c r="E16" s="896"/>
      <c r="F16" s="943"/>
      <c r="G16" s="905"/>
      <c r="H16" s="896"/>
      <c r="I16" s="118">
        <f>I15-J15</f>
        <v>7556122.999700002</v>
      </c>
      <c r="J16" s="275"/>
      <c r="K16" s="121"/>
      <c r="L16" s="331"/>
      <c r="N16" s="121"/>
      <c r="O16" s="121"/>
      <c r="P16" s="121"/>
      <c r="Q16" s="121"/>
      <c r="R16" s="120"/>
    </row>
    <row r="17" spans="1:18" ht="26.25" customHeight="1">
      <c r="A17" s="172"/>
      <c r="B17" s="101"/>
      <c r="C17" s="912" t="s">
        <v>159</v>
      </c>
      <c r="D17" s="913"/>
      <c r="E17" s="914"/>
      <c r="F17" s="123" t="s">
        <v>163</v>
      </c>
      <c r="G17" s="124">
        <v>5</v>
      </c>
      <c r="H17" s="124">
        <v>2550</v>
      </c>
      <c r="I17" s="125">
        <v>12750</v>
      </c>
      <c r="J17" s="273"/>
      <c r="K17" s="121"/>
      <c r="L17" s="331"/>
      <c r="N17" s="121"/>
      <c r="O17" s="121"/>
      <c r="P17" s="121"/>
      <c r="Q17" s="121"/>
      <c r="R17" s="120"/>
    </row>
    <row r="18" spans="1:18" ht="30" customHeight="1">
      <c r="A18" s="172"/>
      <c r="B18" s="101"/>
      <c r="C18" s="919" t="s">
        <v>399</v>
      </c>
      <c r="D18" s="905"/>
      <c r="E18" s="896"/>
      <c r="F18" s="127" t="s">
        <v>400</v>
      </c>
      <c r="G18" s="124">
        <v>39800</v>
      </c>
      <c r="H18" s="281">
        <v>1</v>
      </c>
      <c r="I18" s="125">
        <v>39800</v>
      </c>
      <c r="J18" s="283"/>
      <c r="K18" s="121"/>
      <c r="L18" s="121"/>
      <c r="M18" s="121"/>
      <c r="N18" s="121"/>
      <c r="O18" s="121"/>
      <c r="P18" s="121"/>
      <c r="Q18" s="121"/>
      <c r="R18" s="120"/>
    </row>
    <row r="19" spans="1:18" ht="27" customHeight="1">
      <c r="A19" s="172"/>
      <c r="B19" s="956" t="s">
        <v>644</v>
      </c>
      <c r="C19" s="957"/>
      <c r="D19" s="957"/>
      <c r="E19" s="958"/>
      <c r="F19" s="123" t="s">
        <v>401</v>
      </c>
      <c r="G19" s="124">
        <v>800790</v>
      </c>
      <c r="H19" s="124">
        <v>2</v>
      </c>
      <c r="I19" s="130">
        <f>G19*H19</f>
        <v>1601580</v>
      </c>
      <c r="J19" s="283"/>
      <c r="K19" s="121"/>
      <c r="L19" s="121"/>
      <c r="M19" s="121"/>
      <c r="N19" s="121"/>
      <c r="O19" s="121"/>
      <c r="P19" s="121"/>
      <c r="Q19" s="121"/>
      <c r="R19" s="120"/>
    </row>
    <row r="20" spans="1:18" ht="29.25" customHeight="1">
      <c r="A20" s="172"/>
      <c r="B20" s="959" t="s">
        <v>886</v>
      </c>
      <c r="C20" s="957"/>
      <c r="D20" s="957"/>
      <c r="E20" s="958"/>
      <c r="F20" s="955"/>
      <c r="G20" s="905"/>
      <c r="H20" s="896"/>
      <c r="I20" s="277">
        <v>0</v>
      </c>
      <c r="J20" s="284"/>
      <c r="K20" s="121"/>
      <c r="L20" s="121"/>
      <c r="M20" s="121"/>
      <c r="N20" s="121"/>
      <c r="O20" s="121"/>
      <c r="P20" s="121"/>
      <c r="Q20" s="121"/>
      <c r="R20" s="120"/>
    </row>
    <row r="21" spans="1:18" ht="28.5" customHeight="1">
      <c r="A21" s="172"/>
      <c r="B21" s="960" t="s">
        <v>203</v>
      </c>
      <c r="C21" s="961"/>
      <c r="D21" s="961"/>
      <c r="E21" s="962"/>
      <c r="F21" s="955"/>
      <c r="G21" s="905"/>
      <c r="H21" s="896"/>
      <c r="I21" s="130">
        <v>1681600</v>
      </c>
      <c r="J21" s="284"/>
      <c r="K21" s="121"/>
      <c r="L21" s="121"/>
      <c r="M21" s="121"/>
      <c r="N21" s="121"/>
      <c r="O21" s="121"/>
      <c r="P21" s="121"/>
      <c r="Q21" s="121"/>
      <c r="R21" s="120"/>
    </row>
    <row r="22" spans="1:18" ht="18" customHeight="1">
      <c r="A22" s="800" t="s">
        <v>881</v>
      </c>
      <c r="B22" s="800"/>
      <c r="C22" s="800"/>
      <c r="D22" s="800"/>
      <c r="E22" s="800"/>
      <c r="F22" s="800"/>
      <c r="G22" s="800"/>
      <c r="H22" s="800"/>
      <c r="I22" s="800"/>
      <c r="J22" s="800"/>
      <c r="K22" s="119"/>
      <c r="L22" s="119"/>
      <c r="M22" s="119"/>
      <c r="N22" s="119"/>
      <c r="O22" s="119"/>
      <c r="P22" s="119"/>
      <c r="Q22" s="119"/>
      <c r="R22" s="120"/>
    </row>
    <row r="23" spans="1:18" ht="18" customHeight="1">
      <c r="A23" s="800" t="s">
        <v>882</v>
      </c>
      <c r="B23" s="800"/>
      <c r="C23" s="800"/>
      <c r="D23" s="800"/>
      <c r="E23" s="800"/>
      <c r="F23" s="800"/>
      <c r="G23" s="800"/>
      <c r="H23" s="800"/>
      <c r="I23" s="800"/>
      <c r="J23" s="800"/>
      <c r="K23" s="119"/>
      <c r="L23" s="119"/>
      <c r="M23" s="119"/>
      <c r="N23" s="119"/>
      <c r="O23" s="119"/>
      <c r="P23" s="119"/>
      <c r="Q23" s="119"/>
      <c r="R23" s="120"/>
    </row>
    <row r="24" spans="1:18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119"/>
      <c r="L24" s="119"/>
      <c r="M24" s="119"/>
      <c r="N24" s="119"/>
      <c r="O24" s="119"/>
      <c r="P24" s="119"/>
      <c r="Q24" s="119"/>
      <c r="R24" s="120"/>
    </row>
    <row r="25" spans="1:18" ht="15">
      <c r="A25" s="966" t="s">
        <v>201</v>
      </c>
      <c r="B25" s="967"/>
      <c r="C25" s="967"/>
      <c r="D25" s="967"/>
      <c r="E25" s="967"/>
      <c r="F25" s="967"/>
      <c r="G25" s="967"/>
      <c r="H25" s="967"/>
      <c r="I25" s="967"/>
      <c r="J25" s="967"/>
      <c r="K25" s="119"/>
      <c r="L25" s="119"/>
      <c r="M25" s="119"/>
      <c r="N25" s="119"/>
      <c r="O25" s="119"/>
      <c r="P25" s="119"/>
      <c r="Q25" s="119"/>
      <c r="R25" s="120"/>
    </row>
    <row r="26" spans="1:18" ht="39" customHeight="1">
      <c r="A26" s="172" t="s">
        <v>511</v>
      </c>
      <c r="B26" s="968" t="s">
        <v>265</v>
      </c>
      <c r="C26" s="968"/>
      <c r="D26" s="968"/>
      <c r="E26" s="968"/>
      <c r="F26" s="968"/>
      <c r="G26" s="968"/>
      <c r="H26" s="968"/>
      <c r="I26" s="271"/>
      <c r="J26" s="132">
        <f>I27+I28+I38</f>
        <v>136039444</v>
      </c>
      <c r="K26" s="121"/>
      <c r="L26" s="121"/>
      <c r="M26" s="121"/>
      <c r="N26" s="121"/>
      <c r="O26" s="121"/>
      <c r="P26" s="121"/>
      <c r="Q26" s="121"/>
      <c r="R26" s="120"/>
    </row>
    <row r="27" spans="1:18" ht="31.5" customHeight="1">
      <c r="A27" s="172"/>
      <c r="B27" s="944" t="s">
        <v>164</v>
      </c>
      <c r="C27" s="945"/>
      <c r="D27" s="945"/>
      <c r="E27" s="946"/>
      <c r="F27" s="915"/>
      <c r="G27" s="905"/>
      <c r="H27" s="896"/>
      <c r="I27" s="285">
        <v>50419404</v>
      </c>
      <c r="J27" s="269"/>
      <c r="K27" s="121"/>
      <c r="L27" s="121"/>
      <c r="M27" s="121"/>
      <c r="N27" s="121"/>
      <c r="O27" s="121"/>
      <c r="P27" s="121"/>
      <c r="Q27" s="121"/>
      <c r="R27" s="120"/>
    </row>
    <row r="28" spans="1:18" ht="30" customHeight="1">
      <c r="A28" s="172"/>
      <c r="B28" s="944" t="s">
        <v>165</v>
      </c>
      <c r="C28" s="945"/>
      <c r="D28" s="945"/>
      <c r="E28" s="946"/>
      <c r="F28" s="915"/>
      <c r="G28" s="905"/>
      <c r="H28" s="896"/>
      <c r="I28" s="131">
        <f>SUM(I29:I35)</f>
        <v>41394080</v>
      </c>
      <c r="J28" s="274"/>
      <c r="K28" s="121"/>
      <c r="L28" s="328"/>
      <c r="M28" s="339"/>
      <c r="N28" s="339"/>
      <c r="O28" s="340"/>
      <c r="P28" s="121"/>
      <c r="Q28" s="121"/>
      <c r="R28" s="120"/>
    </row>
    <row r="29" spans="1:18" ht="25.5" customHeight="1">
      <c r="A29" s="172"/>
      <c r="B29" s="126"/>
      <c r="C29" s="916" t="s">
        <v>166</v>
      </c>
      <c r="D29" s="905"/>
      <c r="E29" s="896"/>
      <c r="F29" s="127" t="s">
        <v>311</v>
      </c>
      <c r="G29" s="128">
        <v>1.2</v>
      </c>
      <c r="H29" s="124">
        <v>3400000</v>
      </c>
      <c r="I29" s="125">
        <f aca="true" t="shared" si="0" ref="I29:I34">G29*H29</f>
        <v>4080000</v>
      </c>
      <c r="J29" s="274"/>
      <c r="K29" s="121"/>
      <c r="L29" s="341"/>
      <c r="M29" s="342"/>
      <c r="N29" s="342"/>
      <c r="O29" s="340"/>
      <c r="P29" s="121"/>
      <c r="Q29" s="121"/>
      <c r="R29" s="120"/>
    </row>
    <row r="30" spans="1:18" ht="26.25" customHeight="1">
      <c r="A30" s="172"/>
      <c r="B30" s="126"/>
      <c r="C30" s="919" t="s">
        <v>167</v>
      </c>
      <c r="D30" s="905"/>
      <c r="E30" s="896"/>
      <c r="F30" s="127" t="s">
        <v>311</v>
      </c>
      <c r="G30" s="124">
        <v>53</v>
      </c>
      <c r="H30" s="124">
        <v>55360</v>
      </c>
      <c r="I30" s="125">
        <f t="shared" si="0"/>
        <v>2934080</v>
      </c>
      <c r="J30" s="274"/>
      <c r="K30" s="121"/>
      <c r="L30" s="343"/>
      <c r="M30" s="339"/>
      <c r="N30" s="339"/>
      <c r="O30" s="121"/>
      <c r="P30" s="121"/>
      <c r="Q30" s="121"/>
      <c r="R30" s="120"/>
    </row>
    <row r="31" spans="1:18" ht="30" customHeight="1">
      <c r="A31" s="172"/>
      <c r="B31" s="126"/>
      <c r="C31" s="917" t="s">
        <v>209</v>
      </c>
      <c r="D31" s="918"/>
      <c r="E31" s="918"/>
      <c r="F31" s="127" t="s">
        <v>311</v>
      </c>
      <c r="G31" s="124">
        <v>6</v>
      </c>
      <c r="H31" s="124">
        <v>25000</v>
      </c>
      <c r="I31" s="125">
        <f t="shared" si="0"/>
        <v>150000</v>
      </c>
      <c r="J31" s="274"/>
      <c r="K31" s="121"/>
      <c r="L31" s="343"/>
      <c r="M31" s="204"/>
      <c r="N31" s="204"/>
      <c r="O31" s="121"/>
      <c r="P31" s="121"/>
      <c r="Q31" s="121"/>
      <c r="R31" s="120"/>
    </row>
    <row r="32" spans="1:18" ht="30" customHeight="1">
      <c r="A32" s="172"/>
      <c r="B32" s="126"/>
      <c r="C32" s="953" t="s">
        <v>645</v>
      </c>
      <c r="D32" s="954"/>
      <c r="E32" s="954"/>
      <c r="F32" s="127" t="s">
        <v>311</v>
      </c>
      <c r="G32" s="124">
        <v>32</v>
      </c>
      <c r="H32" s="124">
        <v>330000</v>
      </c>
      <c r="I32" s="125">
        <f t="shared" si="0"/>
        <v>10560000</v>
      </c>
      <c r="J32" s="274"/>
      <c r="K32" s="121"/>
      <c r="L32" s="328"/>
      <c r="O32" s="121"/>
      <c r="P32" s="121"/>
      <c r="Q32" s="121"/>
      <c r="R32" s="120"/>
    </row>
    <row r="33" spans="1:18" ht="30" customHeight="1">
      <c r="A33" s="172"/>
      <c r="B33" s="126"/>
      <c r="C33" s="919" t="s">
        <v>168</v>
      </c>
      <c r="D33" s="905"/>
      <c r="E33" s="896"/>
      <c r="F33" s="127" t="s">
        <v>311</v>
      </c>
      <c r="G33" s="124">
        <v>30</v>
      </c>
      <c r="H33" s="124">
        <v>109000</v>
      </c>
      <c r="I33" s="125">
        <f t="shared" si="0"/>
        <v>3270000</v>
      </c>
      <c r="J33" s="274"/>
      <c r="K33" s="121"/>
      <c r="L33" s="328"/>
      <c r="M33" s="344"/>
      <c r="N33" s="344"/>
      <c r="O33" s="121"/>
      <c r="P33" s="121"/>
      <c r="Q33" s="121"/>
      <c r="R33" s="120"/>
    </row>
    <row r="34" spans="1:18" ht="30" customHeight="1">
      <c r="A34" s="172"/>
      <c r="B34" s="126"/>
      <c r="C34" s="919" t="s">
        <v>169</v>
      </c>
      <c r="D34" s="932"/>
      <c r="E34" s="933"/>
      <c r="F34" s="127" t="s">
        <v>311</v>
      </c>
      <c r="G34" s="124">
        <v>22</v>
      </c>
      <c r="H34" s="124">
        <v>500000</v>
      </c>
      <c r="I34" s="125">
        <f t="shared" si="0"/>
        <v>11000000</v>
      </c>
      <c r="J34" s="274"/>
      <c r="K34" s="121"/>
      <c r="L34" s="345"/>
      <c r="M34" s="345"/>
      <c r="N34" s="345"/>
      <c r="O34" s="121"/>
      <c r="P34" s="121"/>
      <c r="Q34" s="121"/>
      <c r="R34" s="120"/>
    </row>
    <row r="35" spans="1:18" ht="24" customHeight="1">
      <c r="A35" s="173"/>
      <c r="B35" s="309"/>
      <c r="C35" s="940" t="s">
        <v>34</v>
      </c>
      <c r="D35" s="941"/>
      <c r="E35" s="942"/>
      <c r="F35" s="920"/>
      <c r="G35" s="921"/>
      <c r="H35" s="922"/>
      <c r="I35" s="125">
        <f>SUM(I36:I37)</f>
        <v>9400000</v>
      </c>
      <c r="J35" s="274"/>
      <c r="K35" s="121"/>
      <c r="L35" s="121"/>
      <c r="M35" s="121"/>
      <c r="N35" s="121"/>
      <c r="O35" s="121"/>
      <c r="P35" s="121"/>
      <c r="Q35" s="121"/>
      <c r="R35" s="120"/>
    </row>
    <row r="36" spans="1:18" ht="22.5" customHeight="1">
      <c r="A36" s="172"/>
      <c r="B36" s="64"/>
      <c r="C36" s="923" t="s">
        <v>35</v>
      </c>
      <c r="D36" s="923"/>
      <c r="E36" s="923"/>
      <c r="F36" s="310" t="s">
        <v>198</v>
      </c>
      <c r="G36" s="311">
        <v>12</v>
      </c>
      <c r="H36" s="311"/>
      <c r="I36" s="311">
        <v>3400000</v>
      </c>
      <c r="J36" s="274"/>
      <c r="K36" s="121"/>
      <c r="L36" s="121"/>
      <c r="M36" s="121"/>
      <c r="N36" s="121"/>
      <c r="O36" s="121"/>
      <c r="P36" s="121"/>
      <c r="Q36" s="121"/>
      <c r="R36" s="120"/>
    </row>
    <row r="37" spans="1:18" ht="24" customHeight="1">
      <c r="A37" s="172"/>
      <c r="B37" s="64"/>
      <c r="C37" s="929" t="s">
        <v>36</v>
      </c>
      <c r="D37" s="930"/>
      <c r="E37" s="931"/>
      <c r="F37" s="312" t="s">
        <v>197</v>
      </c>
      <c r="G37" s="311">
        <v>40</v>
      </c>
      <c r="H37" s="311">
        <v>150000</v>
      </c>
      <c r="I37" s="311">
        <v>6000000</v>
      </c>
      <c r="J37" s="274"/>
      <c r="K37" s="121"/>
      <c r="L37" s="121"/>
      <c r="M37" s="121"/>
      <c r="N37" s="121"/>
      <c r="O37" s="121"/>
      <c r="P37" s="121"/>
      <c r="Q37" s="121"/>
      <c r="R37" s="120"/>
    </row>
    <row r="38" spans="1:18" ht="27" customHeight="1">
      <c r="A38" s="172"/>
      <c r="B38" s="944" t="s">
        <v>170</v>
      </c>
      <c r="C38" s="945"/>
      <c r="D38" s="945"/>
      <c r="E38" s="946"/>
      <c r="F38" s="947"/>
      <c r="G38" s="948"/>
      <c r="H38" s="949"/>
      <c r="I38" s="131">
        <f>SUM(I39:I41)</f>
        <v>44225960</v>
      </c>
      <c r="J38" s="274"/>
      <c r="K38" s="121"/>
      <c r="L38" s="121"/>
      <c r="M38" s="335"/>
      <c r="N38" s="335"/>
      <c r="O38" s="335"/>
      <c r="P38" s="335"/>
      <c r="Q38" s="121"/>
      <c r="R38" s="120"/>
    </row>
    <row r="39" spans="1:18" ht="29.25" customHeight="1">
      <c r="A39" s="172"/>
      <c r="B39" s="126"/>
      <c r="C39" s="919" t="s">
        <v>171</v>
      </c>
      <c r="D39" s="936"/>
      <c r="E39" s="937"/>
      <c r="F39" s="127" t="s">
        <v>311</v>
      </c>
      <c r="G39" s="286">
        <f>(100/25+(222-100)/60)*1.1</f>
        <v>6.636666666666667</v>
      </c>
      <c r="H39" s="124">
        <v>1900000</v>
      </c>
      <c r="I39" s="125">
        <f>6.64*1900000</f>
        <v>12616000</v>
      </c>
      <c r="J39" s="274"/>
      <c r="K39" s="121"/>
      <c r="L39" s="121"/>
      <c r="M39" s="121"/>
      <c r="N39" s="121"/>
      <c r="O39" s="121"/>
      <c r="P39" s="121"/>
      <c r="Q39" s="121"/>
      <c r="R39" s="120"/>
    </row>
    <row r="40" spans="1:18" ht="20.25" customHeight="1">
      <c r="A40" s="172"/>
      <c r="B40" s="126"/>
      <c r="C40" s="916" t="s">
        <v>172</v>
      </c>
      <c r="D40" s="934"/>
      <c r="E40" s="935"/>
      <c r="F40" s="943"/>
      <c r="G40" s="905"/>
      <c r="H40" s="896"/>
      <c r="I40" s="125">
        <v>30307510</v>
      </c>
      <c r="J40" s="274"/>
      <c r="K40" s="121"/>
      <c r="L40" s="121"/>
      <c r="M40" s="337"/>
      <c r="N40" s="337"/>
      <c r="O40" s="337"/>
      <c r="P40" s="121"/>
      <c r="Q40" s="121"/>
      <c r="R40" s="120"/>
    </row>
    <row r="41" spans="1:18" ht="24" customHeight="1">
      <c r="A41" s="172"/>
      <c r="B41" s="126"/>
      <c r="C41" s="952" t="s">
        <v>173</v>
      </c>
      <c r="D41" s="936"/>
      <c r="E41" s="937"/>
      <c r="F41" s="127"/>
      <c r="G41" s="124">
        <v>2285</v>
      </c>
      <c r="H41" s="124">
        <v>570</v>
      </c>
      <c r="I41" s="125">
        <f>G41*H41</f>
        <v>1302450</v>
      </c>
      <c r="J41" s="270"/>
      <c r="K41" s="121"/>
      <c r="L41" s="121"/>
      <c r="M41" s="121"/>
      <c r="N41" s="121"/>
      <c r="O41" s="121"/>
      <c r="P41" s="121"/>
      <c r="Q41" s="121"/>
      <c r="R41" s="120"/>
    </row>
    <row r="42" spans="1:18" ht="15.75">
      <c r="A42" s="950"/>
      <c r="B42" s="951"/>
      <c r="C42" s="951"/>
      <c r="D42" s="951"/>
      <c r="E42" s="951"/>
      <c r="F42" s="951"/>
      <c r="G42" s="951"/>
      <c r="H42" s="951"/>
      <c r="I42" s="951"/>
      <c r="J42" s="951"/>
      <c r="K42" s="119"/>
      <c r="L42" s="119"/>
      <c r="M42" s="119"/>
      <c r="N42" s="119"/>
      <c r="O42" s="119"/>
      <c r="P42" s="119"/>
      <c r="Q42" s="119"/>
      <c r="R42" s="40"/>
    </row>
    <row r="43" spans="1:18" ht="15.75">
      <c r="A43" s="172" t="s">
        <v>512</v>
      </c>
      <c r="B43" s="938" t="s">
        <v>266</v>
      </c>
      <c r="C43" s="939"/>
      <c r="D43" s="939"/>
      <c r="E43" s="939"/>
      <c r="F43" s="939"/>
      <c r="G43" s="939"/>
      <c r="H43" s="939"/>
      <c r="I43" s="268"/>
      <c r="J43" s="134">
        <f>I44</f>
        <v>7264840</v>
      </c>
      <c r="K43" s="119"/>
      <c r="L43" s="119"/>
      <c r="M43" s="119"/>
      <c r="N43" s="119"/>
      <c r="O43" s="119"/>
      <c r="P43" s="119"/>
      <c r="Q43" s="119"/>
      <c r="R43" s="40"/>
    </row>
    <row r="44" spans="1:18" ht="20.25" customHeight="1">
      <c r="A44" s="172"/>
      <c r="B44" s="924" t="s">
        <v>174</v>
      </c>
      <c r="C44" s="925"/>
      <c r="D44" s="925"/>
      <c r="E44" s="925"/>
      <c r="F44" s="926"/>
      <c r="G44" s="927"/>
      <c r="H44" s="928"/>
      <c r="I44" s="135">
        <f>I45</f>
        <v>7264840</v>
      </c>
      <c r="J44" s="269"/>
      <c r="K44" s="119"/>
      <c r="L44" s="119"/>
      <c r="M44" s="119"/>
      <c r="N44" s="119"/>
      <c r="O44" s="119"/>
      <c r="P44" s="119"/>
      <c r="Q44" s="119"/>
      <c r="R44" s="40"/>
    </row>
    <row r="45" spans="1:18" ht="30" customHeight="1">
      <c r="A45" s="172"/>
      <c r="B45" s="133"/>
      <c r="C45" s="912" t="s">
        <v>175</v>
      </c>
      <c r="D45" s="913"/>
      <c r="E45" s="914"/>
      <c r="F45" s="136" t="s">
        <v>176</v>
      </c>
      <c r="G45" s="137">
        <v>6004</v>
      </c>
      <c r="H45" s="125">
        <v>1210</v>
      </c>
      <c r="I45" s="277">
        <f>G45*H45</f>
        <v>7264840</v>
      </c>
      <c r="J45" s="270"/>
      <c r="K45" s="119"/>
      <c r="L45" s="119"/>
      <c r="M45" s="119"/>
      <c r="N45" s="121"/>
      <c r="O45" s="121"/>
      <c r="P45" s="119"/>
      <c r="Q45" s="119"/>
      <c r="R45" s="120"/>
    </row>
    <row r="46" spans="11:18" ht="15.75">
      <c r="K46" s="119"/>
      <c r="L46" s="121"/>
      <c r="M46" s="121"/>
      <c r="N46" s="119"/>
      <c r="O46" s="119"/>
      <c r="P46" s="119"/>
      <c r="Q46" s="119"/>
      <c r="R46" s="120"/>
    </row>
  </sheetData>
  <sheetProtection password="CD92" sheet="1"/>
  <mergeCells count="57">
    <mergeCell ref="A1:J1"/>
    <mergeCell ref="A2:J2"/>
    <mergeCell ref="A4:J4"/>
    <mergeCell ref="B7:H7"/>
    <mergeCell ref="B8:E8"/>
    <mergeCell ref="A5:E5"/>
    <mergeCell ref="B6:I6"/>
    <mergeCell ref="A23:J23"/>
    <mergeCell ref="A25:J25"/>
    <mergeCell ref="B26:H26"/>
    <mergeCell ref="F8:H8"/>
    <mergeCell ref="D11:E11"/>
    <mergeCell ref="D14:E14"/>
    <mergeCell ref="B12:C12"/>
    <mergeCell ref="D12:E12"/>
    <mergeCell ref="C16:E16"/>
    <mergeCell ref="F16:H16"/>
    <mergeCell ref="C9:E9"/>
    <mergeCell ref="C10:E10"/>
    <mergeCell ref="F10:H10"/>
    <mergeCell ref="B28:E28"/>
    <mergeCell ref="C18:E18"/>
    <mergeCell ref="D13:E13"/>
    <mergeCell ref="C15:E15"/>
    <mergeCell ref="B14:C14"/>
    <mergeCell ref="B11:C11"/>
    <mergeCell ref="F27:H27"/>
    <mergeCell ref="C32:E32"/>
    <mergeCell ref="B27:E27"/>
    <mergeCell ref="F20:H20"/>
    <mergeCell ref="F21:H21"/>
    <mergeCell ref="C17:E17"/>
    <mergeCell ref="C30:E30"/>
    <mergeCell ref="B19:E19"/>
    <mergeCell ref="B20:E20"/>
    <mergeCell ref="B21:E21"/>
    <mergeCell ref="A22:J22"/>
    <mergeCell ref="C34:E34"/>
    <mergeCell ref="C40:E40"/>
    <mergeCell ref="C39:E39"/>
    <mergeCell ref="B43:H43"/>
    <mergeCell ref="C35:E35"/>
    <mergeCell ref="F40:H40"/>
    <mergeCell ref="B38:E38"/>
    <mergeCell ref="F38:H38"/>
    <mergeCell ref="A42:J42"/>
    <mergeCell ref="C41:E41"/>
    <mergeCell ref="C45:E45"/>
    <mergeCell ref="F28:H28"/>
    <mergeCell ref="C29:E29"/>
    <mergeCell ref="C31:E31"/>
    <mergeCell ref="C33:E33"/>
    <mergeCell ref="F35:H35"/>
    <mergeCell ref="C36:E36"/>
    <mergeCell ref="B44:E44"/>
    <mergeCell ref="F44:H44"/>
    <mergeCell ref="C37:E3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&amp;L10.melléklet&amp;R2/2019.(II.15.) ÖK rendelethez</oddHeader>
  </headerFooter>
  <rowBreaks count="1" manualBreakCount="1">
    <brk id="2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Y19" sqref="Y19"/>
    </sheetView>
  </sheetViews>
  <sheetFormatPr defaultColWidth="9.140625" defaultRowHeight="12.75"/>
  <cols>
    <col min="1" max="1" width="8.7109375" style="745" customWidth="1"/>
    <col min="2" max="2" width="31.8515625" style="745" customWidth="1"/>
    <col min="3" max="3" width="38.7109375" style="745" customWidth="1"/>
    <col min="4" max="4" width="13.57421875" style="745" customWidth="1"/>
    <col min="5" max="5" width="12.8515625" style="745" customWidth="1"/>
    <col min="6" max="6" width="13.8515625" style="745" customWidth="1"/>
    <col min="7" max="7" width="12.421875" style="745" customWidth="1"/>
    <col min="8" max="8" width="16.421875" style="745" customWidth="1"/>
    <col min="9" max="9" width="12.00390625" style="745" customWidth="1"/>
    <col min="10" max="10" width="13.7109375" style="775" customWidth="1"/>
    <col min="11" max="11" width="13.28125" style="745" customWidth="1"/>
    <col min="12" max="12" width="17.421875" style="745" customWidth="1"/>
    <col min="13" max="13" width="13.140625" style="745" customWidth="1"/>
    <col min="14" max="16" width="14.00390625" style="745" customWidth="1"/>
    <col min="17" max="16384" width="9.140625" style="745" customWidth="1"/>
  </cols>
  <sheetData>
    <row r="1" spans="1:16" ht="15">
      <c r="A1" s="881" t="s">
        <v>264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</row>
    <row r="2" spans="1:16" ht="15">
      <c r="A2" s="881" t="s">
        <v>928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</row>
    <row r="3" spans="1:16" ht="15" customHeight="1">
      <c r="A3" s="986" t="s">
        <v>964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</row>
    <row r="4" spans="1:16" s="746" customFormat="1" ht="46.5" customHeight="1">
      <c r="A4" s="987" t="s">
        <v>956</v>
      </c>
      <c r="B4" s="981" t="s">
        <v>929</v>
      </c>
      <c r="C4" s="981" t="s">
        <v>930</v>
      </c>
      <c r="D4" s="989" t="s">
        <v>1001</v>
      </c>
      <c r="E4" s="990"/>
      <c r="F4" s="981" t="s">
        <v>1002</v>
      </c>
      <c r="G4" s="981" t="s">
        <v>1003</v>
      </c>
      <c r="H4" s="981" t="s">
        <v>1004</v>
      </c>
      <c r="I4" s="981" t="s">
        <v>1005</v>
      </c>
      <c r="J4" s="984" t="s">
        <v>1006</v>
      </c>
      <c r="K4" s="981" t="s">
        <v>1007</v>
      </c>
      <c r="L4" s="981" t="s">
        <v>1008</v>
      </c>
      <c r="M4" s="981" t="s">
        <v>1009</v>
      </c>
      <c r="N4" s="981" t="s">
        <v>1010</v>
      </c>
      <c r="O4" s="981" t="s">
        <v>1011</v>
      </c>
      <c r="P4" s="981"/>
    </row>
    <row r="5" spans="1:16" s="746" customFormat="1" ht="49.5" customHeight="1">
      <c r="A5" s="988"/>
      <c r="B5" s="982"/>
      <c r="C5" s="982"/>
      <c r="D5" s="747" t="s">
        <v>1012</v>
      </c>
      <c r="E5" s="748" t="s">
        <v>1013</v>
      </c>
      <c r="F5" s="982"/>
      <c r="G5" s="982"/>
      <c r="H5" s="982"/>
      <c r="I5" s="982"/>
      <c r="J5" s="985"/>
      <c r="K5" s="982"/>
      <c r="L5" s="982"/>
      <c r="M5" s="982"/>
      <c r="N5" s="982"/>
      <c r="O5" s="983"/>
      <c r="P5" s="982"/>
    </row>
    <row r="6" spans="1:16" s="757" customFormat="1" ht="34.5" customHeight="1">
      <c r="A6" s="749" t="s">
        <v>276</v>
      </c>
      <c r="B6" s="750" t="s">
        <v>931</v>
      </c>
      <c r="C6" s="750" t="s">
        <v>932</v>
      </c>
      <c r="D6" s="751">
        <v>41640</v>
      </c>
      <c r="E6" s="751">
        <v>42887</v>
      </c>
      <c r="F6" s="751">
        <v>43982</v>
      </c>
      <c r="G6" s="752">
        <v>1</v>
      </c>
      <c r="H6" s="753">
        <v>42040055</v>
      </c>
      <c r="I6" s="754">
        <v>0</v>
      </c>
      <c r="J6" s="754">
        <v>0</v>
      </c>
      <c r="K6" s="754">
        <v>52513119</v>
      </c>
      <c r="L6" s="753">
        <v>42040055</v>
      </c>
      <c r="M6" s="754">
        <f aca="true" t="shared" si="0" ref="M6:M14">L6+J6</f>
        <v>42040055</v>
      </c>
      <c r="N6" s="755">
        <v>0</v>
      </c>
      <c r="O6" s="755">
        <v>20452347</v>
      </c>
      <c r="P6" s="756" t="s">
        <v>1014</v>
      </c>
    </row>
    <row r="7" spans="1:16" s="757" customFormat="1" ht="43.5" customHeight="1">
      <c r="A7" s="749" t="s">
        <v>277</v>
      </c>
      <c r="B7" s="750" t="s">
        <v>933</v>
      </c>
      <c r="C7" s="750" t="s">
        <v>934</v>
      </c>
      <c r="D7" s="758"/>
      <c r="E7" s="751">
        <v>42917</v>
      </c>
      <c r="F7" s="751">
        <v>43251</v>
      </c>
      <c r="G7" s="752">
        <v>1</v>
      </c>
      <c r="H7" s="753">
        <v>24637405</v>
      </c>
      <c r="I7" s="754">
        <v>0</v>
      </c>
      <c r="J7" s="754">
        <v>5500000</v>
      </c>
      <c r="K7" s="754">
        <v>25269133</v>
      </c>
      <c r="L7" s="754">
        <v>24637405</v>
      </c>
      <c r="M7" s="754">
        <f t="shared" si="0"/>
        <v>30137405</v>
      </c>
      <c r="N7" s="754">
        <f>I7+J7</f>
        <v>5500000</v>
      </c>
      <c r="O7" s="755">
        <v>56344</v>
      </c>
      <c r="P7" s="756" t="s">
        <v>1014</v>
      </c>
    </row>
    <row r="8" spans="1:16" s="757" customFormat="1" ht="30" customHeight="1">
      <c r="A8" s="749" t="s">
        <v>278</v>
      </c>
      <c r="B8" s="750" t="s">
        <v>935</v>
      </c>
      <c r="C8" s="750" t="s">
        <v>1015</v>
      </c>
      <c r="D8" s="758"/>
      <c r="E8" s="751">
        <v>42887</v>
      </c>
      <c r="F8" s="751">
        <v>43708</v>
      </c>
      <c r="G8" s="752">
        <v>1</v>
      </c>
      <c r="H8" s="753">
        <v>42713035</v>
      </c>
      <c r="I8" s="754">
        <v>0</v>
      </c>
      <c r="J8" s="754">
        <v>7000000</v>
      </c>
      <c r="K8" s="754">
        <v>45000000</v>
      </c>
      <c r="L8" s="754">
        <v>43875000</v>
      </c>
      <c r="M8" s="754">
        <f t="shared" si="0"/>
        <v>50875000</v>
      </c>
      <c r="N8" s="754">
        <f aca="true" t="shared" si="1" ref="N8:N19">I8+J8</f>
        <v>7000000</v>
      </c>
      <c r="O8" s="755">
        <v>22057602</v>
      </c>
      <c r="P8" s="759" t="s">
        <v>1014</v>
      </c>
    </row>
    <row r="9" spans="1:16" s="757" customFormat="1" ht="26.25" customHeight="1">
      <c r="A9" s="749" t="s">
        <v>279</v>
      </c>
      <c r="B9" s="750" t="s">
        <v>936</v>
      </c>
      <c r="C9" s="750" t="s">
        <v>937</v>
      </c>
      <c r="D9" s="758"/>
      <c r="E9" s="751">
        <v>42887</v>
      </c>
      <c r="F9" s="751">
        <v>43830</v>
      </c>
      <c r="G9" s="752">
        <v>1</v>
      </c>
      <c r="H9" s="753">
        <v>213161054</v>
      </c>
      <c r="I9" s="754">
        <v>0</v>
      </c>
      <c r="J9" s="754">
        <v>0</v>
      </c>
      <c r="K9" s="754">
        <v>220000000</v>
      </c>
      <c r="L9" s="754">
        <v>214500000</v>
      </c>
      <c r="M9" s="754">
        <f t="shared" si="0"/>
        <v>214500000</v>
      </c>
      <c r="N9" s="754">
        <f t="shared" si="1"/>
        <v>0</v>
      </c>
      <c r="O9" s="755">
        <v>205168054</v>
      </c>
      <c r="P9" s="759" t="s">
        <v>1014</v>
      </c>
    </row>
    <row r="10" spans="1:16" s="757" customFormat="1" ht="26.25" customHeight="1">
      <c r="A10" s="749" t="s">
        <v>280</v>
      </c>
      <c r="B10" s="750" t="s">
        <v>938</v>
      </c>
      <c r="C10" s="750" t="s">
        <v>939</v>
      </c>
      <c r="D10" s="758"/>
      <c r="E10" s="751">
        <v>42917</v>
      </c>
      <c r="F10" s="751">
        <v>43708</v>
      </c>
      <c r="G10" s="752">
        <v>1</v>
      </c>
      <c r="H10" s="753">
        <v>48750000</v>
      </c>
      <c r="I10" s="754">
        <v>0</v>
      </c>
      <c r="J10" s="754">
        <v>12000000</v>
      </c>
      <c r="K10" s="754">
        <v>50000000</v>
      </c>
      <c r="L10" s="754">
        <v>48750000</v>
      </c>
      <c r="M10" s="754">
        <f t="shared" si="0"/>
        <v>60750000</v>
      </c>
      <c r="N10" s="754">
        <f t="shared" si="1"/>
        <v>12000000</v>
      </c>
      <c r="O10" s="755">
        <v>17892224</v>
      </c>
      <c r="P10" s="759" t="s">
        <v>1014</v>
      </c>
    </row>
    <row r="11" spans="1:16" s="757" customFormat="1" ht="31.5" customHeight="1">
      <c r="A11" s="749" t="s">
        <v>281</v>
      </c>
      <c r="B11" s="750" t="s">
        <v>940</v>
      </c>
      <c r="C11" s="750" t="s">
        <v>941</v>
      </c>
      <c r="D11" s="758"/>
      <c r="E11" s="751">
        <v>42948</v>
      </c>
      <c r="F11" s="751">
        <v>43768</v>
      </c>
      <c r="G11" s="752">
        <v>1</v>
      </c>
      <c r="H11" s="753">
        <v>130704597</v>
      </c>
      <c r="I11" s="754">
        <v>0</v>
      </c>
      <c r="J11" s="754">
        <v>0</v>
      </c>
      <c r="K11" s="754">
        <v>136863460</v>
      </c>
      <c r="L11" s="754">
        <v>133441874</v>
      </c>
      <c r="M11" s="754">
        <f t="shared" si="0"/>
        <v>133441874</v>
      </c>
      <c r="N11" s="754">
        <f t="shared" si="1"/>
        <v>0</v>
      </c>
      <c r="O11" s="755">
        <v>128723598</v>
      </c>
      <c r="P11" s="759" t="s">
        <v>1014</v>
      </c>
    </row>
    <row r="12" spans="1:16" s="757" customFormat="1" ht="30.75" customHeight="1">
      <c r="A12" s="749" t="s">
        <v>282</v>
      </c>
      <c r="B12" s="750" t="s">
        <v>942</v>
      </c>
      <c r="C12" s="750" t="s">
        <v>943</v>
      </c>
      <c r="D12" s="751">
        <v>41640</v>
      </c>
      <c r="E12" s="751">
        <v>43132</v>
      </c>
      <c r="F12" s="751">
        <v>43799</v>
      </c>
      <c r="G12" s="752">
        <v>1</v>
      </c>
      <c r="H12" s="760" t="s">
        <v>1016</v>
      </c>
      <c r="I12" s="754">
        <v>0</v>
      </c>
      <c r="J12" s="754">
        <v>0</v>
      </c>
      <c r="K12" s="754">
        <v>155000000</v>
      </c>
      <c r="L12" s="754">
        <v>151125000</v>
      </c>
      <c r="M12" s="754">
        <f t="shared" si="0"/>
        <v>151125000</v>
      </c>
      <c r="N12" s="754">
        <f t="shared" si="1"/>
        <v>0</v>
      </c>
      <c r="O12" s="759" t="s">
        <v>1017</v>
      </c>
      <c r="P12" s="759" t="s">
        <v>1014</v>
      </c>
    </row>
    <row r="13" spans="1:16" s="757" customFormat="1" ht="30.75" customHeight="1">
      <c r="A13" s="749" t="s">
        <v>283</v>
      </c>
      <c r="B13" s="750" t="s">
        <v>944</v>
      </c>
      <c r="C13" s="750" t="s">
        <v>945</v>
      </c>
      <c r="D13" s="758"/>
      <c r="E13" s="751">
        <v>42917</v>
      </c>
      <c r="F13" s="751">
        <v>43677</v>
      </c>
      <c r="G13" s="752">
        <v>1</v>
      </c>
      <c r="H13" s="753">
        <v>55739700</v>
      </c>
      <c r="I13" s="754">
        <v>0</v>
      </c>
      <c r="J13" s="754">
        <v>5500000</v>
      </c>
      <c r="K13" s="754">
        <v>57116042</v>
      </c>
      <c r="L13" s="754">
        <v>55739700</v>
      </c>
      <c r="M13" s="754">
        <f t="shared" si="0"/>
        <v>61239700</v>
      </c>
      <c r="N13" s="754">
        <f t="shared" si="1"/>
        <v>5500000</v>
      </c>
      <c r="O13" s="755">
        <v>31665764</v>
      </c>
      <c r="P13" s="759" t="s">
        <v>1014</v>
      </c>
    </row>
    <row r="14" spans="1:16" s="757" customFormat="1" ht="33.75" customHeight="1">
      <c r="A14" s="749" t="s">
        <v>284</v>
      </c>
      <c r="B14" s="750" t="s">
        <v>946</v>
      </c>
      <c r="C14" s="750" t="s">
        <v>947</v>
      </c>
      <c r="D14" s="751">
        <v>41640</v>
      </c>
      <c r="E14" s="751">
        <v>43160</v>
      </c>
      <c r="F14" s="751">
        <v>43830</v>
      </c>
      <c r="G14" s="752">
        <v>1</v>
      </c>
      <c r="H14" s="754">
        <v>124800000</v>
      </c>
      <c r="I14" s="754">
        <v>0</v>
      </c>
      <c r="J14" s="754">
        <v>0</v>
      </c>
      <c r="K14" s="754">
        <v>128000000</v>
      </c>
      <c r="L14" s="754">
        <v>124800000</v>
      </c>
      <c r="M14" s="754">
        <f t="shared" si="0"/>
        <v>124800000</v>
      </c>
      <c r="N14" s="754">
        <f t="shared" si="1"/>
        <v>0</v>
      </c>
      <c r="O14" s="755">
        <v>119680000</v>
      </c>
      <c r="P14" s="759" t="s">
        <v>1014</v>
      </c>
    </row>
    <row r="15" spans="1:16" s="757" customFormat="1" ht="40.5" customHeight="1">
      <c r="A15" s="749" t="s">
        <v>285</v>
      </c>
      <c r="B15" s="750" t="s">
        <v>948</v>
      </c>
      <c r="C15" s="761" t="s">
        <v>1018</v>
      </c>
      <c r="D15" s="762"/>
      <c r="E15" s="763">
        <v>42826</v>
      </c>
      <c r="F15" s="763">
        <v>43921</v>
      </c>
      <c r="G15" s="764">
        <v>1</v>
      </c>
      <c r="H15" s="754">
        <v>19524000</v>
      </c>
      <c r="I15" s="754">
        <v>0</v>
      </c>
      <c r="J15" s="754">
        <v>0</v>
      </c>
      <c r="K15" s="754">
        <v>400000000</v>
      </c>
      <c r="L15" s="754">
        <v>19524000</v>
      </c>
      <c r="M15" s="754">
        <v>19524000</v>
      </c>
      <c r="N15" s="754">
        <f t="shared" si="1"/>
        <v>0</v>
      </c>
      <c r="O15" s="765">
        <v>18263509</v>
      </c>
      <c r="P15" s="759" t="s">
        <v>1014</v>
      </c>
    </row>
    <row r="16" spans="1:16" s="757" customFormat="1" ht="30" customHeight="1">
      <c r="A16" s="749" t="s">
        <v>286</v>
      </c>
      <c r="B16" s="750" t="s">
        <v>949</v>
      </c>
      <c r="C16" s="750" t="s">
        <v>950</v>
      </c>
      <c r="D16" s="751">
        <v>41640</v>
      </c>
      <c r="E16" s="751">
        <v>42795</v>
      </c>
      <c r="F16" s="751">
        <v>43281</v>
      </c>
      <c r="G16" s="752">
        <v>1</v>
      </c>
      <c r="H16" s="754">
        <v>6987137</v>
      </c>
      <c r="I16" s="754">
        <v>0</v>
      </c>
      <c r="J16" s="754">
        <v>0</v>
      </c>
      <c r="K16" s="756" t="s">
        <v>1017</v>
      </c>
      <c r="L16" s="754">
        <v>6987137</v>
      </c>
      <c r="M16" s="754">
        <v>6987137</v>
      </c>
      <c r="N16" s="754">
        <f t="shared" si="1"/>
        <v>0</v>
      </c>
      <c r="O16" s="754">
        <v>0</v>
      </c>
      <c r="P16" s="760" t="s">
        <v>1019</v>
      </c>
    </row>
    <row r="17" spans="1:16" s="757" customFormat="1" ht="25.5" customHeight="1">
      <c r="A17" s="749" t="s">
        <v>287</v>
      </c>
      <c r="B17" s="766" t="s">
        <v>951</v>
      </c>
      <c r="C17" s="750" t="s">
        <v>952</v>
      </c>
      <c r="D17" s="758"/>
      <c r="E17" s="758"/>
      <c r="F17" s="758"/>
      <c r="G17" s="752">
        <v>1</v>
      </c>
      <c r="H17" s="754">
        <f>1947280728+1567771954</f>
        <v>3515052682</v>
      </c>
      <c r="I17" s="754">
        <v>0</v>
      </c>
      <c r="J17" s="754">
        <v>0</v>
      </c>
      <c r="K17" s="756" t="s">
        <v>1017</v>
      </c>
      <c r="L17" s="754"/>
      <c r="M17" s="754"/>
      <c r="N17" s="754">
        <f t="shared" si="1"/>
        <v>0</v>
      </c>
      <c r="O17" s="755">
        <v>947369345</v>
      </c>
      <c r="P17" s="759" t="s">
        <v>1017</v>
      </c>
    </row>
    <row r="18" spans="1:16" s="757" customFormat="1" ht="45" customHeight="1">
      <c r="A18" s="749" t="s">
        <v>288</v>
      </c>
      <c r="B18" s="750" t="s">
        <v>953</v>
      </c>
      <c r="C18" s="750" t="s">
        <v>954</v>
      </c>
      <c r="D18" s="758"/>
      <c r="E18" s="751">
        <v>43040</v>
      </c>
      <c r="F18" s="751">
        <v>43769</v>
      </c>
      <c r="G18" s="752">
        <v>1</v>
      </c>
      <c r="H18" s="767">
        <v>15352200</v>
      </c>
      <c r="I18" s="767">
        <v>0</v>
      </c>
      <c r="J18" s="767">
        <v>0</v>
      </c>
      <c r="K18" s="767">
        <v>491442488</v>
      </c>
      <c r="L18" s="767"/>
      <c r="M18" s="767">
        <v>22614000</v>
      </c>
      <c r="N18" s="767">
        <f t="shared" si="1"/>
        <v>0</v>
      </c>
      <c r="O18" s="767"/>
      <c r="P18" s="759" t="s">
        <v>1017</v>
      </c>
    </row>
    <row r="19" spans="1:16" s="757" customFormat="1" ht="47.25" customHeight="1">
      <c r="A19" s="749" t="s">
        <v>289</v>
      </c>
      <c r="B19" s="750" t="s">
        <v>955</v>
      </c>
      <c r="C19" s="750" t="s">
        <v>954</v>
      </c>
      <c r="D19" s="751">
        <v>42682</v>
      </c>
      <c r="E19" s="751">
        <v>43101</v>
      </c>
      <c r="F19" s="751">
        <v>43830</v>
      </c>
      <c r="G19" s="752">
        <v>1</v>
      </c>
      <c r="H19" s="754">
        <v>35699075</v>
      </c>
      <c r="I19" s="754">
        <v>0</v>
      </c>
      <c r="J19" s="754">
        <v>0</v>
      </c>
      <c r="K19" s="754">
        <v>492806144</v>
      </c>
      <c r="L19" s="754">
        <v>49575600</v>
      </c>
      <c r="M19" s="754">
        <f>L19+J19</f>
        <v>49575600</v>
      </c>
      <c r="N19" s="754">
        <f t="shared" si="1"/>
        <v>0</v>
      </c>
      <c r="O19" s="755">
        <v>10043031</v>
      </c>
      <c r="P19" s="759" t="s">
        <v>1014</v>
      </c>
    </row>
    <row r="20" spans="1:16" s="757" customFormat="1" ht="63.75" customHeight="1">
      <c r="A20" s="749" t="s">
        <v>290</v>
      </c>
      <c r="B20" s="768" t="s">
        <v>960</v>
      </c>
      <c r="C20" s="768" t="s">
        <v>961</v>
      </c>
      <c r="D20" s="769">
        <v>42770</v>
      </c>
      <c r="E20" s="769">
        <v>43101</v>
      </c>
      <c r="F20" s="769">
        <v>43830</v>
      </c>
      <c r="G20" s="770">
        <v>0.95</v>
      </c>
      <c r="H20" s="754">
        <f>19034054+9048750</f>
        <v>28082804</v>
      </c>
      <c r="I20" s="754">
        <v>2003592</v>
      </c>
      <c r="J20" s="754">
        <f>2290324+206084</f>
        <v>2496408</v>
      </c>
      <c r="K20" s="771" t="s">
        <v>1017</v>
      </c>
      <c r="L20" s="754">
        <v>40071695</v>
      </c>
      <c r="M20" s="754">
        <f>38068108+I20+J20</f>
        <v>42568108</v>
      </c>
      <c r="N20" s="754">
        <f>I20+J20</f>
        <v>4500000</v>
      </c>
      <c r="O20" s="759" t="s">
        <v>1017</v>
      </c>
      <c r="P20" s="759" t="s">
        <v>1017</v>
      </c>
    </row>
    <row r="21" spans="1:16" s="757" customFormat="1" ht="55.5" customHeight="1">
      <c r="A21" s="749" t="s">
        <v>291</v>
      </c>
      <c r="B21" s="768" t="s">
        <v>962</v>
      </c>
      <c r="C21" s="768" t="s">
        <v>1020</v>
      </c>
      <c r="D21" s="769">
        <v>42909</v>
      </c>
      <c r="E21" s="769">
        <v>43132</v>
      </c>
      <c r="F21" s="769">
        <v>43861</v>
      </c>
      <c r="G21" s="770">
        <v>0.95</v>
      </c>
      <c r="H21" s="760" t="s">
        <v>1016</v>
      </c>
      <c r="I21" s="754">
        <f>944397</f>
        <v>944397</v>
      </c>
      <c r="J21" s="754">
        <f>1038836+16767</f>
        <v>1055603</v>
      </c>
      <c r="K21" s="771" t="s">
        <v>1017</v>
      </c>
      <c r="L21" s="754">
        <v>18273304</v>
      </c>
      <c r="M21" s="754">
        <f>17359621+I21+J21</f>
        <v>19359621</v>
      </c>
      <c r="N21" s="754">
        <f>I21+J21-30714</f>
        <v>1969286</v>
      </c>
      <c r="O21" s="759" t="s">
        <v>1017</v>
      </c>
      <c r="P21" s="759" t="s">
        <v>1017</v>
      </c>
    </row>
    <row r="22" spans="1:16" s="757" customFormat="1" ht="35.25" customHeight="1">
      <c r="A22" s="749" t="s">
        <v>292</v>
      </c>
      <c r="B22" s="772" t="s">
        <v>963</v>
      </c>
      <c r="C22" s="753" t="s">
        <v>738</v>
      </c>
      <c r="D22" s="769">
        <v>42794</v>
      </c>
      <c r="E22" s="769">
        <v>43139</v>
      </c>
      <c r="F22" s="769">
        <v>43830</v>
      </c>
      <c r="G22" s="770">
        <v>0.85</v>
      </c>
      <c r="H22" s="767">
        <v>20000000</v>
      </c>
      <c r="I22" s="767">
        <v>3529412</v>
      </c>
      <c r="J22" s="767">
        <v>53588</v>
      </c>
      <c r="K22" s="773" t="s">
        <v>1017</v>
      </c>
      <c r="L22" s="767">
        <f>H22+I22</f>
        <v>23529412</v>
      </c>
      <c r="M22" s="767">
        <f>J22+L22</f>
        <v>23583000</v>
      </c>
      <c r="N22" s="767">
        <f>I22+J22-83000</f>
        <v>3500000</v>
      </c>
      <c r="O22" s="767">
        <v>0</v>
      </c>
      <c r="P22" s="759" t="s">
        <v>1017</v>
      </c>
    </row>
    <row r="23" spans="1:16" s="757" customFormat="1" ht="25.5">
      <c r="A23" s="749" t="s">
        <v>293</v>
      </c>
      <c r="B23" s="774" t="s">
        <v>958</v>
      </c>
      <c r="C23" s="774" t="s">
        <v>959</v>
      </c>
      <c r="D23" s="769">
        <v>42736</v>
      </c>
      <c r="E23" s="769">
        <v>43344</v>
      </c>
      <c r="F23" s="769">
        <v>44895</v>
      </c>
      <c r="G23" s="770">
        <v>1</v>
      </c>
      <c r="H23" s="754">
        <v>3934006</v>
      </c>
      <c r="I23" s="766">
        <v>0</v>
      </c>
      <c r="J23" s="754">
        <v>0</v>
      </c>
      <c r="K23" s="754">
        <v>51413776</v>
      </c>
      <c r="L23" s="754">
        <v>3934006</v>
      </c>
      <c r="M23" s="754">
        <v>3934006</v>
      </c>
      <c r="N23" s="766">
        <v>0</v>
      </c>
      <c r="O23" s="765">
        <v>3934006</v>
      </c>
      <c r="P23" s="759" t="s">
        <v>1017</v>
      </c>
    </row>
    <row r="27" spans="14:16" ht="12.75">
      <c r="N27" s="775"/>
      <c r="O27" s="775"/>
      <c r="P27" s="775"/>
    </row>
  </sheetData>
  <sheetProtection password="CD92" sheet="1"/>
  <mergeCells count="18">
    <mergeCell ref="A1:P1"/>
    <mergeCell ref="A2:P2"/>
    <mergeCell ref="A3:P3"/>
    <mergeCell ref="A4:A5"/>
    <mergeCell ref="B4:B5"/>
    <mergeCell ref="C4:C5"/>
    <mergeCell ref="D4:E4"/>
    <mergeCell ref="F4:F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39" r:id="rId1"/>
  <headerFooter>
    <oddHeader>&amp;L11.melléklet&amp;X1&amp;R2/2019.(II.15.) ÖK rendelethez</oddHeader>
    <oddFooter>&amp;L&amp;X1&amp;XMód: 7/2019.(V.31.) ÖK rendelet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36"/>
  <sheetViews>
    <sheetView view="pageBreakPreview" zoomScale="66" zoomScaleNormal="68" zoomScaleSheetLayoutView="66" zoomScalePageLayoutView="71" workbookViewId="0" topLeftCell="J1">
      <selection activeCell="X68" sqref="X68"/>
    </sheetView>
  </sheetViews>
  <sheetFormatPr defaultColWidth="9.140625" defaultRowHeight="12.75"/>
  <cols>
    <col min="1" max="1" width="9.140625" style="7" customWidth="1"/>
    <col min="2" max="2" width="28.57421875" style="7" customWidth="1"/>
    <col min="3" max="3" width="12.00390625" style="7" customWidth="1"/>
    <col min="4" max="4" width="10.57421875" style="7" customWidth="1"/>
    <col min="5" max="5" width="11.57421875" style="7" customWidth="1"/>
    <col min="6" max="6" width="9.57421875" style="7" bestFit="1" customWidth="1"/>
    <col min="7" max="7" width="11.7109375" style="7" customWidth="1"/>
    <col min="8" max="8" width="13.28125" style="28" customWidth="1"/>
    <col min="9" max="9" width="12.28125" style="7" customWidth="1"/>
    <col min="10" max="10" width="10.00390625" style="7" customWidth="1"/>
    <col min="11" max="11" width="12.00390625" style="7" customWidth="1"/>
    <col min="12" max="12" width="12.7109375" style="28" customWidth="1"/>
    <col min="13" max="13" width="13.140625" style="36" customWidth="1"/>
    <col min="14" max="14" width="13.00390625" style="7" customWidth="1"/>
    <col min="15" max="15" width="13.140625" style="28" customWidth="1"/>
    <col min="16" max="16" width="13.28125" style="7" customWidth="1"/>
    <col min="17" max="17" width="12.140625" style="7" customWidth="1"/>
    <col min="18" max="18" width="11.57421875" style="7" customWidth="1"/>
    <col min="19" max="19" width="11.28125" style="7" customWidth="1"/>
    <col min="20" max="20" width="10.421875" style="7" customWidth="1"/>
    <col min="21" max="21" width="12.57421875" style="7" customWidth="1"/>
    <col min="22" max="23" width="11.00390625" style="7" customWidth="1"/>
    <col min="24" max="24" width="12.28125" style="7" customWidth="1"/>
    <col min="25" max="25" width="12.140625" style="7" customWidth="1"/>
    <col min="26" max="26" width="29.140625" style="7" customWidth="1"/>
    <col min="27" max="27" width="11.8515625" style="7" customWidth="1"/>
    <col min="28" max="28" width="11.57421875" style="7" customWidth="1"/>
    <col min="29" max="29" width="12.00390625" style="7" customWidth="1"/>
    <col min="30" max="30" width="10.7109375" style="7" customWidth="1"/>
    <col min="31" max="31" width="11.421875" style="7" customWidth="1"/>
    <col min="32" max="32" width="11.7109375" style="7" customWidth="1"/>
    <col min="33" max="34" width="11.00390625" style="7" customWidth="1"/>
    <col min="35" max="35" width="12.421875" style="7" customWidth="1"/>
    <col min="36" max="36" width="11.57421875" style="7" customWidth="1"/>
    <col min="37" max="37" width="9.421875" style="7" customWidth="1"/>
    <col min="38" max="38" width="12.421875" style="7" customWidth="1"/>
    <col min="39" max="39" width="13.57421875" style="7" customWidth="1"/>
    <col min="40" max="40" width="12.140625" style="28" customWidth="1"/>
    <col min="41" max="41" width="14.57421875" style="7" customWidth="1"/>
    <col min="42" max="16384" width="9.140625" style="7" customWidth="1"/>
  </cols>
  <sheetData>
    <row r="1" spans="1:41" ht="57.75" customHeight="1">
      <c r="A1" s="1000" t="s">
        <v>957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0" t="s">
        <v>957</v>
      </c>
      <c r="AA1" s="1000"/>
      <c r="AB1" s="1000"/>
      <c r="AC1" s="1000"/>
      <c r="AD1" s="1000"/>
      <c r="AE1" s="1000"/>
      <c r="AF1" s="1000"/>
      <c r="AG1" s="1000"/>
      <c r="AH1" s="1000"/>
      <c r="AI1" s="1000"/>
      <c r="AJ1" s="1000"/>
      <c r="AK1" s="1000"/>
      <c r="AL1" s="1000"/>
      <c r="AM1" s="1000"/>
      <c r="AN1" s="1000"/>
      <c r="AO1" s="1000"/>
    </row>
    <row r="2" spans="1:41" ht="12.75">
      <c r="A2" s="153"/>
      <c r="B2" s="55" t="s">
        <v>328</v>
      </c>
      <c r="C2" s="1002" t="s">
        <v>319</v>
      </c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304"/>
      <c r="Q2" s="1002" t="s">
        <v>2</v>
      </c>
      <c r="R2" s="1002"/>
      <c r="S2" s="1003"/>
      <c r="T2" s="1003"/>
      <c r="U2" s="1003"/>
      <c r="V2" s="1003"/>
      <c r="W2" s="1003"/>
      <c r="X2" s="1003"/>
      <c r="Y2" s="1003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6"/>
    </row>
    <row r="3" spans="1:41" ht="15" customHeight="1">
      <c r="A3" s="55"/>
      <c r="B3" s="153" t="s">
        <v>391</v>
      </c>
      <c r="C3" s="1004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6"/>
      <c r="Z3" s="153" t="s">
        <v>392</v>
      </c>
      <c r="AA3" s="999" t="s">
        <v>327</v>
      </c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998"/>
      <c r="AM3" s="998"/>
      <c r="AN3" s="998"/>
      <c r="AO3" s="998"/>
    </row>
    <row r="4" spans="1:41" s="352" customFormat="1" ht="64.5" customHeight="1">
      <c r="A4" s="351"/>
      <c r="B4" s="362" t="s">
        <v>321</v>
      </c>
      <c r="C4" s="346" t="s">
        <v>557</v>
      </c>
      <c r="D4" s="346" t="s">
        <v>663</v>
      </c>
      <c r="E4" s="346" t="s">
        <v>3</v>
      </c>
      <c r="F4" s="346" t="s">
        <v>4</v>
      </c>
      <c r="G4" s="346" t="s">
        <v>5</v>
      </c>
      <c r="H4" s="346" t="s">
        <v>661</v>
      </c>
      <c r="I4" s="346" t="s">
        <v>7</v>
      </c>
      <c r="J4" s="346" t="s">
        <v>8</v>
      </c>
      <c r="K4" s="346" t="s">
        <v>9</v>
      </c>
      <c r="L4" s="346" t="s">
        <v>10</v>
      </c>
      <c r="M4" s="346" t="s">
        <v>11</v>
      </c>
      <c r="N4" s="346" t="s">
        <v>12</v>
      </c>
      <c r="O4" s="346" t="s">
        <v>309</v>
      </c>
      <c r="P4" s="346"/>
      <c r="Q4" s="346" t="s">
        <v>214</v>
      </c>
      <c r="R4" s="346" t="s">
        <v>556</v>
      </c>
      <c r="S4" s="346" t="s">
        <v>555</v>
      </c>
      <c r="T4" s="346" t="s">
        <v>14</v>
      </c>
      <c r="U4" s="346" t="s">
        <v>19</v>
      </c>
      <c r="V4" s="346" t="s">
        <v>18</v>
      </c>
      <c r="W4" s="346" t="s">
        <v>20</v>
      </c>
      <c r="X4" s="346" t="s">
        <v>15</v>
      </c>
      <c r="Y4" s="346" t="s">
        <v>16</v>
      </c>
      <c r="Z4" s="362" t="s">
        <v>321</v>
      </c>
      <c r="AA4" s="346" t="s">
        <v>17</v>
      </c>
      <c r="AB4" s="346" t="s">
        <v>215</v>
      </c>
      <c r="AC4" s="346" t="s">
        <v>556</v>
      </c>
      <c r="AD4" s="346" t="s">
        <v>13</v>
      </c>
      <c r="AE4" s="346" t="s">
        <v>14</v>
      </c>
      <c r="AF4" s="346" t="s">
        <v>19</v>
      </c>
      <c r="AG4" s="346" t="s">
        <v>18</v>
      </c>
      <c r="AH4" s="346" t="s">
        <v>20</v>
      </c>
      <c r="AI4" s="346" t="s">
        <v>21</v>
      </c>
      <c r="AJ4" s="346" t="s">
        <v>22</v>
      </c>
      <c r="AK4" s="346" t="s">
        <v>23</v>
      </c>
      <c r="AL4" s="346" t="s">
        <v>15</v>
      </c>
      <c r="AM4" s="354" t="s">
        <v>647</v>
      </c>
      <c r="AN4" s="346" t="s">
        <v>16</v>
      </c>
      <c r="AO4" s="346" t="s">
        <v>308</v>
      </c>
    </row>
    <row r="5" spans="1:41" s="29" customFormat="1" ht="16.5" customHeight="1">
      <c r="A5" s="175"/>
      <c r="B5" s="267"/>
      <c r="C5" s="92"/>
      <c r="D5" s="92"/>
      <c r="E5" s="92"/>
      <c r="F5" s="230"/>
      <c r="G5" s="230"/>
      <c r="H5" s="153">
        <f>SUM(C5:G5)</f>
        <v>0</v>
      </c>
      <c r="I5" s="231"/>
      <c r="J5" s="231"/>
      <c r="K5" s="231"/>
      <c r="L5" s="232">
        <f>SUM(I5:K5)</f>
        <v>0</v>
      </c>
      <c r="M5" s="65">
        <f>H5+L5</f>
        <v>0</v>
      </c>
      <c r="N5" s="233">
        <v>0</v>
      </c>
      <c r="O5" s="103">
        <f aca="true" t="shared" si="0" ref="O5:O18">M5+N5</f>
        <v>0</v>
      </c>
      <c r="P5" s="233"/>
      <c r="Q5" s="79">
        <f>2057-397</f>
        <v>1660</v>
      </c>
      <c r="R5" s="79"/>
      <c r="S5" s="79"/>
      <c r="T5" s="79">
        <v>1</v>
      </c>
      <c r="U5" s="79"/>
      <c r="V5" s="79"/>
      <c r="W5" s="79"/>
      <c r="X5" s="79">
        <v>396</v>
      </c>
      <c r="Y5" s="103">
        <f aca="true" t="shared" si="1" ref="Y5:Y14">SUM(Q5:X5)</f>
        <v>2057</v>
      </c>
      <c r="Z5" s="229"/>
      <c r="AA5" s="79"/>
      <c r="AB5" s="79">
        <v>1660</v>
      </c>
      <c r="AC5" s="776"/>
      <c r="AD5" s="79"/>
      <c r="AE5" s="92">
        <v>1</v>
      </c>
      <c r="AF5" s="230"/>
      <c r="AG5" s="79"/>
      <c r="AH5" s="234"/>
      <c r="AI5" s="79"/>
      <c r="AJ5" s="79"/>
      <c r="AK5" s="79"/>
      <c r="AL5" s="79">
        <v>396</v>
      </c>
      <c r="AM5" s="79">
        <v>-2057</v>
      </c>
      <c r="AN5" s="103">
        <f>SUM(AA5:AM5)</f>
        <v>0</v>
      </c>
      <c r="AO5" s="103">
        <f>AN5</f>
        <v>0</v>
      </c>
    </row>
    <row r="6" spans="1:41" ht="21" customHeight="1">
      <c r="A6" s="55" t="s">
        <v>267</v>
      </c>
      <c r="B6" s="235" t="s">
        <v>369</v>
      </c>
      <c r="C6" s="79">
        <v>2854</v>
      </c>
      <c r="D6" s="79">
        <v>570</v>
      </c>
      <c r="E6" s="79">
        <v>9784</v>
      </c>
      <c r="F6" s="79">
        <v>0</v>
      </c>
      <c r="G6" s="79">
        <v>0</v>
      </c>
      <c r="H6" s="153">
        <f>SUM(C6:G6)</f>
        <v>13208</v>
      </c>
      <c r="I6" s="79">
        <v>127</v>
      </c>
      <c r="J6" s="79">
        <v>0</v>
      </c>
      <c r="K6" s="79">
        <v>0</v>
      </c>
      <c r="L6" s="153">
        <f>SUM(I6:K6)</f>
        <v>127</v>
      </c>
      <c r="M6" s="65">
        <f>H6+L6</f>
        <v>13335</v>
      </c>
      <c r="N6" s="79">
        <v>0</v>
      </c>
      <c r="O6" s="103">
        <f t="shared" si="0"/>
        <v>13335</v>
      </c>
      <c r="P6" s="79"/>
      <c r="Q6" s="79">
        <v>12000</v>
      </c>
      <c r="R6" s="79">
        <v>0</v>
      </c>
      <c r="S6" s="79">
        <v>0</v>
      </c>
      <c r="T6" s="79">
        <v>1800</v>
      </c>
      <c r="U6" s="79">
        <v>0</v>
      </c>
      <c r="V6" s="79">
        <v>0</v>
      </c>
      <c r="W6" s="79">
        <v>0</v>
      </c>
      <c r="X6" s="79">
        <v>0</v>
      </c>
      <c r="Y6" s="103">
        <f t="shared" si="1"/>
        <v>13800</v>
      </c>
      <c r="Z6" s="235" t="s">
        <v>369</v>
      </c>
      <c r="AA6" s="79"/>
      <c r="AB6" s="79">
        <v>12000</v>
      </c>
      <c r="AC6" s="79"/>
      <c r="AD6" s="79"/>
      <c r="AE6" s="92">
        <v>1800</v>
      </c>
      <c r="AF6" s="79"/>
      <c r="AG6" s="79"/>
      <c r="AH6" s="79"/>
      <c r="AI6" s="79"/>
      <c r="AJ6" s="79"/>
      <c r="AK6" s="79"/>
      <c r="AL6" s="79"/>
      <c r="AM6" s="79">
        <v>-465</v>
      </c>
      <c r="AN6" s="79">
        <f aca="true" t="shared" si="2" ref="AN6:AN12">SUM(AA6:AM6)</f>
        <v>13335</v>
      </c>
      <c r="AO6" s="103">
        <f>AN6</f>
        <v>13335</v>
      </c>
    </row>
    <row r="7" spans="1:41" ht="22.5" customHeight="1">
      <c r="A7" s="55" t="s">
        <v>267</v>
      </c>
      <c r="B7" s="235" t="s">
        <v>370</v>
      </c>
      <c r="C7" s="79">
        <v>15246</v>
      </c>
      <c r="D7" s="79">
        <v>3000</v>
      </c>
      <c r="E7" s="79">
        <v>3840</v>
      </c>
      <c r="F7" s="79">
        <f>'[2]fogorvos'!$D$59</f>
        <v>0</v>
      </c>
      <c r="G7" s="79">
        <f>'[2]fogorvos'!$D$61</f>
        <v>0</v>
      </c>
      <c r="H7" s="153">
        <f aca="true" t="shared" si="3" ref="H7:H18">SUM(C7:G7)</f>
        <v>22086</v>
      </c>
      <c r="I7" s="79">
        <v>127</v>
      </c>
      <c r="J7" s="79">
        <v>0</v>
      </c>
      <c r="K7" s="79">
        <f>'[2]fogorvos'!$D$71</f>
        <v>0</v>
      </c>
      <c r="L7" s="153">
        <f aca="true" t="shared" si="4" ref="L7:L18">SUM(I7:K7)</f>
        <v>127</v>
      </c>
      <c r="M7" s="65">
        <f aca="true" t="shared" si="5" ref="M7:M18">H7+L7</f>
        <v>22213</v>
      </c>
      <c r="N7" s="79">
        <f>'[2]fogorvos'!$D$73</f>
        <v>0</v>
      </c>
      <c r="O7" s="103">
        <f t="shared" si="0"/>
        <v>22213</v>
      </c>
      <c r="P7" s="79"/>
      <c r="Q7" s="79">
        <v>14000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103">
        <f t="shared" si="1"/>
        <v>14000</v>
      </c>
      <c r="Z7" s="235" t="s">
        <v>370</v>
      </c>
      <c r="AA7" s="79"/>
      <c r="AB7" s="79">
        <v>14000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>
        <v>8213</v>
      </c>
      <c r="AN7" s="79">
        <f t="shared" si="2"/>
        <v>22213</v>
      </c>
      <c r="AO7" s="103">
        <f aca="true" t="shared" si="6" ref="AO7:AO18">AN7</f>
        <v>22213</v>
      </c>
    </row>
    <row r="8" spans="1:41" ht="34.5" customHeight="1">
      <c r="A8" s="236" t="s">
        <v>268</v>
      </c>
      <c r="B8" s="235" t="s">
        <v>371</v>
      </c>
      <c r="C8" s="79">
        <v>3069</v>
      </c>
      <c r="D8" s="79">
        <v>612</v>
      </c>
      <c r="E8" s="79">
        <v>1190</v>
      </c>
      <c r="F8" s="79">
        <f>'[2]labor'!$D$59</f>
        <v>0</v>
      </c>
      <c r="G8" s="79">
        <f>'[2]labor'!$D$61</f>
        <v>0</v>
      </c>
      <c r="H8" s="153">
        <f t="shared" si="3"/>
        <v>4871</v>
      </c>
      <c r="I8" s="79">
        <v>63</v>
      </c>
      <c r="J8" s="79">
        <v>0</v>
      </c>
      <c r="K8" s="79">
        <f>'[2]labor'!$D$71</f>
        <v>0</v>
      </c>
      <c r="L8" s="153">
        <f t="shared" si="4"/>
        <v>63</v>
      </c>
      <c r="M8" s="65">
        <f t="shared" si="5"/>
        <v>4934</v>
      </c>
      <c r="N8" s="79">
        <f>'[2]labor'!$D$73</f>
        <v>0</v>
      </c>
      <c r="O8" s="103">
        <f t="shared" si="0"/>
        <v>4934</v>
      </c>
      <c r="P8" s="79"/>
      <c r="Q8" s="79">
        <v>2000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103">
        <f t="shared" si="1"/>
        <v>2000</v>
      </c>
      <c r="Z8" s="235" t="s">
        <v>371</v>
      </c>
      <c r="AA8" s="79"/>
      <c r="AB8" s="79">
        <v>2000</v>
      </c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>
        <v>2934</v>
      </c>
      <c r="AN8" s="79">
        <f t="shared" si="2"/>
        <v>4934</v>
      </c>
      <c r="AO8" s="103">
        <f t="shared" si="6"/>
        <v>4934</v>
      </c>
    </row>
    <row r="9" spans="1:41" ht="30" customHeight="1">
      <c r="A9" s="236" t="s">
        <v>268</v>
      </c>
      <c r="B9" s="235" t="s">
        <v>372</v>
      </c>
      <c r="C9" s="79">
        <v>4335</v>
      </c>
      <c r="D9" s="79">
        <v>833</v>
      </c>
      <c r="E9" s="79">
        <v>2438</v>
      </c>
      <c r="F9" s="79">
        <f>'[2]fiziko'!$D$59</f>
        <v>0</v>
      </c>
      <c r="G9" s="79">
        <f>'[2]fiziko'!$D$61</f>
        <v>0</v>
      </c>
      <c r="H9" s="153">
        <f t="shared" si="3"/>
        <v>7606</v>
      </c>
      <c r="I9" s="79">
        <v>25</v>
      </c>
      <c r="J9" s="79">
        <v>0</v>
      </c>
      <c r="K9" s="79">
        <f>'[2]fiziko'!$D$71</f>
        <v>0</v>
      </c>
      <c r="L9" s="153">
        <f t="shared" si="4"/>
        <v>25</v>
      </c>
      <c r="M9" s="65">
        <f t="shared" si="5"/>
        <v>7631</v>
      </c>
      <c r="N9" s="79">
        <f>'[2]fiziko'!$D$73</f>
        <v>0</v>
      </c>
      <c r="O9" s="103">
        <f t="shared" si="0"/>
        <v>7631</v>
      </c>
      <c r="P9" s="79"/>
      <c r="Q9" s="79">
        <v>2000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103">
        <f t="shared" si="1"/>
        <v>2000</v>
      </c>
      <c r="Z9" s="235" t="s">
        <v>372</v>
      </c>
      <c r="AA9" s="79"/>
      <c r="AB9" s="79">
        <v>2000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>
        <v>5631</v>
      </c>
      <c r="AN9" s="79">
        <f t="shared" si="2"/>
        <v>7631</v>
      </c>
      <c r="AO9" s="103">
        <f t="shared" si="6"/>
        <v>7631</v>
      </c>
    </row>
    <row r="10" spans="1:41" ht="30" customHeight="1">
      <c r="A10" s="55" t="s">
        <v>267</v>
      </c>
      <c r="B10" s="235" t="s">
        <v>373</v>
      </c>
      <c r="C10" s="79">
        <v>14828</v>
      </c>
      <c r="D10" s="79">
        <v>2824</v>
      </c>
      <c r="E10" s="79">
        <v>2698</v>
      </c>
      <c r="F10" s="79">
        <f>'[2]védőnő'!$D$59</f>
        <v>0</v>
      </c>
      <c r="G10" s="79">
        <f>'[2]védőnő'!$D$61</f>
        <v>0</v>
      </c>
      <c r="H10" s="153">
        <f>SUM(C10:G10)</f>
        <v>20350</v>
      </c>
      <c r="I10" s="79">
        <v>110</v>
      </c>
      <c r="J10" s="79">
        <v>0</v>
      </c>
      <c r="K10" s="79">
        <f>'[2]védőnő'!$D$71</f>
        <v>0</v>
      </c>
      <c r="L10" s="153">
        <f t="shared" si="4"/>
        <v>110</v>
      </c>
      <c r="M10" s="65">
        <f t="shared" si="5"/>
        <v>20460</v>
      </c>
      <c r="N10" s="79">
        <f>'[2]védőnő'!$D$73</f>
        <v>0</v>
      </c>
      <c r="O10" s="103">
        <f t="shared" si="0"/>
        <v>20460</v>
      </c>
      <c r="P10" s="79"/>
      <c r="Q10" s="79">
        <v>17600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103">
        <f t="shared" si="1"/>
        <v>17600</v>
      </c>
      <c r="Z10" s="235" t="s">
        <v>373</v>
      </c>
      <c r="AA10" s="79"/>
      <c r="AB10" s="79">
        <v>17600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>
        <v>2860</v>
      </c>
      <c r="AN10" s="79">
        <f t="shared" si="2"/>
        <v>20460</v>
      </c>
      <c r="AO10" s="103">
        <f t="shared" si="6"/>
        <v>20460</v>
      </c>
    </row>
    <row r="11" spans="1:41" ht="33" customHeight="1">
      <c r="A11" s="55" t="s">
        <v>267</v>
      </c>
      <c r="B11" s="235" t="s">
        <v>374</v>
      </c>
      <c r="C11" s="79">
        <v>0</v>
      </c>
      <c r="D11" s="79">
        <v>0</v>
      </c>
      <c r="E11" s="79">
        <v>400</v>
      </c>
      <c r="F11" s="79">
        <v>0</v>
      </c>
      <c r="G11" s="79">
        <v>0</v>
      </c>
      <c r="H11" s="153">
        <f t="shared" si="3"/>
        <v>400</v>
      </c>
      <c r="I11" s="79">
        <v>0</v>
      </c>
      <c r="J11" s="79">
        <v>0</v>
      </c>
      <c r="K11" s="79">
        <v>0</v>
      </c>
      <c r="L11" s="153">
        <f t="shared" si="4"/>
        <v>0</v>
      </c>
      <c r="M11" s="65">
        <f t="shared" si="5"/>
        <v>400</v>
      </c>
      <c r="N11" s="79">
        <v>0</v>
      </c>
      <c r="O11" s="103">
        <f t="shared" si="0"/>
        <v>400</v>
      </c>
      <c r="P11" s="79"/>
      <c r="Q11" s="79">
        <v>400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103">
        <f t="shared" si="1"/>
        <v>400</v>
      </c>
      <c r="Z11" s="235" t="s">
        <v>374</v>
      </c>
      <c r="AA11" s="79"/>
      <c r="AB11" s="79">
        <v>400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>
        <f t="shared" si="2"/>
        <v>400</v>
      </c>
      <c r="AO11" s="103">
        <f t="shared" si="6"/>
        <v>400</v>
      </c>
    </row>
    <row r="12" spans="1:41" ht="42.75" customHeight="1">
      <c r="A12" s="236" t="s">
        <v>268</v>
      </c>
      <c r="B12" s="235" t="s">
        <v>375</v>
      </c>
      <c r="C12" s="79">
        <v>6923</v>
      </c>
      <c r="D12" s="79">
        <v>1303</v>
      </c>
      <c r="E12" s="79">
        <v>2762</v>
      </c>
      <c r="F12" s="79">
        <v>0</v>
      </c>
      <c r="G12" s="79">
        <v>0</v>
      </c>
      <c r="H12" s="153">
        <f t="shared" si="3"/>
        <v>10988</v>
      </c>
      <c r="I12" s="79">
        <v>0</v>
      </c>
      <c r="J12" s="79">
        <v>0</v>
      </c>
      <c r="K12" s="79">
        <v>0</v>
      </c>
      <c r="L12" s="153">
        <f t="shared" si="4"/>
        <v>0</v>
      </c>
      <c r="M12" s="65">
        <f t="shared" si="5"/>
        <v>10988</v>
      </c>
      <c r="N12" s="79">
        <v>0</v>
      </c>
      <c r="O12" s="103">
        <f t="shared" si="0"/>
        <v>10988</v>
      </c>
      <c r="P12" s="79"/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103">
        <f t="shared" si="1"/>
        <v>0</v>
      </c>
      <c r="Z12" s="235" t="s">
        <v>375</v>
      </c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>
        <v>10988</v>
      </c>
      <c r="AN12" s="79">
        <f t="shared" si="2"/>
        <v>10988</v>
      </c>
      <c r="AO12" s="103">
        <f t="shared" si="6"/>
        <v>10988</v>
      </c>
    </row>
    <row r="13" spans="1:41" ht="34.5" customHeight="1">
      <c r="A13" s="55" t="s">
        <v>267</v>
      </c>
      <c r="B13" s="235" t="s">
        <v>160</v>
      </c>
      <c r="C13" s="79">
        <v>8743</v>
      </c>
      <c r="D13" s="79">
        <v>1370</v>
      </c>
      <c r="E13" s="79">
        <v>2299</v>
      </c>
      <c r="F13" s="79">
        <v>0</v>
      </c>
      <c r="G13" s="79">
        <v>0</v>
      </c>
      <c r="H13" s="153">
        <f t="shared" si="3"/>
        <v>12412</v>
      </c>
      <c r="I13" s="79">
        <v>20</v>
      </c>
      <c r="J13" s="79">
        <v>0</v>
      </c>
      <c r="K13" s="79">
        <v>0</v>
      </c>
      <c r="L13" s="153">
        <f t="shared" si="4"/>
        <v>20</v>
      </c>
      <c r="M13" s="65">
        <f t="shared" si="5"/>
        <v>12432</v>
      </c>
      <c r="N13" s="79">
        <v>0</v>
      </c>
      <c r="O13" s="103">
        <f t="shared" si="0"/>
        <v>12432</v>
      </c>
      <c r="P13" s="79"/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103">
        <f t="shared" si="1"/>
        <v>0</v>
      </c>
      <c r="Z13" s="235" t="s">
        <v>160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>
        <v>12432</v>
      </c>
      <c r="AN13" s="79">
        <f aca="true" t="shared" si="7" ref="AN13:AN18">SUM(AA13:AM13)</f>
        <v>12432</v>
      </c>
      <c r="AO13" s="103">
        <f t="shared" si="6"/>
        <v>12432</v>
      </c>
    </row>
    <row r="14" spans="1:41" ht="34.5" customHeight="1">
      <c r="A14" s="55" t="s">
        <v>267</v>
      </c>
      <c r="B14" s="235" t="s">
        <v>161</v>
      </c>
      <c r="C14" s="79">
        <v>14245</v>
      </c>
      <c r="D14" s="79">
        <v>2797</v>
      </c>
      <c r="E14" s="79">
        <v>2378</v>
      </c>
      <c r="F14" s="79">
        <v>0</v>
      </c>
      <c r="G14" s="79">
        <v>0</v>
      </c>
      <c r="H14" s="153">
        <f t="shared" si="3"/>
        <v>19420</v>
      </c>
      <c r="I14" s="79">
        <v>20</v>
      </c>
      <c r="J14" s="79">
        <v>0</v>
      </c>
      <c r="K14" s="79">
        <v>0</v>
      </c>
      <c r="L14" s="153">
        <f t="shared" si="4"/>
        <v>20</v>
      </c>
      <c r="M14" s="65">
        <f t="shared" si="5"/>
        <v>19440</v>
      </c>
      <c r="N14" s="79">
        <v>0</v>
      </c>
      <c r="O14" s="103">
        <f t="shared" si="0"/>
        <v>19440</v>
      </c>
      <c r="P14" s="79"/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103">
        <f t="shared" si="1"/>
        <v>0</v>
      </c>
      <c r="Z14" s="235" t="s">
        <v>161</v>
      </c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>
        <v>19440</v>
      </c>
      <c r="AN14" s="79">
        <f t="shared" si="7"/>
        <v>19440</v>
      </c>
      <c r="AO14" s="103">
        <f t="shared" si="6"/>
        <v>19440</v>
      </c>
    </row>
    <row r="15" spans="1:41" ht="31.5" customHeight="1">
      <c r="A15" s="55" t="s">
        <v>267</v>
      </c>
      <c r="B15" s="154" t="s">
        <v>560</v>
      </c>
      <c r="C15" s="79">
        <v>19898</v>
      </c>
      <c r="D15" s="79">
        <v>3768</v>
      </c>
      <c r="E15" s="79">
        <v>3615</v>
      </c>
      <c r="F15" s="79">
        <v>0</v>
      </c>
      <c r="G15" s="79">
        <v>0</v>
      </c>
      <c r="H15" s="153">
        <f t="shared" si="3"/>
        <v>27281</v>
      </c>
      <c r="I15" s="79">
        <v>425</v>
      </c>
      <c r="J15" s="79">
        <v>0</v>
      </c>
      <c r="K15" s="79">
        <v>0</v>
      </c>
      <c r="L15" s="153">
        <f t="shared" si="4"/>
        <v>425</v>
      </c>
      <c r="M15" s="65">
        <f>H15+L15</f>
        <v>27706</v>
      </c>
      <c r="N15" s="79">
        <v>0</v>
      </c>
      <c r="O15" s="103">
        <f t="shared" si="0"/>
        <v>27706</v>
      </c>
      <c r="P15" s="79"/>
      <c r="Q15" s="79">
        <v>0</v>
      </c>
      <c r="R15" s="79">
        <v>0</v>
      </c>
      <c r="S15" s="79">
        <v>0</v>
      </c>
      <c r="T15" s="79">
        <v>954</v>
      </c>
      <c r="U15" s="79">
        <v>0</v>
      </c>
      <c r="V15" s="79">
        <v>0</v>
      </c>
      <c r="W15" s="79">
        <v>0</v>
      </c>
      <c r="X15" s="79">
        <v>0</v>
      </c>
      <c r="Y15" s="103">
        <f>SUM(Q15:X15)</f>
        <v>954</v>
      </c>
      <c r="Z15" s="154" t="s">
        <v>560</v>
      </c>
      <c r="AA15" s="79"/>
      <c r="AB15" s="79"/>
      <c r="AC15" s="79"/>
      <c r="AD15" s="79"/>
      <c r="AE15" s="79">
        <v>954</v>
      </c>
      <c r="AF15" s="79"/>
      <c r="AG15" s="79"/>
      <c r="AH15" s="79"/>
      <c r="AI15" s="79"/>
      <c r="AJ15" s="79"/>
      <c r="AK15" s="79"/>
      <c r="AL15" s="79"/>
      <c r="AM15" s="79">
        <v>26752</v>
      </c>
      <c r="AN15" s="79">
        <f t="shared" si="7"/>
        <v>27706</v>
      </c>
      <c r="AO15" s="103">
        <f t="shared" si="6"/>
        <v>27706</v>
      </c>
    </row>
    <row r="16" spans="1:41" ht="21.75" customHeight="1">
      <c r="A16" s="55" t="s">
        <v>267</v>
      </c>
      <c r="B16" s="235" t="s">
        <v>376</v>
      </c>
      <c r="C16" s="79">
        <v>2563</v>
      </c>
      <c r="D16" s="79">
        <v>503</v>
      </c>
      <c r="E16" s="79">
        <v>12952</v>
      </c>
      <c r="F16" s="79">
        <v>0</v>
      </c>
      <c r="G16" s="79">
        <v>0</v>
      </c>
      <c r="H16" s="153">
        <f t="shared" si="3"/>
        <v>16018</v>
      </c>
      <c r="I16" s="79">
        <v>20</v>
      </c>
      <c r="J16" s="79">
        <v>0</v>
      </c>
      <c r="K16" s="79">
        <v>0</v>
      </c>
      <c r="L16" s="153">
        <f t="shared" si="4"/>
        <v>20</v>
      </c>
      <c r="M16" s="65">
        <f t="shared" si="5"/>
        <v>16038</v>
      </c>
      <c r="N16" s="79">
        <v>0</v>
      </c>
      <c r="O16" s="103">
        <f t="shared" si="0"/>
        <v>16038</v>
      </c>
      <c r="P16" s="79"/>
      <c r="Q16" s="79">
        <v>0</v>
      </c>
      <c r="R16" s="79">
        <v>0</v>
      </c>
      <c r="S16" s="79">
        <v>0</v>
      </c>
      <c r="T16" s="79">
        <v>10219</v>
      </c>
      <c r="U16" s="79">
        <v>0</v>
      </c>
      <c r="V16" s="79">
        <v>0</v>
      </c>
      <c r="W16" s="79">
        <v>0</v>
      </c>
      <c r="X16" s="79">
        <v>0</v>
      </c>
      <c r="Y16" s="103">
        <f>SUM(Q16:X16)</f>
        <v>10219</v>
      </c>
      <c r="Z16" s="235" t="s">
        <v>376</v>
      </c>
      <c r="AA16" s="79"/>
      <c r="AB16" s="79"/>
      <c r="AC16" s="79"/>
      <c r="AD16" s="79"/>
      <c r="AE16" s="79">
        <v>10219</v>
      </c>
      <c r="AF16" s="79"/>
      <c r="AG16" s="79"/>
      <c r="AH16" s="79"/>
      <c r="AI16" s="79"/>
      <c r="AJ16" s="79"/>
      <c r="AK16" s="79"/>
      <c r="AL16" s="79"/>
      <c r="AM16" s="79">
        <v>5819</v>
      </c>
      <c r="AN16" s="79">
        <f t="shared" si="7"/>
        <v>16038</v>
      </c>
      <c r="AO16" s="103">
        <f t="shared" si="6"/>
        <v>16038</v>
      </c>
    </row>
    <row r="17" spans="1:41" ht="19.5" customHeight="1">
      <c r="A17" s="55" t="s">
        <v>267</v>
      </c>
      <c r="B17" s="235" t="s">
        <v>322</v>
      </c>
      <c r="C17" s="79">
        <v>15403</v>
      </c>
      <c r="D17" s="79">
        <v>3149</v>
      </c>
      <c r="E17" s="79">
        <v>359</v>
      </c>
      <c r="F17" s="79">
        <v>0</v>
      </c>
      <c r="G17" s="79">
        <v>0</v>
      </c>
      <c r="H17" s="153">
        <f t="shared" si="3"/>
        <v>18911</v>
      </c>
      <c r="I17" s="79">
        <v>63</v>
      </c>
      <c r="J17" s="79">
        <v>0</v>
      </c>
      <c r="K17" s="79">
        <v>0</v>
      </c>
      <c r="L17" s="153">
        <f t="shared" si="4"/>
        <v>63</v>
      </c>
      <c r="M17" s="65">
        <f t="shared" si="5"/>
        <v>18974</v>
      </c>
      <c r="N17" s="79">
        <v>0</v>
      </c>
      <c r="O17" s="103">
        <f t="shared" si="0"/>
        <v>18974</v>
      </c>
      <c r="P17" s="79"/>
      <c r="Q17" s="79">
        <v>0</v>
      </c>
      <c r="R17" s="79">
        <v>0</v>
      </c>
      <c r="S17" s="79">
        <v>0</v>
      </c>
      <c r="T17" s="79">
        <v>100</v>
      </c>
      <c r="U17" s="79">
        <v>0</v>
      </c>
      <c r="V17" s="79">
        <v>0</v>
      </c>
      <c r="W17" s="79">
        <v>0</v>
      </c>
      <c r="X17" s="79">
        <v>0</v>
      </c>
      <c r="Y17" s="103">
        <f>SUM(Q17:X17)</f>
        <v>100</v>
      </c>
      <c r="Z17" s="235" t="s">
        <v>322</v>
      </c>
      <c r="AA17" s="79"/>
      <c r="AB17" s="79"/>
      <c r="AC17" s="79"/>
      <c r="AD17" s="79"/>
      <c r="AE17" s="79">
        <v>100</v>
      </c>
      <c r="AF17" s="79"/>
      <c r="AG17" s="79"/>
      <c r="AH17" s="79"/>
      <c r="AI17" s="79"/>
      <c r="AJ17" s="79"/>
      <c r="AK17" s="79"/>
      <c r="AL17" s="79"/>
      <c r="AM17" s="79">
        <v>18874</v>
      </c>
      <c r="AN17" s="79">
        <f t="shared" si="7"/>
        <v>18974</v>
      </c>
      <c r="AO17" s="103">
        <f t="shared" si="6"/>
        <v>18974</v>
      </c>
    </row>
    <row r="18" spans="1:41" ht="21.75" customHeight="1">
      <c r="A18" s="55" t="s">
        <v>267</v>
      </c>
      <c r="B18" s="154" t="s">
        <v>559</v>
      </c>
      <c r="C18" s="79">
        <v>10268</v>
      </c>
      <c r="D18" s="79">
        <v>2016</v>
      </c>
      <c r="E18" s="79">
        <v>2396</v>
      </c>
      <c r="F18" s="79">
        <v>0</v>
      </c>
      <c r="G18" s="79">
        <v>0</v>
      </c>
      <c r="H18" s="153">
        <f t="shared" si="3"/>
        <v>14680</v>
      </c>
      <c r="I18" s="79">
        <v>0</v>
      </c>
      <c r="J18" s="79">
        <v>0</v>
      </c>
      <c r="K18" s="79">
        <v>0</v>
      </c>
      <c r="L18" s="153">
        <f t="shared" si="4"/>
        <v>0</v>
      </c>
      <c r="M18" s="65">
        <f t="shared" si="5"/>
        <v>14680</v>
      </c>
      <c r="N18" s="79"/>
      <c r="O18" s="103">
        <f t="shared" si="0"/>
        <v>14680</v>
      </c>
      <c r="P18" s="79"/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103">
        <f>SUM(Q18:X18)</f>
        <v>0</v>
      </c>
      <c r="Z18" s="154" t="s">
        <v>559</v>
      </c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>
        <v>14680</v>
      </c>
      <c r="AN18" s="79">
        <f t="shared" si="7"/>
        <v>14680</v>
      </c>
      <c r="AO18" s="103">
        <f t="shared" si="6"/>
        <v>14680</v>
      </c>
    </row>
    <row r="19" spans="1:41" s="29" customFormat="1" ht="21.75" customHeight="1">
      <c r="A19" s="175"/>
      <c r="B19" s="174" t="s">
        <v>325</v>
      </c>
      <c r="C19" s="103">
        <f aca="true" t="shared" si="8" ref="C19:I19">SUM(C5:C18)</f>
        <v>118375</v>
      </c>
      <c r="D19" s="103">
        <f t="shared" si="8"/>
        <v>22745</v>
      </c>
      <c r="E19" s="103">
        <f>SUM(E5:E18)</f>
        <v>47111</v>
      </c>
      <c r="F19" s="103">
        <f t="shared" si="8"/>
        <v>0</v>
      </c>
      <c r="G19" s="103">
        <f t="shared" si="8"/>
        <v>0</v>
      </c>
      <c r="H19" s="153">
        <f t="shared" si="8"/>
        <v>188231</v>
      </c>
      <c r="I19" s="103">
        <f t="shared" si="8"/>
        <v>1000</v>
      </c>
      <c r="J19" s="103">
        <f>SUM(J6:J18)</f>
        <v>0</v>
      </c>
      <c r="K19" s="103">
        <f>SUM(K6:K18)</f>
        <v>0</v>
      </c>
      <c r="L19" s="153">
        <f>SUM(L5:L18)</f>
        <v>1000</v>
      </c>
      <c r="M19" s="65">
        <f>SUM(M5:M18)</f>
        <v>189231</v>
      </c>
      <c r="N19" s="103">
        <f>SUM(N6:N18)</f>
        <v>0</v>
      </c>
      <c r="O19" s="103">
        <f>SUM(O5:O18)</f>
        <v>189231</v>
      </c>
      <c r="P19" s="103"/>
      <c r="Q19" s="103">
        <f>SUM(Q5:Q18)</f>
        <v>49660</v>
      </c>
      <c r="R19" s="103">
        <v>0</v>
      </c>
      <c r="S19" s="103">
        <v>0</v>
      </c>
      <c r="T19" s="103">
        <f>SUM(T5:T18)</f>
        <v>13074</v>
      </c>
      <c r="U19" s="103">
        <v>0</v>
      </c>
      <c r="V19" s="103">
        <v>0</v>
      </c>
      <c r="W19" s="103">
        <v>0</v>
      </c>
      <c r="X19" s="103">
        <f>SUM(X5:X18)</f>
        <v>396</v>
      </c>
      <c r="Y19" s="103">
        <f>SUM(Q19:X19)</f>
        <v>63130</v>
      </c>
      <c r="Z19" s="174" t="s">
        <v>325</v>
      </c>
      <c r="AA19" s="103">
        <f>SUM(AA5:AA18)</f>
        <v>0</v>
      </c>
      <c r="AB19" s="103">
        <f>SUM(AB5:AB18)</f>
        <v>49660</v>
      </c>
      <c r="AC19" s="103">
        <f aca="true" t="shared" si="9" ref="AC19:AM19">SUM(AC5:AC18)</f>
        <v>0</v>
      </c>
      <c r="AD19" s="103">
        <f t="shared" si="9"/>
        <v>0</v>
      </c>
      <c r="AE19" s="103">
        <f t="shared" si="9"/>
        <v>13074</v>
      </c>
      <c r="AF19" s="103">
        <f t="shared" si="9"/>
        <v>0</v>
      </c>
      <c r="AG19" s="103">
        <f t="shared" si="9"/>
        <v>0</v>
      </c>
      <c r="AH19" s="103">
        <f t="shared" si="9"/>
        <v>0</v>
      </c>
      <c r="AI19" s="103">
        <f t="shared" si="9"/>
        <v>0</v>
      </c>
      <c r="AJ19" s="103">
        <f t="shared" si="9"/>
        <v>0</v>
      </c>
      <c r="AK19" s="103">
        <f t="shared" si="9"/>
        <v>0</v>
      </c>
      <c r="AL19" s="103">
        <f t="shared" si="9"/>
        <v>396</v>
      </c>
      <c r="AM19" s="103">
        <f t="shared" si="9"/>
        <v>126101</v>
      </c>
      <c r="AN19" s="103">
        <f>SUM(AA19:AM19)</f>
        <v>189231</v>
      </c>
      <c r="AO19" s="103">
        <f>+AN19</f>
        <v>189231</v>
      </c>
    </row>
    <row r="20" spans="1:41" s="29" customFormat="1" ht="15">
      <c r="A20" s="175"/>
      <c r="B20" s="175"/>
      <c r="C20" s="176">
        <f>'[7]4.mell.'!M6</f>
        <v>118374.7</v>
      </c>
      <c r="D20" s="176">
        <f>'[7]4.mell.'!M7</f>
        <v>22745</v>
      </c>
      <c r="E20" s="176">
        <f>'[7]4.mell.'!M8</f>
        <v>47111</v>
      </c>
      <c r="F20" s="176">
        <f>'[12]4.mell.'!I8</f>
        <v>0</v>
      </c>
      <c r="G20" s="176">
        <f>'[12]4.mell.'!I9</f>
        <v>0</v>
      </c>
      <c r="H20" s="174">
        <f>SUM(C20:G20)</f>
        <v>188230.7</v>
      </c>
      <c r="I20" s="176">
        <f>'[7]4.mell.'!M12</f>
        <v>1000</v>
      </c>
      <c r="J20" s="176">
        <v>0</v>
      </c>
      <c r="K20" s="176">
        <f>'[12]4.mell.'!I13</f>
        <v>0</v>
      </c>
      <c r="L20" s="174">
        <f>SUM(I20:K20)</f>
        <v>1000</v>
      </c>
      <c r="M20" s="177">
        <f>H20+L20</f>
        <v>189230.7</v>
      </c>
      <c r="N20" s="176">
        <f>'[11]4.mell.'!I17</f>
        <v>0</v>
      </c>
      <c r="O20" s="210">
        <f>M20+N20</f>
        <v>189230.7</v>
      </c>
      <c r="P20" s="176"/>
      <c r="Q20" s="176">
        <f>'[7]3.mell'!O6</f>
        <v>49660</v>
      </c>
      <c r="R20" s="176"/>
      <c r="S20" s="176"/>
      <c r="T20" s="176">
        <f>'[7]3.mell'!O8</f>
        <v>13074</v>
      </c>
      <c r="U20" s="176"/>
      <c r="V20" s="176"/>
      <c r="W20" s="176"/>
      <c r="X20" s="176">
        <f>'[7]3.mell'!O20</f>
        <v>396</v>
      </c>
      <c r="Y20" s="176">
        <f>'[7]3.mell'!M24</f>
        <v>63130</v>
      </c>
      <c r="Z20" s="175"/>
      <c r="AA20" s="176">
        <v>0</v>
      </c>
      <c r="AB20" s="176"/>
      <c r="AC20" s="176"/>
      <c r="AD20" s="176">
        <v>0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210"/>
      <c r="AO20" s="176"/>
    </row>
    <row r="21" spans="1:41" s="29" customFormat="1" ht="15">
      <c r="A21" s="175"/>
      <c r="B21" s="175"/>
      <c r="C21" s="176"/>
      <c r="D21" s="176"/>
      <c r="E21" s="176"/>
      <c r="F21" s="176"/>
      <c r="G21" s="176"/>
      <c r="H21" s="174"/>
      <c r="I21" s="176"/>
      <c r="J21" s="176"/>
      <c r="K21" s="176"/>
      <c r="L21" s="174"/>
      <c r="M21" s="177"/>
      <c r="N21" s="176"/>
      <c r="O21" s="176">
        <f>'[7]4.mell.'!M19</f>
        <v>189230.7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5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359">
        <f>AA19+AB19+AD19+AF19+AM19-Q20</f>
        <v>126101</v>
      </c>
      <c r="AO21" s="176" t="s">
        <v>390</v>
      </c>
    </row>
    <row r="22" spans="1:41" ht="15">
      <c r="A22" s="55"/>
      <c r="B22" s="55" t="s">
        <v>328</v>
      </c>
      <c r="C22" s="991" t="s">
        <v>319</v>
      </c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303"/>
      <c r="Q22" s="991" t="s">
        <v>2</v>
      </c>
      <c r="R22" s="991"/>
      <c r="S22" s="992"/>
      <c r="T22" s="992"/>
      <c r="U22" s="992"/>
      <c r="V22" s="992"/>
      <c r="W22" s="992"/>
      <c r="X22" s="992"/>
      <c r="Y22" s="992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8"/>
    </row>
    <row r="23" spans="1:41" ht="15.75">
      <c r="A23" s="55"/>
      <c r="B23" s="153"/>
      <c r="C23" s="1007"/>
      <c r="D23" s="100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9"/>
      <c r="Z23" s="153"/>
      <c r="AA23" s="999" t="s">
        <v>327</v>
      </c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998"/>
      <c r="AM23" s="998"/>
      <c r="AN23" s="998"/>
      <c r="AO23" s="998"/>
    </row>
    <row r="24" spans="1:41" s="350" customFormat="1" ht="75" customHeight="1">
      <c r="A24" s="347"/>
      <c r="B24" s="362" t="s">
        <v>177</v>
      </c>
      <c r="C24" s="346" t="s">
        <v>557</v>
      </c>
      <c r="D24" s="346" t="s">
        <v>663</v>
      </c>
      <c r="E24" s="346" t="s">
        <v>3</v>
      </c>
      <c r="F24" s="346" t="s">
        <v>4</v>
      </c>
      <c r="G24" s="346" t="s">
        <v>5</v>
      </c>
      <c r="H24" s="346" t="s">
        <v>6</v>
      </c>
      <c r="I24" s="346" t="s">
        <v>7</v>
      </c>
      <c r="J24" s="346" t="s">
        <v>8</v>
      </c>
      <c r="K24" s="346" t="s">
        <v>9</v>
      </c>
      <c r="L24" s="346" t="s">
        <v>10</v>
      </c>
      <c r="M24" s="346" t="s">
        <v>11</v>
      </c>
      <c r="N24" s="346" t="s">
        <v>12</v>
      </c>
      <c r="O24" s="346" t="s">
        <v>309</v>
      </c>
      <c r="P24" s="346"/>
      <c r="Q24" s="346" t="s">
        <v>214</v>
      </c>
      <c r="R24" s="346" t="s">
        <v>556</v>
      </c>
      <c r="S24" s="346" t="s">
        <v>555</v>
      </c>
      <c r="T24" s="346" t="s">
        <v>14</v>
      </c>
      <c r="U24" s="346" t="s">
        <v>19</v>
      </c>
      <c r="V24" s="346" t="s">
        <v>18</v>
      </c>
      <c r="W24" s="346" t="s">
        <v>20</v>
      </c>
      <c r="X24" s="346" t="s">
        <v>15</v>
      </c>
      <c r="Y24" s="346" t="s">
        <v>16</v>
      </c>
      <c r="Z24" s="362" t="s">
        <v>177</v>
      </c>
      <c r="AA24" s="346" t="s">
        <v>17</v>
      </c>
      <c r="AB24" s="346" t="s">
        <v>215</v>
      </c>
      <c r="AC24" s="346" t="s">
        <v>556</v>
      </c>
      <c r="AD24" s="346" t="s">
        <v>555</v>
      </c>
      <c r="AE24" s="346" t="s">
        <v>14</v>
      </c>
      <c r="AF24" s="346" t="s">
        <v>19</v>
      </c>
      <c r="AG24" s="346" t="s">
        <v>18</v>
      </c>
      <c r="AH24" s="346" t="s">
        <v>20</v>
      </c>
      <c r="AI24" s="346" t="s">
        <v>21</v>
      </c>
      <c r="AJ24" s="346" t="s">
        <v>22</v>
      </c>
      <c r="AK24" s="346" t="s">
        <v>23</v>
      </c>
      <c r="AL24" s="346" t="s">
        <v>15</v>
      </c>
      <c r="AM24" s="354" t="s">
        <v>647</v>
      </c>
      <c r="AN24" s="346" t="s">
        <v>16</v>
      </c>
      <c r="AO24" s="346" t="s">
        <v>308</v>
      </c>
    </row>
    <row r="25" spans="1:41" ht="25.5" customHeight="1">
      <c r="A25" s="55"/>
      <c r="B25" s="267"/>
      <c r="C25" s="264">
        <f>'[7]4.mell.'!S6</f>
        <v>14798</v>
      </c>
      <c r="D25" s="264">
        <f>'[7]4.mell.'!S7</f>
        <v>2926</v>
      </c>
      <c r="E25" s="264">
        <f>'[7]4.mell.'!U8</f>
        <v>12931</v>
      </c>
      <c r="F25" s="179"/>
      <c r="G25" s="179"/>
      <c r="H25" s="174">
        <f aca="true" t="shared" si="10" ref="H25:H30">SUM(C25:G25)</f>
        <v>30655</v>
      </c>
      <c r="I25" s="179">
        <f>'[7]4.mell.'!S12</f>
        <v>600</v>
      </c>
      <c r="J25" s="179"/>
      <c r="K25" s="179"/>
      <c r="L25" s="153">
        <f aca="true" t="shared" si="11" ref="L25:L30">SUM(I25:K25)</f>
        <v>600</v>
      </c>
      <c r="M25" s="65">
        <f aca="true" t="shared" si="12" ref="M25:M30">H25+L25</f>
        <v>31255</v>
      </c>
      <c r="N25" s="179"/>
      <c r="O25" s="103">
        <f aca="true" t="shared" si="13" ref="O25:O30">M25+N25</f>
        <v>31255</v>
      </c>
      <c r="P25" s="179"/>
      <c r="Q25" s="181">
        <f>1667-1396</f>
        <v>271</v>
      </c>
      <c r="R25" s="181">
        <f>'[7]3.mell'!S11</f>
        <v>161</v>
      </c>
      <c r="S25" s="179"/>
      <c r="T25" s="179">
        <f>'[7]3.mell'!S8</f>
        <v>2001</v>
      </c>
      <c r="U25" s="179"/>
      <c r="V25" s="179"/>
      <c r="W25" s="179"/>
      <c r="X25" s="181">
        <v>1395</v>
      </c>
      <c r="Y25" s="103">
        <f aca="true" t="shared" si="14" ref="Y25:Y30">SUM(Q25:X25)</f>
        <v>3828</v>
      </c>
      <c r="Z25" s="227"/>
      <c r="AA25" s="181"/>
      <c r="AB25" s="179">
        <v>271</v>
      </c>
      <c r="AC25" s="181">
        <v>161</v>
      </c>
      <c r="AD25" s="179"/>
      <c r="AE25" s="179">
        <v>2001</v>
      </c>
      <c r="AF25" s="179"/>
      <c r="AG25" s="179"/>
      <c r="AH25" s="179"/>
      <c r="AI25" s="179"/>
      <c r="AJ25" s="179"/>
      <c r="AK25" s="179"/>
      <c r="AL25" s="181">
        <v>1395</v>
      </c>
      <c r="AM25" s="228">
        <f>27427</f>
        <v>27427</v>
      </c>
      <c r="AN25" s="103">
        <f aca="true" t="shared" si="15" ref="AN25:AN30">SUM(AA25:AM25)</f>
        <v>31255</v>
      </c>
      <c r="AO25" s="103">
        <f aca="true" t="shared" si="16" ref="AO25:AO30">+AN25</f>
        <v>31255</v>
      </c>
    </row>
    <row r="26" spans="1:41" ht="42.75" customHeight="1">
      <c r="A26" s="55" t="s">
        <v>267</v>
      </c>
      <c r="B26" s="237" t="s">
        <v>364</v>
      </c>
      <c r="C26" s="79"/>
      <c r="D26" s="79"/>
      <c r="E26" s="79"/>
      <c r="F26" s="79">
        <v>0</v>
      </c>
      <c r="G26" s="79">
        <v>0</v>
      </c>
      <c r="H26" s="174">
        <f t="shared" si="10"/>
        <v>0</v>
      </c>
      <c r="I26" s="79">
        <v>0</v>
      </c>
      <c r="J26" s="79">
        <v>0</v>
      </c>
      <c r="K26" s="79">
        <v>0</v>
      </c>
      <c r="L26" s="153">
        <f t="shared" si="11"/>
        <v>0</v>
      </c>
      <c r="M26" s="65">
        <f t="shared" si="12"/>
        <v>0</v>
      </c>
      <c r="N26" s="79">
        <v>0</v>
      </c>
      <c r="O26" s="103">
        <f t="shared" si="13"/>
        <v>0</v>
      </c>
      <c r="P26" s="79"/>
      <c r="Q26" s="103"/>
      <c r="R26" s="103"/>
      <c r="S26" s="103"/>
      <c r="T26" s="103"/>
      <c r="U26" s="103"/>
      <c r="V26" s="103"/>
      <c r="W26" s="103"/>
      <c r="X26" s="103"/>
      <c r="Y26" s="103">
        <f t="shared" si="14"/>
        <v>0</v>
      </c>
      <c r="Z26" s="237" t="s">
        <v>364</v>
      </c>
      <c r="AA26" s="79"/>
      <c r="AB26" s="79"/>
      <c r="AC26" s="79"/>
      <c r="AD26" s="79"/>
      <c r="AE26" s="79"/>
      <c r="AF26" s="79"/>
      <c r="AG26" s="103"/>
      <c r="AH26" s="79"/>
      <c r="AI26" s="79"/>
      <c r="AJ26" s="79"/>
      <c r="AK26" s="79"/>
      <c r="AL26" s="79"/>
      <c r="AM26" s="79"/>
      <c r="AN26" s="103">
        <f t="shared" si="15"/>
        <v>0</v>
      </c>
      <c r="AO26" s="103">
        <f t="shared" si="16"/>
        <v>0</v>
      </c>
    </row>
    <row r="27" spans="1:41" ht="26.25">
      <c r="A27" s="55" t="s">
        <v>267</v>
      </c>
      <c r="B27" s="237" t="s">
        <v>365</v>
      </c>
      <c r="C27" s="79"/>
      <c r="D27" s="79"/>
      <c r="E27" s="79"/>
      <c r="F27" s="79">
        <v>0</v>
      </c>
      <c r="G27" s="79">
        <v>0</v>
      </c>
      <c r="H27" s="174">
        <f t="shared" si="10"/>
        <v>0</v>
      </c>
      <c r="I27" s="79"/>
      <c r="J27" s="79"/>
      <c r="K27" s="79"/>
      <c r="L27" s="153">
        <f t="shared" si="11"/>
        <v>0</v>
      </c>
      <c r="M27" s="65">
        <f t="shared" si="12"/>
        <v>0</v>
      </c>
      <c r="N27" s="79">
        <v>0</v>
      </c>
      <c r="O27" s="103">
        <f t="shared" si="13"/>
        <v>0</v>
      </c>
      <c r="P27" s="79"/>
      <c r="Q27" s="103"/>
      <c r="R27" s="103"/>
      <c r="S27" s="103"/>
      <c r="T27" s="103"/>
      <c r="U27" s="103"/>
      <c r="V27" s="103"/>
      <c r="W27" s="103"/>
      <c r="X27" s="103"/>
      <c r="Y27" s="103">
        <f t="shared" si="14"/>
        <v>0</v>
      </c>
      <c r="Z27" s="237" t="s">
        <v>365</v>
      </c>
      <c r="AA27" s="79"/>
      <c r="AB27" s="79"/>
      <c r="AC27" s="79"/>
      <c r="AD27" s="79"/>
      <c r="AE27" s="79"/>
      <c r="AF27" s="79"/>
      <c r="AG27" s="103"/>
      <c r="AH27" s="79"/>
      <c r="AI27" s="79"/>
      <c r="AJ27" s="79"/>
      <c r="AK27" s="79"/>
      <c r="AL27" s="79"/>
      <c r="AM27" s="79"/>
      <c r="AN27" s="103">
        <f t="shared" si="15"/>
        <v>0</v>
      </c>
      <c r="AO27" s="103">
        <f t="shared" si="16"/>
        <v>0</v>
      </c>
    </row>
    <row r="28" spans="1:41" ht="16.5" customHeight="1">
      <c r="A28" s="55" t="s">
        <v>267</v>
      </c>
      <c r="B28" s="237" t="s">
        <v>366</v>
      </c>
      <c r="C28" s="79"/>
      <c r="D28" s="79"/>
      <c r="E28" s="79"/>
      <c r="F28" s="79">
        <v>0</v>
      </c>
      <c r="G28" s="79">
        <v>0</v>
      </c>
      <c r="H28" s="174">
        <f t="shared" si="10"/>
        <v>0</v>
      </c>
      <c r="I28" s="79"/>
      <c r="J28" s="79"/>
      <c r="K28" s="79"/>
      <c r="L28" s="153">
        <f t="shared" si="11"/>
        <v>0</v>
      </c>
      <c r="M28" s="65">
        <f t="shared" si="12"/>
        <v>0</v>
      </c>
      <c r="N28" s="79">
        <v>0</v>
      </c>
      <c r="O28" s="103">
        <f t="shared" si="13"/>
        <v>0</v>
      </c>
      <c r="P28" s="79"/>
      <c r="Q28" s="103"/>
      <c r="R28" s="103"/>
      <c r="S28" s="103"/>
      <c r="T28" s="79"/>
      <c r="U28" s="103"/>
      <c r="V28" s="103"/>
      <c r="W28" s="103"/>
      <c r="X28" s="103"/>
      <c r="Y28" s="103">
        <f t="shared" si="14"/>
        <v>0</v>
      </c>
      <c r="Z28" s="237" t="s">
        <v>366</v>
      </c>
      <c r="AA28" s="79"/>
      <c r="AB28" s="79"/>
      <c r="AC28" s="79"/>
      <c r="AD28" s="79"/>
      <c r="AE28" s="79"/>
      <c r="AF28" s="79"/>
      <c r="AG28" s="103"/>
      <c r="AH28" s="79"/>
      <c r="AI28" s="79"/>
      <c r="AJ28" s="79"/>
      <c r="AK28" s="79"/>
      <c r="AL28" s="79"/>
      <c r="AM28" s="79"/>
      <c r="AN28" s="103">
        <f t="shared" si="15"/>
        <v>0</v>
      </c>
      <c r="AO28" s="103">
        <f t="shared" si="16"/>
        <v>0</v>
      </c>
    </row>
    <row r="29" spans="1:41" ht="31.5" customHeight="1">
      <c r="A29" s="55" t="s">
        <v>267</v>
      </c>
      <c r="B29" s="236" t="s">
        <v>368</v>
      </c>
      <c r="C29" s="79"/>
      <c r="D29" s="79"/>
      <c r="E29" s="79"/>
      <c r="F29" s="79">
        <v>0</v>
      </c>
      <c r="G29" s="79">
        <v>0</v>
      </c>
      <c r="H29" s="174">
        <f t="shared" si="10"/>
        <v>0</v>
      </c>
      <c r="I29" s="79"/>
      <c r="J29" s="79"/>
      <c r="K29" s="79"/>
      <c r="L29" s="153">
        <f t="shared" si="11"/>
        <v>0</v>
      </c>
      <c r="M29" s="65">
        <f t="shared" si="12"/>
        <v>0</v>
      </c>
      <c r="N29" s="79">
        <v>0</v>
      </c>
      <c r="O29" s="103">
        <f t="shared" si="13"/>
        <v>0</v>
      </c>
      <c r="P29" s="79"/>
      <c r="Q29" s="103"/>
      <c r="R29" s="103"/>
      <c r="S29" s="103"/>
      <c r="T29" s="79"/>
      <c r="U29" s="103"/>
      <c r="V29" s="103"/>
      <c r="W29" s="103"/>
      <c r="X29" s="103"/>
      <c r="Y29" s="103">
        <f t="shared" si="14"/>
        <v>0</v>
      </c>
      <c r="Z29" s="236" t="s">
        <v>368</v>
      </c>
      <c r="AA29" s="79"/>
      <c r="AB29" s="79"/>
      <c r="AC29" s="79"/>
      <c r="AD29" s="79"/>
      <c r="AE29" s="79"/>
      <c r="AF29" s="79"/>
      <c r="AG29" s="103"/>
      <c r="AH29" s="79"/>
      <c r="AI29" s="79"/>
      <c r="AJ29" s="79"/>
      <c r="AK29" s="79"/>
      <c r="AL29" s="79"/>
      <c r="AM29" s="79"/>
      <c r="AN29" s="103">
        <f t="shared" si="15"/>
        <v>0</v>
      </c>
      <c r="AO29" s="103">
        <f t="shared" si="16"/>
        <v>0</v>
      </c>
    </row>
    <row r="30" spans="1:41" ht="44.25" customHeight="1">
      <c r="A30" s="55" t="s">
        <v>267</v>
      </c>
      <c r="B30" s="237" t="s">
        <v>367</v>
      </c>
      <c r="C30" s="79"/>
      <c r="D30" s="79"/>
      <c r="E30" s="79"/>
      <c r="F30" s="79">
        <v>0</v>
      </c>
      <c r="G30" s="79">
        <v>0</v>
      </c>
      <c r="H30" s="174">
        <f t="shared" si="10"/>
        <v>0</v>
      </c>
      <c r="I30" s="79"/>
      <c r="J30" s="79"/>
      <c r="K30" s="79"/>
      <c r="L30" s="153">
        <f t="shared" si="11"/>
        <v>0</v>
      </c>
      <c r="M30" s="65">
        <f t="shared" si="12"/>
        <v>0</v>
      </c>
      <c r="N30" s="79">
        <v>0</v>
      </c>
      <c r="O30" s="103">
        <f t="shared" si="13"/>
        <v>0</v>
      </c>
      <c r="P30" s="79"/>
      <c r="Q30" s="103"/>
      <c r="R30" s="103"/>
      <c r="S30" s="103"/>
      <c r="T30" s="79"/>
      <c r="U30" s="103"/>
      <c r="V30" s="103"/>
      <c r="W30" s="103"/>
      <c r="X30" s="103"/>
      <c r="Y30" s="103">
        <f t="shared" si="14"/>
        <v>0</v>
      </c>
      <c r="Z30" s="237" t="s">
        <v>367</v>
      </c>
      <c r="AA30" s="79"/>
      <c r="AB30" s="79"/>
      <c r="AC30" s="79"/>
      <c r="AD30" s="79"/>
      <c r="AE30" s="79"/>
      <c r="AF30" s="79"/>
      <c r="AG30" s="103"/>
      <c r="AH30" s="79"/>
      <c r="AI30" s="79"/>
      <c r="AJ30" s="79"/>
      <c r="AK30" s="79"/>
      <c r="AL30" s="79"/>
      <c r="AM30" s="79"/>
      <c r="AN30" s="103">
        <f t="shared" si="15"/>
        <v>0</v>
      </c>
      <c r="AO30" s="103">
        <f t="shared" si="16"/>
        <v>0</v>
      </c>
    </row>
    <row r="31" spans="1:41" s="8" customFormat="1" ht="21.75" customHeight="1">
      <c r="A31" s="174"/>
      <c r="B31" s="238" t="s">
        <v>325</v>
      </c>
      <c r="C31" s="210">
        <f>SUM(C25:C30)</f>
        <v>14798</v>
      </c>
      <c r="D31" s="210">
        <f>SUM(D25:D30)</f>
        <v>2926</v>
      </c>
      <c r="E31" s="210">
        <f>SUM(E25:E30)</f>
        <v>12931</v>
      </c>
      <c r="F31" s="210">
        <f>SUM(F26:F30)</f>
        <v>0</v>
      </c>
      <c r="G31" s="210">
        <f>SUM(G26:G30)</f>
        <v>0</v>
      </c>
      <c r="H31" s="174">
        <f>SUM(C31:G31)</f>
        <v>30655</v>
      </c>
      <c r="I31" s="210">
        <f>SUM(I25:I30)</f>
        <v>600</v>
      </c>
      <c r="J31" s="210">
        <f>SUM(J26:J30)</f>
        <v>0</v>
      </c>
      <c r="K31" s="210">
        <f>SUM(K26:K30)</f>
        <v>0</v>
      </c>
      <c r="L31" s="174">
        <f>SUM(L25:L30)</f>
        <v>600</v>
      </c>
      <c r="M31" s="65">
        <f>SUM(M25:M30)</f>
        <v>31255</v>
      </c>
      <c r="N31" s="79">
        <f>SUM(N26:N30)</f>
        <v>0</v>
      </c>
      <c r="O31" s="103">
        <f>SUM(O25:O30)</f>
        <v>31255</v>
      </c>
      <c r="P31" s="79"/>
      <c r="Q31" s="103">
        <f aca="true" t="shared" si="17" ref="Q31:X31">SUM(Q25:Q30)</f>
        <v>271</v>
      </c>
      <c r="R31" s="103">
        <f t="shared" si="17"/>
        <v>161</v>
      </c>
      <c r="S31" s="103">
        <f t="shared" si="17"/>
        <v>0</v>
      </c>
      <c r="T31" s="103">
        <f t="shared" si="17"/>
        <v>2001</v>
      </c>
      <c r="U31" s="103">
        <f t="shared" si="17"/>
        <v>0</v>
      </c>
      <c r="V31" s="103">
        <f t="shared" si="17"/>
        <v>0</v>
      </c>
      <c r="W31" s="103">
        <f t="shared" si="17"/>
        <v>0</v>
      </c>
      <c r="X31" s="103">
        <f t="shared" si="17"/>
        <v>1395</v>
      </c>
      <c r="Y31" s="103">
        <f>SUM(Q31:X31)</f>
        <v>3828</v>
      </c>
      <c r="Z31" s="238" t="s">
        <v>325</v>
      </c>
      <c r="AA31" s="210">
        <f aca="true" t="shared" si="18" ref="AA31:AL31">SUM(AA25:AA30)</f>
        <v>0</v>
      </c>
      <c r="AB31" s="210">
        <f t="shared" si="18"/>
        <v>271</v>
      </c>
      <c r="AC31" s="210">
        <f t="shared" si="18"/>
        <v>161</v>
      </c>
      <c r="AD31" s="210">
        <f t="shared" si="18"/>
        <v>0</v>
      </c>
      <c r="AE31" s="210">
        <f t="shared" si="18"/>
        <v>2001</v>
      </c>
      <c r="AF31" s="210">
        <f t="shared" si="18"/>
        <v>0</v>
      </c>
      <c r="AG31" s="210">
        <f t="shared" si="18"/>
        <v>0</v>
      </c>
      <c r="AH31" s="210">
        <f t="shared" si="18"/>
        <v>0</v>
      </c>
      <c r="AI31" s="210">
        <f t="shared" si="18"/>
        <v>0</v>
      </c>
      <c r="AJ31" s="210">
        <f t="shared" si="18"/>
        <v>0</v>
      </c>
      <c r="AK31" s="210">
        <f t="shared" si="18"/>
        <v>0</v>
      </c>
      <c r="AL31" s="210">
        <f t="shared" si="18"/>
        <v>1395</v>
      </c>
      <c r="AM31" s="210">
        <f>SUM(AM25:AM30)</f>
        <v>27427</v>
      </c>
      <c r="AN31" s="210">
        <f>SUM(AN25:AN30)</f>
        <v>31255</v>
      </c>
      <c r="AO31" s="210">
        <f>SUM(AO25:AO30)</f>
        <v>31255</v>
      </c>
    </row>
    <row r="32" spans="1:41" s="29" customFormat="1" ht="13.5" customHeight="1">
      <c r="A32" s="175"/>
      <c r="B32" s="175"/>
      <c r="C32" s="176">
        <f>'[7]4.mell.'!S6</f>
        <v>14798</v>
      </c>
      <c r="D32" s="176">
        <f>'[7]4.mell.'!S7</f>
        <v>2926</v>
      </c>
      <c r="E32" s="176">
        <f>'[7]4.mell.'!U8</f>
        <v>12931</v>
      </c>
      <c r="F32" s="176">
        <v>0</v>
      </c>
      <c r="G32" s="176">
        <v>0</v>
      </c>
      <c r="H32" s="174">
        <f>SUM(C32:G32)</f>
        <v>30655</v>
      </c>
      <c r="I32" s="176">
        <f>'[7]4.mell.'!S12</f>
        <v>600</v>
      </c>
      <c r="J32" s="176"/>
      <c r="K32" s="176">
        <v>0</v>
      </c>
      <c r="L32" s="174">
        <f>SUM(I32:K32)</f>
        <v>600</v>
      </c>
      <c r="M32" s="177">
        <f>H32+L32</f>
        <v>31255</v>
      </c>
      <c r="N32" s="176">
        <f>'[11]4.mell.'!L17</f>
        <v>0</v>
      </c>
      <c r="O32" s="210">
        <f>'[7]4.mell.'!U19</f>
        <v>31255</v>
      </c>
      <c r="P32" s="176"/>
      <c r="Q32" s="176">
        <f>'[7]3.mell'!U6</f>
        <v>271</v>
      </c>
      <c r="R32" s="176">
        <f>'[7]3.mell'!S11</f>
        <v>161</v>
      </c>
      <c r="S32" s="176">
        <v>0</v>
      </c>
      <c r="T32" s="176">
        <f>'[7]3.mell'!S8</f>
        <v>2001</v>
      </c>
      <c r="U32" s="176"/>
      <c r="V32" s="176"/>
      <c r="W32" s="176"/>
      <c r="X32" s="176">
        <f>'[7]3.mell'!T20</f>
        <v>1395</v>
      </c>
      <c r="Y32" s="176">
        <f>'[7]3.mell'!U24</f>
        <v>3828</v>
      </c>
      <c r="Z32" s="175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210"/>
      <c r="AO32" s="176"/>
    </row>
    <row r="33" spans="1:41" ht="18.75" customHeight="1">
      <c r="A33" s="55"/>
      <c r="B33" s="55"/>
      <c r="C33" s="79"/>
      <c r="D33" s="79"/>
      <c r="E33" s="79"/>
      <c r="F33" s="79"/>
      <c r="G33" s="79"/>
      <c r="H33" s="153"/>
      <c r="I33" s="79"/>
      <c r="J33" s="79"/>
      <c r="K33" s="79"/>
      <c r="L33" s="153"/>
      <c r="M33" s="65"/>
      <c r="N33" s="79"/>
      <c r="O33" s="103">
        <f>M32+N32</f>
        <v>31255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55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368">
        <f>AA31+AM31</f>
        <v>27427</v>
      </c>
      <c r="AO33" s="176" t="s">
        <v>390</v>
      </c>
    </row>
    <row r="34" spans="1:41" ht="15">
      <c r="A34" s="153"/>
      <c r="B34" s="55" t="s">
        <v>328</v>
      </c>
      <c r="C34" s="991" t="s">
        <v>319</v>
      </c>
      <c r="D34" s="991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303"/>
      <c r="Q34" s="991" t="s">
        <v>2</v>
      </c>
      <c r="R34" s="991"/>
      <c r="S34" s="992"/>
      <c r="T34" s="992"/>
      <c r="U34" s="992"/>
      <c r="V34" s="992"/>
      <c r="W34" s="992"/>
      <c r="X34" s="992"/>
      <c r="Y34" s="992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8"/>
    </row>
    <row r="35" spans="1:41" ht="15.75">
      <c r="A35" s="55"/>
      <c r="B35" s="153" t="s">
        <v>393</v>
      </c>
      <c r="C35" s="1007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9"/>
      <c r="Z35" s="153" t="s">
        <v>394</v>
      </c>
      <c r="AA35" s="994" t="s">
        <v>327</v>
      </c>
      <c r="AB35" s="995"/>
      <c r="AC35" s="995"/>
      <c r="AD35" s="995"/>
      <c r="AE35" s="995"/>
      <c r="AF35" s="995"/>
      <c r="AG35" s="995"/>
      <c r="AH35" s="995"/>
      <c r="AI35" s="995"/>
      <c r="AJ35" s="995"/>
      <c r="AK35" s="995"/>
      <c r="AL35" s="995"/>
      <c r="AM35" s="995"/>
      <c r="AN35" s="995"/>
      <c r="AO35" s="996"/>
    </row>
    <row r="36" spans="1:41" s="352" customFormat="1" ht="60" customHeight="1">
      <c r="A36" s="351"/>
      <c r="B36" s="353" t="s">
        <v>326</v>
      </c>
      <c r="C36" s="346" t="s">
        <v>557</v>
      </c>
      <c r="D36" s="346" t="s">
        <v>663</v>
      </c>
      <c r="E36" s="346" t="s">
        <v>3</v>
      </c>
      <c r="F36" s="346" t="s">
        <v>4</v>
      </c>
      <c r="G36" s="346" t="s">
        <v>5</v>
      </c>
      <c r="H36" s="346" t="s">
        <v>6</v>
      </c>
      <c r="I36" s="346" t="s">
        <v>7</v>
      </c>
      <c r="J36" s="346" t="s">
        <v>8</v>
      </c>
      <c r="K36" s="346" t="s">
        <v>9</v>
      </c>
      <c r="L36" s="346" t="s">
        <v>10</v>
      </c>
      <c r="M36" s="346" t="s">
        <v>11</v>
      </c>
      <c r="N36" s="346" t="s">
        <v>12</v>
      </c>
      <c r="O36" s="346" t="s">
        <v>309</v>
      </c>
      <c r="P36" s="346"/>
      <c r="Q36" s="346" t="s">
        <v>214</v>
      </c>
      <c r="R36" s="346" t="s">
        <v>556</v>
      </c>
      <c r="S36" s="346" t="s">
        <v>555</v>
      </c>
      <c r="T36" s="346" t="s">
        <v>14</v>
      </c>
      <c r="U36" s="346" t="s">
        <v>19</v>
      </c>
      <c r="V36" s="346" t="s">
        <v>18</v>
      </c>
      <c r="W36" s="346" t="s">
        <v>20</v>
      </c>
      <c r="X36" s="346" t="s">
        <v>15</v>
      </c>
      <c r="Y36" s="346" t="s">
        <v>16</v>
      </c>
      <c r="Z36" s="353" t="s">
        <v>326</v>
      </c>
      <c r="AA36" s="346" t="s">
        <v>17</v>
      </c>
      <c r="AB36" s="346" t="s">
        <v>215</v>
      </c>
      <c r="AC36" s="346" t="s">
        <v>556</v>
      </c>
      <c r="AD36" s="346" t="s">
        <v>13</v>
      </c>
      <c r="AE36" s="346" t="s">
        <v>14</v>
      </c>
      <c r="AF36" s="346" t="s">
        <v>19</v>
      </c>
      <c r="AG36" s="346" t="s">
        <v>18</v>
      </c>
      <c r="AH36" s="346" t="s">
        <v>20</v>
      </c>
      <c r="AI36" s="346" t="s">
        <v>21</v>
      </c>
      <c r="AJ36" s="346" t="s">
        <v>22</v>
      </c>
      <c r="AK36" s="346" t="s">
        <v>23</v>
      </c>
      <c r="AL36" s="346" t="s">
        <v>15</v>
      </c>
      <c r="AM36" s="349"/>
      <c r="AN36" s="346" t="s">
        <v>16</v>
      </c>
      <c r="AO36" s="346" t="s">
        <v>308</v>
      </c>
    </row>
    <row r="37" spans="1:41" s="29" customFormat="1" ht="19.5" customHeight="1">
      <c r="A37" s="175"/>
      <c r="B37" s="267"/>
      <c r="C37" s="104">
        <f>'[7]4.mell.'!G6</f>
        <v>78389</v>
      </c>
      <c r="D37" s="104">
        <f>'[7]4.mell.'!G7</f>
        <v>15904</v>
      </c>
      <c r="E37" s="104">
        <f>'[7]4.mell.'!G8</f>
        <v>158430</v>
      </c>
      <c r="F37" s="228"/>
      <c r="G37" s="228"/>
      <c r="H37" s="138">
        <f>SUM(C37:E37)</f>
        <v>252723</v>
      </c>
      <c r="I37" s="264">
        <f>'[7]4.mell.'!G12</f>
        <v>1200</v>
      </c>
      <c r="J37" s="228"/>
      <c r="K37" s="228"/>
      <c r="L37" s="265">
        <f>SUM(I37:K37)</f>
        <v>1200</v>
      </c>
      <c r="M37" s="369">
        <f>H37+L37</f>
        <v>253923</v>
      </c>
      <c r="N37" s="228"/>
      <c r="O37" s="92">
        <f>M37+N37</f>
        <v>253923</v>
      </c>
      <c r="P37" s="228"/>
      <c r="Q37" s="93">
        <f>14326-1558</f>
        <v>12768</v>
      </c>
      <c r="R37" s="93"/>
      <c r="S37" s="93"/>
      <c r="T37" s="93">
        <f>'[7]3.mell'!G8</f>
        <v>62971</v>
      </c>
      <c r="U37" s="93"/>
      <c r="V37" s="93"/>
      <c r="W37" s="93"/>
      <c r="X37" s="93">
        <v>1558</v>
      </c>
      <c r="Y37" s="93">
        <f aca="true" t="shared" si="19" ref="Y37:Y47">SUM(Q37:X37)</f>
        <v>77297</v>
      </c>
      <c r="Z37" s="175"/>
      <c r="AA37" s="93"/>
      <c r="AB37" s="93">
        <v>12768</v>
      </c>
      <c r="AC37" s="181"/>
      <c r="AD37" s="93"/>
      <c r="AE37" s="178">
        <v>62971</v>
      </c>
      <c r="AF37" s="181"/>
      <c r="AG37" s="93"/>
      <c r="AH37" s="178"/>
      <c r="AI37" s="176"/>
      <c r="AJ37" s="176"/>
      <c r="AK37" s="176"/>
      <c r="AL37" s="176">
        <v>1558</v>
      </c>
      <c r="AM37" s="176">
        <v>176626</v>
      </c>
      <c r="AN37" s="103">
        <f>SUM(AA37:AM37)</f>
        <v>253923</v>
      </c>
      <c r="AO37" s="103">
        <f>AN37</f>
        <v>253923</v>
      </c>
    </row>
    <row r="38" spans="1:41" ht="33.75" customHeight="1">
      <c r="A38" s="55" t="s">
        <v>267</v>
      </c>
      <c r="B38" s="237" t="s">
        <v>360</v>
      </c>
      <c r="C38" s="92"/>
      <c r="D38" s="92"/>
      <c r="E38" s="92"/>
      <c r="F38" s="92">
        <v>0</v>
      </c>
      <c r="G38" s="92">
        <v>0</v>
      </c>
      <c r="H38" s="180">
        <f>SUM(C38:G38)</f>
        <v>0</v>
      </c>
      <c r="I38" s="92">
        <v>0</v>
      </c>
      <c r="J38" s="92">
        <v>0</v>
      </c>
      <c r="K38" s="92">
        <v>0</v>
      </c>
      <c r="L38" s="180">
        <f>SUM(I38:K38)</f>
        <v>0</v>
      </c>
      <c r="M38" s="75">
        <f>H38+L38</f>
        <v>0</v>
      </c>
      <c r="N38" s="92">
        <v>0</v>
      </c>
      <c r="O38" s="93">
        <f aca="true" t="shared" si="20" ref="O38:O47">N38+M38</f>
        <v>0</v>
      </c>
      <c r="P38" s="92"/>
      <c r="Q38" s="93"/>
      <c r="R38" s="92"/>
      <c r="S38" s="92"/>
      <c r="T38" s="92"/>
      <c r="U38" s="92"/>
      <c r="V38" s="92"/>
      <c r="W38" s="92"/>
      <c r="X38" s="93"/>
      <c r="Y38" s="93">
        <f t="shared" si="19"/>
        <v>0</v>
      </c>
      <c r="Z38" s="237" t="s">
        <v>360</v>
      </c>
      <c r="AA38" s="92"/>
      <c r="AB38" s="92"/>
      <c r="AC38" s="79"/>
      <c r="AD38" s="92"/>
      <c r="AE38" s="79"/>
      <c r="AF38" s="79"/>
      <c r="AG38" s="93"/>
      <c r="AH38" s="79"/>
      <c r="AI38" s="79"/>
      <c r="AJ38" s="79"/>
      <c r="AK38" s="79"/>
      <c r="AL38" s="79"/>
      <c r="AM38" s="79"/>
      <c r="AN38" s="103">
        <f>SUM(AA38:AM38)</f>
        <v>0</v>
      </c>
      <c r="AO38" s="103">
        <f>AN38</f>
        <v>0</v>
      </c>
    </row>
    <row r="39" spans="1:41" ht="56.25" customHeight="1">
      <c r="A39" s="55" t="s">
        <v>267</v>
      </c>
      <c r="B39" s="154" t="s">
        <v>558</v>
      </c>
      <c r="C39" s="92"/>
      <c r="D39" s="92"/>
      <c r="E39" s="92"/>
      <c r="F39" s="92">
        <v>0</v>
      </c>
      <c r="G39" s="92">
        <v>0</v>
      </c>
      <c r="H39" s="180">
        <f aca="true" t="shared" si="21" ref="H39:H47">SUM(C39:G39)</f>
        <v>0</v>
      </c>
      <c r="I39" s="92">
        <v>0</v>
      </c>
      <c r="J39" s="92">
        <v>0</v>
      </c>
      <c r="K39" s="92">
        <v>0</v>
      </c>
      <c r="L39" s="180">
        <f aca="true" t="shared" si="22" ref="L39:L47">SUM(I39:K39)</f>
        <v>0</v>
      </c>
      <c r="M39" s="75">
        <f aca="true" t="shared" si="23" ref="M39:M47">H39+L39</f>
        <v>0</v>
      </c>
      <c r="N39" s="92">
        <v>0</v>
      </c>
      <c r="O39" s="93">
        <f t="shared" si="20"/>
        <v>0</v>
      </c>
      <c r="P39" s="92"/>
      <c r="Q39" s="93"/>
      <c r="R39" s="92"/>
      <c r="S39" s="92"/>
      <c r="T39" s="92"/>
      <c r="U39" s="92"/>
      <c r="V39" s="92"/>
      <c r="W39" s="92"/>
      <c r="X39" s="93"/>
      <c r="Y39" s="93">
        <f t="shared" si="19"/>
        <v>0</v>
      </c>
      <c r="Z39" s="154" t="s">
        <v>558</v>
      </c>
      <c r="AA39" s="92"/>
      <c r="AB39" s="92"/>
      <c r="AC39" s="79"/>
      <c r="AD39" s="92"/>
      <c r="AE39" s="79"/>
      <c r="AF39" s="79"/>
      <c r="AG39" s="93"/>
      <c r="AH39" s="79"/>
      <c r="AI39" s="79"/>
      <c r="AJ39" s="79"/>
      <c r="AK39" s="79"/>
      <c r="AL39" s="79"/>
      <c r="AM39" s="79"/>
      <c r="AN39" s="103">
        <f>SUM(AA39:AM39)</f>
        <v>0</v>
      </c>
      <c r="AO39" s="103">
        <f aca="true" t="shared" si="24" ref="AO39:AO46">AN39</f>
        <v>0</v>
      </c>
    </row>
    <row r="40" spans="1:41" ht="43.5" customHeight="1">
      <c r="A40" s="55" t="s">
        <v>267</v>
      </c>
      <c r="B40" s="154" t="s">
        <v>652</v>
      </c>
      <c r="C40" s="92"/>
      <c r="D40" s="92"/>
      <c r="E40" s="92"/>
      <c r="F40" s="92">
        <v>0</v>
      </c>
      <c r="G40" s="92">
        <v>0</v>
      </c>
      <c r="H40" s="180">
        <f t="shared" si="21"/>
        <v>0</v>
      </c>
      <c r="I40" s="92"/>
      <c r="J40" s="92">
        <v>0</v>
      </c>
      <c r="K40" s="92">
        <v>0</v>
      </c>
      <c r="L40" s="180">
        <f t="shared" si="22"/>
        <v>0</v>
      </c>
      <c r="M40" s="75">
        <f t="shared" si="23"/>
        <v>0</v>
      </c>
      <c r="N40" s="92">
        <v>0</v>
      </c>
      <c r="O40" s="93">
        <f t="shared" si="20"/>
        <v>0</v>
      </c>
      <c r="P40" s="92"/>
      <c r="Q40" s="93"/>
      <c r="R40" s="92"/>
      <c r="S40" s="92"/>
      <c r="T40" s="92"/>
      <c r="U40" s="92"/>
      <c r="V40" s="92"/>
      <c r="W40" s="92"/>
      <c r="X40" s="93"/>
      <c r="Y40" s="93">
        <f t="shared" si="19"/>
        <v>0</v>
      </c>
      <c r="Z40" s="154" t="s">
        <v>652</v>
      </c>
      <c r="AA40" s="92"/>
      <c r="AB40" s="92"/>
      <c r="AC40" s="79"/>
      <c r="AD40" s="92"/>
      <c r="AE40" s="79"/>
      <c r="AF40" s="79"/>
      <c r="AG40" s="92"/>
      <c r="AH40" s="79"/>
      <c r="AI40" s="79"/>
      <c r="AJ40" s="79"/>
      <c r="AK40" s="79"/>
      <c r="AL40" s="79"/>
      <c r="AM40" s="79"/>
      <c r="AN40" s="103">
        <f>SUM(AA40:AM40)</f>
        <v>0</v>
      </c>
      <c r="AO40" s="103">
        <f>AN40</f>
        <v>0</v>
      </c>
    </row>
    <row r="41" spans="1:41" ht="32.25" customHeight="1">
      <c r="A41" s="55"/>
      <c r="B41" s="154" t="s">
        <v>24</v>
      </c>
      <c r="C41" s="92"/>
      <c r="D41" s="92"/>
      <c r="E41" s="92"/>
      <c r="F41" s="92"/>
      <c r="G41" s="92"/>
      <c r="H41" s="180">
        <f t="shared" si="21"/>
        <v>0</v>
      </c>
      <c r="I41" s="92"/>
      <c r="J41" s="92"/>
      <c r="K41" s="92"/>
      <c r="L41" s="180">
        <f t="shared" si="22"/>
        <v>0</v>
      </c>
      <c r="M41" s="75">
        <f t="shared" si="23"/>
        <v>0</v>
      </c>
      <c r="N41" s="92"/>
      <c r="O41" s="93">
        <f t="shared" si="20"/>
        <v>0</v>
      </c>
      <c r="P41" s="92"/>
      <c r="Q41" s="93"/>
      <c r="R41" s="92"/>
      <c r="S41" s="92"/>
      <c r="T41" s="92"/>
      <c r="U41" s="92"/>
      <c r="V41" s="92"/>
      <c r="W41" s="92"/>
      <c r="X41" s="93"/>
      <c r="Y41" s="93">
        <f t="shared" si="19"/>
        <v>0</v>
      </c>
      <c r="Z41" s="154" t="s">
        <v>24</v>
      </c>
      <c r="AA41" s="92"/>
      <c r="AB41" s="92"/>
      <c r="AC41" s="79"/>
      <c r="AD41" s="92"/>
      <c r="AE41" s="79"/>
      <c r="AF41" s="79"/>
      <c r="AG41" s="93"/>
      <c r="AH41" s="79"/>
      <c r="AI41" s="79"/>
      <c r="AJ41" s="79"/>
      <c r="AK41" s="79"/>
      <c r="AL41" s="79"/>
      <c r="AM41" s="79"/>
      <c r="AN41" s="103">
        <f>SUM(AA41:AM41)</f>
        <v>0</v>
      </c>
      <c r="AO41" s="103">
        <f>AN41</f>
        <v>0</v>
      </c>
    </row>
    <row r="42" spans="1:41" ht="30.75" customHeight="1">
      <c r="A42" s="55" t="s">
        <v>267</v>
      </c>
      <c r="B42" s="154" t="s">
        <v>361</v>
      </c>
      <c r="C42" s="92"/>
      <c r="D42" s="92"/>
      <c r="E42" s="92"/>
      <c r="F42" s="92">
        <v>0</v>
      </c>
      <c r="G42" s="92">
        <v>0</v>
      </c>
      <c r="H42" s="180">
        <f t="shared" si="21"/>
        <v>0</v>
      </c>
      <c r="I42" s="92"/>
      <c r="J42" s="92">
        <v>0</v>
      </c>
      <c r="K42" s="92">
        <v>0</v>
      </c>
      <c r="L42" s="180">
        <f t="shared" si="22"/>
        <v>0</v>
      </c>
      <c r="M42" s="75">
        <f t="shared" si="23"/>
        <v>0</v>
      </c>
      <c r="N42" s="92">
        <v>0</v>
      </c>
      <c r="O42" s="93">
        <f t="shared" si="20"/>
        <v>0</v>
      </c>
      <c r="P42" s="92"/>
      <c r="Q42" s="93"/>
      <c r="R42" s="92"/>
      <c r="S42" s="92"/>
      <c r="T42" s="92"/>
      <c r="U42" s="92"/>
      <c r="V42" s="92"/>
      <c r="W42" s="92"/>
      <c r="X42" s="93"/>
      <c r="Y42" s="93">
        <f t="shared" si="19"/>
        <v>0</v>
      </c>
      <c r="Z42" s="154" t="s">
        <v>361</v>
      </c>
      <c r="AA42" s="92"/>
      <c r="AB42" s="92"/>
      <c r="AC42" s="79"/>
      <c r="AD42" s="92"/>
      <c r="AE42" s="92"/>
      <c r="AF42" s="79"/>
      <c r="AG42" s="93"/>
      <c r="AH42" s="79"/>
      <c r="AI42" s="79"/>
      <c r="AJ42" s="79"/>
      <c r="AK42" s="79"/>
      <c r="AL42" s="79"/>
      <c r="AM42" s="79"/>
      <c r="AN42" s="103">
        <f aca="true" t="shared" si="25" ref="AN42:AN47">SUM(AA42:AM42)</f>
        <v>0</v>
      </c>
      <c r="AO42" s="103">
        <f t="shared" si="24"/>
        <v>0</v>
      </c>
    </row>
    <row r="43" spans="1:41" ht="41.25" customHeight="1">
      <c r="A43" s="55" t="s">
        <v>267</v>
      </c>
      <c r="B43" s="154" t="s">
        <v>362</v>
      </c>
      <c r="C43" s="92"/>
      <c r="D43" s="92"/>
      <c r="E43" s="92"/>
      <c r="F43" s="92">
        <v>0</v>
      </c>
      <c r="G43" s="92">
        <v>0</v>
      </c>
      <c r="H43" s="180">
        <f t="shared" si="21"/>
        <v>0</v>
      </c>
      <c r="I43" s="92"/>
      <c r="J43" s="92"/>
      <c r="K43" s="92"/>
      <c r="L43" s="180">
        <f t="shared" si="22"/>
        <v>0</v>
      </c>
      <c r="M43" s="75">
        <f t="shared" si="23"/>
        <v>0</v>
      </c>
      <c r="N43" s="92">
        <v>0</v>
      </c>
      <c r="O43" s="93">
        <f t="shared" si="20"/>
        <v>0</v>
      </c>
      <c r="P43" s="92"/>
      <c r="Q43" s="93"/>
      <c r="R43" s="92"/>
      <c r="S43" s="92"/>
      <c r="T43" s="92"/>
      <c r="U43" s="92"/>
      <c r="V43" s="92"/>
      <c r="W43" s="92"/>
      <c r="X43" s="93"/>
      <c r="Y43" s="93">
        <f t="shared" si="19"/>
        <v>0</v>
      </c>
      <c r="Z43" s="154" t="s">
        <v>362</v>
      </c>
      <c r="AA43" s="92"/>
      <c r="AB43" s="92"/>
      <c r="AC43" s="79"/>
      <c r="AD43" s="92"/>
      <c r="AE43" s="79"/>
      <c r="AF43" s="79"/>
      <c r="AG43" s="93"/>
      <c r="AH43" s="79"/>
      <c r="AI43" s="79"/>
      <c r="AJ43" s="79"/>
      <c r="AK43" s="79"/>
      <c r="AL43" s="79"/>
      <c r="AM43" s="79"/>
      <c r="AN43" s="103">
        <f t="shared" si="25"/>
        <v>0</v>
      </c>
      <c r="AO43" s="103">
        <f t="shared" si="24"/>
        <v>0</v>
      </c>
    </row>
    <row r="44" spans="1:41" ht="18" customHeight="1">
      <c r="A44" s="55" t="s">
        <v>267</v>
      </c>
      <c r="B44" s="154" t="s">
        <v>324</v>
      </c>
      <c r="C44" s="92"/>
      <c r="D44" s="92"/>
      <c r="E44" s="92"/>
      <c r="F44" s="92">
        <v>0</v>
      </c>
      <c r="G44" s="92">
        <v>0</v>
      </c>
      <c r="H44" s="180">
        <f t="shared" si="21"/>
        <v>0</v>
      </c>
      <c r="I44" s="92"/>
      <c r="J44" s="92">
        <v>0</v>
      </c>
      <c r="K44" s="92">
        <v>0</v>
      </c>
      <c r="L44" s="180">
        <f t="shared" si="22"/>
        <v>0</v>
      </c>
      <c r="M44" s="75">
        <f t="shared" si="23"/>
        <v>0</v>
      </c>
      <c r="N44" s="92">
        <v>0</v>
      </c>
      <c r="O44" s="93">
        <f t="shared" si="20"/>
        <v>0</v>
      </c>
      <c r="P44" s="92"/>
      <c r="Q44" s="93"/>
      <c r="R44" s="92"/>
      <c r="S44" s="92"/>
      <c r="T44" s="92"/>
      <c r="U44" s="92"/>
      <c r="V44" s="92"/>
      <c r="W44" s="92"/>
      <c r="X44" s="93"/>
      <c r="Y44" s="93">
        <f t="shared" si="19"/>
        <v>0</v>
      </c>
      <c r="Z44" s="154" t="s">
        <v>324</v>
      </c>
      <c r="AA44" s="92"/>
      <c r="AB44" s="92"/>
      <c r="AC44" s="79"/>
      <c r="AD44" s="92"/>
      <c r="AE44" s="79"/>
      <c r="AF44" s="79"/>
      <c r="AG44" s="93"/>
      <c r="AH44" s="79"/>
      <c r="AI44" s="79"/>
      <c r="AJ44" s="79"/>
      <c r="AK44" s="79"/>
      <c r="AL44" s="79"/>
      <c r="AM44" s="79"/>
      <c r="AN44" s="103">
        <f t="shared" si="25"/>
        <v>0</v>
      </c>
      <c r="AO44" s="103">
        <f t="shared" si="24"/>
        <v>0</v>
      </c>
    </row>
    <row r="45" spans="1:41" ht="36" customHeight="1">
      <c r="A45" s="55" t="s">
        <v>267</v>
      </c>
      <c r="B45" s="154" t="s">
        <v>653</v>
      </c>
      <c r="C45" s="92"/>
      <c r="D45" s="92"/>
      <c r="E45" s="92"/>
      <c r="F45" s="92">
        <v>0</v>
      </c>
      <c r="G45" s="92">
        <v>0</v>
      </c>
      <c r="H45" s="180">
        <f t="shared" si="21"/>
        <v>0</v>
      </c>
      <c r="I45" s="92"/>
      <c r="J45" s="92">
        <v>0</v>
      </c>
      <c r="K45" s="92">
        <v>0</v>
      </c>
      <c r="L45" s="180">
        <f t="shared" si="22"/>
        <v>0</v>
      </c>
      <c r="M45" s="75">
        <f t="shared" si="23"/>
        <v>0</v>
      </c>
      <c r="N45" s="92">
        <v>0</v>
      </c>
      <c r="O45" s="93">
        <f t="shared" si="20"/>
        <v>0</v>
      </c>
      <c r="P45" s="92"/>
      <c r="Q45" s="93"/>
      <c r="R45" s="92"/>
      <c r="S45" s="92"/>
      <c r="T45" s="92"/>
      <c r="U45" s="92"/>
      <c r="V45" s="92"/>
      <c r="W45" s="92"/>
      <c r="X45" s="93"/>
      <c r="Y45" s="93">
        <f t="shared" si="19"/>
        <v>0</v>
      </c>
      <c r="Z45" s="154" t="s">
        <v>653</v>
      </c>
      <c r="AA45" s="92"/>
      <c r="AB45" s="92"/>
      <c r="AC45" s="79"/>
      <c r="AD45" s="92"/>
      <c r="AE45" s="79"/>
      <c r="AF45" s="79"/>
      <c r="AG45" s="93"/>
      <c r="AH45" s="79"/>
      <c r="AI45" s="79"/>
      <c r="AJ45" s="79"/>
      <c r="AK45" s="79"/>
      <c r="AL45" s="79"/>
      <c r="AM45" s="79"/>
      <c r="AN45" s="103">
        <f t="shared" si="25"/>
        <v>0</v>
      </c>
      <c r="AO45" s="103">
        <f t="shared" si="24"/>
        <v>0</v>
      </c>
    </row>
    <row r="46" spans="1:41" ht="46.5" customHeight="1">
      <c r="A46" s="55" t="s">
        <v>267</v>
      </c>
      <c r="B46" s="154" t="s">
        <v>363</v>
      </c>
      <c r="C46" s="92"/>
      <c r="D46" s="92"/>
      <c r="E46" s="92"/>
      <c r="F46" s="92">
        <v>0</v>
      </c>
      <c r="G46" s="92">
        <v>0</v>
      </c>
      <c r="H46" s="180">
        <f t="shared" si="21"/>
        <v>0</v>
      </c>
      <c r="I46" s="92"/>
      <c r="J46" s="92">
        <v>0</v>
      </c>
      <c r="K46" s="92">
        <v>0</v>
      </c>
      <c r="L46" s="180">
        <f t="shared" si="22"/>
        <v>0</v>
      </c>
      <c r="M46" s="75">
        <f t="shared" si="23"/>
        <v>0</v>
      </c>
      <c r="N46" s="92">
        <v>0</v>
      </c>
      <c r="O46" s="93">
        <f t="shared" si="20"/>
        <v>0</v>
      </c>
      <c r="P46" s="92"/>
      <c r="Q46" s="93"/>
      <c r="R46" s="92"/>
      <c r="S46" s="92"/>
      <c r="T46" s="92"/>
      <c r="U46" s="92"/>
      <c r="V46" s="92"/>
      <c r="W46" s="92"/>
      <c r="X46" s="93"/>
      <c r="Y46" s="93">
        <f t="shared" si="19"/>
        <v>0</v>
      </c>
      <c r="Z46" s="154" t="s">
        <v>363</v>
      </c>
      <c r="AA46" s="92"/>
      <c r="AB46" s="92"/>
      <c r="AC46" s="79"/>
      <c r="AD46" s="92"/>
      <c r="AE46" s="79"/>
      <c r="AF46" s="79"/>
      <c r="AG46" s="93"/>
      <c r="AH46" s="79"/>
      <c r="AI46" s="79"/>
      <c r="AJ46" s="79"/>
      <c r="AK46" s="79"/>
      <c r="AL46" s="79"/>
      <c r="AM46" s="79"/>
      <c r="AN46" s="103">
        <f t="shared" si="25"/>
        <v>0</v>
      </c>
      <c r="AO46" s="103">
        <f t="shared" si="24"/>
        <v>0</v>
      </c>
    </row>
    <row r="47" spans="1:41" ht="45.75" customHeight="1">
      <c r="A47" s="55" t="s">
        <v>267</v>
      </c>
      <c r="B47" s="154" t="s">
        <v>141</v>
      </c>
      <c r="C47" s="92"/>
      <c r="D47" s="92"/>
      <c r="E47" s="92"/>
      <c r="F47" s="92">
        <v>0</v>
      </c>
      <c r="G47" s="92">
        <v>0</v>
      </c>
      <c r="H47" s="180">
        <f t="shared" si="21"/>
        <v>0</v>
      </c>
      <c r="I47" s="92">
        <v>0</v>
      </c>
      <c r="J47" s="92">
        <v>0</v>
      </c>
      <c r="K47" s="92">
        <v>0</v>
      </c>
      <c r="L47" s="180">
        <f t="shared" si="22"/>
        <v>0</v>
      </c>
      <c r="M47" s="75">
        <f t="shared" si="23"/>
        <v>0</v>
      </c>
      <c r="N47" s="92">
        <v>0</v>
      </c>
      <c r="O47" s="93">
        <f t="shared" si="20"/>
        <v>0</v>
      </c>
      <c r="P47" s="92"/>
      <c r="Q47" s="93"/>
      <c r="R47" s="92"/>
      <c r="S47" s="92"/>
      <c r="T47" s="92"/>
      <c r="U47" s="92"/>
      <c r="V47" s="92"/>
      <c r="W47" s="92"/>
      <c r="X47" s="93"/>
      <c r="Y47" s="93">
        <f t="shared" si="19"/>
        <v>0</v>
      </c>
      <c r="Z47" s="154" t="s">
        <v>141</v>
      </c>
      <c r="AA47" s="92"/>
      <c r="AB47" s="92"/>
      <c r="AC47" s="79"/>
      <c r="AD47" s="92"/>
      <c r="AE47" s="79"/>
      <c r="AF47" s="79"/>
      <c r="AG47" s="93"/>
      <c r="AH47" s="79"/>
      <c r="AI47" s="79"/>
      <c r="AJ47" s="79"/>
      <c r="AK47" s="79"/>
      <c r="AL47" s="79"/>
      <c r="AM47" s="79"/>
      <c r="AN47" s="103">
        <f t="shared" si="25"/>
        <v>0</v>
      </c>
      <c r="AO47" s="103">
        <f>AN47</f>
        <v>0</v>
      </c>
    </row>
    <row r="48" spans="1:41" ht="18.75" customHeight="1">
      <c r="A48" s="55"/>
      <c r="B48" s="154"/>
      <c r="C48" s="1013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61"/>
      <c r="Q48" s="61"/>
      <c r="R48" s="61"/>
      <c r="S48" s="61"/>
      <c r="T48" s="61"/>
      <c r="U48" s="61"/>
      <c r="V48" s="61"/>
      <c r="W48" s="61"/>
      <c r="X48" s="61"/>
      <c r="Y48" s="92"/>
      <c r="Z48" s="154"/>
      <c r="AA48" s="92"/>
      <c r="AB48" s="92"/>
      <c r="AC48" s="79"/>
      <c r="AD48" s="92"/>
      <c r="AE48" s="79"/>
      <c r="AF48" s="79"/>
      <c r="AG48" s="61"/>
      <c r="AH48" s="79"/>
      <c r="AI48" s="79"/>
      <c r="AJ48" s="79"/>
      <c r="AK48" s="79"/>
      <c r="AL48" s="79"/>
      <c r="AM48" s="79"/>
      <c r="AN48" s="103">
        <f>SUM(AN37:AN47)</f>
        <v>253923</v>
      </c>
      <c r="AO48" s="103">
        <f>SUM(AO37:AO47)</f>
        <v>253923</v>
      </c>
    </row>
    <row r="49" spans="1:41" ht="24.75" customHeight="1">
      <c r="A49" s="55"/>
      <c r="B49" s="238" t="s">
        <v>325</v>
      </c>
      <c r="C49" s="239">
        <f>SUM(C37:C47)</f>
        <v>78389</v>
      </c>
      <c r="D49" s="239">
        <f>SUM(D37:D47)</f>
        <v>15904</v>
      </c>
      <c r="E49" s="239">
        <f>SUM(E37:E47)</f>
        <v>158430</v>
      </c>
      <c r="F49" s="239">
        <f>SUM(F37:F47)</f>
        <v>0</v>
      </c>
      <c r="G49" s="239">
        <f>SUM(G37:G47)</f>
        <v>0</v>
      </c>
      <c r="H49" s="180">
        <f>SUM(C49:G49)</f>
        <v>252723</v>
      </c>
      <c r="I49" s="239">
        <f>SUM(I37:I47)</f>
        <v>1200</v>
      </c>
      <c r="J49" s="239">
        <f>SUM(J37:J47)</f>
        <v>0</v>
      </c>
      <c r="K49" s="239">
        <f>SUM(K37:K47)</f>
        <v>0</v>
      </c>
      <c r="L49" s="180">
        <f>SUM(I49:K49)</f>
        <v>1200</v>
      </c>
      <c r="M49" s="75">
        <f>H49+L49</f>
        <v>253923</v>
      </c>
      <c r="N49" s="239">
        <f>SUM(N38:N47)</f>
        <v>0</v>
      </c>
      <c r="O49" s="239">
        <f>SUM(O37:O47)</f>
        <v>253923</v>
      </c>
      <c r="P49" s="93"/>
      <c r="Q49" s="239">
        <f>SUM(Q37:Q47)</f>
        <v>12768</v>
      </c>
      <c r="R49" s="239">
        <v>0</v>
      </c>
      <c r="S49" s="239">
        <f>SUM(S38:S47)</f>
        <v>0</v>
      </c>
      <c r="T49" s="239">
        <f aca="true" t="shared" si="26" ref="T49:Y49">SUM(T37:T47)</f>
        <v>62971</v>
      </c>
      <c r="U49" s="239">
        <f t="shared" si="26"/>
        <v>0</v>
      </c>
      <c r="V49" s="239">
        <f t="shared" si="26"/>
        <v>0</v>
      </c>
      <c r="W49" s="239">
        <f t="shared" si="26"/>
        <v>0</v>
      </c>
      <c r="X49" s="239">
        <f t="shared" si="26"/>
        <v>1558</v>
      </c>
      <c r="Y49" s="239">
        <f t="shared" si="26"/>
        <v>77297</v>
      </c>
      <c r="Z49" s="238" t="s">
        <v>325</v>
      </c>
      <c r="AA49" s="239">
        <f aca="true" t="shared" si="27" ref="AA49:AM49">SUM(AA37:AA47)</f>
        <v>0</v>
      </c>
      <c r="AB49" s="239">
        <f t="shared" si="27"/>
        <v>12768</v>
      </c>
      <c r="AC49" s="239">
        <f t="shared" si="27"/>
        <v>0</v>
      </c>
      <c r="AD49" s="239">
        <f t="shared" si="27"/>
        <v>0</v>
      </c>
      <c r="AE49" s="239">
        <f t="shared" si="27"/>
        <v>62971</v>
      </c>
      <c r="AF49" s="239">
        <f t="shared" si="27"/>
        <v>0</v>
      </c>
      <c r="AG49" s="239">
        <f t="shared" si="27"/>
        <v>0</v>
      </c>
      <c r="AH49" s="239">
        <f t="shared" si="27"/>
        <v>0</v>
      </c>
      <c r="AI49" s="239">
        <f t="shared" si="27"/>
        <v>0</v>
      </c>
      <c r="AJ49" s="239">
        <f t="shared" si="27"/>
        <v>0</v>
      </c>
      <c r="AK49" s="239">
        <f t="shared" si="27"/>
        <v>0</v>
      </c>
      <c r="AL49" s="239">
        <f t="shared" si="27"/>
        <v>1558</v>
      </c>
      <c r="AM49" s="239">
        <f t="shared" si="27"/>
        <v>176626</v>
      </c>
      <c r="AN49" s="239">
        <f>SUM(AA49:AM49)</f>
        <v>253923</v>
      </c>
      <c r="AO49" s="103">
        <f>AN49</f>
        <v>253923</v>
      </c>
    </row>
    <row r="50" spans="1:41" s="29" customFormat="1" ht="17.25" customHeight="1">
      <c r="A50" s="175"/>
      <c r="B50" s="175"/>
      <c r="C50" s="176">
        <f>'[7]4.mell.'!G6</f>
        <v>78389</v>
      </c>
      <c r="D50" s="176">
        <f>'[7]4.mell.'!G7</f>
        <v>15904</v>
      </c>
      <c r="E50" s="176">
        <f>'[7]4.mell.'!G8</f>
        <v>158430</v>
      </c>
      <c r="F50" s="176">
        <v>0</v>
      </c>
      <c r="G50" s="176">
        <v>0</v>
      </c>
      <c r="H50" s="174">
        <f>SUM(C50:G50)</f>
        <v>252723</v>
      </c>
      <c r="I50" s="176">
        <f>'[7]4.mell.'!G12</f>
        <v>1200</v>
      </c>
      <c r="J50" s="176">
        <v>0</v>
      </c>
      <c r="K50" s="176">
        <v>0</v>
      </c>
      <c r="L50" s="174">
        <f>SUM(I50:K50)</f>
        <v>1200</v>
      </c>
      <c r="M50" s="177">
        <f>H50+L50</f>
        <v>253923</v>
      </c>
      <c r="N50" s="176">
        <f>'[11]4.mell.'!F17</f>
        <v>0</v>
      </c>
      <c r="O50" s="210">
        <f>'[7]4.mell.'!G19</f>
        <v>253923</v>
      </c>
      <c r="P50" s="176"/>
      <c r="Q50" s="176">
        <f>'[7]3.mell'!I6</f>
        <v>12768</v>
      </c>
      <c r="R50" s="176">
        <v>0</v>
      </c>
      <c r="S50" s="176">
        <v>0</v>
      </c>
      <c r="T50" s="176">
        <f>'[7]3.mell'!G8</f>
        <v>62971</v>
      </c>
      <c r="U50" s="176">
        <v>0</v>
      </c>
      <c r="V50" s="176">
        <v>0</v>
      </c>
      <c r="W50" s="176">
        <v>0</v>
      </c>
      <c r="X50" s="176">
        <f>'[7]3.mell'!I20</f>
        <v>1558</v>
      </c>
      <c r="Y50" s="176">
        <f>SUM(Q50:X50)</f>
        <v>77297</v>
      </c>
      <c r="Z50" s="175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>
        <f>SUM(AI49:AJ49)</f>
        <v>0</v>
      </c>
      <c r="AK50" s="176"/>
      <c r="AL50" s="176"/>
      <c r="AM50" s="176"/>
      <c r="AN50" s="359">
        <f>AA49+AB49+AD49+AF49+AM49-U49-Q49+AG49</f>
        <v>176626</v>
      </c>
      <c r="AO50" s="176" t="s">
        <v>390</v>
      </c>
    </row>
    <row r="51" spans="1:41" s="1012" customFormat="1" ht="17.25" customHeight="1">
      <c r="A51" s="1010"/>
      <c r="B51" s="1011"/>
      <c r="C51" s="1011"/>
      <c r="D51" s="1011"/>
      <c r="E51" s="1011"/>
      <c r="F51" s="1011"/>
      <c r="G51" s="1011"/>
      <c r="H51" s="1011"/>
      <c r="I51" s="1011"/>
      <c r="J51" s="1011"/>
      <c r="K51" s="1011"/>
      <c r="L51" s="1011"/>
      <c r="M51" s="1011"/>
      <c r="N51" s="1011"/>
      <c r="O51" s="1011"/>
      <c r="P51" s="1011"/>
      <c r="Q51" s="1011"/>
      <c r="R51" s="1011"/>
      <c r="S51" s="1011"/>
      <c r="T51" s="1011"/>
      <c r="U51" s="1011"/>
      <c r="V51" s="1011"/>
      <c r="W51" s="1011"/>
      <c r="X51" s="1011"/>
      <c r="Y51" s="1011"/>
      <c r="Z51" s="1011"/>
      <c r="AA51" s="1011"/>
      <c r="AB51" s="1011"/>
      <c r="AC51" s="1011"/>
      <c r="AD51" s="1011"/>
      <c r="AE51" s="1011"/>
      <c r="AF51" s="1011"/>
      <c r="AG51" s="1011"/>
      <c r="AH51" s="1011"/>
      <c r="AI51" s="1011"/>
      <c r="AJ51" s="1011"/>
      <c r="AK51" s="1011"/>
      <c r="AL51" s="1011"/>
      <c r="AM51" s="1011"/>
      <c r="AN51" s="1011"/>
      <c r="AO51" s="1011"/>
    </row>
    <row r="52" spans="1:41" ht="16.5" customHeight="1">
      <c r="A52" s="55"/>
      <c r="B52" s="55" t="s">
        <v>328</v>
      </c>
      <c r="C52" s="991" t="s">
        <v>319</v>
      </c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303"/>
      <c r="Q52" s="991" t="s">
        <v>2</v>
      </c>
      <c r="R52" s="991"/>
      <c r="S52" s="992"/>
      <c r="T52" s="992"/>
      <c r="U52" s="992"/>
      <c r="V52" s="992"/>
      <c r="W52" s="992"/>
      <c r="X52" s="992"/>
      <c r="Y52" s="992"/>
      <c r="Z52" s="357"/>
      <c r="AA52" s="994" t="s">
        <v>327</v>
      </c>
      <c r="AB52" s="995"/>
      <c r="AC52" s="995"/>
      <c r="AD52" s="995"/>
      <c r="AE52" s="995"/>
      <c r="AF52" s="995"/>
      <c r="AG52" s="995"/>
      <c r="AH52" s="995"/>
      <c r="AI52" s="995"/>
      <c r="AJ52" s="995"/>
      <c r="AK52" s="995"/>
      <c r="AL52" s="995"/>
      <c r="AM52" s="995"/>
      <c r="AN52" s="995"/>
      <c r="AO52" s="996"/>
    </row>
    <row r="53" spans="1:41" s="352" customFormat="1" ht="60.75" customHeight="1">
      <c r="A53" s="351"/>
      <c r="B53" s="348" t="s">
        <v>304</v>
      </c>
      <c r="C53" s="346" t="s">
        <v>557</v>
      </c>
      <c r="D53" s="346" t="s">
        <v>663</v>
      </c>
      <c r="E53" s="346" t="s">
        <v>3</v>
      </c>
      <c r="F53" s="346" t="s">
        <v>4</v>
      </c>
      <c r="G53" s="346" t="s">
        <v>5</v>
      </c>
      <c r="H53" s="346" t="s">
        <v>6</v>
      </c>
      <c r="I53" s="346" t="s">
        <v>7</v>
      </c>
      <c r="J53" s="346" t="s">
        <v>8</v>
      </c>
      <c r="K53" s="346" t="s">
        <v>9</v>
      </c>
      <c r="L53" s="346" t="s">
        <v>10</v>
      </c>
      <c r="M53" s="346" t="s">
        <v>11</v>
      </c>
      <c r="N53" s="346" t="s">
        <v>12</v>
      </c>
      <c r="O53" s="346" t="s">
        <v>309</v>
      </c>
      <c r="P53" s="346"/>
      <c r="Q53" s="346" t="s">
        <v>214</v>
      </c>
      <c r="R53" s="346" t="s">
        <v>556</v>
      </c>
      <c r="S53" s="346" t="s">
        <v>555</v>
      </c>
      <c r="T53" s="346" t="s">
        <v>14</v>
      </c>
      <c r="U53" s="346" t="s">
        <v>19</v>
      </c>
      <c r="V53" s="346" t="s">
        <v>18</v>
      </c>
      <c r="W53" s="346" t="s">
        <v>20</v>
      </c>
      <c r="X53" s="346" t="s">
        <v>15</v>
      </c>
      <c r="Y53" s="346" t="s">
        <v>16</v>
      </c>
      <c r="Z53" s="348" t="s">
        <v>304</v>
      </c>
      <c r="AA53" s="346" t="s">
        <v>17</v>
      </c>
      <c r="AB53" s="346" t="s">
        <v>215</v>
      </c>
      <c r="AC53" s="346" t="s">
        <v>556</v>
      </c>
      <c r="AD53" s="346" t="s">
        <v>13</v>
      </c>
      <c r="AE53" s="346" t="s">
        <v>14</v>
      </c>
      <c r="AF53" s="346" t="s">
        <v>19</v>
      </c>
      <c r="AG53" s="346" t="s">
        <v>18</v>
      </c>
      <c r="AH53" s="346" t="s">
        <v>20</v>
      </c>
      <c r="AI53" s="346" t="s">
        <v>21</v>
      </c>
      <c r="AJ53" s="346" t="s">
        <v>22</v>
      </c>
      <c r="AK53" s="346" t="s">
        <v>23</v>
      </c>
      <c r="AL53" s="346" t="s">
        <v>15</v>
      </c>
      <c r="AM53" s="354" t="s">
        <v>647</v>
      </c>
      <c r="AN53" s="346" t="s">
        <v>16</v>
      </c>
      <c r="AO53" s="346" t="s">
        <v>308</v>
      </c>
    </row>
    <row r="54" spans="1:41" ht="54.75" customHeight="1">
      <c r="A54" s="55" t="s">
        <v>267</v>
      </c>
      <c r="B54" s="154" t="s">
        <v>162</v>
      </c>
      <c r="C54" s="79">
        <f>'[7]4.mell.'!AB6</f>
        <v>102136</v>
      </c>
      <c r="D54" s="79">
        <f>'[7]4.mell.'!AB7</f>
        <v>20452</v>
      </c>
      <c r="E54" s="79">
        <f>'[7]4.mell.'!AD8</f>
        <v>30427</v>
      </c>
      <c r="F54" s="79">
        <v>0</v>
      </c>
      <c r="G54" s="79">
        <v>0</v>
      </c>
      <c r="H54" s="153">
        <f>SUM(C54:G54)</f>
        <v>153015</v>
      </c>
      <c r="I54" s="79">
        <f>'[7]4.mell.'!AB12</f>
        <v>3556</v>
      </c>
      <c r="J54" s="79">
        <f>'[7]4.mell.'!AB13</f>
        <v>0</v>
      </c>
      <c r="K54" s="79">
        <f>'[7]4.mell.'!AB14</f>
        <v>1200</v>
      </c>
      <c r="L54" s="153">
        <f>SUM(I54:K54)</f>
        <v>4756</v>
      </c>
      <c r="M54" s="65">
        <f>H54+L54</f>
        <v>157771</v>
      </c>
      <c r="N54" s="79">
        <v>0</v>
      </c>
      <c r="O54" s="103">
        <f>M54+N54</f>
        <v>157771</v>
      </c>
      <c r="P54" s="79"/>
      <c r="Q54" s="79">
        <f>1180-1180</f>
        <v>0</v>
      </c>
      <c r="R54" s="79"/>
      <c r="S54" s="79">
        <f>'[7]3.mell'!AB7</f>
        <v>100</v>
      </c>
      <c r="T54" s="79">
        <f>'[7]3.mell'!AB8</f>
        <v>12339</v>
      </c>
      <c r="U54" s="79"/>
      <c r="V54" s="79"/>
      <c r="W54" s="79">
        <f>'[7]3.mell'!AB13</f>
        <v>750</v>
      </c>
      <c r="X54" s="79">
        <v>1189</v>
      </c>
      <c r="Y54" s="103">
        <f>SUM(Q54:X54)</f>
        <v>14378</v>
      </c>
      <c r="Z54" s="154" t="s">
        <v>162</v>
      </c>
      <c r="AA54" s="79"/>
      <c r="AB54" s="79">
        <v>0</v>
      </c>
      <c r="AC54" s="79"/>
      <c r="AD54" s="79">
        <v>100</v>
      </c>
      <c r="AE54" s="79">
        <v>12339</v>
      </c>
      <c r="AF54" s="79"/>
      <c r="AG54" s="79"/>
      <c r="AH54" s="79">
        <v>750</v>
      </c>
      <c r="AI54" s="79"/>
      <c r="AJ54" s="79"/>
      <c r="AK54" s="79"/>
      <c r="AL54" s="79">
        <v>1189</v>
      </c>
      <c r="AM54" s="79">
        <v>143393</v>
      </c>
      <c r="AN54" s="103">
        <f>SUM(AA54:AM54)</f>
        <v>157771</v>
      </c>
      <c r="AO54" s="103">
        <f>AN54</f>
        <v>157771</v>
      </c>
    </row>
    <row r="55" spans="1:41" ht="26.25">
      <c r="A55" s="55"/>
      <c r="B55" s="236" t="s">
        <v>552</v>
      </c>
      <c r="C55" s="79"/>
      <c r="D55" s="79"/>
      <c r="E55" s="79"/>
      <c r="F55" s="79">
        <v>0</v>
      </c>
      <c r="G55" s="79">
        <v>0</v>
      </c>
      <c r="H55" s="153">
        <f>SUM(C55:G55)</f>
        <v>0</v>
      </c>
      <c r="I55" s="79">
        <f>'[13]10.mell. ph ök kiad.korm.funkc'!G10</f>
        <v>0</v>
      </c>
      <c r="J55" s="79">
        <v>0</v>
      </c>
      <c r="K55" s="79" t="s">
        <v>353</v>
      </c>
      <c r="L55" s="153">
        <f>SUM(I55:K55)</f>
        <v>0</v>
      </c>
      <c r="M55" s="65">
        <f>H55+L55</f>
        <v>0</v>
      </c>
      <c r="N55" s="79">
        <v>0</v>
      </c>
      <c r="O55" s="103">
        <f>M55+N55</f>
        <v>0</v>
      </c>
      <c r="P55" s="79"/>
      <c r="Q55" s="79"/>
      <c r="R55" s="79"/>
      <c r="S55" s="79"/>
      <c r="T55" s="79"/>
      <c r="U55" s="79"/>
      <c r="V55" s="79"/>
      <c r="W55" s="79"/>
      <c r="X55" s="79"/>
      <c r="Y55" s="103">
        <f>SUM(Q55:X55)</f>
        <v>0</v>
      </c>
      <c r="Z55" s="236" t="s">
        <v>552</v>
      </c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103">
        <f>SUM(AA55:AM55)</f>
        <v>0</v>
      </c>
      <c r="AO55" s="103">
        <f>AN55</f>
        <v>0</v>
      </c>
    </row>
    <row r="56" spans="1:41" ht="39">
      <c r="A56" s="55"/>
      <c r="B56" s="777" t="s">
        <v>216</v>
      </c>
      <c r="C56" s="79"/>
      <c r="D56" s="79"/>
      <c r="E56" s="79"/>
      <c r="F56" s="79">
        <v>0</v>
      </c>
      <c r="G56" s="79"/>
      <c r="H56" s="153">
        <f>SUM(C56:G56)</f>
        <v>0</v>
      </c>
      <c r="I56" s="79">
        <f>'[13]10.mell. ph ök kiad.korm.funkc'!G11</f>
        <v>0</v>
      </c>
      <c r="J56" s="79">
        <v>0</v>
      </c>
      <c r="K56" s="79">
        <v>0</v>
      </c>
      <c r="L56" s="153">
        <f>SUM(I56:K56)</f>
        <v>0</v>
      </c>
      <c r="M56" s="65">
        <f>H56+L56</f>
        <v>0</v>
      </c>
      <c r="N56" s="79">
        <v>0</v>
      </c>
      <c r="O56" s="103">
        <f>M56+N56</f>
        <v>0</v>
      </c>
      <c r="P56" s="79"/>
      <c r="Q56" s="79"/>
      <c r="R56" s="79"/>
      <c r="S56" s="79"/>
      <c r="T56" s="79"/>
      <c r="U56" s="79"/>
      <c r="V56" s="79"/>
      <c r="W56" s="79"/>
      <c r="X56" s="79"/>
      <c r="Y56" s="103">
        <f>SUM(Q56:X56)</f>
        <v>0</v>
      </c>
      <c r="Z56" s="777" t="s">
        <v>216</v>
      </c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103">
        <f>SUM(AA56:AM56)</f>
        <v>0</v>
      </c>
      <c r="AO56" s="103">
        <f>AN56</f>
        <v>0</v>
      </c>
    </row>
    <row r="57" spans="1:41" ht="15.75">
      <c r="A57" s="55"/>
      <c r="B57" s="237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53"/>
      <c r="Q57" s="53"/>
      <c r="R57" s="53"/>
      <c r="S57" s="53"/>
      <c r="T57" s="53"/>
      <c r="U57" s="53"/>
      <c r="V57" s="53"/>
      <c r="W57" s="53"/>
      <c r="X57" s="53"/>
      <c r="Y57" s="103"/>
      <c r="Z57" s="237"/>
      <c r="AA57" s="79"/>
      <c r="AB57" s="79"/>
      <c r="AC57" s="79"/>
      <c r="AD57" s="79"/>
      <c r="AE57" s="79"/>
      <c r="AF57" s="79"/>
      <c r="AG57" s="53"/>
      <c r="AH57" s="79"/>
      <c r="AI57" s="79"/>
      <c r="AJ57" s="79"/>
      <c r="AK57" s="79"/>
      <c r="AL57" s="79"/>
      <c r="AM57" s="79"/>
      <c r="AN57" s="103">
        <f>SUM(AN54:AN55)</f>
        <v>157771</v>
      </c>
      <c r="AO57" s="103">
        <f>SUM(AO54:AO55)</f>
        <v>157771</v>
      </c>
    </row>
    <row r="58" spans="1:41" s="8" customFormat="1" ht="31.5" customHeight="1">
      <c r="A58" s="174"/>
      <c r="B58" s="238" t="s">
        <v>325</v>
      </c>
      <c r="C58" s="210">
        <f>SUM(C54:C56)</f>
        <v>102136</v>
      </c>
      <c r="D58" s="210">
        <f>SUM(D54:D56)</f>
        <v>20452</v>
      </c>
      <c r="E58" s="210">
        <f>SUM(E54:E56)</f>
        <v>30427</v>
      </c>
      <c r="F58" s="210">
        <f>SUM(F54:F56)</f>
        <v>0</v>
      </c>
      <c r="G58" s="210">
        <f>SUM(G54:G56)</f>
        <v>0</v>
      </c>
      <c r="H58" s="174">
        <f>SUM(C58:G58)</f>
        <v>153015</v>
      </c>
      <c r="I58" s="210">
        <f>SUM(I54:I55)</f>
        <v>3556</v>
      </c>
      <c r="J58" s="210">
        <f>SUM(J54:J55)</f>
        <v>0</v>
      </c>
      <c r="K58" s="210">
        <f>SUM(K54:K55)</f>
        <v>1200</v>
      </c>
      <c r="L58" s="174">
        <f>SUM(I58:K58)</f>
        <v>4756</v>
      </c>
      <c r="M58" s="177">
        <f>H58+L58</f>
        <v>157771</v>
      </c>
      <c r="N58" s="210">
        <f aca="true" t="shared" si="28" ref="N58:X58">SUM(N54:N54)</f>
        <v>0</v>
      </c>
      <c r="O58" s="210">
        <f>SUM(O54:O56)</f>
        <v>157771</v>
      </c>
      <c r="P58" s="176"/>
      <c r="Q58" s="210">
        <f>SUM(Q54:Q56)</f>
        <v>0</v>
      </c>
      <c r="R58" s="210">
        <v>0</v>
      </c>
      <c r="S58" s="210">
        <f t="shared" si="28"/>
        <v>100</v>
      </c>
      <c r="T58" s="210">
        <f>SUM(T54:T54)</f>
        <v>12339</v>
      </c>
      <c r="U58" s="210">
        <v>0</v>
      </c>
      <c r="V58" s="210">
        <f t="shared" si="28"/>
        <v>0</v>
      </c>
      <c r="W58" s="210">
        <f t="shared" si="28"/>
        <v>750</v>
      </c>
      <c r="X58" s="210">
        <f t="shared" si="28"/>
        <v>1189</v>
      </c>
      <c r="Y58" s="103">
        <f>SUM(Q58:X58)</f>
        <v>14378</v>
      </c>
      <c r="Z58" s="238" t="s">
        <v>325</v>
      </c>
      <c r="AA58" s="210">
        <f>SUM(AA54:AA55)</f>
        <v>0</v>
      </c>
      <c r="AB58" s="210">
        <f>SUM(AB54:AB56)</f>
        <v>0</v>
      </c>
      <c r="AC58" s="210">
        <f aca="true" t="shared" si="29" ref="AC58:AL58">SUM(AC54:AC55)</f>
        <v>0</v>
      </c>
      <c r="AD58" s="210">
        <f>SUM(AD54:AD55)</f>
        <v>100</v>
      </c>
      <c r="AE58" s="210">
        <f t="shared" si="29"/>
        <v>12339</v>
      </c>
      <c r="AF58" s="210">
        <f t="shared" si="29"/>
        <v>0</v>
      </c>
      <c r="AG58" s="210">
        <f t="shared" si="29"/>
        <v>0</v>
      </c>
      <c r="AH58" s="210">
        <f t="shared" si="29"/>
        <v>750</v>
      </c>
      <c r="AI58" s="210">
        <f t="shared" si="29"/>
        <v>0</v>
      </c>
      <c r="AJ58" s="210">
        <f t="shared" si="29"/>
        <v>0</v>
      </c>
      <c r="AK58" s="210">
        <f t="shared" si="29"/>
        <v>0</v>
      </c>
      <c r="AL58" s="210">
        <f t="shared" si="29"/>
        <v>1189</v>
      </c>
      <c r="AM58" s="210">
        <f>SUM(AM54:AM55)</f>
        <v>143393</v>
      </c>
      <c r="AN58" s="210">
        <f>SUM(AA58:AM58)</f>
        <v>157771</v>
      </c>
      <c r="AO58" s="210">
        <f>AN58</f>
        <v>157771</v>
      </c>
    </row>
    <row r="59" spans="1:41" s="29" customFormat="1" ht="15">
      <c r="A59" s="175"/>
      <c r="B59" s="175"/>
      <c r="C59" s="176">
        <f>'[7]4.mell.'!AB6</f>
        <v>102136</v>
      </c>
      <c r="D59" s="176">
        <f>'[7]4.mell.'!AB7</f>
        <v>20452</v>
      </c>
      <c r="E59" s="176">
        <f>'[7]4.mell.'!AD8</f>
        <v>30427</v>
      </c>
      <c r="F59" s="176">
        <f>'[1]2.mell. kiadás'!$G$62</f>
        <v>0</v>
      </c>
      <c r="G59" s="176">
        <v>0</v>
      </c>
      <c r="H59" s="174">
        <f>SUM(C59:G59)</f>
        <v>153015</v>
      </c>
      <c r="I59" s="176">
        <f>'[7]4.mell.'!AB12</f>
        <v>3556</v>
      </c>
      <c r="J59" s="176">
        <f>'[1]2.mell. kiadás'!$G$76</f>
        <v>0</v>
      </c>
      <c r="K59" s="176">
        <f>'[7]4.mell.'!AB14</f>
        <v>1200</v>
      </c>
      <c r="L59" s="175">
        <f>SUM(I59:K59)</f>
        <v>4756</v>
      </c>
      <c r="M59" s="313">
        <f>H59+L59</f>
        <v>157771</v>
      </c>
      <c r="N59" s="176">
        <f>'[1]2.mell. kiadás'!$G$80</f>
        <v>0</v>
      </c>
      <c r="O59" s="176">
        <f>'[7]4.mell.'!AD19</f>
        <v>157771</v>
      </c>
      <c r="P59" s="176"/>
      <c r="Q59" s="176">
        <f>'[7]3.mell'!AD6</f>
        <v>0</v>
      </c>
      <c r="R59" s="176">
        <f>'[13]3.mell'!O11</f>
        <v>0</v>
      </c>
      <c r="S59" s="176">
        <f>'[7]3.mell'!AB7</f>
        <v>100</v>
      </c>
      <c r="T59" s="176">
        <f>'[7]3.mell'!AB8</f>
        <v>12339</v>
      </c>
      <c r="U59" s="176">
        <v>0</v>
      </c>
      <c r="V59" s="176">
        <f>'[1]1.mell. bevétel'!$G$42</f>
        <v>0</v>
      </c>
      <c r="W59" s="176">
        <f>'[7]3.mell'!AB13</f>
        <v>750</v>
      </c>
      <c r="X59" s="176">
        <f>'[7]3.mell'!AC20</f>
        <v>1189</v>
      </c>
      <c r="Y59" s="176">
        <f>SUM(Q59:X59)</f>
        <v>14378</v>
      </c>
      <c r="Z59" s="175"/>
      <c r="AA59" s="176"/>
      <c r="AB59" s="176"/>
      <c r="AC59" s="176"/>
      <c r="AD59" s="176"/>
      <c r="AE59" s="176"/>
      <c r="AF59" s="176"/>
      <c r="AG59" s="176">
        <f>'[1]1.mell. bevétel'!$G$42</f>
        <v>0</v>
      </c>
      <c r="AH59" s="176"/>
      <c r="AI59" s="176"/>
      <c r="AJ59" s="79"/>
      <c r="AK59" s="176"/>
      <c r="AL59" s="176"/>
      <c r="AM59" s="176"/>
      <c r="AN59" s="359">
        <f>AA58+AM58</f>
        <v>143393</v>
      </c>
      <c r="AO59" s="176"/>
    </row>
    <row r="60" spans="1:41" ht="17.25" customHeight="1">
      <c r="A60" s="55"/>
      <c r="B60" s="55" t="s">
        <v>328</v>
      </c>
      <c r="C60" s="991" t="s">
        <v>319</v>
      </c>
      <c r="D60" s="991"/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303"/>
      <c r="Q60" s="991" t="s">
        <v>2</v>
      </c>
      <c r="R60" s="991"/>
      <c r="S60" s="992"/>
      <c r="T60" s="992"/>
      <c r="U60" s="992"/>
      <c r="V60" s="992"/>
      <c r="W60" s="992"/>
      <c r="X60" s="992"/>
      <c r="Y60" s="992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8"/>
    </row>
    <row r="61" spans="1:41" ht="15.75">
      <c r="A61" s="55"/>
      <c r="B61" s="153" t="s">
        <v>395</v>
      </c>
      <c r="C61" s="993"/>
      <c r="D61" s="993"/>
      <c r="E61" s="993"/>
      <c r="F61" s="993"/>
      <c r="G61" s="993"/>
      <c r="H61" s="153"/>
      <c r="I61" s="993"/>
      <c r="J61" s="993"/>
      <c r="K61" s="993"/>
      <c r="L61" s="993"/>
      <c r="M61" s="65"/>
      <c r="N61" s="103"/>
      <c r="O61" s="103"/>
      <c r="P61" s="103"/>
      <c r="Q61" s="991"/>
      <c r="R61" s="991"/>
      <c r="S61" s="992"/>
      <c r="T61" s="992"/>
      <c r="U61" s="992"/>
      <c r="V61" s="992"/>
      <c r="W61" s="992"/>
      <c r="X61" s="992"/>
      <c r="Y61" s="992"/>
      <c r="Z61" s="153" t="s">
        <v>396</v>
      </c>
      <c r="AA61" s="994" t="s">
        <v>327</v>
      </c>
      <c r="AB61" s="995"/>
      <c r="AC61" s="995"/>
      <c r="AD61" s="995"/>
      <c r="AE61" s="995"/>
      <c r="AF61" s="995"/>
      <c r="AG61" s="995"/>
      <c r="AH61" s="995"/>
      <c r="AI61" s="995"/>
      <c r="AJ61" s="995"/>
      <c r="AK61" s="995"/>
      <c r="AL61" s="995"/>
      <c r="AM61" s="995"/>
      <c r="AN61" s="995"/>
      <c r="AO61" s="996"/>
    </row>
    <row r="62" spans="1:41" s="350" customFormat="1" ht="66" customHeight="1">
      <c r="A62" s="347"/>
      <c r="B62" s="362" t="s">
        <v>295</v>
      </c>
      <c r="C62" s="346" t="s">
        <v>557</v>
      </c>
      <c r="D62" s="346" t="s">
        <v>663</v>
      </c>
      <c r="E62" s="346" t="s">
        <v>3</v>
      </c>
      <c r="F62" s="346" t="s">
        <v>4</v>
      </c>
      <c r="G62" s="346" t="s">
        <v>5</v>
      </c>
      <c r="H62" s="346" t="s">
        <v>6</v>
      </c>
      <c r="I62" s="346" t="s">
        <v>7</v>
      </c>
      <c r="J62" s="346" t="s">
        <v>8</v>
      </c>
      <c r="K62" s="346" t="s">
        <v>9</v>
      </c>
      <c r="L62" s="346" t="s">
        <v>10</v>
      </c>
      <c r="M62" s="346" t="s">
        <v>11</v>
      </c>
      <c r="N62" s="346" t="s">
        <v>12</v>
      </c>
      <c r="O62" s="346" t="s">
        <v>309</v>
      </c>
      <c r="P62" s="467" t="s">
        <v>781</v>
      </c>
      <c r="Q62" s="346" t="s">
        <v>662</v>
      </c>
      <c r="R62" s="346" t="s">
        <v>556</v>
      </c>
      <c r="S62" s="346" t="s">
        <v>555</v>
      </c>
      <c r="T62" s="346" t="s">
        <v>14</v>
      </c>
      <c r="U62" s="346" t="s">
        <v>19</v>
      </c>
      <c r="V62" s="346" t="s">
        <v>18</v>
      </c>
      <c r="W62" s="346" t="s">
        <v>20</v>
      </c>
      <c r="X62" s="346" t="s">
        <v>15</v>
      </c>
      <c r="Y62" s="346" t="s">
        <v>16</v>
      </c>
      <c r="Z62" s="362" t="s">
        <v>295</v>
      </c>
      <c r="AA62" s="346" t="s">
        <v>17</v>
      </c>
      <c r="AB62" s="346" t="s">
        <v>215</v>
      </c>
      <c r="AC62" s="346" t="s">
        <v>556</v>
      </c>
      <c r="AD62" s="346" t="s">
        <v>555</v>
      </c>
      <c r="AE62" s="346" t="s">
        <v>14</v>
      </c>
      <c r="AF62" s="346" t="s">
        <v>19</v>
      </c>
      <c r="AG62" s="346" t="s">
        <v>18</v>
      </c>
      <c r="AH62" s="346" t="s">
        <v>20</v>
      </c>
      <c r="AI62" s="346" t="s">
        <v>21</v>
      </c>
      <c r="AJ62" s="346" t="s">
        <v>22</v>
      </c>
      <c r="AK62" s="346" t="s">
        <v>23</v>
      </c>
      <c r="AL62" s="346" t="s">
        <v>15</v>
      </c>
      <c r="AM62" s="354" t="s">
        <v>647</v>
      </c>
      <c r="AN62" s="346" t="s">
        <v>16</v>
      </c>
      <c r="AO62" s="346" t="s">
        <v>308</v>
      </c>
    </row>
    <row r="63" spans="1:41" ht="57" customHeight="1">
      <c r="A63" s="55" t="s">
        <v>267</v>
      </c>
      <c r="B63" s="154" t="s">
        <v>162</v>
      </c>
      <c r="C63" s="79">
        <f>186936-930-7261-10228-9223-16080-140977</f>
        <v>2237</v>
      </c>
      <c r="D63" s="79">
        <f>22710-1410-14241-1809-1674-2822-380+65</f>
        <v>439</v>
      </c>
      <c r="E63" s="79">
        <f>93658-27+1476-7200-2400-46281-5196-300</f>
        <v>33730</v>
      </c>
      <c r="F63" s="79">
        <f>15200-15200</f>
        <v>0</v>
      </c>
      <c r="G63" s="79">
        <f>48223-5500-5000-4000-15189-150-960-1000-25</f>
        <v>16399</v>
      </c>
      <c r="H63" s="153">
        <f aca="true" t="shared" si="30" ref="H63:H106">SUM(C63:G63)</f>
        <v>52805</v>
      </c>
      <c r="I63" s="79">
        <f>74800-200</f>
        <v>74600</v>
      </c>
      <c r="J63" s="79">
        <v>32516</v>
      </c>
      <c r="K63" s="79">
        <v>161</v>
      </c>
      <c r="L63" s="153">
        <f aca="true" t="shared" si="31" ref="L63:L104">SUM(I63:K63)</f>
        <v>107277</v>
      </c>
      <c r="M63" s="65">
        <f aca="true" t="shared" si="32" ref="M63:M80">H63+L63</f>
        <v>160082</v>
      </c>
      <c r="N63" s="79">
        <v>52365</v>
      </c>
      <c r="O63" s="103">
        <f aca="true" t="shared" si="33" ref="O63:O106">M63+N63</f>
        <v>212447</v>
      </c>
      <c r="P63" s="79">
        <v>120000</v>
      </c>
      <c r="Q63" s="79">
        <f>658731-28197-1682-1404-3240-194805</f>
        <v>429403</v>
      </c>
      <c r="R63" s="79">
        <v>0</v>
      </c>
      <c r="S63" s="79">
        <v>178100</v>
      </c>
      <c r="T63" s="79">
        <v>36947</v>
      </c>
      <c r="U63" s="79">
        <v>5750</v>
      </c>
      <c r="V63" s="79">
        <v>78</v>
      </c>
      <c r="W63" s="79">
        <v>510</v>
      </c>
      <c r="X63" s="79">
        <f>29673-4152</f>
        <v>25521</v>
      </c>
      <c r="Y63" s="79">
        <f>SUM(P63:X63)</f>
        <v>796309</v>
      </c>
      <c r="Z63" s="154" t="s">
        <v>162</v>
      </c>
      <c r="AA63" s="79">
        <f>310718-1682</f>
        <v>309036</v>
      </c>
      <c r="AB63" s="79">
        <f>348013-28197-36308</f>
        <v>283508</v>
      </c>
      <c r="AC63" s="79"/>
      <c r="AD63" s="79">
        <f>178100-8510</f>
        <v>169590</v>
      </c>
      <c r="AE63" s="79">
        <v>36947</v>
      </c>
      <c r="AF63" s="79">
        <v>5750</v>
      </c>
      <c r="AG63" s="79">
        <v>78</v>
      </c>
      <c r="AH63" s="79">
        <v>510</v>
      </c>
      <c r="AI63" s="79">
        <v>40000</v>
      </c>
      <c r="AJ63" s="79"/>
      <c r="AK63" s="79">
        <v>80000</v>
      </c>
      <c r="AL63" s="79">
        <v>25521</v>
      </c>
      <c r="AM63" s="79"/>
      <c r="AN63" s="103">
        <f>SUM(AA63:AM63)</f>
        <v>950940</v>
      </c>
      <c r="AO63" s="103">
        <f aca="true" t="shared" si="34" ref="AO63:AO106">AN63</f>
        <v>950940</v>
      </c>
    </row>
    <row r="64" spans="1:41" ht="37.5" customHeight="1">
      <c r="A64" s="236" t="s">
        <v>268</v>
      </c>
      <c r="B64" s="154" t="s">
        <v>660</v>
      </c>
      <c r="C64" s="79">
        <v>0</v>
      </c>
      <c r="D64" s="79">
        <v>0</v>
      </c>
      <c r="E64" s="79">
        <v>3859</v>
      </c>
      <c r="F64" s="79">
        <v>0</v>
      </c>
      <c r="G64" s="79">
        <v>0</v>
      </c>
      <c r="H64" s="153">
        <f t="shared" si="30"/>
        <v>3859</v>
      </c>
      <c r="I64" s="79">
        <v>0</v>
      </c>
      <c r="J64" s="79">
        <v>0</v>
      </c>
      <c r="K64" s="79">
        <v>0</v>
      </c>
      <c r="L64" s="153">
        <f t="shared" si="31"/>
        <v>0</v>
      </c>
      <c r="M64" s="65">
        <f t="shared" si="32"/>
        <v>3859</v>
      </c>
      <c r="N64" s="79">
        <v>0</v>
      </c>
      <c r="O64" s="103">
        <f t="shared" si="33"/>
        <v>3859</v>
      </c>
      <c r="P64" s="79"/>
      <c r="Q64" s="79">
        <v>1404</v>
      </c>
      <c r="R64" s="79">
        <v>0</v>
      </c>
      <c r="S64" s="79">
        <v>0</v>
      </c>
      <c r="T64" s="79"/>
      <c r="U64" s="79">
        <v>0</v>
      </c>
      <c r="V64" s="79">
        <v>0</v>
      </c>
      <c r="W64" s="79">
        <v>0</v>
      </c>
      <c r="X64" s="79">
        <v>3859</v>
      </c>
      <c r="Y64" s="103">
        <f>SUM(Q64:X64)</f>
        <v>5263</v>
      </c>
      <c r="Z64" s="154" t="s">
        <v>660</v>
      </c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>
        <v>3859</v>
      </c>
      <c r="AM64" s="79"/>
      <c r="AN64" s="103">
        <f aca="true" t="shared" si="35" ref="AN64:AN106">SUM(AA64:AM64)</f>
        <v>3859</v>
      </c>
      <c r="AO64" s="103">
        <f t="shared" si="34"/>
        <v>3859</v>
      </c>
    </row>
    <row r="65" spans="1:41" ht="33.75" customHeight="1">
      <c r="A65" s="55"/>
      <c r="B65" s="154" t="s">
        <v>648</v>
      </c>
      <c r="C65" s="79">
        <v>10228</v>
      </c>
      <c r="D65" s="79">
        <v>1809</v>
      </c>
      <c r="E65" s="79">
        <v>0</v>
      </c>
      <c r="F65" s="79">
        <v>0</v>
      </c>
      <c r="G65" s="79">
        <v>0</v>
      </c>
      <c r="H65" s="153">
        <f t="shared" si="30"/>
        <v>12037</v>
      </c>
      <c r="I65" s="79">
        <v>0</v>
      </c>
      <c r="J65" s="79">
        <v>0</v>
      </c>
      <c r="K65" s="79">
        <v>0</v>
      </c>
      <c r="L65" s="153">
        <f t="shared" si="31"/>
        <v>0</v>
      </c>
      <c r="M65" s="65">
        <f t="shared" si="32"/>
        <v>12037</v>
      </c>
      <c r="N65" s="79">
        <v>0</v>
      </c>
      <c r="O65" s="103">
        <f t="shared" si="33"/>
        <v>12037</v>
      </c>
      <c r="P65" s="79"/>
      <c r="Q65" s="79">
        <v>1682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103">
        <f>SUM(Q65:X65)</f>
        <v>1682</v>
      </c>
      <c r="Z65" s="154" t="s">
        <v>648</v>
      </c>
      <c r="AA65" s="79">
        <v>1682</v>
      </c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103">
        <f t="shared" si="35"/>
        <v>1682</v>
      </c>
      <c r="AO65" s="103">
        <f t="shared" si="34"/>
        <v>1682</v>
      </c>
    </row>
    <row r="66" spans="1:41" ht="27.75" customHeight="1">
      <c r="A66" s="55"/>
      <c r="B66" s="154" t="s">
        <v>649</v>
      </c>
      <c r="C66" s="79">
        <v>9223</v>
      </c>
      <c r="D66" s="79">
        <v>1674</v>
      </c>
      <c r="E66" s="79">
        <v>0</v>
      </c>
      <c r="F66" s="79">
        <v>0</v>
      </c>
      <c r="G66" s="79">
        <v>0</v>
      </c>
      <c r="H66" s="153">
        <f t="shared" si="30"/>
        <v>10897</v>
      </c>
      <c r="I66" s="79">
        <v>0</v>
      </c>
      <c r="J66" s="79">
        <v>0</v>
      </c>
      <c r="K66" s="79">
        <v>0</v>
      </c>
      <c r="L66" s="153">
        <f t="shared" si="31"/>
        <v>0</v>
      </c>
      <c r="M66" s="65">
        <f t="shared" si="32"/>
        <v>10897</v>
      </c>
      <c r="N66" s="79">
        <v>0</v>
      </c>
      <c r="O66" s="103">
        <f t="shared" si="33"/>
        <v>10897</v>
      </c>
      <c r="P66" s="79"/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103">
        <f>SUM(Q66:X66)</f>
        <v>0</v>
      </c>
      <c r="Z66" s="154" t="s">
        <v>649</v>
      </c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103">
        <f t="shared" si="35"/>
        <v>0</v>
      </c>
      <c r="AO66" s="103">
        <f t="shared" si="34"/>
        <v>0</v>
      </c>
    </row>
    <row r="67" spans="1:41" ht="24.75" customHeight="1">
      <c r="A67" s="236" t="s">
        <v>268</v>
      </c>
      <c r="B67" s="154" t="s">
        <v>650</v>
      </c>
      <c r="C67" s="79">
        <v>16080</v>
      </c>
      <c r="D67" s="79">
        <v>2822</v>
      </c>
      <c r="E67" s="79">
        <v>0</v>
      </c>
      <c r="F67" s="79">
        <v>0</v>
      </c>
      <c r="G67" s="79">
        <v>0</v>
      </c>
      <c r="H67" s="153">
        <f t="shared" si="30"/>
        <v>18902</v>
      </c>
      <c r="I67" s="79">
        <v>0</v>
      </c>
      <c r="J67" s="79">
        <v>0</v>
      </c>
      <c r="K67" s="79">
        <v>0</v>
      </c>
      <c r="L67" s="153">
        <f t="shared" si="31"/>
        <v>0</v>
      </c>
      <c r="M67" s="65">
        <f t="shared" si="32"/>
        <v>18902</v>
      </c>
      <c r="N67" s="79">
        <v>0</v>
      </c>
      <c r="O67" s="103">
        <f t="shared" si="33"/>
        <v>18902</v>
      </c>
      <c r="P67" s="79"/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103">
        <f>SUM(Q67:X67)</f>
        <v>0</v>
      </c>
      <c r="Z67" s="154" t="s">
        <v>650</v>
      </c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103">
        <f t="shared" si="35"/>
        <v>0</v>
      </c>
      <c r="AO67" s="103">
        <f t="shared" si="34"/>
        <v>0</v>
      </c>
    </row>
    <row r="68" spans="1:41" ht="33" customHeight="1">
      <c r="A68" s="236" t="s">
        <v>268</v>
      </c>
      <c r="B68" s="596" t="s">
        <v>117</v>
      </c>
      <c r="C68" s="79">
        <v>930</v>
      </c>
      <c r="D68" s="79">
        <v>380</v>
      </c>
      <c r="E68" s="79">
        <v>7200</v>
      </c>
      <c r="F68" s="79">
        <v>0</v>
      </c>
      <c r="G68" s="79">
        <v>0</v>
      </c>
      <c r="H68" s="153">
        <f t="shared" si="30"/>
        <v>8510</v>
      </c>
      <c r="I68" s="79">
        <v>0</v>
      </c>
      <c r="J68" s="79">
        <v>0</v>
      </c>
      <c r="K68" s="79">
        <v>0</v>
      </c>
      <c r="L68" s="153">
        <f t="shared" si="31"/>
        <v>0</v>
      </c>
      <c r="M68" s="65">
        <f>H68+L68</f>
        <v>8510</v>
      </c>
      <c r="N68" s="79">
        <v>0</v>
      </c>
      <c r="O68" s="103">
        <f>M68+N68</f>
        <v>8510</v>
      </c>
      <c r="P68" s="79"/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103">
        <f>SUM(Q68:X68)</f>
        <v>0</v>
      </c>
      <c r="Z68" s="596" t="s">
        <v>117</v>
      </c>
      <c r="AA68" s="79"/>
      <c r="AB68" s="79"/>
      <c r="AC68" s="79"/>
      <c r="AD68" s="79">
        <v>8510</v>
      </c>
      <c r="AE68" s="79"/>
      <c r="AF68" s="79"/>
      <c r="AG68" s="79"/>
      <c r="AH68" s="79"/>
      <c r="AI68" s="79"/>
      <c r="AJ68" s="79"/>
      <c r="AK68" s="79"/>
      <c r="AL68" s="79"/>
      <c r="AM68" s="79"/>
      <c r="AN68" s="103">
        <f t="shared" si="35"/>
        <v>8510</v>
      </c>
      <c r="AO68" s="103">
        <f t="shared" si="34"/>
        <v>8510</v>
      </c>
    </row>
    <row r="69" spans="1:41" ht="22.5" customHeight="1">
      <c r="A69" s="55" t="s">
        <v>267</v>
      </c>
      <c r="B69" s="236" t="s">
        <v>654</v>
      </c>
      <c r="C69" s="79">
        <v>7261</v>
      </c>
      <c r="D69" s="79">
        <v>1410</v>
      </c>
      <c r="E69" s="79">
        <v>2400</v>
      </c>
      <c r="F69" s="79">
        <v>0</v>
      </c>
      <c r="G69" s="79">
        <v>0</v>
      </c>
      <c r="H69" s="153">
        <f t="shared" si="30"/>
        <v>11071</v>
      </c>
      <c r="I69" s="79">
        <v>200</v>
      </c>
      <c r="J69" s="79">
        <v>0</v>
      </c>
      <c r="K69" s="79">
        <v>0</v>
      </c>
      <c r="L69" s="153">
        <f t="shared" si="31"/>
        <v>200</v>
      </c>
      <c r="M69" s="65">
        <f t="shared" si="32"/>
        <v>11271</v>
      </c>
      <c r="N69" s="79">
        <v>0</v>
      </c>
      <c r="O69" s="103">
        <f t="shared" si="33"/>
        <v>11271</v>
      </c>
      <c r="P69" s="79"/>
      <c r="Q69" s="79">
        <v>3240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103">
        <f aca="true" t="shared" si="36" ref="Y69:Y105">SUM(Q69:X69)</f>
        <v>3240</v>
      </c>
      <c r="Z69" s="236" t="s">
        <v>654</v>
      </c>
      <c r="AA69" s="103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103">
        <f t="shared" si="35"/>
        <v>0</v>
      </c>
      <c r="AO69" s="103">
        <f t="shared" si="34"/>
        <v>0</v>
      </c>
    </row>
    <row r="70" spans="1:41" ht="29.25" customHeight="1">
      <c r="A70" s="236" t="s">
        <v>268</v>
      </c>
      <c r="B70" s="236" t="s">
        <v>656</v>
      </c>
      <c r="C70" s="79">
        <v>0</v>
      </c>
      <c r="D70" s="79">
        <v>0</v>
      </c>
      <c r="E70" s="79">
        <v>0</v>
      </c>
      <c r="F70" s="79">
        <v>0</v>
      </c>
      <c r="G70" s="79">
        <v>5500</v>
      </c>
      <c r="H70" s="153">
        <f t="shared" si="30"/>
        <v>5500</v>
      </c>
      <c r="I70" s="79">
        <v>0</v>
      </c>
      <c r="J70" s="79">
        <v>0</v>
      </c>
      <c r="K70" s="79">
        <v>0</v>
      </c>
      <c r="L70" s="153">
        <f t="shared" si="31"/>
        <v>0</v>
      </c>
      <c r="M70" s="65">
        <f t="shared" si="32"/>
        <v>5500</v>
      </c>
      <c r="N70" s="79">
        <v>0</v>
      </c>
      <c r="O70" s="103">
        <f t="shared" si="33"/>
        <v>5500</v>
      </c>
      <c r="P70" s="79"/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103">
        <f t="shared" si="36"/>
        <v>0</v>
      </c>
      <c r="Z70" s="236" t="s">
        <v>656</v>
      </c>
      <c r="AA70" s="103"/>
      <c r="AB70" s="79"/>
      <c r="AC70" s="79"/>
      <c r="AD70" s="103"/>
      <c r="AE70" s="79"/>
      <c r="AF70" s="79"/>
      <c r="AG70" s="79"/>
      <c r="AH70" s="79"/>
      <c r="AI70" s="79"/>
      <c r="AJ70" s="79"/>
      <c r="AK70" s="79"/>
      <c r="AL70" s="79"/>
      <c r="AM70" s="79"/>
      <c r="AN70" s="103">
        <f t="shared" si="35"/>
        <v>0</v>
      </c>
      <c r="AO70" s="103">
        <f t="shared" si="34"/>
        <v>0</v>
      </c>
    </row>
    <row r="71" spans="1:41" ht="29.25" customHeight="1">
      <c r="A71" s="236" t="s">
        <v>268</v>
      </c>
      <c r="B71" s="236" t="s">
        <v>878</v>
      </c>
      <c r="C71" s="79">
        <v>0</v>
      </c>
      <c r="D71" s="79">
        <v>0</v>
      </c>
      <c r="E71" s="79">
        <v>0</v>
      </c>
      <c r="F71" s="79">
        <v>0</v>
      </c>
      <c r="G71" s="79">
        <v>5000</v>
      </c>
      <c r="H71" s="153">
        <f t="shared" si="30"/>
        <v>5000</v>
      </c>
      <c r="I71" s="79">
        <v>0</v>
      </c>
      <c r="J71" s="79">
        <v>0</v>
      </c>
      <c r="K71" s="79">
        <v>0</v>
      </c>
      <c r="L71" s="153">
        <f t="shared" si="31"/>
        <v>0</v>
      </c>
      <c r="M71" s="65">
        <f t="shared" si="32"/>
        <v>5000</v>
      </c>
      <c r="N71" s="79"/>
      <c r="O71" s="103">
        <f t="shared" si="33"/>
        <v>5000</v>
      </c>
      <c r="P71" s="79"/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103">
        <f t="shared" si="36"/>
        <v>0</v>
      </c>
      <c r="Z71" s="236" t="s">
        <v>878</v>
      </c>
      <c r="AA71" s="103"/>
      <c r="AB71" s="79"/>
      <c r="AC71" s="79"/>
      <c r="AD71" s="103"/>
      <c r="AE71" s="79"/>
      <c r="AF71" s="79"/>
      <c r="AG71" s="79"/>
      <c r="AH71" s="79"/>
      <c r="AI71" s="79"/>
      <c r="AJ71" s="79"/>
      <c r="AK71" s="79"/>
      <c r="AL71" s="79"/>
      <c r="AM71" s="79"/>
      <c r="AN71" s="103">
        <f>SUM(AA71:AM71)</f>
        <v>0</v>
      </c>
      <c r="AO71" s="103">
        <f>AN71</f>
        <v>0</v>
      </c>
    </row>
    <row r="72" spans="1:41" ht="45.75" customHeight="1">
      <c r="A72" s="236" t="s">
        <v>268</v>
      </c>
      <c r="B72" s="236" t="s">
        <v>1021</v>
      </c>
      <c r="C72" s="79">
        <v>0</v>
      </c>
      <c r="D72" s="79">
        <v>0</v>
      </c>
      <c r="E72" s="79">
        <v>0</v>
      </c>
      <c r="F72" s="79">
        <v>0</v>
      </c>
      <c r="G72" s="79">
        <f>10797+4392</f>
        <v>15189</v>
      </c>
      <c r="H72" s="153">
        <f t="shared" si="30"/>
        <v>15189</v>
      </c>
      <c r="I72" s="79">
        <v>0</v>
      </c>
      <c r="J72" s="79">
        <v>0</v>
      </c>
      <c r="K72" s="79">
        <v>0</v>
      </c>
      <c r="L72" s="153">
        <f t="shared" si="31"/>
        <v>0</v>
      </c>
      <c r="M72" s="65">
        <f t="shared" si="32"/>
        <v>15189</v>
      </c>
      <c r="N72" s="79">
        <v>0</v>
      </c>
      <c r="O72" s="103">
        <f t="shared" si="33"/>
        <v>15189</v>
      </c>
      <c r="P72" s="79"/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103">
        <f t="shared" si="36"/>
        <v>0</v>
      </c>
      <c r="Z72" s="236" t="s">
        <v>657</v>
      </c>
      <c r="AA72" s="103"/>
      <c r="AB72" s="79"/>
      <c r="AC72" s="79"/>
      <c r="AD72" s="103"/>
      <c r="AE72" s="79"/>
      <c r="AF72" s="79"/>
      <c r="AG72" s="79"/>
      <c r="AH72" s="79"/>
      <c r="AI72" s="79"/>
      <c r="AJ72" s="79"/>
      <c r="AK72" s="79"/>
      <c r="AL72" s="79"/>
      <c r="AM72" s="79"/>
      <c r="AN72" s="103">
        <f t="shared" si="35"/>
        <v>0</v>
      </c>
      <c r="AO72" s="103">
        <f t="shared" si="34"/>
        <v>0</v>
      </c>
    </row>
    <row r="73" spans="1:41" ht="35.25" customHeight="1">
      <c r="A73" s="236" t="s">
        <v>268</v>
      </c>
      <c r="B73" s="236" t="s">
        <v>1022</v>
      </c>
      <c r="C73" s="79"/>
      <c r="D73" s="79"/>
      <c r="E73" s="79"/>
      <c r="F73" s="79"/>
      <c r="G73" s="79">
        <v>1000</v>
      </c>
      <c r="H73" s="153">
        <f t="shared" si="30"/>
        <v>1000</v>
      </c>
      <c r="I73" s="79">
        <v>0</v>
      </c>
      <c r="J73" s="79">
        <v>0</v>
      </c>
      <c r="K73" s="79">
        <v>0</v>
      </c>
      <c r="L73" s="153">
        <f t="shared" si="31"/>
        <v>0</v>
      </c>
      <c r="M73" s="65">
        <f t="shared" si="32"/>
        <v>1000</v>
      </c>
      <c r="N73" s="79">
        <v>0</v>
      </c>
      <c r="O73" s="103">
        <f t="shared" si="33"/>
        <v>1000</v>
      </c>
      <c r="P73" s="79"/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103">
        <f>SUM(Q73:X73)</f>
        <v>0</v>
      </c>
      <c r="Z73" s="236" t="s">
        <v>1022</v>
      </c>
      <c r="AA73" s="103"/>
      <c r="AB73" s="79"/>
      <c r="AC73" s="79"/>
      <c r="AD73" s="103"/>
      <c r="AE73" s="79"/>
      <c r="AF73" s="79"/>
      <c r="AG73" s="79"/>
      <c r="AH73" s="79"/>
      <c r="AI73" s="79"/>
      <c r="AJ73" s="79"/>
      <c r="AK73" s="79"/>
      <c r="AL73" s="79"/>
      <c r="AM73" s="79"/>
      <c r="AN73" s="103"/>
      <c r="AO73" s="103"/>
    </row>
    <row r="74" spans="1:41" ht="29.25" customHeight="1">
      <c r="A74" s="236" t="s">
        <v>268</v>
      </c>
      <c r="B74" s="236" t="s">
        <v>196</v>
      </c>
      <c r="C74" s="79">
        <v>0</v>
      </c>
      <c r="D74" s="79">
        <v>0</v>
      </c>
      <c r="E74" s="79">
        <v>0</v>
      </c>
      <c r="F74" s="79">
        <v>0</v>
      </c>
      <c r="G74" s="79">
        <v>4000</v>
      </c>
      <c r="H74" s="153">
        <f>SUM(C74:G74)</f>
        <v>4000</v>
      </c>
      <c r="I74" s="79">
        <v>0</v>
      </c>
      <c r="J74" s="79">
        <v>0</v>
      </c>
      <c r="K74" s="79">
        <v>0</v>
      </c>
      <c r="L74" s="153">
        <f t="shared" si="31"/>
        <v>0</v>
      </c>
      <c r="M74" s="65">
        <f t="shared" si="32"/>
        <v>4000</v>
      </c>
      <c r="N74" s="79">
        <v>0</v>
      </c>
      <c r="O74" s="103">
        <f t="shared" si="33"/>
        <v>4000</v>
      </c>
      <c r="P74" s="79"/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103">
        <f t="shared" si="36"/>
        <v>0</v>
      </c>
      <c r="Z74" s="236" t="s">
        <v>196</v>
      </c>
      <c r="AA74" s="103"/>
      <c r="AB74" s="79"/>
      <c r="AC74" s="79"/>
      <c r="AD74" s="103"/>
      <c r="AE74" s="79"/>
      <c r="AF74" s="79"/>
      <c r="AG74" s="79"/>
      <c r="AH74" s="79"/>
      <c r="AI74" s="79"/>
      <c r="AJ74" s="79"/>
      <c r="AK74" s="79"/>
      <c r="AL74" s="79"/>
      <c r="AM74" s="79"/>
      <c r="AN74" s="103">
        <f t="shared" si="35"/>
        <v>0</v>
      </c>
      <c r="AO74" s="103">
        <f t="shared" si="34"/>
        <v>0</v>
      </c>
    </row>
    <row r="75" spans="1:41" ht="29.25" customHeight="1">
      <c r="A75" s="236" t="s">
        <v>268</v>
      </c>
      <c r="B75" s="236" t="s">
        <v>658</v>
      </c>
      <c r="C75" s="79">
        <v>0</v>
      </c>
      <c r="D75" s="79">
        <v>0</v>
      </c>
      <c r="E75" s="79">
        <v>0</v>
      </c>
      <c r="F75" s="79">
        <v>0</v>
      </c>
      <c r="G75" s="79">
        <v>150</v>
      </c>
      <c r="H75" s="153">
        <f>SUM(C75:G75)</f>
        <v>150</v>
      </c>
      <c r="I75" s="79">
        <v>0</v>
      </c>
      <c r="J75" s="79">
        <v>0</v>
      </c>
      <c r="K75" s="79">
        <v>0</v>
      </c>
      <c r="L75" s="153">
        <f t="shared" si="31"/>
        <v>0</v>
      </c>
      <c r="M75" s="65">
        <f t="shared" si="32"/>
        <v>150</v>
      </c>
      <c r="N75" s="79">
        <v>0</v>
      </c>
      <c r="O75" s="103">
        <f t="shared" si="33"/>
        <v>150</v>
      </c>
      <c r="P75" s="79"/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103">
        <f t="shared" si="36"/>
        <v>0</v>
      </c>
      <c r="Z75" s="236" t="s">
        <v>658</v>
      </c>
      <c r="AA75" s="103"/>
      <c r="AB75" s="79"/>
      <c r="AC75" s="79"/>
      <c r="AD75" s="103"/>
      <c r="AE75" s="79"/>
      <c r="AF75" s="79"/>
      <c r="AG75" s="79"/>
      <c r="AH75" s="79"/>
      <c r="AI75" s="79"/>
      <c r="AJ75" s="79"/>
      <c r="AK75" s="79"/>
      <c r="AL75" s="79"/>
      <c r="AM75" s="79"/>
      <c r="AN75" s="103">
        <f t="shared" si="35"/>
        <v>0</v>
      </c>
      <c r="AO75" s="103">
        <f t="shared" si="34"/>
        <v>0</v>
      </c>
    </row>
    <row r="76" spans="1:41" ht="42" customHeight="1">
      <c r="A76" s="236" t="s">
        <v>268</v>
      </c>
      <c r="B76" s="236" t="s">
        <v>1023</v>
      </c>
      <c r="C76" s="79">
        <v>0</v>
      </c>
      <c r="D76" s="79">
        <v>0</v>
      </c>
      <c r="E76" s="79">
        <v>0</v>
      </c>
      <c r="F76" s="79">
        <v>0</v>
      </c>
      <c r="G76" s="79">
        <v>25</v>
      </c>
      <c r="H76" s="153">
        <f>SUM(C76:G76)</f>
        <v>25</v>
      </c>
      <c r="I76" s="79">
        <v>0</v>
      </c>
      <c r="J76" s="79">
        <v>0</v>
      </c>
      <c r="K76" s="79">
        <v>0</v>
      </c>
      <c r="L76" s="153">
        <f t="shared" si="31"/>
        <v>0</v>
      </c>
      <c r="M76" s="65">
        <f t="shared" si="32"/>
        <v>25</v>
      </c>
      <c r="N76" s="79">
        <v>0</v>
      </c>
      <c r="O76" s="103">
        <f t="shared" si="33"/>
        <v>25</v>
      </c>
      <c r="P76" s="79"/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103">
        <f t="shared" si="36"/>
        <v>0</v>
      </c>
      <c r="Z76" s="236" t="s">
        <v>1023</v>
      </c>
      <c r="AA76" s="103"/>
      <c r="AB76" s="79"/>
      <c r="AC76" s="79"/>
      <c r="AD76" s="103"/>
      <c r="AE76" s="79"/>
      <c r="AF76" s="79"/>
      <c r="AG76" s="79"/>
      <c r="AH76" s="79"/>
      <c r="AI76" s="79"/>
      <c r="AJ76" s="79"/>
      <c r="AK76" s="79"/>
      <c r="AL76" s="79"/>
      <c r="AM76" s="79"/>
      <c r="AN76" s="103"/>
      <c r="AO76" s="103"/>
    </row>
    <row r="77" spans="1:41" ht="29.25" customHeight="1">
      <c r="A77" s="236" t="s">
        <v>268</v>
      </c>
      <c r="B77" s="236" t="s">
        <v>659</v>
      </c>
      <c r="C77" s="79">
        <v>0</v>
      </c>
      <c r="D77" s="79">
        <v>0</v>
      </c>
      <c r="E77" s="79">
        <v>0</v>
      </c>
      <c r="F77" s="79">
        <v>0</v>
      </c>
      <c r="G77" s="79">
        <v>960</v>
      </c>
      <c r="H77" s="153">
        <f>SUM(C77:G77)</f>
        <v>960</v>
      </c>
      <c r="I77" s="79">
        <v>0</v>
      </c>
      <c r="J77" s="79">
        <v>0</v>
      </c>
      <c r="K77" s="79">
        <v>0</v>
      </c>
      <c r="L77" s="153">
        <f t="shared" si="31"/>
        <v>0</v>
      </c>
      <c r="M77" s="65">
        <f t="shared" si="32"/>
        <v>960</v>
      </c>
      <c r="N77" s="79">
        <v>0</v>
      </c>
      <c r="O77" s="103">
        <f t="shared" si="33"/>
        <v>960</v>
      </c>
      <c r="P77" s="79"/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103">
        <f t="shared" si="36"/>
        <v>0</v>
      </c>
      <c r="Z77" s="236" t="s">
        <v>659</v>
      </c>
      <c r="AA77" s="103"/>
      <c r="AB77" s="79"/>
      <c r="AC77" s="79"/>
      <c r="AD77" s="103"/>
      <c r="AE77" s="79"/>
      <c r="AF77" s="79"/>
      <c r="AG77" s="79"/>
      <c r="AH77" s="79"/>
      <c r="AI77" s="79"/>
      <c r="AJ77" s="79"/>
      <c r="AK77" s="79"/>
      <c r="AL77" s="79"/>
      <c r="AM77" s="79"/>
      <c r="AN77" s="103">
        <f t="shared" si="35"/>
        <v>0</v>
      </c>
      <c r="AO77" s="103">
        <f t="shared" si="34"/>
        <v>0</v>
      </c>
    </row>
    <row r="78" spans="1:41" ht="30" customHeight="1">
      <c r="A78" s="55" t="s">
        <v>267</v>
      </c>
      <c r="B78" s="154" t="s">
        <v>651</v>
      </c>
      <c r="C78" s="79">
        <v>140977</v>
      </c>
      <c r="D78" s="79">
        <f>14241-65</f>
        <v>14176</v>
      </c>
      <c r="E78" s="79">
        <f>3545+42736</f>
        <v>46281</v>
      </c>
      <c r="F78" s="79">
        <v>0</v>
      </c>
      <c r="G78" s="79">
        <v>0</v>
      </c>
      <c r="H78" s="153">
        <f t="shared" si="30"/>
        <v>201434</v>
      </c>
      <c r="I78" s="79">
        <v>0</v>
      </c>
      <c r="J78" s="79">
        <v>0</v>
      </c>
      <c r="K78" s="79">
        <v>0</v>
      </c>
      <c r="L78" s="153">
        <f t="shared" si="31"/>
        <v>0</v>
      </c>
      <c r="M78" s="65">
        <f t="shared" si="32"/>
        <v>201434</v>
      </c>
      <c r="N78" s="79">
        <v>0</v>
      </c>
      <c r="O78" s="103">
        <f t="shared" si="33"/>
        <v>201434</v>
      </c>
      <c r="P78" s="79"/>
      <c r="Q78" s="79">
        <f>-36308+194805</f>
        <v>158497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36308</v>
      </c>
      <c r="Y78" s="103">
        <f t="shared" si="36"/>
        <v>194805</v>
      </c>
      <c r="Z78" s="154" t="s">
        <v>651</v>
      </c>
      <c r="AA78" s="103"/>
      <c r="AB78" s="79"/>
      <c r="AC78" s="79"/>
      <c r="AD78" s="103"/>
      <c r="AE78" s="79"/>
      <c r="AF78" s="79"/>
      <c r="AG78" s="79"/>
      <c r="AH78" s="79"/>
      <c r="AI78" s="79"/>
      <c r="AJ78" s="79"/>
      <c r="AK78" s="79"/>
      <c r="AL78" s="79">
        <v>36308</v>
      </c>
      <c r="AM78" s="79"/>
      <c r="AN78" s="103">
        <f t="shared" si="35"/>
        <v>36308</v>
      </c>
      <c r="AO78" s="103">
        <f t="shared" si="34"/>
        <v>36308</v>
      </c>
    </row>
    <row r="79" spans="1:41" ht="30" customHeight="1">
      <c r="A79" s="55" t="s">
        <v>267</v>
      </c>
      <c r="B79" s="154" t="s">
        <v>1024</v>
      </c>
      <c r="C79" s="79">
        <v>0</v>
      </c>
      <c r="D79" s="79">
        <v>0</v>
      </c>
      <c r="E79" s="79">
        <v>5196</v>
      </c>
      <c r="F79" s="79">
        <v>0</v>
      </c>
      <c r="G79" s="79">
        <v>0</v>
      </c>
      <c r="H79" s="153">
        <f t="shared" si="30"/>
        <v>5196</v>
      </c>
      <c r="I79" s="79">
        <v>0</v>
      </c>
      <c r="J79" s="79">
        <v>0</v>
      </c>
      <c r="K79" s="79">
        <v>0</v>
      </c>
      <c r="L79" s="153">
        <f t="shared" si="31"/>
        <v>0</v>
      </c>
      <c r="M79" s="65">
        <f t="shared" si="32"/>
        <v>5196</v>
      </c>
      <c r="N79" s="79"/>
      <c r="O79" s="103">
        <f t="shared" si="33"/>
        <v>5196</v>
      </c>
      <c r="P79" s="79"/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4152</v>
      </c>
      <c r="Y79" s="103">
        <f t="shared" si="36"/>
        <v>4152</v>
      </c>
      <c r="Z79" s="154" t="s">
        <v>1024</v>
      </c>
      <c r="AA79" s="103"/>
      <c r="AB79" s="79"/>
      <c r="AC79" s="79"/>
      <c r="AD79" s="103"/>
      <c r="AE79" s="79"/>
      <c r="AF79" s="79"/>
      <c r="AG79" s="79"/>
      <c r="AH79" s="79"/>
      <c r="AI79" s="79"/>
      <c r="AJ79" s="79"/>
      <c r="AK79" s="79"/>
      <c r="AL79" s="79">
        <v>4152</v>
      </c>
      <c r="AM79" s="79"/>
      <c r="AN79" s="103"/>
      <c r="AO79" s="103"/>
    </row>
    <row r="80" spans="1:41" ht="40.5" customHeight="1">
      <c r="A80" s="55" t="s">
        <v>267</v>
      </c>
      <c r="B80" s="236" t="s">
        <v>1025</v>
      </c>
      <c r="C80" s="79">
        <v>0</v>
      </c>
      <c r="D80" s="79">
        <v>0</v>
      </c>
      <c r="E80" s="79">
        <v>300</v>
      </c>
      <c r="F80" s="79">
        <v>0</v>
      </c>
      <c r="G80" s="79">
        <v>0</v>
      </c>
      <c r="H80" s="153">
        <f>SUM(C80:G80)</f>
        <v>300</v>
      </c>
      <c r="I80" s="79">
        <v>0</v>
      </c>
      <c r="J80" s="79">
        <v>0</v>
      </c>
      <c r="K80" s="79">
        <v>0</v>
      </c>
      <c r="L80" s="153">
        <f>SUM(I80:K80)</f>
        <v>0</v>
      </c>
      <c r="M80" s="65">
        <f t="shared" si="32"/>
        <v>300</v>
      </c>
      <c r="N80" s="79">
        <v>0</v>
      </c>
      <c r="O80" s="103">
        <f t="shared" si="33"/>
        <v>300</v>
      </c>
      <c r="P80" s="79"/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103">
        <f t="shared" si="36"/>
        <v>0</v>
      </c>
      <c r="Z80" s="236" t="s">
        <v>1025</v>
      </c>
      <c r="AA80" s="103"/>
      <c r="AB80" s="103"/>
      <c r="AC80" s="79"/>
      <c r="AD80" s="103"/>
      <c r="AE80" s="79"/>
      <c r="AF80" s="79"/>
      <c r="AG80" s="79"/>
      <c r="AH80" s="79"/>
      <c r="AI80" s="79"/>
      <c r="AJ80" s="79"/>
      <c r="AK80" s="79"/>
      <c r="AL80" s="79"/>
      <c r="AM80" s="79"/>
      <c r="AN80" s="103">
        <f t="shared" si="35"/>
        <v>0</v>
      </c>
      <c r="AO80" s="103">
        <f t="shared" si="34"/>
        <v>0</v>
      </c>
    </row>
    <row r="81" spans="1:41" ht="47.25" customHeight="1">
      <c r="A81" s="55" t="s">
        <v>267</v>
      </c>
      <c r="B81" s="236" t="s">
        <v>655</v>
      </c>
      <c r="C81" s="79">
        <v>0</v>
      </c>
      <c r="D81" s="79">
        <v>0</v>
      </c>
      <c r="E81" s="79">
        <v>0</v>
      </c>
      <c r="F81" s="79">
        <v>4500</v>
      </c>
      <c r="G81" s="79">
        <v>0</v>
      </c>
      <c r="H81" s="153">
        <f t="shared" si="30"/>
        <v>4500</v>
      </c>
      <c r="I81" s="79">
        <v>0</v>
      </c>
      <c r="J81" s="79">
        <v>0</v>
      </c>
      <c r="K81" s="79">
        <v>0</v>
      </c>
      <c r="L81" s="153">
        <f t="shared" si="31"/>
        <v>0</v>
      </c>
      <c r="M81" s="65">
        <f>H81+L81</f>
        <v>4500</v>
      </c>
      <c r="N81" s="79">
        <v>0</v>
      </c>
      <c r="O81" s="103">
        <f t="shared" si="33"/>
        <v>4500</v>
      </c>
      <c r="P81" s="79"/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103">
        <f t="shared" si="36"/>
        <v>0</v>
      </c>
      <c r="Z81" s="236" t="s">
        <v>655</v>
      </c>
      <c r="AA81" s="103"/>
      <c r="AB81" s="79"/>
      <c r="AC81" s="79"/>
      <c r="AD81" s="103"/>
      <c r="AE81" s="79"/>
      <c r="AF81" s="79"/>
      <c r="AG81" s="79"/>
      <c r="AH81" s="79"/>
      <c r="AI81" s="79"/>
      <c r="AJ81" s="79"/>
      <c r="AK81" s="79"/>
      <c r="AL81" s="79"/>
      <c r="AM81" s="79"/>
      <c r="AN81" s="103">
        <f t="shared" si="35"/>
        <v>0</v>
      </c>
      <c r="AO81" s="103">
        <f t="shared" si="34"/>
        <v>0</v>
      </c>
    </row>
    <row r="82" spans="1:41" ht="35.25" customHeight="1">
      <c r="A82" s="55" t="s">
        <v>267</v>
      </c>
      <c r="B82" s="154" t="s">
        <v>574</v>
      </c>
      <c r="C82" s="79">
        <v>0</v>
      </c>
      <c r="D82" s="79">
        <v>0</v>
      </c>
      <c r="E82" s="79">
        <v>0</v>
      </c>
      <c r="F82" s="79">
        <v>10700</v>
      </c>
      <c r="G82" s="79">
        <v>0</v>
      </c>
      <c r="H82" s="153">
        <f t="shared" si="30"/>
        <v>10700</v>
      </c>
      <c r="I82" s="79">
        <v>0</v>
      </c>
      <c r="J82" s="79">
        <v>0</v>
      </c>
      <c r="K82" s="79">
        <v>0</v>
      </c>
      <c r="L82" s="153">
        <f t="shared" si="31"/>
        <v>0</v>
      </c>
      <c r="M82" s="65">
        <f>H82+L82</f>
        <v>10700</v>
      </c>
      <c r="N82" s="79">
        <v>0</v>
      </c>
      <c r="O82" s="103">
        <f t="shared" si="33"/>
        <v>10700</v>
      </c>
      <c r="P82" s="79"/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103">
        <f t="shared" si="36"/>
        <v>0</v>
      </c>
      <c r="Z82" s="154" t="s">
        <v>574</v>
      </c>
      <c r="AA82" s="79"/>
      <c r="AB82" s="103"/>
      <c r="AC82" s="79"/>
      <c r="AD82" s="103"/>
      <c r="AE82" s="79"/>
      <c r="AF82" s="79"/>
      <c r="AG82" s="79"/>
      <c r="AH82" s="79"/>
      <c r="AI82" s="79"/>
      <c r="AJ82" s="79"/>
      <c r="AK82" s="79"/>
      <c r="AL82" s="79"/>
      <c r="AM82" s="79"/>
      <c r="AN82" s="103">
        <f t="shared" si="35"/>
        <v>0</v>
      </c>
      <c r="AO82" s="103">
        <f t="shared" si="34"/>
        <v>0</v>
      </c>
    </row>
    <row r="83" spans="1:41" ht="64.5" customHeight="1">
      <c r="A83" s="55"/>
      <c r="B83" s="314" t="s">
        <v>667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153">
        <f t="shared" si="30"/>
        <v>0</v>
      </c>
      <c r="I83" s="79">
        <v>0</v>
      </c>
      <c r="J83" s="79">
        <v>0</v>
      </c>
      <c r="K83" s="79">
        <v>0</v>
      </c>
      <c r="L83" s="153">
        <f t="shared" si="31"/>
        <v>0</v>
      </c>
      <c r="M83" s="65">
        <f aca="true" t="shared" si="37" ref="M83:M102">H83+L83</f>
        <v>0</v>
      </c>
      <c r="N83" s="79">
        <v>0</v>
      </c>
      <c r="O83" s="103">
        <f t="shared" si="33"/>
        <v>0</v>
      </c>
      <c r="P83" s="79"/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103">
        <f t="shared" si="36"/>
        <v>0</v>
      </c>
      <c r="Z83" s="314" t="s">
        <v>667</v>
      </c>
      <c r="AA83" s="79"/>
      <c r="AB83" s="103"/>
      <c r="AC83" s="79"/>
      <c r="AD83" s="103"/>
      <c r="AE83" s="79"/>
      <c r="AF83" s="79"/>
      <c r="AG83" s="79"/>
      <c r="AH83" s="79"/>
      <c r="AI83" s="79"/>
      <c r="AJ83" s="79"/>
      <c r="AK83" s="79"/>
      <c r="AL83" s="79"/>
      <c r="AM83" s="79"/>
      <c r="AN83" s="103">
        <f t="shared" si="35"/>
        <v>0</v>
      </c>
      <c r="AO83" s="103">
        <f t="shared" si="34"/>
        <v>0</v>
      </c>
    </row>
    <row r="84" spans="1:41" ht="81" customHeight="1">
      <c r="A84" s="55"/>
      <c r="B84" s="144" t="s">
        <v>671</v>
      </c>
      <c r="C84" s="79">
        <v>0</v>
      </c>
      <c r="D84" s="79">
        <v>0</v>
      </c>
      <c r="E84" s="79">
        <v>0</v>
      </c>
      <c r="F84" s="79">
        <v>0</v>
      </c>
      <c r="G84" s="79">
        <v>0</v>
      </c>
      <c r="H84" s="153">
        <f t="shared" si="30"/>
        <v>0</v>
      </c>
      <c r="I84" s="320">
        <v>947369</v>
      </c>
      <c r="J84" s="320">
        <v>0</v>
      </c>
      <c r="K84" s="320">
        <v>0</v>
      </c>
      <c r="L84" s="153">
        <f t="shared" si="31"/>
        <v>947369</v>
      </c>
      <c r="M84" s="65">
        <f t="shared" si="37"/>
        <v>947369</v>
      </c>
      <c r="N84" s="79">
        <v>0</v>
      </c>
      <c r="O84" s="103">
        <f t="shared" si="33"/>
        <v>947369</v>
      </c>
      <c r="P84" s="79"/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947369</v>
      </c>
      <c r="Y84" s="103">
        <f t="shared" si="36"/>
        <v>947369</v>
      </c>
      <c r="Z84" s="144" t="s">
        <v>671</v>
      </c>
      <c r="AA84" s="79"/>
      <c r="AB84" s="103"/>
      <c r="AC84" s="79"/>
      <c r="AD84" s="103"/>
      <c r="AE84" s="79"/>
      <c r="AF84" s="79"/>
      <c r="AG84" s="79"/>
      <c r="AH84" s="79"/>
      <c r="AI84" s="79"/>
      <c r="AJ84" s="79"/>
      <c r="AK84" s="79"/>
      <c r="AL84" s="79">
        <v>947369</v>
      </c>
      <c r="AM84" s="79"/>
      <c r="AN84" s="103">
        <f t="shared" si="35"/>
        <v>947369</v>
      </c>
      <c r="AO84" s="103">
        <f t="shared" si="34"/>
        <v>947369</v>
      </c>
    </row>
    <row r="85" spans="1:41" ht="63" customHeight="1">
      <c r="A85" s="55"/>
      <c r="B85" s="144" t="s">
        <v>672</v>
      </c>
      <c r="C85" s="79">
        <v>0</v>
      </c>
      <c r="D85" s="79">
        <v>0</v>
      </c>
      <c r="E85" s="79">
        <v>0</v>
      </c>
      <c r="F85" s="79">
        <v>0</v>
      </c>
      <c r="G85" s="79">
        <v>0</v>
      </c>
      <c r="H85" s="153">
        <f t="shared" si="30"/>
        <v>0</v>
      </c>
      <c r="I85" s="320">
        <v>0</v>
      </c>
      <c r="J85" s="320">
        <v>22058</v>
      </c>
      <c r="K85" s="320">
        <v>0</v>
      </c>
      <c r="L85" s="153">
        <f t="shared" si="31"/>
        <v>22058</v>
      </c>
      <c r="M85" s="65">
        <f t="shared" si="37"/>
        <v>22058</v>
      </c>
      <c r="N85" s="79">
        <v>0</v>
      </c>
      <c r="O85" s="103">
        <f t="shared" si="33"/>
        <v>22058</v>
      </c>
      <c r="P85" s="79"/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22058</v>
      </c>
      <c r="Y85" s="103">
        <f t="shared" si="36"/>
        <v>22058</v>
      </c>
      <c r="Z85" s="144" t="s">
        <v>672</v>
      </c>
      <c r="AA85" s="79"/>
      <c r="AB85" s="103"/>
      <c r="AC85" s="79"/>
      <c r="AD85" s="103"/>
      <c r="AE85" s="79"/>
      <c r="AF85" s="79"/>
      <c r="AG85" s="79"/>
      <c r="AH85" s="79"/>
      <c r="AI85" s="79"/>
      <c r="AJ85" s="79"/>
      <c r="AK85" s="79"/>
      <c r="AL85" s="79">
        <v>22058</v>
      </c>
      <c r="AM85" s="79"/>
      <c r="AN85" s="103">
        <f t="shared" si="35"/>
        <v>22058</v>
      </c>
      <c r="AO85" s="103">
        <f t="shared" si="34"/>
        <v>22058</v>
      </c>
    </row>
    <row r="86" spans="1:41" ht="64.5" customHeight="1">
      <c r="A86" s="55"/>
      <c r="B86" s="144" t="s">
        <v>134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153">
        <f t="shared" si="30"/>
        <v>0</v>
      </c>
      <c r="I86" s="320">
        <v>0</v>
      </c>
      <c r="J86" s="320">
        <v>31666</v>
      </c>
      <c r="K86" s="79">
        <v>0</v>
      </c>
      <c r="L86" s="153">
        <f t="shared" si="31"/>
        <v>31666</v>
      </c>
      <c r="M86" s="65">
        <f t="shared" si="37"/>
        <v>31666</v>
      </c>
      <c r="N86" s="79">
        <v>0</v>
      </c>
      <c r="O86" s="103">
        <f t="shared" si="33"/>
        <v>31666</v>
      </c>
      <c r="P86" s="79"/>
      <c r="Q86" s="79">
        <v>0</v>
      </c>
      <c r="R86" s="79">
        <v>0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31666</v>
      </c>
      <c r="Y86" s="103">
        <f t="shared" si="36"/>
        <v>31666</v>
      </c>
      <c r="Z86" s="144" t="s">
        <v>134</v>
      </c>
      <c r="AA86" s="79"/>
      <c r="AB86" s="103"/>
      <c r="AC86" s="79"/>
      <c r="AD86" s="103"/>
      <c r="AE86" s="79"/>
      <c r="AF86" s="79"/>
      <c r="AG86" s="79"/>
      <c r="AH86" s="79"/>
      <c r="AI86" s="79"/>
      <c r="AJ86" s="79"/>
      <c r="AK86" s="79"/>
      <c r="AL86" s="79">
        <v>31666</v>
      </c>
      <c r="AM86" s="79"/>
      <c r="AN86" s="103">
        <f t="shared" si="35"/>
        <v>31666</v>
      </c>
      <c r="AO86" s="103">
        <f t="shared" si="34"/>
        <v>31666</v>
      </c>
    </row>
    <row r="87" spans="1:41" ht="63.75" customHeight="1">
      <c r="A87" s="55"/>
      <c r="B87" s="314" t="s">
        <v>673</v>
      </c>
      <c r="C87" s="79">
        <v>0</v>
      </c>
      <c r="D87" s="79">
        <v>0</v>
      </c>
      <c r="E87" s="320">
        <f>56+27</f>
        <v>83</v>
      </c>
      <c r="F87" s="79">
        <v>0</v>
      </c>
      <c r="G87" s="79">
        <v>0</v>
      </c>
      <c r="H87" s="153">
        <f t="shared" si="30"/>
        <v>83</v>
      </c>
      <c r="I87" s="320">
        <v>0</v>
      </c>
      <c r="J87" s="320">
        <v>0</v>
      </c>
      <c r="K87" s="79">
        <v>0</v>
      </c>
      <c r="L87" s="153">
        <f t="shared" si="31"/>
        <v>0</v>
      </c>
      <c r="M87" s="65">
        <f t="shared" si="37"/>
        <v>83</v>
      </c>
      <c r="N87" s="79">
        <v>0</v>
      </c>
      <c r="O87" s="103">
        <f t="shared" si="33"/>
        <v>83</v>
      </c>
      <c r="P87" s="79"/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56</v>
      </c>
      <c r="Y87" s="103">
        <f t="shared" si="36"/>
        <v>56</v>
      </c>
      <c r="Z87" s="314" t="s">
        <v>673</v>
      </c>
      <c r="AA87" s="79"/>
      <c r="AB87" s="103"/>
      <c r="AC87" s="79"/>
      <c r="AD87" s="103"/>
      <c r="AE87" s="79"/>
      <c r="AF87" s="79"/>
      <c r="AG87" s="79"/>
      <c r="AH87" s="79"/>
      <c r="AI87" s="79"/>
      <c r="AJ87" s="79"/>
      <c r="AK87" s="79"/>
      <c r="AL87" s="79">
        <v>56</v>
      </c>
      <c r="AM87" s="79"/>
      <c r="AN87" s="103">
        <f t="shared" si="35"/>
        <v>56</v>
      </c>
      <c r="AO87" s="103">
        <f t="shared" si="34"/>
        <v>56</v>
      </c>
    </row>
    <row r="88" spans="1:41" ht="17.25" customHeight="1">
      <c r="A88" s="55"/>
      <c r="B88" s="55" t="s">
        <v>328</v>
      </c>
      <c r="C88" s="991" t="s">
        <v>319</v>
      </c>
      <c r="D88" s="991"/>
      <c r="E88" s="991"/>
      <c r="F88" s="991"/>
      <c r="G88" s="991"/>
      <c r="H88" s="991"/>
      <c r="I88" s="991"/>
      <c r="J88" s="991"/>
      <c r="K88" s="991"/>
      <c r="L88" s="991"/>
      <c r="M88" s="991"/>
      <c r="N88" s="991"/>
      <c r="O88" s="991"/>
      <c r="P88" s="303"/>
      <c r="Q88" s="991" t="s">
        <v>2</v>
      </c>
      <c r="R88" s="991"/>
      <c r="S88" s="992"/>
      <c r="T88" s="992"/>
      <c r="U88" s="992"/>
      <c r="V88" s="992"/>
      <c r="W88" s="992"/>
      <c r="X88" s="992"/>
      <c r="Y88" s="992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8"/>
    </row>
    <row r="89" spans="1:41" ht="15.75">
      <c r="A89" s="55"/>
      <c r="B89" s="153" t="s">
        <v>679</v>
      </c>
      <c r="C89" s="993"/>
      <c r="D89" s="993"/>
      <c r="E89" s="993"/>
      <c r="F89" s="993"/>
      <c r="G89" s="993"/>
      <c r="H89" s="153"/>
      <c r="I89" s="993"/>
      <c r="J89" s="993"/>
      <c r="K89" s="993"/>
      <c r="L89" s="993"/>
      <c r="M89" s="65"/>
      <c r="N89" s="103"/>
      <c r="O89" s="103"/>
      <c r="P89" s="103"/>
      <c r="Q89" s="991"/>
      <c r="R89" s="991"/>
      <c r="S89" s="992"/>
      <c r="T89" s="992"/>
      <c r="U89" s="992"/>
      <c r="V89" s="992"/>
      <c r="W89" s="992"/>
      <c r="X89" s="992"/>
      <c r="Y89" s="992"/>
      <c r="Z89" s="153" t="s">
        <v>680</v>
      </c>
      <c r="AA89" s="994" t="s">
        <v>327</v>
      </c>
      <c r="AB89" s="995"/>
      <c r="AC89" s="995"/>
      <c r="AD89" s="995"/>
      <c r="AE89" s="995"/>
      <c r="AF89" s="995"/>
      <c r="AG89" s="995"/>
      <c r="AH89" s="995"/>
      <c r="AI89" s="995"/>
      <c r="AJ89" s="995"/>
      <c r="AK89" s="995"/>
      <c r="AL89" s="995"/>
      <c r="AM89" s="995"/>
      <c r="AN89" s="995"/>
      <c r="AO89" s="996"/>
    </row>
    <row r="90" spans="1:41" s="350" customFormat="1" ht="66" customHeight="1">
      <c r="A90" s="347"/>
      <c r="B90" s="348" t="s">
        <v>295</v>
      </c>
      <c r="C90" s="346" t="s">
        <v>557</v>
      </c>
      <c r="D90" s="346" t="s">
        <v>663</v>
      </c>
      <c r="E90" s="346" t="s">
        <v>3</v>
      </c>
      <c r="F90" s="346" t="s">
        <v>4</v>
      </c>
      <c r="G90" s="346" t="s">
        <v>5</v>
      </c>
      <c r="H90" s="346" t="s">
        <v>6</v>
      </c>
      <c r="I90" s="346" t="s">
        <v>7</v>
      </c>
      <c r="J90" s="346" t="s">
        <v>8</v>
      </c>
      <c r="K90" s="346" t="s">
        <v>9</v>
      </c>
      <c r="L90" s="346" t="s">
        <v>10</v>
      </c>
      <c r="M90" s="346" t="s">
        <v>11</v>
      </c>
      <c r="N90" s="346" t="s">
        <v>12</v>
      </c>
      <c r="O90" s="346" t="s">
        <v>309</v>
      </c>
      <c r="P90" s="346"/>
      <c r="Q90" s="346" t="s">
        <v>662</v>
      </c>
      <c r="R90" s="346" t="s">
        <v>556</v>
      </c>
      <c r="S90" s="346" t="s">
        <v>555</v>
      </c>
      <c r="T90" s="346" t="s">
        <v>14</v>
      </c>
      <c r="U90" s="346" t="s">
        <v>19</v>
      </c>
      <c r="V90" s="346" t="s">
        <v>18</v>
      </c>
      <c r="W90" s="346" t="s">
        <v>20</v>
      </c>
      <c r="X90" s="346" t="s">
        <v>15</v>
      </c>
      <c r="Y90" s="346" t="s">
        <v>16</v>
      </c>
      <c r="Z90" s="348" t="s">
        <v>295</v>
      </c>
      <c r="AA90" s="346" t="s">
        <v>17</v>
      </c>
      <c r="AB90" s="346" t="s">
        <v>215</v>
      </c>
      <c r="AC90" s="346" t="s">
        <v>556</v>
      </c>
      <c r="AD90" s="346" t="s">
        <v>555</v>
      </c>
      <c r="AE90" s="346" t="s">
        <v>14</v>
      </c>
      <c r="AF90" s="346" t="s">
        <v>19</v>
      </c>
      <c r="AG90" s="346" t="s">
        <v>18</v>
      </c>
      <c r="AH90" s="346" t="s">
        <v>20</v>
      </c>
      <c r="AI90" s="346" t="s">
        <v>21</v>
      </c>
      <c r="AJ90" s="346" t="s">
        <v>802</v>
      </c>
      <c r="AK90" s="346" t="s">
        <v>23</v>
      </c>
      <c r="AL90" s="346" t="s">
        <v>15</v>
      </c>
      <c r="AM90" s="354" t="s">
        <v>647</v>
      </c>
      <c r="AN90" s="346" t="s">
        <v>16</v>
      </c>
      <c r="AO90" s="346" t="s">
        <v>308</v>
      </c>
    </row>
    <row r="91" spans="1:41" ht="107.25" customHeight="1">
      <c r="A91" s="55"/>
      <c r="B91" s="314" t="s">
        <v>674</v>
      </c>
      <c r="C91" s="320">
        <v>0</v>
      </c>
      <c r="D91" s="320">
        <v>0</v>
      </c>
      <c r="E91" s="320">
        <v>0</v>
      </c>
      <c r="F91" s="79">
        <v>0</v>
      </c>
      <c r="G91" s="79">
        <v>0</v>
      </c>
      <c r="H91" s="153">
        <f t="shared" si="30"/>
        <v>0</v>
      </c>
      <c r="I91" s="320">
        <v>17892</v>
      </c>
      <c r="J91" s="320">
        <v>0</v>
      </c>
      <c r="K91" s="79">
        <v>0</v>
      </c>
      <c r="L91" s="153">
        <f t="shared" si="31"/>
        <v>17892</v>
      </c>
      <c r="M91" s="65">
        <f t="shared" si="37"/>
        <v>17892</v>
      </c>
      <c r="N91" s="79">
        <v>0</v>
      </c>
      <c r="O91" s="103">
        <f t="shared" si="33"/>
        <v>17892</v>
      </c>
      <c r="P91" s="79"/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17892</v>
      </c>
      <c r="Y91" s="103">
        <f t="shared" si="36"/>
        <v>17892</v>
      </c>
      <c r="Z91" s="314" t="s">
        <v>674</v>
      </c>
      <c r="AA91" s="79"/>
      <c r="AB91" s="103"/>
      <c r="AC91" s="79"/>
      <c r="AD91" s="103"/>
      <c r="AE91" s="79"/>
      <c r="AF91" s="79"/>
      <c r="AG91" s="79"/>
      <c r="AH91" s="79"/>
      <c r="AI91" s="79"/>
      <c r="AJ91" s="79"/>
      <c r="AK91" s="79"/>
      <c r="AL91" s="79">
        <v>17892</v>
      </c>
      <c r="AM91" s="79"/>
      <c r="AN91" s="103">
        <f t="shared" si="35"/>
        <v>17892</v>
      </c>
      <c r="AO91" s="103">
        <f t="shared" si="34"/>
        <v>17892</v>
      </c>
    </row>
    <row r="92" spans="1:41" ht="72" customHeight="1">
      <c r="A92" s="55"/>
      <c r="B92" s="144" t="s">
        <v>675</v>
      </c>
      <c r="C92" s="320">
        <v>817</v>
      </c>
      <c r="D92" s="320">
        <v>182</v>
      </c>
      <c r="E92" s="320">
        <v>17265</v>
      </c>
      <c r="F92" s="79">
        <v>0</v>
      </c>
      <c r="G92" s="79">
        <v>0</v>
      </c>
      <c r="H92" s="153">
        <f t="shared" si="30"/>
        <v>18264</v>
      </c>
      <c r="I92" s="320"/>
      <c r="J92" s="320">
        <v>0</v>
      </c>
      <c r="K92" s="79">
        <v>0</v>
      </c>
      <c r="L92" s="153">
        <f t="shared" si="31"/>
        <v>0</v>
      </c>
      <c r="M92" s="65">
        <f t="shared" si="37"/>
        <v>18264</v>
      </c>
      <c r="N92" s="79">
        <v>0</v>
      </c>
      <c r="O92" s="103">
        <f t="shared" si="33"/>
        <v>18264</v>
      </c>
      <c r="P92" s="79"/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79">
        <v>18264</v>
      </c>
      <c r="Y92" s="103">
        <f t="shared" si="36"/>
        <v>18264</v>
      </c>
      <c r="Z92" s="144" t="s">
        <v>675</v>
      </c>
      <c r="AA92" s="79"/>
      <c r="AB92" s="103"/>
      <c r="AC92" s="79"/>
      <c r="AD92" s="103"/>
      <c r="AE92" s="79"/>
      <c r="AF92" s="79"/>
      <c r="AG92" s="79"/>
      <c r="AH92" s="79"/>
      <c r="AI92" s="79"/>
      <c r="AJ92" s="79"/>
      <c r="AK92" s="79"/>
      <c r="AL92" s="79">
        <v>18264</v>
      </c>
      <c r="AM92" s="79"/>
      <c r="AN92" s="103">
        <f t="shared" si="35"/>
        <v>18264</v>
      </c>
      <c r="AO92" s="103">
        <f t="shared" si="34"/>
        <v>18264</v>
      </c>
    </row>
    <row r="93" spans="1:41" ht="46.5" customHeight="1">
      <c r="A93" s="55"/>
      <c r="B93" s="314" t="s">
        <v>676</v>
      </c>
      <c r="C93" s="320">
        <v>0</v>
      </c>
      <c r="D93" s="320">
        <v>0</v>
      </c>
      <c r="E93" s="320">
        <v>0</v>
      </c>
      <c r="F93" s="79">
        <v>0</v>
      </c>
      <c r="G93" s="79">
        <v>0</v>
      </c>
      <c r="H93" s="153">
        <f t="shared" si="30"/>
        <v>0</v>
      </c>
      <c r="I93" s="320">
        <v>128724</v>
      </c>
      <c r="J93" s="320">
        <v>0</v>
      </c>
      <c r="K93" s="79">
        <v>0</v>
      </c>
      <c r="L93" s="153">
        <f t="shared" si="31"/>
        <v>128724</v>
      </c>
      <c r="M93" s="65">
        <f t="shared" si="37"/>
        <v>128724</v>
      </c>
      <c r="N93" s="79">
        <v>0</v>
      </c>
      <c r="O93" s="103">
        <f t="shared" si="33"/>
        <v>128724</v>
      </c>
      <c r="P93" s="79"/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128724</v>
      </c>
      <c r="Y93" s="103">
        <f t="shared" si="36"/>
        <v>128724</v>
      </c>
      <c r="Z93" s="314" t="s">
        <v>676</v>
      </c>
      <c r="AA93" s="79"/>
      <c r="AB93" s="103"/>
      <c r="AC93" s="79"/>
      <c r="AD93" s="103"/>
      <c r="AE93" s="79"/>
      <c r="AF93" s="79"/>
      <c r="AG93" s="79"/>
      <c r="AH93" s="79"/>
      <c r="AI93" s="79"/>
      <c r="AJ93" s="79"/>
      <c r="AK93" s="79"/>
      <c r="AL93" s="79">
        <v>128724</v>
      </c>
      <c r="AM93" s="79"/>
      <c r="AN93" s="103">
        <f t="shared" si="35"/>
        <v>128724</v>
      </c>
      <c r="AO93" s="103">
        <f t="shared" si="34"/>
        <v>128724</v>
      </c>
    </row>
    <row r="94" spans="1:41" ht="82.5" customHeight="1">
      <c r="A94" s="55"/>
      <c r="B94" s="154" t="s">
        <v>677</v>
      </c>
      <c r="C94" s="320">
        <v>3788</v>
      </c>
      <c r="D94" s="320">
        <v>281</v>
      </c>
      <c r="E94" s="320">
        <v>16383</v>
      </c>
      <c r="F94" s="79">
        <v>0</v>
      </c>
      <c r="G94" s="79">
        <v>0</v>
      </c>
      <c r="H94" s="153">
        <f t="shared" si="30"/>
        <v>20452</v>
      </c>
      <c r="I94" s="320">
        <v>0</v>
      </c>
      <c r="J94" s="320">
        <v>0</v>
      </c>
      <c r="K94" s="79">
        <v>0</v>
      </c>
      <c r="L94" s="153">
        <f t="shared" si="31"/>
        <v>0</v>
      </c>
      <c r="M94" s="65">
        <f t="shared" si="37"/>
        <v>20452</v>
      </c>
      <c r="N94" s="79">
        <v>0</v>
      </c>
      <c r="O94" s="103">
        <f t="shared" si="33"/>
        <v>20452</v>
      </c>
      <c r="P94" s="79"/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20452</v>
      </c>
      <c r="Y94" s="103">
        <f t="shared" si="36"/>
        <v>20452</v>
      </c>
      <c r="Z94" s="154" t="s">
        <v>677</v>
      </c>
      <c r="AA94" s="79"/>
      <c r="AB94" s="103"/>
      <c r="AC94" s="79"/>
      <c r="AD94" s="103"/>
      <c r="AE94" s="79"/>
      <c r="AF94" s="79"/>
      <c r="AG94" s="79"/>
      <c r="AH94" s="79"/>
      <c r="AI94" s="79"/>
      <c r="AJ94" s="79"/>
      <c r="AK94" s="79"/>
      <c r="AL94" s="79">
        <v>20452</v>
      </c>
      <c r="AM94" s="79"/>
      <c r="AN94" s="103">
        <f t="shared" si="35"/>
        <v>20452</v>
      </c>
      <c r="AO94" s="103">
        <f t="shared" si="34"/>
        <v>20452</v>
      </c>
    </row>
    <row r="95" spans="1:41" ht="33" customHeight="1">
      <c r="A95" s="55"/>
      <c r="B95" s="314" t="s">
        <v>678</v>
      </c>
      <c r="C95" s="320">
        <v>0</v>
      </c>
      <c r="D95" s="320">
        <v>0</v>
      </c>
      <c r="E95" s="320">
        <v>0</v>
      </c>
      <c r="F95" s="79">
        <v>0</v>
      </c>
      <c r="G95" s="79">
        <v>0</v>
      </c>
      <c r="H95" s="153">
        <f t="shared" si="30"/>
        <v>0</v>
      </c>
      <c r="I95" s="320">
        <v>205168</v>
      </c>
      <c r="J95" s="320">
        <v>0</v>
      </c>
      <c r="K95" s="79">
        <v>0</v>
      </c>
      <c r="L95" s="153">
        <f t="shared" si="31"/>
        <v>205168</v>
      </c>
      <c r="M95" s="65">
        <f t="shared" si="37"/>
        <v>205168</v>
      </c>
      <c r="N95" s="79">
        <v>0</v>
      </c>
      <c r="O95" s="103">
        <f t="shared" si="33"/>
        <v>205168</v>
      </c>
      <c r="P95" s="79"/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205168</v>
      </c>
      <c r="Y95" s="103">
        <f t="shared" si="36"/>
        <v>205168</v>
      </c>
      <c r="Z95" s="314" t="s">
        <v>678</v>
      </c>
      <c r="AA95" s="79"/>
      <c r="AB95" s="103"/>
      <c r="AC95" s="79"/>
      <c r="AD95" s="103"/>
      <c r="AE95" s="79"/>
      <c r="AF95" s="79"/>
      <c r="AG95" s="79"/>
      <c r="AH95" s="79"/>
      <c r="AI95" s="79"/>
      <c r="AJ95" s="79"/>
      <c r="AK95" s="79"/>
      <c r="AL95" s="79">
        <v>205168</v>
      </c>
      <c r="AM95" s="79"/>
      <c r="AN95" s="103">
        <f t="shared" si="35"/>
        <v>205168</v>
      </c>
      <c r="AO95" s="103">
        <f t="shared" si="34"/>
        <v>205168</v>
      </c>
    </row>
    <row r="96" spans="1:41" ht="39.75" customHeight="1">
      <c r="A96" s="55"/>
      <c r="B96" s="236" t="s">
        <v>738</v>
      </c>
      <c r="C96" s="320">
        <v>0</v>
      </c>
      <c r="D96" s="320">
        <v>0</v>
      </c>
      <c r="E96" s="320">
        <v>0</v>
      </c>
      <c r="F96" s="79">
        <v>0</v>
      </c>
      <c r="G96" s="79">
        <v>0</v>
      </c>
      <c r="H96" s="153">
        <f t="shared" si="30"/>
        <v>0</v>
      </c>
      <c r="I96" s="320">
        <v>0</v>
      </c>
      <c r="J96" s="320">
        <v>0</v>
      </c>
      <c r="K96" s="79">
        <v>0</v>
      </c>
      <c r="L96" s="153">
        <f t="shared" si="31"/>
        <v>0</v>
      </c>
      <c r="M96" s="65">
        <f t="shared" si="37"/>
        <v>0</v>
      </c>
      <c r="N96" s="79">
        <v>0</v>
      </c>
      <c r="O96" s="103">
        <f t="shared" si="33"/>
        <v>0</v>
      </c>
      <c r="P96" s="79"/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103">
        <f t="shared" si="36"/>
        <v>0</v>
      </c>
      <c r="Z96" s="236" t="s">
        <v>738</v>
      </c>
      <c r="AA96" s="79"/>
      <c r="AB96" s="103"/>
      <c r="AC96" s="79"/>
      <c r="AD96" s="103"/>
      <c r="AE96" s="79"/>
      <c r="AF96" s="79"/>
      <c r="AG96" s="79"/>
      <c r="AH96" s="79"/>
      <c r="AI96" s="79"/>
      <c r="AJ96" s="79"/>
      <c r="AK96" s="79"/>
      <c r="AL96" s="79"/>
      <c r="AM96" s="79"/>
      <c r="AN96" s="103">
        <f t="shared" si="35"/>
        <v>0</v>
      </c>
      <c r="AO96" s="103">
        <f t="shared" si="34"/>
        <v>0</v>
      </c>
    </row>
    <row r="97" spans="1:41" ht="39.75" customHeight="1">
      <c r="A97" s="55"/>
      <c r="B97" s="314" t="s">
        <v>748</v>
      </c>
      <c r="C97" s="320">
        <v>0</v>
      </c>
      <c r="D97" s="320">
        <v>0</v>
      </c>
      <c r="E97" s="320">
        <v>2807</v>
      </c>
      <c r="F97" s="79">
        <v>0</v>
      </c>
      <c r="G97" s="79">
        <v>0</v>
      </c>
      <c r="H97" s="153">
        <f t="shared" si="30"/>
        <v>2807</v>
      </c>
      <c r="I97" s="320">
        <v>0</v>
      </c>
      <c r="J97" s="320">
        <v>116873</v>
      </c>
      <c r="K97" s="79">
        <v>0</v>
      </c>
      <c r="L97" s="153">
        <f t="shared" si="31"/>
        <v>116873</v>
      </c>
      <c r="M97" s="65">
        <f t="shared" si="37"/>
        <v>119680</v>
      </c>
      <c r="N97" s="79">
        <v>0</v>
      </c>
      <c r="O97" s="103">
        <f t="shared" si="33"/>
        <v>119680</v>
      </c>
      <c r="P97" s="79"/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79">
        <v>119680</v>
      </c>
      <c r="Y97" s="103">
        <f t="shared" si="36"/>
        <v>119680</v>
      </c>
      <c r="Z97" s="314" t="s">
        <v>748</v>
      </c>
      <c r="AA97" s="79"/>
      <c r="AB97" s="103"/>
      <c r="AC97" s="79"/>
      <c r="AD97" s="103"/>
      <c r="AE97" s="79"/>
      <c r="AF97" s="79"/>
      <c r="AG97" s="79"/>
      <c r="AH97" s="79"/>
      <c r="AI97" s="79"/>
      <c r="AJ97" s="79"/>
      <c r="AK97" s="79"/>
      <c r="AL97" s="79">
        <v>119680</v>
      </c>
      <c r="AM97" s="79"/>
      <c r="AN97" s="103">
        <f t="shared" si="35"/>
        <v>119680</v>
      </c>
      <c r="AO97" s="103">
        <f t="shared" si="34"/>
        <v>119680</v>
      </c>
    </row>
    <row r="98" spans="1:41" ht="26.25" customHeight="1">
      <c r="A98" s="55"/>
      <c r="B98" s="154" t="s">
        <v>747</v>
      </c>
      <c r="C98" s="320">
        <v>0</v>
      </c>
      <c r="D98" s="320">
        <v>0</v>
      </c>
      <c r="E98" s="320">
        <v>0</v>
      </c>
      <c r="F98" s="79">
        <v>0</v>
      </c>
      <c r="G98" s="79">
        <v>0</v>
      </c>
      <c r="H98" s="153">
        <f t="shared" si="30"/>
        <v>0</v>
      </c>
      <c r="I98" s="320">
        <v>0</v>
      </c>
      <c r="J98" s="320">
        <v>0</v>
      </c>
      <c r="K98" s="79">
        <v>0</v>
      </c>
      <c r="L98" s="153">
        <f t="shared" si="31"/>
        <v>0</v>
      </c>
      <c r="M98" s="65">
        <f t="shared" si="37"/>
        <v>0</v>
      </c>
      <c r="N98" s="79">
        <v>0</v>
      </c>
      <c r="O98" s="103">
        <f t="shared" si="33"/>
        <v>0</v>
      </c>
      <c r="P98" s="79"/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103">
        <f t="shared" si="36"/>
        <v>0</v>
      </c>
      <c r="Z98" s="154" t="s">
        <v>747</v>
      </c>
      <c r="AA98" s="79"/>
      <c r="AB98" s="79"/>
      <c r="AC98" s="79"/>
      <c r="AD98" s="103"/>
      <c r="AE98" s="79"/>
      <c r="AF98" s="79"/>
      <c r="AG98" s="79"/>
      <c r="AH98" s="79"/>
      <c r="AI98" s="79"/>
      <c r="AJ98" s="79"/>
      <c r="AK98" s="79"/>
      <c r="AL98" s="79"/>
      <c r="AM98" s="79"/>
      <c r="AN98" s="103">
        <f t="shared" si="35"/>
        <v>0</v>
      </c>
      <c r="AO98" s="103">
        <f t="shared" si="34"/>
        <v>0</v>
      </c>
    </row>
    <row r="99" spans="1:41" ht="24" customHeight="1">
      <c r="A99" s="55"/>
      <c r="B99" s="320" t="s">
        <v>739</v>
      </c>
      <c r="C99" s="320">
        <v>3723</v>
      </c>
      <c r="D99" s="320">
        <v>2736</v>
      </c>
      <c r="E99" s="320">
        <v>3584</v>
      </c>
      <c r="F99" s="79">
        <v>0</v>
      </c>
      <c r="G99" s="79">
        <v>0</v>
      </c>
      <c r="H99" s="153">
        <f t="shared" si="30"/>
        <v>10043</v>
      </c>
      <c r="I99" s="320">
        <v>0</v>
      </c>
      <c r="J99" s="320">
        <v>0</v>
      </c>
      <c r="K99" s="79">
        <v>0</v>
      </c>
      <c r="L99" s="153">
        <f t="shared" si="31"/>
        <v>0</v>
      </c>
      <c r="M99" s="65">
        <f t="shared" si="37"/>
        <v>10043</v>
      </c>
      <c r="N99" s="79">
        <v>0</v>
      </c>
      <c r="O99" s="103">
        <f t="shared" si="33"/>
        <v>10043</v>
      </c>
      <c r="P99" s="79"/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10043</v>
      </c>
      <c r="Y99" s="103">
        <f t="shared" si="36"/>
        <v>10043</v>
      </c>
      <c r="Z99" s="79" t="s">
        <v>739</v>
      </c>
      <c r="AA99" s="79"/>
      <c r="AB99" s="79"/>
      <c r="AC99" s="320"/>
      <c r="AD99" s="103"/>
      <c r="AE99" s="79"/>
      <c r="AF99" s="79"/>
      <c r="AG99" s="79"/>
      <c r="AH99" s="79"/>
      <c r="AI99" s="79"/>
      <c r="AJ99" s="79"/>
      <c r="AK99" s="79"/>
      <c r="AL99" s="79">
        <v>10043</v>
      </c>
      <c r="AM99" s="79"/>
      <c r="AN99" s="103">
        <f t="shared" si="35"/>
        <v>10043</v>
      </c>
      <c r="AO99" s="103">
        <f t="shared" si="34"/>
        <v>10043</v>
      </c>
    </row>
    <row r="100" spans="1:41" ht="21" customHeight="1">
      <c r="A100" s="55"/>
      <c r="B100" s="320" t="s">
        <v>740</v>
      </c>
      <c r="C100" s="320">
        <v>6798</v>
      </c>
      <c r="D100" s="320">
        <v>1193</v>
      </c>
      <c r="E100" s="320"/>
      <c r="F100" s="79">
        <v>0</v>
      </c>
      <c r="G100" s="79">
        <v>0</v>
      </c>
      <c r="H100" s="153">
        <f t="shared" si="30"/>
        <v>7991</v>
      </c>
      <c r="I100" s="320">
        <v>0</v>
      </c>
      <c r="J100" s="320">
        <v>0</v>
      </c>
      <c r="K100" s="79">
        <v>0</v>
      </c>
      <c r="L100" s="153">
        <f t="shared" si="31"/>
        <v>0</v>
      </c>
      <c r="M100" s="65">
        <f t="shared" si="37"/>
        <v>7991</v>
      </c>
      <c r="N100" s="79">
        <v>0</v>
      </c>
      <c r="O100" s="103">
        <f t="shared" si="33"/>
        <v>7991</v>
      </c>
      <c r="P100" s="79"/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79">
        <v>7991</v>
      </c>
      <c r="Y100" s="103">
        <f t="shared" si="36"/>
        <v>7991</v>
      </c>
      <c r="Z100" s="79" t="s">
        <v>740</v>
      </c>
      <c r="AA100" s="79"/>
      <c r="AB100" s="79"/>
      <c r="AC100" s="320"/>
      <c r="AD100" s="103"/>
      <c r="AE100" s="79"/>
      <c r="AF100" s="79"/>
      <c r="AG100" s="79"/>
      <c r="AH100" s="79"/>
      <c r="AI100" s="79"/>
      <c r="AJ100" s="79"/>
      <c r="AK100" s="79"/>
      <c r="AL100" s="79">
        <v>7991</v>
      </c>
      <c r="AM100" s="79"/>
      <c r="AN100" s="103">
        <f t="shared" si="35"/>
        <v>7991</v>
      </c>
      <c r="AO100" s="103">
        <f>AN100</f>
        <v>7991</v>
      </c>
    </row>
    <row r="101" spans="1:41" ht="32.25" customHeight="1">
      <c r="A101" s="55"/>
      <c r="B101" s="154" t="s">
        <v>782</v>
      </c>
      <c r="C101" s="320">
        <v>0</v>
      </c>
      <c r="D101" s="320">
        <v>0</v>
      </c>
      <c r="E101" s="320">
        <v>0</v>
      </c>
      <c r="F101" s="79">
        <v>0</v>
      </c>
      <c r="G101" s="79">
        <v>0</v>
      </c>
      <c r="H101" s="153">
        <f t="shared" si="30"/>
        <v>0</v>
      </c>
      <c r="I101" s="320">
        <v>0</v>
      </c>
      <c r="J101" s="320">
        <v>0</v>
      </c>
      <c r="K101" s="79">
        <v>0</v>
      </c>
      <c r="L101" s="153">
        <f t="shared" si="31"/>
        <v>0</v>
      </c>
      <c r="M101" s="65">
        <f t="shared" si="37"/>
        <v>0</v>
      </c>
      <c r="N101" s="79">
        <v>0</v>
      </c>
      <c r="O101" s="103">
        <f t="shared" si="33"/>
        <v>0</v>
      </c>
      <c r="P101" s="79"/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103">
        <f t="shared" si="36"/>
        <v>0</v>
      </c>
      <c r="Z101" s="154" t="s">
        <v>782</v>
      </c>
      <c r="AA101" s="79"/>
      <c r="AB101" s="79"/>
      <c r="AC101" s="320"/>
      <c r="AD101" s="103"/>
      <c r="AE101" s="79"/>
      <c r="AF101" s="79"/>
      <c r="AG101" s="79"/>
      <c r="AH101" s="79"/>
      <c r="AI101" s="79"/>
      <c r="AJ101" s="79"/>
      <c r="AK101" s="79"/>
      <c r="AL101" s="79"/>
      <c r="AM101" s="79"/>
      <c r="AN101" s="103">
        <f t="shared" si="35"/>
        <v>0</v>
      </c>
      <c r="AO101" s="103">
        <f>AN101</f>
        <v>0</v>
      </c>
    </row>
    <row r="102" spans="1:41" ht="30" customHeight="1">
      <c r="A102" s="55"/>
      <c r="B102" s="154" t="s">
        <v>783</v>
      </c>
      <c r="C102" s="320">
        <v>0</v>
      </c>
      <c r="D102" s="320">
        <v>0</v>
      </c>
      <c r="E102" s="320">
        <v>0</v>
      </c>
      <c r="F102" s="79">
        <v>0</v>
      </c>
      <c r="G102" s="79">
        <v>0</v>
      </c>
      <c r="H102" s="153">
        <f t="shared" si="30"/>
        <v>0</v>
      </c>
      <c r="I102" s="320">
        <v>0</v>
      </c>
      <c r="J102" s="320">
        <v>0</v>
      </c>
      <c r="K102" s="79">
        <v>0</v>
      </c>
      <c r="L102" s="153">
        <f t="shared" si="31"/>
        <v>0</v>
      </c>
      <c r="M102" s="65">
        <f t="shared" si="37"/>
        <v>0</v>
      </c>
      <c r="N102" s="79">
        <v>0</v>
      </c>
      <c r="O102" s="103">
        <f t="shared" si="33"/>
        <v>0</v>
      </c>
      <c r="P102" s="79"/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103">
        <f t="shared" si="36"/>
        <v>0</v>
      </c>
      <c r="Z102" s="154" t="s">
        <v>783</v>
      </c>
      <c r="AA102" s="79"/>
      <c r="AB102" s="79"/>
      <c r="AC102" s="320"/>
      <c r="AD102" s="103"/>
      <c r="AE102" s="79"/>
      <c r="AF102" s="79"/>
      <c r="AG102" s="79"/>
      <c r="AH102" s="79"/>
      <c r="AI102" s="79"/>
      <c r="AJ102" s="79"/>
      <c r="AK102" s="79"/>
      <c r="AL102" s="79"/>
      <c r="AM102" s="79"/>
      <c r="AN102" s="103">
        <f t="shared" si="35"/>
        <v>0</v>
      </c>
      <c r="AO102" s="103">
        <f>AN102</f>
        <v>0</v>
      </c>
    </row>
    <row r="103" spans="1:41" ht="44.25" customHeight="1">
      <c r="A103" s="55"/>
      <c r="B103" s="468" t="s">
        <v>803</v>
      </c>
      <c r="C103" s="320">
        <v>1048</v>
      </c>
      <c r="D103" s="320">
        <v>207</v>
      </c>
      <c r="E103" s="320">
        <v>2679</v>
      </c>
      <c r="F103" s="79">
        <v>0</v>
      </c>
      <c r="G103" s="79">
        <v>0</v>
      </c>
      <c r="H103" s="153">
        <f t="shared" si="30"/>
        <v>3934</v>
      </c>
      <c r="I103" s="320">
        <v>0</v>
      </c>
      <c r="J103" s="320">
        <v>0</v>
      </c>
      <c r="K103" s="79">
        <v>0</v>
      </c>
      <c r="L103" s="153">
        <f>SUM(I103:K103)</f>
        <v>0</v>
      </c>
      <c r="M103" s="65">
        <f>H103+L103</f>
        <v>3934</v>
      </c>
      <c r="N103" s="79">
        <v>0</v>
      </c>
      <c r="O103" s="103">
        <f t="shared" si="33"/>
        <v>3934</v>
      </c>
      <c r="P103" s="79"/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3934</v>
      </c>
      <c r="Y103" s="103">
        <f t="shared" si="36"/>
        <v>3934</v>
      </c>
      <c r="Z103" s="468" t="s">
        <v>803</v>
      </c>
      <c r="AA103" s="79"/>
      <c r="AB103" s="79"/>
      <c r="AC103" s="320"/>
      <c r="AD103" s="103"/>
      <c r="AE103" s="79"/>
      <c r="AF103" s="79"/>
      <c r="AG103" s="79"/>
      <c r="AH103" s="79"/>
      <c r="AI103" s="79"/>
      <c r="AJ103" s="79"/>
      <c r="AK103" s="79"/>
      <c r="AL103" s="79">
        <v>3934</v>
      </c>
      <c r="AM103" s="79"/>
      <c r="AN103" s="103">
        <f t="shared" si="35"/>
        <v>3934</v>
      </c>
      <c r="AO103" s="103">
        <f>AN103</f>
        <v>3934</v>
      </c>
    </row>
    <row r="104" spans="1:41" ht="22.5" customHeight="1">
      <c r="A104" s="55"/>
      <c r="B104" s="154" t="s">
        <v>784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153">
        <f t="shared" si="30"/>
        <v>0</v>
      </c>
      <c r="I104" s="79">
        <v>0</v>
      </c>
      <c r="J104" s="320">
        <v>0</v>
      </c>
      <c r="K104" s="79">
        <v>0</v>
      </c>
      <c r="L104" s="153">
        <f t="shared" si="31"/>
        <v>0</v>
      </c>
      <c r="M104" s="65">
        <f>H104+L104</f>
        <v>0</v>
      </c>
      <c r="N104" s="79">
        <v>0</v>
      </c>
      <c r="O104" s="103">
        <f t="shared" si="33"/>
        <v>0</v>
      </c>
      <c r="P104" s="79"/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79">
        <v>0</v>
      </c>
      <c r="Y104" s="103">
        <f>SUM(P104:X104)</f>
        <v>0</v>
      </c>
      <c r="Z104" s="154" t="s">
        <v>0</v>
      </c>
      <c r="AA104" s="103"/>
      <c r="AB104" s="103"/>
      <c r="AC104" s="79"/>
      <c r="AD104" s="103"/>
      <c r="AE104" s="79"/>
      <c r="AF104" s="79"/>
      <c r="AG104" s="79"/>
      <c r="AH104" s="79"/>
      <c r="AI104" s="79"/>
      <c r="AJ104" s="79"/>
      <c r="AK104" s="79"/>
      <c r="AL104" s="79"/>
      <c r="AM104" s="79"/>
      <c r="AN104" s="103">
        <f t="shared" si="35"/>
        <v>0</v>
      </c>
      <c r="AO104" s="103">
        <f t="shared" si="34"/>
        <v>0</v>
      </c>
    </row>
    <row r="105" spans="1:41" ht="42" customHeight="1">
      <c r="A105" s="55"/>
      <c r="B105" s="240" t="s">
        <v>1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153">
        <f t="shared" si="30"/>
        <v>0</v>
      </c>
      <c r="I105" s="79">
        <v>0</v>
      </c>
      <c r="J105" s="320">
        <v>0</v>
      </c>
      <c r="K105" s="79">
        <v>0</v>
      </c>
      <c r="L105" s="153">
        <v>0</v>
      </c>
      <c r="M105" s="65">
        <f>H105+L105</f>
        <v>0</v>
      </c>
      <c r="N105" s="79">
        <v>0</v>
      </c>
      <c r="O105" s="103">
        <f t="shared" si="33"/>
        <v>0</v>
      </c>
      <c r="P105" s="79"/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103">
        <f t="shared" si="36"/>
        <v>0</v>
      </c>
      <c r="Z105" s="240" t="s">
        <v>1</v>
      </c>
      <c r="AA105" s="103"/>
      <c r="AB105" s="53"/>
      <c r="AC105" s="53"/>
      <c r="AD105" s="53"/>
      <c r="AE105" s="53"/>
      <c r="AF105" s="53"/>
      <c r="AG105" s="79"/>
      <c r="AH105" s="53"/>
      <c r="AI105" s="53"/>
      <c r="AJ105" s="53"/>
      <c r="AK105" s="53"/>
      <c r="AL105" s="53"/>
      <c r="AM105" s="53"/>
      <c r="AN105" s="103">
        <f t="shared" si="35"/>
        <v>0</v>
      </c>
      <c r="AO105" s="103">
        <f t="shared" si="34"/>
        <v>0</v>
      </c>
    </row>
    <row r="106" spans="1:41" ht="42" customHeight="1">
      <c r="A106" s="55"/>
      <c r="B106" s="267" t="s">
        <v>647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  <c r="H106" s="153">
        <f t="shared" si="30"/>
        <v>0</v>
      </c>
      <c r="I106" s="79">
        <v>0</v>
      </c>
      <c r="J106" s="320">
        <v>0</v>
      </c>
      <c r="K106" s="79">
        <v>0</v>
      </c>
      <c r="L106" s="153">
        <v>0</v>
      </c>
      <c r="M106" s="65">
        <f>H106+L106</f>
        <v>0</v>
      </c>
      <c r="N106" s="79">
        <v>0</v>
      </c>
      <c r="O106" s="103">
        <f t="shared" si="33"/>
        <v>0</v>
      </c>
      <c r="P106" s="79"/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103">
        <f>SUM(Q106:X106)</f>
        <v>0</v>
      </c>
      <c r="Z106" s="267" t="s">
        <v>647</v>
      </c>
      <c r="AA106" s="79"/>
      <c r="AB106" s="79"/>
      <c r="AC106" s="53"/>
      <c r="AD106" s="79"/>
      <c r="AE106" s="53"/>
      <c r="AF106" s="53"/>
      <c r="AG106" s="79"/>
      <c r="AH106" s="53"/>
      <c r="AI106" s="53"/>
      <c r="AJ106" s="53"/>
      <c r="AK106" s="53"/>
      <c r="AL106" s="53"/>
      <c r="AM106" s="79"/>
      <c r="AN106" s="103">
        <f t="shared" si="35"/>
        <v>0</v>
      </c>
      <c r="AO106" s="103">
        <f t="shared" si="34"/>
        <v>0</v>
      </c>
    </row>
    <row r="107" spans="1:41" s="8" customFormat="1" ht="27" customHeight="1">
      <c r="A107" s="174"/>
      <c r="B107" s="238" t="s">
        <v>325</v>
      </c>
      <c r="C107" s="210">
        <f aca="true" t="shared" si="38" ref="C107:M107">SUM(C63:C104)</f>
        <v>203110</v>
      </c>
      <c r="D107" s="210">
        <f t="shared" si="38"/>
        <v>27309</v>
      </c>
      <c r="E107" s="210">
        <f t="shared" si="38"/>
        <v>141767</v>
      </c>
      <c r="F107" s="210">
        <f t="shared" si="38"/>
        <v>15200</v>
      </c>
      <c r="G107" s="210">
        <f t="shared" si="38"/>
        <v>48223</v>
      </c>
      <c r="H107" s="174">
        <f t="shared" si="38"/>
        <v>435609</v>
      </c>
      <c r="I107" s="210">
        <f t="shared" si="38"/>
        <v>1373953</v>
      </c>
      <c r="J107" s="210">
        <f t="shared" si="38"/>
        <v>203113</v>
      </c>
      <c r="K107" s="210">
        <f t="shared" si="38"/>
        <v>161</v>
      </c>
      <c r="L107" s="174">
        <f t="shared" si="38"/>
        <v>1577227</v>
      </c>
      <c r="M107" s="177">
        <f t="shared" si="38"/>
        <v>2012836</v>
      </c>
      <c r="N107" s="210">
        <f aca="true" t="shared" si="39" ref="N107:S107">SUM(N63:N106)</f>
        <v>52365</v>
      </c>
      <c r="O107" s="210">
        <f t="shared" si="39"/>
        <v>2065201</v>
      </c>
      <c r="P107" s="210">
        <f t="shared" si="39"/>
        <v>120000</v>
      </c>
      <c r="Q107" s="210">
        <f t="shared" si="39"/>
        <v>594226</v>
      </c>
      <c r="R107" s="210">
        <f t="shared" si="39"/>
        <v>0</v>
      </c>
      <c r="S107" s="210">
        <f t="shared" si="39"/>
        <v>178100</v>
      </c>
      <c r="T107" s="210">
        <f>SUM(T63:T104)</f>
        <v>36947</v>
      </c>
      <c r="U107" s="210">
        <f>SUM(U63:U104)</f>
        <v>5750</v>
      </c>
      <c r="V107" s="210">
        <f>SUM(V63:V104)</f>
        <v>78</v>
      </c>
      <c r="W107" s="210">
        <f>SUM(W63:W104)</f>
        <v>510</v>
      </c>
      <c r="X107" s="210">
        <f>SUM(X63:X104)</f>
        <v>1603137</v>
      </c>
      <c r="Y107" s="210">
        <f>SUM(Y63:Y106)</f>
        <v>2538748</v>
      </c>
      <c r="Z107" s="238" t="s">
        <v>325</v>
      </c>
      <c r="AA107" s="210">
        <f aca="true" t="shared" si="40" ref="AA107:AO107">SUM(AA63:AA106)</f>
        <v>310718</v>
      </c>
      <c r="AB107" s="210">
        <f t="shared" si="40"/>
        <v>283508</v>
      </c>
      <c r="AC107" s="210">
        <f t="shared" si="40"/>
        <v>0</v>
      </c>
      <c r="AD107" s="210">
        <f t="shared" si="40"/>
        <v>178100</v>
      </c>
      <c r="AE107" s="210">
        <f t="shared" si="40"/>
        <v>36947</v>
      </c>
      <c r="AF107" s="210">
        <f t="shared" si="40"/>
        <v>5750</v>
      </c>
      <c r="AG107" s="210">
        <f t="shared" si="40"/>
        <v>78</v>
      </c>
      <c r="AH107" s="210">
        <f t="shared" si="40"/>
        <v>510</v>
      </c>
      <c r="AI107" s="210">
        <f t="shared" si="40"/>
        <v>40000</v>
      </c>
      <c r="AJ107" s="210">
        <f t="shared" si="40"/>
        <v>0</v>
      </c>
      <c r="AK107" s="210">
        <f t="shared" si="40"/>
        <v>80000</v>
      </c>
      <c r="AL107" s="210">
        <f t="shared" si="40"/>
        <v>1603137</v>
      </c>
      <c r="AM107" s="210">
        <f t="shared" si="40"/>
        <v>0</v>
      </c>
      <c r="AN107" s="210">
        <f t="shared" si="40"/>
        <v>2534596</v>
      </c>
      <c r="AO107" s="210">
        <f t="shared" si="40"/>
        <v>2534596</v>
      </c>
    </row>
    <row r="108" spans="1:41" ht="15.75">
      <c r="A108" s="55"/>
      <c r="B108" s="55"/>
      <c r="C108" s="79">
        <f>'[7]4.mell.'!AJ6</f>
        <v>203110</v>
      </c>
      <c r="D108" s="79">
        <f>'[7]4.mell.'!AJ7</f>
        <v>27309</v>
      </c>
      <c r="E108" s="79">
        <f>'[7]4.mell.'!AJ8</f>
        <v>141767</v>
      </c>
      <c r="F108" s="79">
        <f>'[7]4.mell.'!AJ9</f>
        <v>15200</v>
      </c>
      <c r="G108" s="79">
        <f>'[7]4.mell.'!AJ10</f>
        <v>48223</v>
      </c>
      <c r="H108" s="153">
        <f>SUM(C108:G108)</f>
        <v>435609</v>
      </c>
      <c r="I108" s="79">
        <f>'[7]4.mell.'!AJ12</f>
        <v>1373953</v>
      </c>
      <c r="J108" s="79">
        <f>'[7]4.mell.'!AJ13</f>
        <v>203113</v>
      </c>
      <c r="K108" s="79">
        <f>'[7]4.mell.'!AJ14</f>
        <v>161</v>
      </c>
      <c r="L108" s="153">
        <f>SUM(I108:K108)</f>
        <v>1577227</v>
      </c>
      <c r="M108" s="65">
        <f>H108+L108</f>
        <v>2012836</v>
      </c>
      <c r="N108" s="79">
        <f>'[7]4.mell.'!AJ17</f>
        <v>52365</v>
      </c>
      <c r="O108" s="103">
        <f>M108+N108</f>
        <v>2065201</v>
      </c>
      <c r="P108" s="79">
        <f>'[7]3.mell'!AH16</f>
        <v>120000</v>
      </c>
      <c r="Q108" s="79">
        <f>'[7]3.mell'!AJ6</f>
        <v>594226</v>
      </c>
      <c r="R108" s="79">
        <f>'[7]3.mell'!AH11</f>
        <v>0</v>
      </c>
      <c r="S108" s="79">
        <f>'[7]3.mell'!AH7</f>
        <v>178100</v>
      </c>
      <c r="T108" s="79">
        <f>'[7]3.mell'!AH8</f>
        <v>36947</v>
      </c>
      <c r="U108" s="79">
        <f>'[7]3.mell'!AH12</f>
        <v>5750</v>
      </c>
      <c r="V108" s="79">
        <f>'[7]3.mell'!AH9</f>
        <v>78</v>
      </c>
      <c r="W108" s="79">
        <f>'[7]3.mell'!AH13</f>
        <v>510</v>
      </c>
      <c r="X108" s="79">
        <f>'[7]3.mell'!AJ20</f>
        <v>1603137</v>
      </c>
      <c r="Y108" s="79">
        <f>'[7]3.mell'!AJ24</f>
        <v>2538748</v>
      </c>
      <c r="Z108" s="55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103"/>
      <c r="AO108" s="103"/>
    </row>
    <row r="109" spans="1:41" ht="15.75">
      <c r="A109" s="55"/>
      <c r="B109" s="55"/>
      <c r="C109" s="79"/>
      <c r="D109" s="79"/>
      <c r="E109" s="79"/>
      <c r="F109" s="79"/>
      <c r="G109" s="79"/>
      <c r="H109" s="153"/>
      <c r="I109" s="79"/>
      <c r="J109" s="79"/>
      <c r="K109" s="79"/>
      <c r="L109" s="153"/>
      <c r="M109" s="65"/>
      <c r="N109" s="79"/>
      <c r="O109" s="103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55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360">
        <f>AN59+AN50+AN33+AN21</f>
        <v>473547</v>
      </c>
      <c r="AO109" s="176"/>
    </row>
    <row r="110" spans="1:41" s="28" customFormat="1" ht="44.25" customHeight="1">
      <c r="A110" s="153"/>
      <c r="B110" s="153" t="s">
        <v>305</v>
      </c>
      <c r="C110" s="103">
        <f aca="true" t="shared" si="41" ref="C110:O110">+C107+C58+C49+C19+C31</f>
        <v>516808</v>
      </c>
      <c r="D110" s="103">
        <f t="shared" si="41"/>
        <v>89336</v>
      </c>
      <c r="E110" s="103">
        <f t="shared" si="41"/>
        <v>390666</v>
      </c>
      <c r="F110" s="103">
        <f t="shared" si="41"/>
        <v>15200</v>
      </c>
      <c r="G110" s="103">
        <f t="shared" si="41"/>
        <v>48223</v>
      </c>
      <c r="H110" s="153">
        <f t="shared" si="41"/>
        <v>1060233</v>
      </c>
      <c r="I110" s="103">
        <f t="shared" si="41"/>
        <v>1380309</v>
      </c>
      <c r="J110" s="103">
        <f t="shared" si="41"/>
        <v>203113</v>
      </c>
      <c r="K110" s="103">
        <f t="shared" si="41"/>
        <v>1361</v>
      </c>
      <c r="L110" s="153">
        <f t="shared" si="41"/>
        <v>1584783</v>
      </c>
      <c r="M110" s="65">
        <f t="shared" si="41"/>
        <v>2645016</v>
      </c>
      <c r="N110" s="103">
        <f t="shared" si="41"/>
        <v>52365</v>
      </c>
      <c r="O110" s="103">
        <f t="shared" si="41"/>
        <v>2697381</v>
      </c>
      <c r="P110" s="103">
        <f aca="true" t="shared" si="42" ref="P110:Y110">P107+P58+P49+P31+P19</f>
        <v>120000</v>
      </c>
      <c r="Q110" s="103">
        <f t="shared" si="42"/>
        <v>656925</v>
      </c>
      <c r="R110" s="103">
        <f t="shared" si="42"/>
        <v>161</v>
      </c>
      <c r="S110" s="103">
        <f t="shared" si="42"/>
        <v>178200</v>
      </c>
      <c r="T110" s="103">
        <f t="shared" si="42"/>
        <v>127332</v>
      </c>
      <c r="U110" s="103">
        <f t="shared" si="42"/>
        <v>5750</v>
      </c>
      <c r="V110" s="103">
        <f t="shared" si="42"/>
        <v>78</v>
      </c>
      <c r="W110" s="103">
        <f t="shared" si="42"/>
        <v>1260</v>
      </c>
      <c r="X110" s="103">
        <f t="shared" si="42"/>
        <v>1607675</v>
      </c>
      <c r="Y110" s="103">
        <f t="shared" si="42"/>
        <v>2697381</v>
      </c>
      <c r="Z110" s="153" t="s">
        <v>305</v>
      </c>
      <c r="AA110" s="103">
        <f aca="true" t="shared" si="43" ref="AA110:AL110">AA58+AA49+AA31+AA19+AA107</f>
        <v>310718</v>
      </c>
      <c r="AB110" s="103">
        <f t="shared" si="43"/>
        <v>346207</v>
      </c>
      <c r="AC110" s="103">
        <f t="shared" si="43"/>
        <v>161</v>
      </c>
      <c r="AD110" s="103">
        <f t="shared" si="43"/>
        <v>178200</v>
      </c>
      <c r="AE110" s="103">
        <f t="shared" si="43"/>
        <v>127332</v>
      </c>
      <c r="AF110" s="103">
        <f t="shared" si="43"/>
        <v>5750</v>
      </c>
      <c r="AG110" s="103">
        <f t="shared" si="43"/>
        <v>78</v>
      </c>
      <c r="AH110" s="103">
        <f t="shared" si="43"/>
        <v>1260</v>
      </c>
      <c r="AI110" s="103">
        <f t="shared" si="43"/>
        <v>40000</v>
      </c>
      <c r="AJ110" s="103">
        <f t="shared" si="43"/>
        <v>0</v>
      </c>
      <c r="AK110" s="103">
        <f t="shared" si="43"/>
        <v>80000</v>
      </c>
      <c r="AL110" s="103">
        <f t="shared" si="43"/>
        <v>1607675</v>
      </c>
      <c r="AM110" s="103">
        <f>AM58+AM49+AM31+AM19+AM107</f>
        <v>473547</v>
      </c>
      <c r="AN110" s="103"/>
      <c r="AO110" s="103">
        <f>SUM(AA110:AL110)</f>
        <v>2697381</v>
      </c>
    </row>
    <row r="111" spans="3:41" ht="15.75">
      <c r="C111" s="45"/>
      <c r="D111" s="45"/>
      <c r="E111" s="45"/>
      <c r="F111" s="45"/>
      <c r="G111" s="45"/>
      <c r="I111" s="45"/>
      <c r="J111" s="45"/>
      <c r="K111" s="45"/>
      <c r="N111" s="45"/>
      <c r="O111" s="10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105"/>
      <c r="AO111" s="45"/>
    </row>
    <row r="112" spans="3:41" ht="15.75">
      <c r="C112" s="45"/>
      <c r="D112" s="45"/>
      <c r="E112" s="45"/>
      <c r="F112" s="45"/>
      <c r="G112" s="204"/>
      <c r="I112" s="45"/>
      <c r="J112" s="45"/>
      <c r="K112" s="45"/>
      <c r="N112" s="45"/>
      <c r="O112" s="10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105"/>
      <c r="AO112" s="45"/>
    </row>
    <row r="113" spans="3:41" ht="15.75">
      <c r="C113" s="45"/>
      <c r="D113" s="45"/>
      <c r="E113" s="45"/>
      <c r="F113" s="45"/>
      <c r="G113" s="204"/>
      <c r="I113" s="45"/>
      <c r="J113" s="45"/>
      <c r="K113" s="45"/>
      <c r="N113" s="45"/>
      <c r="O113" s="10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105"/>
      <c r="AO113" s="45"/>
    </row>
    <row r="114" spans="3:41" ht="15.75">
      <c r="C114" s="45"/>
      <c r="D114" s="45"/>
      <c r="E114" s="45"/>
      <c r="F114" s="45"/>
      <c r="G114" s="204"/>
      <c r="I114" s="45"/>
      <c r="J114" s="45"/>
      <c r="K114" s="45"/>
      <c r="N114" s="45"/>
      <c r="O114" s="10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105"/>
      <c r="AO114" s="45"/>
    </row>
    <row r="115" spans="3:41" ht="16.5" customHeight="1">
      <c r="C115" s="45"/>
      <c r="D115" s="45"/>
      <c r="E115" s="45"/>
      <c r="F115" s="45"/>
      <c r="G115" s="45"/>
      <c r="I115" s="45"/>
      <c r="J115" s="45"/>
      <c r="K115" s="45"/>
      <c r="N115" s="45"/>
      <c r="O115" s="10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105"/>
      <c r="AO115" s="45"/>
    </row>
    <row r="116" spans="3:41" ht="15.75">
      <c r="C116" s="45"/>
      <c r="D116" s="45"/>
      <c r="E116" s="45"/>
      <c r="F116" s="45"/>
      <c r="G116" s="45"/>
      <c r="I116" s="45"/>
      <c r="J116" s="45"/>
      <c r="K116" s="45"/>
      <c r="N116" s="45"/>
      <c r="O116" s="10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105"/>
      <c r="AO116" s="45"/>
    </row>
    <row r="117" spans="3:41" ht="15.75">
      <c r="C117" s="45"/>
      <c r="D117" s="45"/>
      <c r="E117" s="45"/>
      <c r="F117" s="45"/>
      <c r="G117" s="45"/>
      <c r="I117" s="45"/>
      <c r="J117" s="45"/>
      <c r="K117" s="45"/>
      <c r="N117" s="45"/>
      <c r="O117" s="10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105"/>
      <c r="AO117" s="45"/>
    </row>
    <row r="118" spans="3:41" ht="15.75">
      <c r="C118" s="45"/>
      <c r="D118" s="45"/>
      <c r="E118" s="45"/>
      <c r="F118" s="45"/>
      <c r="G118" s="45"/>
      <c r="I118" s="45"/>
      <c r="J118" s="45"/>
      <c r="K118" s="45"/>
      <c r="N118" s="45"/>
      <c r="O118" s="10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105"/>
      <c r="AO118" s="45"/>
    </row>
    <row r="119" spans="3:41" ht="15.75">
      <c r="C119" s="45"/>
      <c r="D119" s="45"/>
      <c r="E119" s="45"/>
      <c r="F119" s="45"/>
      <c r="G119" s="45"/>
      <c r="I119" s="45"/>
      <c r="J119" s="45"/>
      <c r="K119" s="45"/>
      <c r="N119" s="45"/>
      <c r="O119" s="10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AA119" s="45"/>
      <c r="AB119" s="45"/>
      <c r="AC119" s="45"/>
      <c r="AD119" s="45"/>
      <c r="AE119" s="45"/>
      <c r="AF119" s="5"/>
      <c r="AG119" s="45"/>
      <c r="AH119" s="45"/>
      <c r="AI119" s="45"/>
      <c r="AJ119" s="45"/>
      <c r="AK119" s="45"/>
      <c r="AL119" s="45"/>
      <c r="AM119" s="45"/>
      <c r="AN119" s="105"/>
      <c r="AO119" s="45"/>
    </row>
    <row r="120" spans="3:41" ht="15.75">
      <c r="C120" s="45"/>
      <c r="D120" s="45"/>
      <c r="E120" s="45"/>
      <c r="F120" s="45"/>
      <c r="G120" s="45"/>
      <c r="I120" s="45"/>
      <c r="J120" s="204"/>
      <c r="K120" s="45"/>
      <c r="N120" s="45"/>
      <c r="O120" s="10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AA120" s="45"/>
      <c r="AB120" s="45"/>
      <c r="AC120" s="45"/>
      <c r="AD120" s="45"/>
      <c r="AE120" s="45"/>
      <c r="AF120" s="5"/>
      <c r="AG120" s="45"/>
      <c r="AH120" s="45"/>
      <c r="AI120" s="45"/>
      <c r="AJ120" s="45"/>
      <c r="AK120" s="45"/>
      <c r="AL120" s="45"/>
      <c r="AM120" s="45"/>
      <c r="AN120" s="105"/>
      <c r="AO120" s="45"/>
    </row>
    <row r="121" spans="3:41" ht="15.75">
      <c r="C121" s="45"/>
      <c r="D121" s="45"/>
      <c r="E121" s="45"/>
      <c r="F121" s="45"/>
      <c r="G121" s="45"/>
      <c r="I121" s="45"/>
      <c r="J121" s="204"/>
      <c r="K121" s="45"/>
      <c r="N121" s="45"/>
      <c r="O121" s="10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105"/>
      <c r="AO121" s="45"/>
    </row>
    <row r="122" spans="3:41" ht="15.75">
      <c r="C122" s="45"/>
      <c r="D122" s="45"/>
      <c r="E122" s="45"/>
      <c r="F122" s="45"/>
      <c r="G122" s="45"/>
      <c r="I122" s="45"/>
      <c r="J122" s="204"/>
      <c r="K122" s="45"/>
      <c r="N122" s="45"/>
      <c r="O122" s="10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105"/>
      <c r="AO122" s="45"/>
    </row>
    <row r="123" spans="3:41" ht="15.75">
      <c r="C123" s="45"/>
      <c r="D123" s="45"/>
      <c r="E123" s="45"/>
      <c r="F123" s="45"/>
      <c r="G123" s="45"/>
      <c r="I123" s="45"/>
      <c r="J123" s="45"/>
      <c r="K123" s="45"/>
      <c r="N123" s="45"/>
      <c r="O123" s="10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105"/>
      <c r="AO123" s="45"/>
    </row>
    <row r="124" spans="3:41" ht="15.75">
      <c r="C124" s="45"/>
      <c r="D124" s="45"/>
      <c r="E124" s="45"/>
      <c r="F124" s="45"/>
      <c r="G124" s="45"/>
      <c r="I124" s="45"/>
      <c r="J124" s="45"/>
      <c r="K124" s="45"/>
      <c r="N124" s="45"/>
      <c r="O124" s="10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105"/>
      <c r="AO124" s="45"/>
    </row>
    <row r="125" spans="3:41" ht="15.75">
      <c r="C125" s="45"/>
      <c r="D125" s="45"/>
      <c r="E125" s="45"/>
      <c r="F125" s="45"/>
      <c r="G125" s="45"/>
      <c r="I125" s="45"/>
      <c r="J125" s="45"/>
      <c r="K125" s="45"/>
      <c r="N125" s="45"/>
      <c r="O125" s="10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105"/>
      <c r="AO125" s="45"/>
    </row>
    <row r="126" spans="3:41" ht="15.75">
      <c r="C126" s="45"/>
      <c r="D126" s="45"/>
      <c r="E126" s="45"/>
      <c r="F126" s="45"/>
      <c r="G126" s="45"/>
      <c r="I126" s="45"/>
      <c r="J126" s="45"/>
      <c r="K126" s="45"/>
      <c r="N126" s="45"/>
      <c r="O126" s="10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105"/>
      <c r="AO126" s="45"/>
    </row>
    <row r="127" spans="3:41" ht="15.75">
      <c r="C127" s="45"/>
      <c r="D127" s="45"/>
      <c r="E127" s="45"/>
      <c r="F127" s="45"/>
      <c r="G127" s="45"/>
      <c r="I127" s="45"/>
      <c r="J127" s="45"/>
      <c r="K127" s="45"/>
      <c r="N127" s="45"/>
      <c r="O127" s="10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105"/>
      <c r="AO127" s="45"/>
    </row>
    <row r="128" spans="3:41" ht="15.75">
      <c r="C128" s="45"/>
      <c r="D128" s="45"/>
      <c r="E128" s="45"/>
      <c r="F128" s="45"/>
      <c r="G128" s="45"/>
      <c r="I128" s="45"/>
      <c r="J128" s="45"/>
      <c r="K128" s="45"/>
      <c r="N128" s="45"/>
      <c r="O128" s="10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105"/>
      <c r="AO128" s="45"/>
    </row>
    <row r="129" spans="3:41" ht="15.75">
      <c r="C129" s="45"/>
      <c r="D129" s="45"/>
      <c r="E129" s="45"/>
      <c r="F129" s="45"/>
      <c r="G129" s="45"/>
      <c r="I129" s="45"/>
      <c r="J129" s="45"/>
      <c r="K129" s="45"/>
      <c r="N129" s="45"/>
      <c r="O129" s="10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105"/>
      <c r="AO129" s="45"/>
    </row>
    <row r="130" spans="3:41" ht="15.75">
      <c r="C130" s="45"/>
      <c r="D130" s="45"/>
      <c r="E130" s="45"/>
      <c r="F130" s="45"/>
      <c r="G130" s="45"/>
      <c r="I130" s="45"/>
      <c r="J130" s="45"/>
      <c r="K130" s="45"/>
      <c r="N130" s="45"/>
      <c r="O130" s="10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105"/>
      <c r="AO130" s="45"/>
    </row>
    <row r="131" spans="3:41" ht="15.75">
      <c r="C131" s="45"/>
      <c r="D131" s="45"/>
      <c r="E131" s="45"/>
      <c r="F131" s="45"/>
      <c r="G131" s="45"/>
      <c r="I131" s="45"/>
      <c r="J131" s="45"/>
      <c r="K131" s="45"/>
      <c r="N131" s="45"/>
      <c r="O131" s="10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105"/>
      <c r="AO131" s="45"/>
    </row>
    <row r="132" spans="3:41" ht="15.75">
      <c r="C132" s="45"/>
      <c r="D132" s="45"/>
      <c r="E132" s="45"/>
      <c r="F132" s="45"/>
      <c r="G132" s="45"/>
      <c r="I132" s="45"/>
      <c r="J132" s="45"/>
      <c r="K132" s="45"/>
      <c r="N132" s="45"/>
      <c r="O132" s="10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105"/>
      <c r="AO132" s="45"/>
    </row>
    <row r="133" spans="3:41" ht="15.75">
      <c r="C133" s="45"/>
      <c r="D133" s="45"/>
      <c r="E133" s="45"/>
      <c r="F133" s="45"/>
      <c r="G133" s="45"/>
      <c r="I133" s="45"/>
      <c r="J133" s="45"/>
      <c r="K133" s="45"/>
      <c r="N133" s="45"/>
      <c r="O133" s="10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105"/>
      <c r="AO133" s="45"/>
    </row>
    <row r="134" spans="3:41" ht="15.75">
      <c r="C134" s="45"/>
      <c r="D134" s="45"/>
      <c r="E134" s="45"/>
      <c r="F134" s="45"/>
      <c r="G134" s="45"/>
      <c r="I134" s="45"/>
      <c r="J134" s="45"/>
      <c r="K134" s="45"/>
      <c r="N134" s="45"/>
      <c r="O134" s="10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105"/>
      <c r="AO134" s="45"/>
    </row>
    <row r="135" spans="3:41" ht="15.75">
      <c r="C135" s="45"/>
      <c r="D135" s="45"/>
      <c r="E135" s="45"/>
      <c r="F135" s="45"/>
      <c r="G135" s="45"/>
      <c r="I135" s="45"/>
      <c r="J135" s="45"/>
      <c r="K135" s="45"/>
      <c r="N135" s="45"/>
      <c r="O135" s="10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105"/>
      <c r="AO135" s="45"/>
    </row>
    <row r="136" spans="3:41" ht="15.75">
      <c r="C136" s="45"/>
      <c r="D136" s="45"/>
      <c r="E136" s="45"/>
      <c r="F136" s="45"/>
      <c r="G136" s="45"/>
      <c r="I136" s="45"/>
      <c r="J136" s="45"/>
      <c r="K136" s="45"/>
      <c r="N136" s="45"/>
      <c r="O136" s="10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105"/>
      <c r="AO136" s="45"/>
    </row>
  </sheetData>
  <sheetProtection password="CD92" sheet="1"/>
  <mergeCells count="32">
    <mergeCell ref="A51:IV51"/>
    <mergeCell ref="Q52:Y52"/>
    <mergeCell ref="AA52:AO52"/>
    <mergeCell ref="AA35:AO35"/>
    <mergeCell ref="C48:O48"/>
    <mergeCell ref="C52:O52"/>
    <mergeCell ref="C23:Y23"/>
    <mergeCell ref="Q34:Y34"/>
    <mergeCell ref="Z1:AO1"/>
    <mergeCell ref="C60:O60"/>
    <mergeCell ref="C61:G61"/>
    <mergeCell ref="I61:L61"/>
    <mergeCell ref="Q61:Y61"/>
    <mergeCell ref="Q60:Y60"/>
    <mergeCell ref="AA61:AO61"/>
    <mergeCell ref="C35:Y35"/>
    <mergeCell ref="C57:O57"/>
    <mergeCell ref="C22:O22"/>
    <mergeCell ref="AA23:AO23"/>
    <mergeCell ref="C34:O34"/>
    <mergeCell ref="A1:Y1"/>
    <mergeCell ref="AA3:AO3"/>
    <mergeCell ref="C2:O2"/>
    <mergeCell ref="Q2:Y2"/>
    <mergeCell ref="C3:Y3"/>
    <mergeCell ref="Q22:Y22"/>
    <mergeCell ref="C88:O88"/>
    <mergeCell ref="Q88:Y88"/>
    <mergeCell ref="C89:G89"/>
    <mergeCell ref="I89:L89"/>
    <mergeCell ref="Q89:Y89"/>
    <mergeCell ref="AA89:AO89"/>
  </mergeCells>
  <printOptions/>
  <pageMargins left="0.2362204724409449" right="0.2362204724409449" top="0.4724409448818898" bottom="1.3385826771653544" header="0.31496062992125984" footer="0.5511811023622047"/>
  <pageSetup horizontalDpi="600" verticalDpi="600" orientation="landscape" pageOrder="overThenDown" paperSize="9" scale="40" r:id="rId1"/>
  <headerFooter alignWithMargins="0">
    <oddHeader>&amp;L12.melléklet&amp;X1&amp;R2/2019.(II.15.) ÖK rendelethez</oddHeader>
    <oddFooter>&amp;L&amp;X1&amp;XMód: 7/2019.(V.31.) ÖK rendelet</oddFooter>
  </headerFooter>
  <rowBreaks count="3" manualBreakCount="3">
    <brk id="33" max="40" man="1"/>
    <brk id="59" max="40" man="1"/>
    <brk id="87" max="40" man="1"/>
  </rowBreaks>
  <colBreaks count="1" manualBreakCount="1">
    <brk id="25" max="10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="98" zoomScaleSheetLayoutView="98" workbookViewId="0" topLeftCell="A1">
      <selection activeCell="H22" sqref="H22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41.8515625" style="0" customWidth="1"/>
    <col min="5" max="10" width="9.421875" style="0" bestFit="1" customWidth="1"/>
    <col min="11" max="11" width="9.7109375" style="0" customWidth="1"/>
    <col min="12" max="12" width="10.28125" style="0" customWidth="1"/>
    <col min="13" max="15" width="9.421875" style="0" bestFit="1" customWidth="1"/>
    <col min="16" max="16" width="10.00390625" style="0" customWidth="1"/>
  </cols>
  <sheetData>
    <row r="1" spans="15:16" ht="12.75">
      <c r="O1" s="1015"/>
      <c r="P1" s="1015"/>
    </row>
    <row r="2" spans="2:16" s="3" customFormat="1" ht="15.75">
      <c r="B2" s="1016" t="s">
        <v>153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</row>
    <row r="3" spans="2:16" s="3" customFormat="1" ht="15.75">
      <c r="B3" s="1016" t="s">
        <v>887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</row>
    <row r="4" spans="2:16" s="3" customFormat="1" ht="15.7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26" t="s">
        <v>523</v>
      </c>
    </row>
    <row r="5" spans="2:16" s="3" customFormat="1" ht="31.5">
      <c r="B5" s="110" t="s">
        <v>329</v>
      </c>
      <c r="C5" s="111" t="s">
        <v>303</v>
      </c>
      <c r="D5" s="212" t="s">
        <v>330</v>
      </c>
      <c r="E5" s="212" t="s">
        <v>331</v>
      </c>
      <c r="F5" s="212" t="s">
        <v>332</v>
      </c>
      <c r="G5" s="212" t="s">
        <v>333</v>
      </c>
      <c r="H5" s="212" t="s">
        <v>334</v>
      </c>
      <c r="I5" s="212" t="s">
        <v>335</v>
      </c>
      <c r="J5" s="212" t="s">
        <v>336</v>
      </c>
      <c r="K5" s="212" t="s">
        <v>251</v>
      </c>
      <c r="L5" s="212" t="s">
        <v>252</v>
      </c>
      <c r="M5" s="212" t="s">
        <v>253</v>
      </c>
      <c r="N5" s="212" t="s">
        <v>254</v>
      </c>
      <c r="O5" s="212" t="s">
        <v>255</v>
      </c>
      <c r="P5" s="111" t="s">
        <v>269</v>
      </c>
    </row>
    <row r="6" spans="2:16" s="4" customFormat="1" ht="18" customHeight="1">
      <c r="B6" s="107" t="s">
        <v>276</v>
      </c>
      <c r="C6" s="1018" t="s">
        <v>306</v>
      </c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</row>
    <row r="7" spans="2:16" s="4" customFormat="1" ht="18" customHeight="1">
      <c r="B7" s="107" t="s">
        <v>277</v>
      </c>
      <c r="C7" s="106" t="s">
        <v>142</v>
      </c>
      <c r="D7" s="114">
        <v>0</v>
      </c>
      <c r="E7" s="114">
        <v>0</v>
      </c>
      <c r="F7" s="114">
        <f>14326-1558</f>
        <v>12768</v>
      </c>
      <c r="G7" s="114">
        <v>0</v>
      </c>
      <c r="H7" s="114">
        <v>0</v>
      </c>
      <c r="I7" s="114">
        <v>0</v>
      </c>
      <c r="J7" s="114">
        <f aca="true" t="shared" si="0" ref="J7:O7">+I7</f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214">
        <f>SUM(D7:O7)</f>
        <v>12768</v>
      </c>
    </row>
    <row r="8" spans="2:16" s="4" customFormat="1" ht="28.5" customHeight="1">
      <c r="B8" s="107" t="s">
        <v>278</v>
      </c>
      <c r="C8" s="106" t="s">
        <v>143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214">
        <f>SUM(D8:O8)</f>
        <v>0</v>
      </c>
    </row>
    <row r="9" spans="2:16" s="4" customFormat="1" ht="18" customHeight="1">
      <c r="B9" s="107" t="s">
        <v>279</v>
      </c>
      <c r="C9" s="107" t="s">
        <v>337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214">
        <f aca="true" t="shared" si="1" ref="P9:P14">SUM(D9:O9)</f>
        <v>0</v>
      </c>
    </row>
    <row r="10" spans="2:16" s="4" customFormat="1" ht="18" customHeight="1">
      <c r="B10" s="107" t="s">
        <v>280</v>
      </c>
      <c r="C10" s="107" t="s">
        <v>355</v>
      </c>
      <c r="D10" s="114">
        <v>5248</v>
      </c>
      <c r="E10" s="114">
        <f aca="true" t="shared" si="2" ref="E10:N10">+D10</f>
        <v>5248</v>
      </c>
      <c r="F10" s="114">
        <f t="shared" si="2"/>
        <v>5248</v>
      </c>
      <c r="G10" s="114">
        <f t="shared" si="2"/>
        <v>5248</v>
      </c>
      <c r="H10" s="114">
        <f t="shared" si="2"/>
        <v>5248</v>
      </c>
      <c r="I10" s="114">
        <f t="shared" si="2"/>
        <v>5248</v>
      </c>
      <c r="J10" s="114">
        <f t="shared" si="2"/>
        <v>5248</v>
      </c>
      <c r="K10" s="114">
        <f t="shared" si="2"/>
        <v>5248</v>
      </c>
      <c r="L10" s="114">
        <f t="shared" si="2"/>
        <v>5248</v>
      </c>
      <c r="M10" s="114">
        <f t="shared" si="2"/>
        <v>5248</v>
      </c>
      <c r="N10" s="114">
        <f t="shared" si="2"/>
        <v>5248</v>
      </c>
      <c r="O10" s="114">
        <f>+N10-5</f>
        <v>5243</v>
      </c>
      <c r="P10" s="214">
        <f>SUM(D10:O10)</f>
        <v>62971</v>
      </c>
    </row>
    <row r="11" spans="2:16" s="4" customFormat="1" ht="18" customHeight="1">
      <c r="B11" s="107" t="s">
        <v>281</v>
      </c>
      <c r="C11" s="107" t="s">
        <v>317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214">
        <f t="shared" si="1"/>
        <v>0</v>
      </c>
    </row>
    <row r="12" spans="2:16" s="4" customFormat="1" ht="18" customHeight="1">
      <c r="B12" s="107" t="s">
        <v>282</v>
      </c>
      <c r="C12" s="107" t="s">
        <v>260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214">
        <f t="shared" si="1"/>
        <v>0</v>
      </c>
    </row>
    <row r="13" spans="2:16" s="4" customFormat="1" ht="18" customHeight="1">
      <c r="B13" s="107" t="s">
        <v>283</v>
      </c>
      <c r="C13" s="107" t="s">
        <v>472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214">
        <f t="shared" si="1"/>
        <v>0</v>
      </c>
    </row>
    <row r="14" spans="2:16" s="4" customFormat="1" ht="18" customHeight="1">
      <c r="B14" s="107" t="s">
        <v>284</v>
      </c>
      <c r="C14" s="107" t="s">
        <v>149</v>
      </c>
      <c r="D14" s="114">
        <v>0</v>
      </c>
      <c r="E14" s="114">
        <v>0</v>
      </c>
      <c r="F14" s="114">
        <v>1558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214">
        <f t="shared" si="1"/>
        <v>1558</v>
      </c>
    </row>
    <row r="15" spans="2:16" s="4" customFormat="1" ht="18" customHeight="1">
      <c r="B15" s="107" t="s">
        <v>285</v>
      </c>
      <c r="C15" s="107" t="s">
        <v>150</v>
      </c>
      <c r="D15" s="114">
        <f aca="true" t="shared" si="3" ref="D15:O15">+D27-D7-D8-D9-D10-D11-D12-D13-D14</f>
        <v>15811</v>
      </c>
      <c r="E15" s="114">
        <f t="shared" si="3"/>
        <v>15811</v>
      </c>
      <c r="F15" s="114">
        <f t="shared" si="3"/>
        <v>1735</v>
      </c>
      <c r="G15" s="114">
        <f t="shared" si="3"/>
        <v>15811</v>
      </c>
      <c r="H15" s="114">
        <f t="shared" si="3"/>
        <v>15811</v>
      </c>
      <c r="I15" s="114">
        <f t="shared" si="3"/>
        <v>16061</v>
      </c>
      <c r="J15" s="114">
        <f t="shared" si="3"/>
        <v>16011</v>
      </c>
      <c r="K15" s="114">
        <f t="shared" si="3"/>
        <v>16011</v>
      </c>
      <c r="L15" s="114">
        <f t="shared" si="3"/>
        <v>15811</v>
      </c>
      <c r="M15" s="114">
        <f t="shared" si="3"/>
        <v>15911</v>
      </c>
      <c r="N15" s="114">
        <f t="shared" si="3"/>
        <v>15911</v>
      </c>
      <c r="O15" s="114">
        <f t="shared" si="3"/>
        <v>15931</v>
      </c>
      <c r="P15" s="214">
        <f>SUM(D15:O15)</f>
        <v>176626</v>
      </c>
    </row>
    <row r="16" spans="2:16" s="4" customFormat="1" ht="18" customHeight="1">
      <c r="B16" s="107" t="s">
        <v>286</v>
      </c>
      <c r="C16" s="215" t="s">
        <v>338</v>
      </c>
      <c r="D16" s="223">
        <f>SUM(D7:D15)</f>
        <v>21059</v>
      </c>
      <c r="E16" s="223">
        <f aca="true" t="shared" si="4" ref="E16:O16">SUM(E7:E15)</f>
        <v>21059</v>
      </c>
      <c r="F16" s="223">
        <f t="shared" si="4"/>
        <v>21309</v>
      </c>
      <c r="G16" s="223">
        <f t="shared" si="4"/>
        <v>21059</v>
      </c>
      <c r="H16" s="223">
        <f t="shared" si="4"/>
        <v>21059</v>
      </c>
      <c r="I16" s="223">
        <f t="shared" si="4"/>
        <v>21309</v>
      </c>
      <c r="J16" s="223">
        <f t="shared" si="4"/>
        <v>21259</v>
      </c>
      <c r="K16" s="223">
        <f t="shared" si="4"/>
        <v>21259</v>
      </c>
      <c r="L16" s="223">
        <f t="shared" si="4"/>
        <v>21059</v>
      </c>
      <c r="M16" s="223">
        <f t="shared" si="4"/>
        <v>21159</v>
      </c>
      <c r="N16" s="223">
        <f t="shared" si="4"/>
        <v>21159</v>
      </c>
      <c r="O16" s="223">
        <f t="shared" si="4"/>
        <v>21174</v>
      </c>
      <c r="P16" s="224">
        <f>SUM(P7:P15)</f>
        <v>253923</v>
      </c>
    </row>
    <row r="17" spans="2:16" s="4" customFormat="1" ht="18" customHeight="1">
      <c r="B17" s="107" t="s">
        <v>287</v>
      </c>
      <c r="C17" s="1018" t="s">
        <v>310</v>
      </c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</row>
    <row r="18" spans="2:16" s="4" customFormat="1" ht="18" customHeight="1">
      <c r="B18" s="107" t="s">
        <v>288</v>
      </c>
      <c r="C18" s="107" t="s">
        <v>320</v>
      </c>
      <c r="D18" s="114">
        <v>6532</v>
      </c>
      <c r="E18" s="114">
        <v>6532</v>
      </c>
      <c r="F18" s="114">
        <v>6532</v>
      </c>
      <c r="G18" s="114">
        <v>6532</v>
      </c>
      <c r="H18" s="114">
        <v>6532</v>
      </c>
      <c r="I18" s="114">
        <v>6532</v>
      </c>
      <c r="J18" s="114">
        <v>6532</v>
      </c>
      <c r="K18" s="114">
        <v>6532</v>
      </c>
      <c r="L18" s="114">
        <v>6532</v>
      </c>
      <c r="M18" s="114">
        <v>6532</v>
      </c>
      <c r="N18" s="114">
        <v>6532</v>
      </c>
      <c r="O18" s="114">
        <f>6532+5</f>
        <v>6537</v>
      </c>
      <c r="P18" s="214">
        <f>SUM(D18:O18)</f>
        <v>78389</v>
      </c>
    </row>
    <row r="19" spans="2:16" s="4" customFormat="1" ht="18" customHeight="1">
      <c r="B19" s="107" t="s">
        <v>289</v>
      </c>
      <c r="C19" s="109" t="s">
        <v>488</v>
      </c>
      <c r="D19" s="114">
        <v>1325</v>
      </c>
      <c r="E19" s="114">
        <v>1325</v>
      </c>
      <c r="F19" s="114">
        <v>1325</v>
      </c>
      <c r="G19" s="114">
        <v>1325</v>
      </c>
      <c r="H19" s="114">
        <v>1325</v>
      </c>
      <c r="I19" s="114">
        <v>1325</v>
      </c>
      <c r="J19" s="114">
        <v>1325</v>
      </c>
      <c r="K19" s="114">
        <v>1325</v>
      </c>
      <c r="L19" s="114">
        <v>1325</v>
      </c>
      <c r="M19" s="114">
        <v>1325</v>
      </c>
      <c r="N19" s="114">
        <v>1325</v>
      </c>
      <c r="O19" s="114">
        <f>1325+4</f>
        <v>1329</v>
      </c>
      <c r="P19" s="214">
        <f>SUM(D19:O19)</f>
        <v>15904</v>
      </c>
    </row>
    <row r="20" spans="2:16" s="4" customFormat="1" ht="18" customHeight="1">
      <c r="B20" s="107" t="s">
        <v>290</v>
      </c>
      <c r="C20" s="107" t="s">
        <v>323</v>
      </c>
      <c r="D20" s="114">
        <v>13202</v>
      </c>
      <c r="E20" s="114">
        <f aca="true" t="shared" si="5" ref="E20:N20">+D20</f>
        <v>13202</v>
      </c>
      <c r="F20" s="114">
        <f t="shared" si="5"/>
        <v>13202</v>
      </c>
      <c r="G20" s="114">
        <f t="shared" si="5"/>
        <v>13202</v>
      </c>
      <c r="H20" s="114">
        <f t="shared" si="5"/>
        <v>13202</v>
      </c>
      <c r="I20" s="114">
        <f t="shared" si="5"/>
        <v>13202</v>
      </c>
      <c r="J20" s="114">
        <f t="shared" si="5"/>
        <v>13202</v>
      </c>
      <c r="K20" s="114">
        <f t="shared" si="5"/>
        <v>13202</v>
      </c>
      <c r="L20" s="114">
        <f t="shared" si="5"/>
        <v>13202</v>
      </c>
      <c r="M20" s="114">
        <f t="shared" si="5"/>
        <v>13202</v>
      </c>
      <c r="N20" s="114">
        <f t="shared" si="5"/>
        <v>13202</v>
      </c>
      <c r="O20" s="114">
        <f>+N20+6</f>
        <v>13208</v>
      </c>
      <c r="P20" s="214">
        <f aca="true" t="shared" si="6" ref="P20:P25">SUM(D20:O20)</f>
        <v>158430</v>
      </c>
    </row>
    <row r="21" spans="2:16" s="4" customFormat="1" ht="18" customHeight="1">
      <c r="B21" s="107" t="s">
        <v>291</v>
      </c>
      <c r="C21" s="107" t="s">
        <v>339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214">
        <f t="shared" si="6"/>
        <v>0</v>
      </c>
    </row>
    <row r="22" spans="2:16" s="4" customFormat="1" ht="18" customHeight="1">
      <c r="B22" s="107" t="s">
        <v>292</v>
      </c>
      <c r="C22" s="107" t="s">
        <v>145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214">
        <f t="shared" si="6"/>
        <v>0</v>
      </c>
    </row>
    <row r="23" spans="2:16" s="4" customFormat="1" ht="18" customHeight="1">
      <c r="B23" s="107" t="s">
        <v>293</v>
      </c>
      <c r="C23" s="107" t="s">
        <v>402</v>
      </c>
      <c r="D23" s="114">
        <v>0</v>
      </c>
      <c r="E23" s="114">
        <v>0</v>
      </c>
      <c r="F23" s="114">
        <v>250</v>
      </c>
      <c r="G23" s="114">
        <v>0</v>
      </c>
      <c r="H23" s="114">
        <v>0</v>
      </c>
      <c r="I23" s="114">
        <v>250</v>
      </c>
      <c r="J23" s="114">
        <f>127+73</f>
        <v>200</v>
      </c>
      <c r="K23" s="114">
        <v>200</v>
      </c>
      <c r="L23" s="114">
        <v>0</v>
      </c>
      <c r="M23" s="114">
        <v>100</v>
      </c>
      <c r="N23" s="114">
        <v>100</v>
      </c>
      <c r="O23" s="114">
        <f>100</f>
        <v>100</v>
      </c>
      <c r="P23" s="214">
        <f t="shared" si="6"/>
        <v>1200</v>
      </c>
    </row>
    <row r="24" spans="2:16" s="4" customFormat="1" ht="18" customHeight="1">
      <c r="B24" s="107" t="s">
        <v>294</v>
      </c>
      <c r="C24" s="107" t="s">
        <v>403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214">
        <f t="shared" si="6"/>
        <v>0</v>
      </c>
    </row>
    <row r="25" spans="2:16" s="4" customFormat="1" ht="18" customHeight="1">
      <c r="B25" s="107" t="s">
        <v>296</v>
      </c>
      <c r="C25" s="107" t="s">
        <v>146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214">
        <f t="shared" si="6"/>
        <v>0</v>
      </c>
    </row>
    <row r="26" spans="2:16" s="4" customFormat="1" ht="18" customHeight="1">
      <c r="B26" s="107" t="s">
        <v>297</v>
      </c>
      <c r="C26" s="1019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</row>
    <row r="27" spans="2:16" s="4" customFormat="1" ht="18" customHeight="1">
      <c r="B27" s="215" t="s">
        <v>298</v>
      </c>
      <c r="C27" s="215" t="s">
        <v>340</v>
      </c>
      <c r="D27" s="223">
        <f aca="true" t="shared" si="7" ref="D27:O27">SUM(D18:D26)</f>
        <v>21059</v>
      </c>
      <c r="E27" s="223">
        <f t="shared" si="7"/>
        <v>21059</v>
      </c>
      <c r="F27" s="223">
        <f t="shared" si="7"/>
        <v>21309</v>
      </c>
      <c r="G27" s="223">
        <f t="shared" si="7"/>
        <v>21059</v>
      </c>
      <c r="H27" s="223">
        <f t="shared" si="7"/>
        <v>21059</v>
      </c>
      <c r="I27" s="223">
        <f t="shared" si="7"/>
        <v>21309</v>
      </c>
      <c r="J27" s="223">
        <f t="shared" si="7"/>
        <v>21259</v>
      </c>
      <c r="K27" s="223">
        <f t="shared" si="7"/>
        <v>21259</v>
      </c>
      <c r="L27" s="223">
        <f t="shared" si="7"/>
        <v>21059</v>
      </c>
      <c r="M27" s="223">
        <f t="shared" si="7"/>
        <v>21159</v>
      </c>
      <c r="N27" s="223">
        <f t="shared" si="7"/>
        <v>21159</v>
      </c>
      <c r="O27" s="223">
        <f t="shared" si="7"/>
        <v>21174</v>
      </c>
      <c r="P27" s="224">
        <f>SUM(P18:P26)</f>
        <v>253923</v>
      </c>
    </row>
    <row r="28" spans="2:16" s="4" customFormat="1" ht="18" customHeight="1">
      <c r="B28" s="215" t="s">
        <v>299</v>
      </c>
      <c r="C28" s="218" t="s">
        <v>341</v>
      </c>
      <c r="D28" s="225">
        <f aca="true" t="shared" si="8" ref="D28:P28">+D27-D16</f>
        <v>0</v>
      </c>
      <c r="E28" s="225">
        <f t="shared" si="8"/>
        <v>0</v>
      </c>
      <c r="F28" s="225">
        <f t="shared" si="8"/>
        <v>0</v>
      </c>
      <c r="G28" s="225">
        <f t="shared" si="8"/>
        <v>0</v>
      </c>
      <c r="H28" s="225">
        <f t="shared" si="8"/>
        <v>0</v>
      </c>
      <c r="I28" s="225">
        <f t="shared" si="8"/>
        <v>0</v>
      </c>
      <c r="J28" s="225">
        <f t="shared" si="8"/>
        <v>0</v>
      </c>
      <c r="K28" s="225">
        <f t="shared" si="8"/>
        <v>0</v>
      </c>
      <c r="L28" s="225">
        <f t="shared" si="8"/>
        <v>0</v>
      </c>
      <c r="M28" s="225">
        <f t="shared" si="8"/>
        <v>0</v>
      </c>
      <c r="N28" s="225">
        <f t="shared" si="8"/>
        <v>0</v>
      </c>
      <c r="O28" s="225">
        <f t="shared" si="8"/>
        <v>0</v>
      </c>
      <c r="P28" s="225">
        <f t="shared" si="8"/>
        <v>0</v>
      </c>
    </row>
    <row r="29" spans="2:16" ht="15.75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2:16" ht="15.75">
      <c r="B30" s="10"/>
      <c r="C30" s="13"/>
      <c r="D30" s="1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</sheetData>
  <sheetProtection password="CD92" sheet="1"/>
  <mergeCells count="6">
    <mergeCell ref="O1:P1"/>
    <mergeCell ref="B2:P2"/>
    <mergeCell ref="B3:P3"/>
    <mergeCell ref="C6:P6"/>
    <mergeCell ref="C17:P17"/>
    <mergeCell ref="C26:P26"/>
  </mergeCells>
  <printOptions/>
  <pageMargins left="0.7086614173228347" right="0.7086614173228347" top="0.7480314960629921" bottom="1.2598425196850394" header="0.31496062992125984" footer="0.31496062992125984"/>
  <pageSetup horizontalDpi="600" verticalDpi="600" orientation="landscape" paperSize="9" scale="75" r:id="rId1"/>
  <headerFooter>
    <oddHeader>&amp;L13.melléklet&amp;X1&amp;R2/2019.(II.15.) ÖK rendelethez</oddHeader>
    <oddFooter>&amp;L&amp;X1&amp;XMód: 7/2019.(V.31.) Ök rendelet</oddFooter>
  </headerFooter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P31"/>
  <sheetViews>
    <sheetView view="pageBreakPreview" zoomScaleNormal="73" zoomScaleSheetLayoutView="100" zoomScalePageLayoutView="73" workbookViewId="0" topLeftCell="A1">
      <selection activeCell="C27" sqref="C27:P27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50.7109375" style="0" customWidth="1"/>
    <col min="16" max="16" width="10.00390625" style="0" customWidth="1"/>
  </cols>
  <sheetData>
    <row r="1" spans="15:16" ht="12.75">
      <c r="O1" s="1015"/>
      <c r="P1" s="1015"/>
    </row>
    <row r="2" spans="2:16" ht="15.75">
      <c r="B2" s="1016" t="s">
        <v>152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</row>
    <row r="3" spans="2:16" ht="15.75">
      <c r="B3" s="1016" t="s">
        <v>887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</row>
    <row r="4" spans="2:16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3"/>
    </row>
    <row r="5" spans="2:16" ht="15.7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26" t="s">
        <v>523</v>
      </c>
    </row>
    <row r="6" spans="2:16" ht="31.5">
      <c r="B6" s="110" t="s">
        <v>329</v>
      </c>
      <c r="C6" s="111" t="s">
        <v>303</v>
      </c>
      <c r="D6" s="212" t="s">
        <v>330</v>
      </c>
      <c r="E6" s="212" t="s">
        <v>331</v>
      </c>
      <c r="F6" s="212" t="s">
        <v>332</v>
      </c>
      <c r="G6" s="212" t="s">
        <v>333</v>
      </c>
      <c r="H6" s="212" t="s">
        <v>334</v>
      </c>
      <c r="I6" s="212" t="s">
        <v>335</v>
      </c>
      <c r="J6" s="212" t="s">
        <v>336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111" t="s">
        <v>269</v>
      </c>
    </row>
    <row r="7" spans="2:16" ht="18" customHeight="1">
      <c r="B7" s="107" t="s">
        <v>276</v>
      </c>
      <c r="C7" s="1018" t="s">
        <v>306</v>
      </c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</row>
    <row r="8" spans="2:16" ht="18" customHeight="1">
      <c r="B8" s="107" t="s">
        <v>277</v>
      </c>
      <c r="C8" s="106" t="s">
        <v>142</v>
      </c>
      <c r="D8" s="114">
        <v>4171</v>
      </c>
      <c r="E8" s="114">
        <f>+D8</f>
        <v>4171</v>
      </c>
      <c r="F8" s="114">
        <f>+E8-397</f>
        <v>3774</v>
      </c>
      <c r="G8" s="114">
        <v>4171</v>
      </c>
      <c r="H8" s="114">
        <f aca="true" t="shared" si="0" ref="H8:N8">+G8</f>
        <v>4171</v>
      </c>
      <c r="I8" s="114">
        <f t="shared" si="0"/>
        <v>4171</v>
      </c>
      <c r="J8" s="114">
        <f t="shared" si="0"/>
        <v>4171</v>
      </c>
      <c r="K8" s="114">
        <f t="shared" si="0"/>
        <v>4171</v>
      </c>
      <c r="L8" s="114">
        <f t="shared" si="0"/>
        <v>4171</v>
      </c>
      <c r="M8" s="114">
        <f t="shared" si="0"/>
        <v>4171</v>
      </c>
      <c r="N8" s="114">
        <f t="shared" si="0"/>
        <v>4171</v>
      </c>
      <c r="O8" s="114">
        <f>+N8+5</f>
        <v>4176</v>
      </c>
      <c r="P8" s="214">
        <f aca="true" t="shared" si="1" ref="P8:P15">SUM(D8:O8)</f>
        <v>49660</v>
      </c>
    </row>
    <row r="9" spans="2:16" ht="18" customHeight="1">
      <c r="B9" s="107" t="s">
        <v>278</v>
      </c>
      <c r="C9" s="106" t="s">
        <v>143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214">
        <f t="shared" si="1"/>
        <v>0</v>
      </c>
    </row>
    <row r="10" spans="2:16" ht="18" customHeight="1">
      <c r="B10" s="107" t="s">
        <v>279</v>
      </c>
      <c r="C10" s="107" t="s">
        <v>337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214">
        <f t="shared" si="1"/>
        <v>0</v>
      </c>
    </row>
    <row r="11" spans="2:16" ht="18" customHeight="1">
      <c r="B11" s="107" t="s">
        <v>280</v>
      </c>
      <c r="C11" s="107" t="s">
        <v>355</v>
      </c>
      <c r="D11" s="114">
        <v>1089</v>
      </c>
      <c r="E11" s="114">
        <f aca="true" t="shared" si="2" ref="E11:N11">+D11</f>
        <v>1089</v>
      </c>
      <c r="F11" s="114">
        <f>+E11+1</f>
        <v>1090</v>
      </c>
      <c r="G11" s="114">
        <v>1089</v>
      </c>
      <c r="H11" s="114">
        <f t="shared" si="2"/>
        <v>1089</v>
      </c>
      <c r="I11" s="114">
        <f t="shared" si="2"/>
        <v>1089</v>
      </c>
      <c r="J11" s="114">
        <f t="shared" si="2"/>
        <v>1089</v>
      </c>
      <c r="K11" s="114">
        <f t="shared" si="2"/>
        <v>1089</v>
      </c>
      <c r="L11" s="114">
        <f t="shared" si="2"/>
        <v>1089</v>
      </c>
      <c r="M11" s="114">
        <f t="shared" si="2"/>
        <v>1089</v>
      </c>
      <c r="N11" s="114">
        <f t="shared" si="2"/>
        <v>1089</v>
      </c>
      <c r="O11" s="114">
        <f>+N11+5</f>
        <v>1094</v>
      </c>
      <c r="P11" s="214">
        <f t="shared" si="1"/>
        <v>13074</v>
      </c>
    </row>
    <row r="12" spans="2:16" ht="18" customHeight="1">
      <c r="B12" s="107" t="s">
        <v>281</v>
      </c>
      <c r="C12" s="107" t="s">
        <v>317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214">
        <f t="shared" si="1"/>
        <v>0</v>
      </c>
    </row>
    <row r="13" spans="2:16" ht="18" customHeight="1">
      <c r="B13" s="107" t="s">
        <v>282</v>
      </c>
      <c r="C13" s="107" t="s">
        <v>404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214">
        <f t="shared" si="1"/>
        <v>0</v>
      </c>
    </row>
    <row r="14" spans="2:16" ht="18" customHeight="1">
      <c r="B14" s="107" t="s">
        <v>283</v>
      </c>
      <c r="C14" s="107" t="s">
        <v>472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214">
        <f t="shared" si="1"/>
        <v>0</v>
      </c>
    </row>
    <row r="15" spans="2:16" ht="18" customHeight="1">
      <c r="B15" s="107" t="s">
        <v>284</v>
      </c>
      <c r="C15" s="107" t="s">
        <v>149</v>
      </c>
      <c r="D15" s="114">
        <v>0</v>
      </c>
      <c r="E15" s="114">
        <v>0</v>
      </c>
      <c r="F15" s="114">
        <v>396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214">
        <f t="shared" si="1"/>
        <v>396</v>
      </c>
    </row>
    <row r="16" spans="2:16" ht="18" customHeight="1">
      <c r="B16" s="107" t="s">
        <v>285</v>
      </c>
      <c r="C16" s="107" t="s">
        <v>150</v>
      </c>
      <c r="D16" s="114">
        <f>+D28-D8-D9-D10-D11-D12-D13-D14-D15</f>
        <v>10425</v>
      </c>
      <c r="E16" s="114">
        <f aca="true" t="shared" si="3" ref="E16:O16">+E28-E8-E9-E10-E11-E12-E13-E14-E15</f>
        <v>10425</v>
      </c>
      <c r="F16" s="114">
        <f t="shared" si="3"/>
        <v>10725</v>
      </c>
      <c r="G16" s="114">
        <f t="shared" si="3"/>
        <v>10525</v>
      </c>
      <c r="H16" s="114">
        <f t="shared" si="3"/>
        <v>10625</v>
      </c>
      <c r="I16" s="114">
        <f t="shared" si="3"/>
        <v>10425</v>
      </c>
      <c r="J16" s="114">
        <f t="shared" si="3"/>
        <v>10425</v>
      </c>
      <c r="K16" s="114">
        <f t="shared" si="3"/>
        <v>10425</v>
      </c>
      <c r="L16" s="114">
        <f t="shared" si="3"/>
        <v>10625</v>
      </c>
      <c r="M16" s="114">
        <f t="shared" si="3"/>
        <v>10425</v>
      </c>
      <c r="N16" s="114">
        <f t="shared" si="3"/>
        <v>10625</v>
      </c>
      <c r="O16" s="114">
        <f t="shared" si="3"/>
        <v>10426</v>
      </c>
      <c r="P16" s="214">
        <f>SUM(D16:O16)</f>
        <v>126101</v>
      </c>
    </row>
    <row r="17" spans="2:16" ht="18" customHeight="1">
      <c r="B17" s="107" t="s">
        <v>286</v>
      </c>
      <c r="C17" s="215" t="s">
        <v>338</v>
      </c>
      <c r="D17" s="223">
        <f>SUM(D8:D16)</f>
        <v>15685</v>
      </c>
      <c r="E17" s="223">
        <f aca="true" t="shared" si="4" ref="E17:O17">SUM(E8:E16)</f>
        <v>15685</v>
      </c>
      <c r="F17" s="223">
        <f t="shared" si="4"/>
        <v>15985</v>
      </c>
      <c r="G17" s="223">
        <f t="shared" si="4"/>
        <v>15785</v>
      </c>
      <c r="H17" s="223">
        <f t="shared" si="4"/>
        <v>15885</v>
      </c>
      <c r="I17" s="223">
        <f t="shared" si="4"/>
        <v>15685</v>
      </c>
      <c r="J17" s="223">
        <f t="shared" si="4"/>
        <v>15685</v>
      </c>
      <c r="K17" s="223">
        <f t="shared" si="4"/>
        <v>15685</v>
      </c>
      <c r="L17" s="223">
        <f t="shared" si="4"/>
        <v>15885</v>
      </c>
      <c r="M17" s="223">
        <f t="shared" si="4"/>
        <v>15685</v>
      </c>
      <c r="N17" s="223">
        <f t="shared" si="4"/>
        <v>15885</v>
      </c>
      <c r="O17" s="223">
        <f t="shared" si="4"/>
        <v>15696</v>
      </c>
      <c r="P17" s="224">
        <f>SUM(P8:P16)</f>
        <v>189231</v>
      </c>
    </row>
    <row r="18" spans="2:16" ht="18" customHeight="1">
      <c r="B18" s="107" t="s">
        <v>287</v>
      </c>
      <c r="C18" s="1018" t="s">
        <v>310</v>
      </c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</row>
    <row r="19" spans="2:16" ht="18" customHeight="1">
      <c r="B19" s="107" t="s">
        <v>288</v>
      </c>
      <c r="C19" s="107" t="s">
        <v>320</v>
      </c>
      <c r="D19" s="114">
        <v>9865</v>
      </c>
      <c r="E19" s="114">
        <f>+D19</f>
        <v>9865</v>
      </c>
      <c r="F19" s="114">
        <f aca="true" t="shared" si="5" ref="F19:N21">+E19</f>
        <v>9865</v>
      </c>
      <c r="G19" s="114">
        <f t="shared" si="5"/>
        <v>9865</v>
      </c>
      <c r="H19" s="114">
        <f t="shared" si="5"/>
        <v>9865</v>
      </c>
      <c r="I19" s="114">
        <f>+H19</f>
        <v>9865</v>
      </c>
      <c r="J19" s="114">
        <f t="shared" si="5"/>
        <v>9865</v>
      </c>
      <c r="K19" s="114">
        <f t="shared" si="5"/>
        <v>9865</v>
      </c>
      <c r="L19" s="114">
        <f t="shared" si="5"/>
        <v>9865</v>
      </c>
      <c r="M19" s="114">
        <f t="shared" si="5"/>
        <v>9865</v>
      </c>
      <c r="N19" s="114">
        <f t="shared" si="5"/>
        <v>9865</v>
      </c>
      <c r="O19" s="114">
        <f>+N19-5</f>
        <v>9860</v>
      </c>
      <c r="P19" s="214">
        <f>SUM(D19:O19)</f>
        <v>118375</v>
      </c>
    </row>
    <row r="20" spans="2:16" ht="18" customHeight="1">
      <c r="B20" s="107" t="s">
        <v>289</v>
      </c>
      <c r="C20" s="109" t="s">
        <v>488</v>
      </c>
      <c r="D20" s="114">
        <v>1895</v>
      </c>
      <c r="E20" s="114">
        <f>+D20</f>
        <v>1895</v>
      </c>
      <c r="F20" s="114">
        <f t="shared" si="5"/>
        <v>1895</v>
      </c>
      <c r="G20" s="114">
        <f t="shared" si="5"/>
        <v>1895</v>
      </c>
      <c r="H20" s="114">
        <f t="shared" si="5"/>
        <v>1895</v>
      </c>
      <c r="I20" s="114">
        <f>+H20</f>
        <v>1895</v>
      </c>
      <c r="J20" s="114">
        <f t="shared" si="5"/>
        <v>1895</v>
      </c>
      <c r="K20" s="114">
        <f t="shared" si="5"/>
        <v>1895</v>
      </c>
      <c r="L20" s="114">
        <f t="shared" si="5"/>
        <v>1895</v>
      </c>
      <c r="M20" s="114">
        <f t="shared" si="5"/>
        <v>1895</v>
      </c>
      <c r="N20" s="114">
        <f t="shared" si="5"/>
        <v>1895</v>
      </c>
      <c r="O20" s="114">
        <f>+N20+5</f>
        <v>1900</v>
      </c>
      <c r="P20" s="214">
        <f aca="true" t="shared" si="6" ref="P20:P26">SUM(D20:O20)</f>
        <v>22745</v>
      </c>
    </row>
    <row r="21" spans="2:16" ht="18" customHeight="1">
      <c r="B21" s="107" t="s">
        <v>290</v>
      </c>
      <c r="C21" s="107" t="s">
        <v>323</v>
      </c>
      <c r="D21" s="114">
        <v>3925</v>
      </c>
      <c r="E21" s="114">
        <f>+D21</f>
        <v>3925</v>
      </c>
      <c r="F21" s="114">
        <f t="shared" si="5"/>
        <v>3925</v>
      </c>
      <c r="G21" s="114">
        <f t="shared" si="5"/>
        <v>3925</v>
      </c>
      <c r="H21" s="114">
        <f t="shared" si="5"/>
        <v>3925</v>
      </c>
      <c r="I21" s="114">
        <f>+H21</f>
        <v>3925</v>
      </c>
      <c r="J21" s="114">
        <f t="shared" si="5"/>
        <v>3925</v>
      </c>
      <c r="K21" s="114">
        <f t="shared" si="5"/>
        <v>3925</v>
      </c>
      <c r="L21" s="114">
        <f t="shared" si="5"/>
        <v>3925</v>
      </c>
      <c r="M21" s="114">
        <f t="shared" si="5"/>
        <v>3925</v>
      </c>
      <c r="N21" s="114">
        <f t="shared" si="5"/>
        <v>3925</v>
      </c>
      <c r="O21" s="114">
        <f>+N21+11</f>
        <v>3936</v>
      </c>
      <c r="P21" s="214">
        <f t="shared" si="6"/>
        <v>47111</v>
      </c>
    </row>
    <row r="22" spans="2:16" ht="18" customHeight="1">
      <c r="B22" s="107" t="s">
        <v>291</v>
      </c>
      <c r="C22" s="107" t="s">
        <v>339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214">
        <f t="shared" si="6"/>
        <v>0</v>
      </c>
    </row>
    <row r="23" spans="2:16" ht="18" customHeight="1">
      <c r="B23" s="107" t="s">
        <v>292</v>
      </c>
      <c r="C23" s="107" t="s">
        <v>145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214">
        <f t="shared" si="6"/>
        <v>0</v>
      </c>
    </row>
    <row r="24" spans="2:16" ht="18" customHeight="1">
      <c r="B24" s="107" t="s">
        <v>293</v>
      </c>
      <c r="C24" s="107" t="s">
        <v>402</v>
      </c>
      <c r="D24" s="114">
        <v>0</v>
      </c>
      <c r="E24" s="114">
        <v>0</v>
      </c>
      <c r="F24" s="114">
        <v>300</v>
      </c>
      <c r="G24" s="114">
        <v>100</v>
      </c>
      <c r="H24" s="114">
        <v>200</v>
      </c>
      <c r="I24" s="114">
        <v>0</v>
      </c>
      <c r="J24" s="114">
        <v>0</v>
      </c>
      <c r="K24" s="114">
        <v>0</v>
      </c>
      <c r="L24" s="114">
        <v>200</v>
      </c>
      <c r="M24" s="114">
        <v>0</v>
      </c>
      <c r="N24" s="114">
        <v>200</v>
      </c>
      <c r="O24" s="114">
        <v>0</v>
      </c>
      <c r="P24" s="214">
        <f t="shared" si="6"/>
        <v>1000</v>
      </c>
    </row>
    <row r="25" spans="2:16" ht="18" customHeight="1">
      <c r="B25" s="107" t="s">
        <v>294</v>
      </c>
      <c r="C25" s="107" t="s">
        <v>403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214">
        <f t="shared" si="6"/>
        <v>0</v>
      </c>
    </row>
    <row r="26" spans="2:16" ht="18" customHeight="1">
      <c r="B26" s="107" t="s">
        <v>296</v>
      </c>
      <c r="C26" s="107" t="s">
        <v>146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214">
        <f t="shared" si="6"/>
        <v>0</v>
      </c>
    </row>
    <row r="27" spans="2:16" ht="18" customHeight="1">
      <c r="B27" s="107" t="s">
        <v>297</v>
      </c>
      <c r="C27" s="1019"/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1020"/>
      <c r="P27" s="1020"/>
    </row>
    <row r="28" spans="2:16" ht="18" customHeight="1">
      <c r="B28" s="215" t="s">
        <v>298</v>
      </c>
      <c r="C28" s="215" t="s">
        <v>340</v>
      </c>
      <c r="D28" s="223">
        <f aca="true" t="shared" si="7" ref="D28:O28">SUM(D19:D27)</f>
        <v>15685</v>
      </c>
      <c r="E28" s="223">
        <f t="shared" si="7"/>
        <v>15685</v>
      </c>
      <c r="F28" s="223">
        <f t="shared" si="7"/>
        <v>15985</v>
      </c>
      <c r="G28" s="223">
        <f t="shared" si="7"/>
        <v>15785</v>
      </c>
      <c r="H28" s="223">
        <f t="shared" si="7"/>
        <v>15885</v>
      </c>
      <c r="I28" s="223">
        <f t="shared" si="7"/>
        <v>15685</v>
      </c>
      <c r="J28" s="223">
        <f t="shared" si="7"/>
        <v>15685</v>
      </c>
      <c r="K28" s="223">
        <f t="shared" si="7"/>
        <v>15685</v>
      </c>
      <c r="L28" s="223">
        <f t="shared" si="7"/>
        <v>15885</v>
      </c>
      <c r="M28" s="223">
        <f t="shared" si="7"/>
        <v>15685</v>
      </c>
      <c r="N28" s="223">
        <f t="shared" si="7"/>
        <v>15885</v>
      </c>
      <c r="O28" s="223">
        <f t="shared" si="7"/>
        <v>15696</v>
      </c>
      <c r="P28" s="224">
        <f>SUM(P19:P27)</f>
        <v>189231</v>
      </c>
    </row>
    <row r="29" spans="2:16" ht="18" customHeight="1">
      <c r="B29" s="215" t="s">
        <v>299</v>
      </c>
      <c r="C29" s="218" t="s">
        <v>341</v>
      </c>
      <c r="D29" s="225">
        <f aca="true" t="shared" si="8" ref="D29:P29">+D28-D17</f>
        <v>0</v>
      </c>
      <c r="E29" s="225">
        <f t="shared" si="8"/>
        <v>0</v>
      </c>
      <c r="F29" s="225">
        <f t="shared" si="8"/>
        <v>0</v>
      </c>
      <c r="G29" s="225">
        <f t="shared" si="8"/>
        <v>0</v>
      </c>
      <c r="H29" s="225">
        <f t="shared" si="8"/>
        <v>0</v>
      </c>
      <c r="I29" s="225">
        <f t="shared" si="8"/>
        <v>0</v>
      </c>
      <c r="J29" s="225">
        <f t="shared" si="8"/>
        <v>0</v>
      </c>
      <c r="K29" s="225">
        <f t="shared" si="8"/>
        <v>0</v>
      </c>
      <c r="L29" s="225">
        <f t="shared" si="8"/>
        <v>0</v>
      </c>
      <c r="M29" s="225">
        <f t="shared" si="8"/>
        <v>0</v>
      </c>
      <c r="N29" s="225">
        <f t="shared" si="8"/>
        <v>0</v>
      </c>
      <c r="O29" s="225">
        <f t="shared" si="8"/>
        <v>0</v>
      </c>
      <c r="P29" s="225">
        <f t="shared" si="8"/>
        <v>0</v>
      </c>
    </row>
    <row r="30" spans="2:16" ht="15.7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  <row r="31" spans="2:16" ht="15.75">
      <c r="B31" s="10"/>
      <c r="C31" s="13"/>
      <c r="D31" s="15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</sheetData>
  <sheetProtection password="CD92" sheet="1"/>
  <mergeCells count="6">
    <mergeCell ref="C27:P27"/>
    <mergeCell ref="C7:P7"/>
    <mergeCell ref="C18:P18"/>
    <mergeCell ref="O1:P1"/>
    <mergeCell ref="B2:P2"/>
    <mergeCell ref="B3:P3"/>
  </mergeCells>
  <printOptions/>
  <pageMargins left="0.3937007874015748" right="0.2362204724409449" top="0.35433070866141736" bottom="1.6141732283464567" header="0.35433070866141736" footer="0.6299212598425197"/>
  <pageSetup horizontalDpi="600" verticalDpi="600" orientation="landscape" paperSize="9" scale="78" r:id="rId1"/>
  <headerFooter alignWithMargins="0">
    <oddHeader>&amp;L14.melléklet&amp;X1&amp;R2/2019.(II.15.) ÖK rendelethez</oddHeader>
    <oddFooter>&amp;L&amp;X1&amp;XMód: 7/2019.(V.31.) ÖK rendelet</oddFooter>
  </headerFooter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P30"/>
  <sheetViews>
    <sheetView view="pageBreakPreview" zoomScaleSheetLayoutView="100" workbookViewId="0" topLeftCell="A1">
      <selection activeCell="D27" sqref="D27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50.8515625" style="0" customWidth="1"/>
    <col min="9" max="9" width="8.421875" style="0" customWidth="1"/>
    <col min="10" max="10" width="7.57421875" style="0" customWidth="1"/>
    <col min="11" max="11" width="9.7109375" style="0" customWidth="1"/>
    <col min="12" max="12" width="11.00390625" style="0" customWidth="1"/>
    <col min="16" max="16" width="11.28125" style="0" customWidth="1"/>
  </cols>
  <sheetData>
    <row r="1" spans="15:16" ht="12.75">
      <c r="O1" s="1015"/>
      <c r="P1" s="1015"/>
    </row>
    <row r="2" spans="2:16" s="3" customFormat="1" ht="15.75">
      <c r="B2" s="1016" t="s">
        <v>554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</row>
    <row r="3" spans="2:16" s="3" customFormat="1" ht="15.75">
      <c r="B3" s="1016" t="s">
        <v>887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</row>
    <row r="4" spans="2:16" s="3" customFormat="1" ht="15.7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26" t="s">
        <v>523</v>
      </c>
    </row>
    <row r="5" spans="2:16" s="3" customFormat="1" ht="31.5">
      <c r="B5" s="110" t="s">
        <v>329</v>
      </c>
      <c r="C5" s="111" t="s">
        <v>303</v>
      </c>
      <c r="D5" s="212" t="s">
        <v>330</v>
      </c>
      <c r="E5" s="212" t="s">
        <v>331</v>
      </c>
      <c r="F5" s="212" t="s">
        <v>332</v>
      </c>
      <c r="G5" s="212" t="s">
        <v>333</v>
      </c>
      <c r="H5" s="212" t="s">
        <v>334</v>
      </c>
      <c r="I5" s="212" t="s">
        <v>335</v>
      </c>
      <c r="J5" s="212" t="s">
        <v>336</v>
      </c>
      <c r="K5" s="212" t="s">
        <v>251</v>
      </c>
      <c r="L5" s="212" t="s">
        <v>252</v>
      </c>
      <c r="M5" s="212" t="s">
        <v>253</v>
      </c>
      <c r="N5" s="212" t="s">
        <v>254</v>
      </c>
      <c r="O5" s="212" t="s">
        <v>255</v>
      </c>
      <c r="P5" s="111" t="s">
        <v>269</v>
      </c>
    </row>
    <row r="6" spans="2:16" s="4" customFormat="1" ht="18" customHeight="1">
      <c r="B6" s="107" t="s">
        <v>276</v>
      </c>
      <c r="C6" s="1018" t="s">
        <v>306</v>
      </c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</row>
    <row r="7" spans="2:16" s="4" customFormat="1" ht="18" customHeight="1">
      <c r="B7" s="107" t="s">
        <v>277</v>
      </c>
      <c r="C7" s="106" t="s">
        <v>142</v>
      </c>
      <c r="D7" s="114">
        <v>0</v>
      </c>
      <c r="E7" s="114">
        <v>0</v>
      </c>
      <c r="F7" s="114">
        <f>1350+317-1396</f>
        <v>271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214">
        <f>SUM(D7:O7)</f>
        <v>271</v>
      </c>
    </row>
    <row r="8" spans="2:16" s="4" customFormat="1" ht="18" customHeight="1">
      <c r="B8" s="107" t="s">
        <v>278</v>
      </c>
      <c r="C8" s="106" t="s">
        <v>143</v>
      </c>
      <c r="D8" s="114">
        <v>0</v>
      </c>
      <c r="E8" s="114">
        <v>0</v>
      </c>
      <c r="F8" s="114">
        <v>161</v>
      </c>
      <c r="G8" s="114">
        <v>0</v>
      </c>
      <c r="H8" s="114">
        <v>0</v>
      </c>
      <c r="I8" s="114">
        <v>0</v>
      </c>
      <c r="J8" s="114">
        <v>0</v>
      </c>
      <c r="K8" s="114">
        <f>+J8</f>
        <v>0</v>
      </c>
      <c r="L8" s="114">
        <v>0</v>
      </c>
      <c r="M8" s="114">
        <v>0</v>
      </c>
      <c r="N8" s="114">
        <f>+M8</f>
        <v>0</v>
      </c>
      <c r="O8" s="114">
        <v>0</v>
      </c>
      <c r="P8" s="214">
        <f aca="true" t="shared" si="0" ref="P8:P14">SUM(D8:O8)</f>
        <v>161</v>
      </c>
    </row>
    <row r="9" spans="2:16" s="4" customFormat="1" ht="18" customHeight="1">
      <c r="B9" s="107" t="s">
        <v>279</v>
      </c>
      <c r="C9" s="107" t="s">
        <v>337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214">
        <f t="shared" si="0"/>
        <v>0</v>
      </c>
    </row>
    <row r="10" spans="2:16" s="4" customFormat="1" ht="18" customHeight="1">
      <c r="B10" s="107" t="s">
        <v>280</v>
      </c>
      <c r="C10" s="107" t="s">
        <v>355</v>
      </c>
      <c r="D10" s="114">
        <v>167</v>
      </c>
      <c r="E10" s="114">
        <v>167</v>
      </c>
      <c r="F10" s="114">
        <v>167</v>
      </c>
      <c r="G10" s="114">
        <v>167</v>
      </c>
      <c r="H10" s="114">
        <v>167</v>
      </c>
      <c r="I10" s="114">
        <v>167</v>
      </c>
      <c r="J10" s="114">
        <v>167</v>
      </c>
      <c r="K10" s="114">
        <v>167</v>
      </c>
      <c r="L10" s="114">
        <v>167</v>
      </c>
      <c r="M10" s="114">
        <v>167</v>
      </c>
      <c r="N10" s="114">
        <v>167</v>
      </c>
      <c r="O10" s="114">
        <f>167-3</f>
        <v>164</v>
      </c>
      <c r="P10" s="214">
        <f>SUM(D10:O10)</f>
        <v>2001</v>
      </c>
    </row>
    <row r="11" spans="2:16" s="4" customFormat="1" ht="18" customHeight="1">
      <c r="B11" s="107" t="s">
        <v>281</v>
      </c>
      <c r="C11" s="107" t="s">
        <v>317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214">
        <f t="shared" si="0"/>
        <v>0</v>
      </c>
    </row>
    <row r="12" spans="2:16" s="4" customFormat="1" ht="18" customHeight="1">
      <c r="B12" s="107" t="s">
        <v>282</v>
      </c>
      <c r="C12" s="107" t="s">
        <v>260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214">
        <f t="shared" si="0"/>
        <v>0</v>
      </c>
    </row>
    <row r="13" spans="2:16" s="4" customFormat="1" ht="18" customHeight="1">
      <c r="B13" s="107" t="s">
        <v>283</v>
      </c>
      <c r="C13" s="107" t="s">
        <v>472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214">
        <f t="shared" si="0"/>
        <v>0</v>
      </c>
    </row>
    <row r="14" spans="2:16" s="4" customFormat="1" ht="18" customHeight="1">
      <c r="B14" s="107" t="s">
        <v>284</v>
      </c>
      <c r="C14" s="107" t="s">
        <v>149</v>
      </c>
      <c r="D14" s="114">
        <v>0</v>
      </c>
      <c r="E14" s="114">
        <v>0</v>
      </c>
      <c r="F14" s="114">
        <v>1395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214">
        <f t="shared" si="0"/>
        <v>1395</v>
      </c>
    </row>
    <row r="15" spans="2:16" s="4" customFormat="1" ht="18" customHeight="1">
      <c r="B15" s="107" t="s">
        <v>285</v>
      </c>
      <c r="C15" s="107" t="s">
        <v>150</v>
      </c>
      <c r="D15" s="114">
        <f aca="true" t="shared" si="1" ref="D15:O15">+D27-D7-D8-D9-D10-D11-D12-D13-D14</f>
        <v>2388</v>
      </c>
      <c r="E15" s="114">
        <f t="shared" si="1"/>
        <v>2388</v>
      </c>
      <c r="F15" s="114">
        <f t="shared" si="1"/>
        <v>860</v>
      </c>
      <c r="G15" s="114">
        <f t="shared" si="1"/>
        <v>2388</v>
      </c>
      <c r="H15" s="114">
        <f t="shared" si="1"/>
        <v>2588</v>
      </c>
      <c r="I15" s="114">
        <f t="shared" si="1"/>
        <v>2388</v>
      </c>
      <c r="J15" s="114">
        <f t="shared" si="1"/>
        <v>2388</v>
      </c>
      <c r="K15" s="114">
        <f t="shared" si="1"/>
        <v>2388</v>
      </c>
      <c r="L15" s="114">
        <f t="shared" si="1"/>
        <v>2488</v>
      </c>
      <c r="M15" s="114">
        <f t="shared" si="1"/>
        <v>2388</v>
      </c>
      <c r="N15" s="114">
        <f t="shared" si="1"/>
        <v>2388</v>
      </c>
      <c r="O15" s="114">
        <f t="shared" si="1"/>
        <v>2387</v>
      </c>
      <c r="P15" s="214">
        <f>SUM(D15:O15)</f>
        <v>27427</v>
      </c>
    </row>
    <row r="16" spans="2:16" s="4" customFormat="1" ht="18" customHeight="1">
      <c r="B16" s="107" t="s">
        <v>286</v>
      </c>
      <c r="C16" s="215" t="s">
        <v>338</v>
      </c>
      <c r="D16" s="223">
        <f>SUM(D7:D15)</f>
        <v>2555</v>
      </c>
      <c r="E16" s="223">
        <f aca="true" t="shared" si="2" ref="E16:P16">SUM(E7:E15)</f>
        <v>2555</v>
      </c>
      <c r="F16" s="223">
        <f t="shared" si="2"/>
        <v>2854</v>
      </c>
      <c r="G16" s="223">
        <f t="shared" si="2"/>
        <v>2555</v>
      </c>
      <c r="H16" s="223">
        <f t="shared" si="2"/>
        <v>2755</v>
      </c>
      <c r="I16" s="223">
        <f t="shared" si="2"/>
        <v>2555</v>
      </c>
      <c r="J16" s="223">
        <f t="shared" si="2"/>
        <v>2555</v>
      </c>
      <c r="K16" s="223">
        <f t="shared" si="2"/>
        <v>2555</v>
      </c>
      <c r="L16" s="223">
        <f t="shared" si="2"/>
        <v>2655</v>
      </c>
      <c r="M16" s="223">
        <f t="shared" si="2"/>
        <v>2555</v>
      </c>
      <c r="N16" s="223">
        <f t="shared" si="2"/>
        <v>2555</v>
      </c>
      <c r="O16" s="223">
        <f t="shared" si="2"/>
        <v>2551</v>
      </c>
      <c r="P16" s="224">
        <f t="shared" si="2"/>
        <v>31255</v>
      </c>
    </row>
    <row r="17" spans="2:16" s="4" customFormat="1" ht="18" customHeight="1">
      <c r="B17" s="107" t="s">
        <v>287</v>
      </c>
      <c r="C17" s="1018" t="s">
        <v>310</v>
      </c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</row>
    <row r="18" spans="2:16" s="4" customFormat="1" ht="18" customHeight="1">
      <c r="B18" s="107" t="s">
        <v>288</v>
      </c>
      <c r="C18" s="107" t="s">
        <v>320</v>
      </c>
      <c r="D18" s="114">
        <v>1233</v>
      </c>
      <c r="E18" s="114">
        <f aca="true" t="shared" si="3" ref="E18:N20">+D18</f>
        <v>1233</v>
      </c>
      <c r="F18" s="114">
        <f t="shared" si="3"/>
        <v>1233</v>
      </c>
      <c r="G18" s="114">
        <f t="shared" si="3"/>
        <v>1233</v>
      </c>
      <c r="H18" s="114">
        <f t="shared" si="3"/>
        <v>1233</v>
      </c>
      <c r="I18" s="114">
        <f t="shared" si="3"/>
        <v>1233</v>
      </c>
      <c r="J18" s="114">
        <f t="shared" si="3"/>
        <v>1233</v>
      </c>
      <c r="K18" s="114">
        <f t="shared" si="3"/>
        <v>1233</v>
      </c>
      <c r="L18" s="114">
        <f t="shared" si="3"/>
        <v>1233</v>
      </c>
      <c r="M18" s="114">
        <f t="shared" si="3"/>
        <v>1233</v>
      </c>
      <c r="N18" s="114">
        <f t="shared" si="3"/>
        <v>1233</v>
      </c>
      <c r="O18" s="114">
        <f>+N18+2</f>
        <v>1235</v>
      </c>
      <c r="P18" s="214">
        <f>SUM(D18:O18)</f>
        <v>14798</v>
      </c>
    </row>
    <row r="19" spans="2:16" s="4" customFormat="1" ht="18" customHeight="1">
      <c r="B19" s="107" t="s">
        <v>289</v>
      </c>
      <c r="C19" s="109" t="s">
        <v>488</v>
      </c>
      <c r="D19" s="114">
        <v>244</v>
      </c>
      <c r="E19" s="114">
        <f t="shared" si="3"/>
        <v>244</v>
      </c>
      <c r="F19" s="114">
        <f t="shared" si="3"/>
        <v>244</v>
      </c>
      <c r="G19" s="114">
        <f t="shared" si="3"/>
        <v>244</v>
      </c>
      <c r="H19" s="114">
        <f t="shared" si="3"/>
        <v>244</v>
      </c>
      <c r="I19" s="114">
        <f t="shared" si="3"/>
        <v>244</v>
      </c>
      <c r="J19" s="114">
        <f t="shared" si="3"/>
        <v>244</v>
      </c>
      <c r="K19" s="114">
        <f t="shared" si="3"/>
        <v>244</v>
      </c>
      <c r="L19" s="114">
        <f t="shared" si="3"/>
        <v>244</v>
      </c>
      <c r="M19" s="114">
        <f t="shared" si="3"/>
        <v>244</v>
      </c>
      <c r="N19" s="114">
        <f t="shared" si="3"/>
        <v>244</v>
      </c>
      <c r="O19" s="114">
        <f>+N19-2</f>
        <v>242</v>
      </c>
      <c r="P19" s="214">
        <f aca="true" t="shared" si="4" ref="P19:P24">SUM(D19:O19)</f>
        <v>2926</v>
      </c>
    </row>
    <row r="20" spans="2:16" s="4" customFormat="1" ht="18" customHeight="1">
      <c r="B20" s="107" t="s">
        <v>290</v>
      </c>
      <c r="C20" s="107" t="s">
        <v>323</v>
      </c>
      <c r="D20" s="114">
        <v>1078</v>
      </c>
      <c r="E20" s="114">
        <f t="shared" si="3"/>
        <v>1078</v>
      </c>
      <c r="F20" s="114">
        <f>+E20-1</f>
        <v>1077</v>
      </c>
      <c r="G20" s="114">
        <v>1078</v>
      </c>
      <c r="H20" s="114">
        <f t="shared" si="3"/>
        <v>1078</v>
      </c>
      <c r="I20" s="114">
        <f t="shared" si="3"/>
        <v>1078</v>
      </c>
      <c r="J20" s="114">
        <f t="shared" si="3"/>
        <v>1078</v>
      </c>
      <c r="K20" s="114">
        <f t="shared" si="3"/>
        <v>1078</v>
      </c>
      <c r="L20" s="114">
        <f t="shared" si="3"/>
        <v>1078</v>
      </c>
      <c r="M20" s="114">
        <f t="shared" si="3"/>
        <v>1078</v>
      </c>
      <c r="N20" s="114">
        <f t="shared" si="3"/>
        <v>1078</v>
      </c>
      <c r="O20" s="114">
        <f>+N20-4</f>
        <v>1074</v>
      </c>
      <c r="P20" s="214">
        <f t="shared" si="4"/>
        <v>12931</v>
      </c>
    </row>
    <row r="21" spans="2:16" s="4" customFormat="1" ht="18" customHeight="1">
      <c r="B21" s="107" t="s">
        <v>291</v>
      </c>
      <c r="C21" s="107" t="s">
        <v>339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214">
        <f t="shared" si="4"/>
        <v>0</v>
      </c>
    </row>
    <row r="22" spans="2:16" s="4" customFormat="1" ht="18" customHeight="1">
      <c r="B22" s="107" t="s">
        <v>292</v>
      </c>
      <c r="C22" s="107" t="s">
        <v>145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214">
        <f t="shared" si="4"/>
        <v>0</v>
      </c>
    </row>
    <row r="23" spans="2:16" s="4" customFormat="1" ht="18" customHeight="1">
      <c r="B23" s="107" t="s">
        <v>293</v>
      </c>
      <c r="C23" s="107" t="s">
        <v>402</v>
      </c>
      <c r="D23" s="114">
        <v>0</v>
      </c>
      <c r="E23" s="114">
        <v>0</v>
      </c>
      <c r="F23" s="114">
        <v>300</v>
      </c>
      <c r="G23" s="114">
        <v>0</v>
      </c>
      <c r="H23" s="114">
        <v>200</v>
      </c>
      <c r="I23" s="114">
        <v>0</v>
      </c>
      <c r="J23" s="114">
        <v>0</v>
      </c>
      <c r="K23" s="114"/>
      <c r="L23" s="114">
        <v>100</v>
      </c>
      <c r="M23" s="114">
        <v>0</v>
      </c>
      <c r="N23" s="114">
        <v>0</v>
      </c>
      <c r="O23" s="114">
        <v>0</v>
      </c>
      <c r="P23" s="214">
        <f t="shared" si="4"/>
        <v>600</v>
      </c>
    </row>
    <row r="24" spans="2:16" s="4" customFormat="1" ht="18" customHeight="1">
      <c r="B24" s="107" t="s">
        <v>294</v>
      </c>
      <c r="C24" s="107" t="s">
        <v>403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214">
        <f t="shared" si="4"/>
        <v>0</v>
      </c>
    </row>
    <row r="25" spans="2:16" s="4" customFormat="1" ht="18" customHeight="1">
      <c r="B25" s="107" t="s">
        <v>296</v>
      </c>
      <c r="C25" s="107" t="s">
        <v>146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214">
        <f>SUM(C25:O25)</f>
        <v>0</v>
      </c>
    </row>
    <row r="26" spans="2:16" s="4" customFormat="1" ht="18" customHeight="1">
      <c r="B26" s="107" t="s">
        <v>297</v>
      </c>
      <c r="C26" s="1019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</row>
    <row r="27" spans="2:16" s="4" customFormat="1" ht="18" customHeight="1">
      <c r="B27" s="215" t="s">
        <v>298</v>
      </c>
      <c r="C27" s="215" t="s">
        <v>340</v>
      </c>
      <c r="D27" s="223">
        <f aca="true" t="shared" si="5" ref="D27:P27">SUM(D18:D26)</f>
        <v>2555</v>
      </c>
      <c r="E27" s="223">
        <f t="shared" si="5"/>
        <v>2555</v>
      </c>
      <c r="F27" s="223">
        <f t="shared" si="5"/>
        <v>2854</v>
      </c>
      <c r="G27" s="223">
        <f t="shared" si="5"/>
        <v>2555</v>
      </c>
      <c r="H27" s="223">
        <f t="shared" si="5"/>
        <v>2755</v>
      </c>
      <c r="I27" s="223">
        <f t="shared" si="5"/>
        <v>2555</v>
      </c>
      <c r="J27" s="223">
        <f t="shared" si="5"/>
        <v>2555</v>
      </c>
      <c r="K27" s="223">
        <f t="shared" si="5"/>
        <v>2555</v>
      </c>
      <c r="L27" s="223">
        <f t="shared" si="5"/>
        <v>2655</v>
      </c>
      <c r="M27" s="223">
        <f t="shared" si="5"/>
        <v>2555</v>
      </c>
      <c r="N27" s="223">
        <f t="shared" si="5"/>
        <v>2555</v>
      </c>
      <c r="O27" s="223">
        <f t="shared" si="5"/>
        <v>2551</v>
      </c>
      <c r="P27" s="224">
        <f t="shared" si="5"/>
        <v>31255</v>
      </c>
    </row>
    <row r="28" spans="2:16" s="4" customFormat="1" ht="18" customHeight="1">
      <c r="B28" s="215" t="s">
        <v>299</v>
      </c>
      <c r="C28" s="218" t="s">
        <v>341</v>
      </c>
      <c r="D28" s="225">
        <f aca="true" t="shared" si="6" ref="D28:P28">+D27-D16</f>
        <v>0</v>
      </c>
      <c r="E28" s="225">
        <f t="shared" si="6"/>
        <v>0</v>
      </c>
      <c r="F28" s="225">
        <f t="shared" si="6"/>
        <v>0</v>
      </c>
      <c r="G28" s="225">
        <f t="shared" si="6"/>
        <v>0</v>
      </c>
      <c r="H28" s="225">
        <f t="shared" si="6"/>
        <v>0</v>
      </c>
      <c r="I28" s="225">
        <f t="shared" si="6"/>
        <v>0</v>
      </c>
      <c r="J28" s="225">
        <f t="shared" si="6"/>
        <v>0</v>
      </c>
      <c r="K28" s="225">
        <f t="shared" si="6"/>
        <v>0</v>
      </c>
      <c r="L28" s="225">
        <f t="shared" si="6"/>
        <v>0</v>
      </c>
      <c r="M28" s="225">
        <f t="shared" si="6"/>
        <v>0</v>
      </c>
      <c r="N28" s="225">
        <f t="shared" si="6"/>
        <v>0</v>
      </c>
      <c r="O28" s="225">
        <f t="shared" si="6"/>
        <v>0</v>
      </c>
      <c r="P28" s="225">
        <f t="shared" si="6"/>
        <v>0</v>
      </c>
    </row>
    <row r="29" spans="2:16" ht="15.75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</row>
    <row r="30" spans="2:16" ht="15.75">
      <c r="B30" s="10"/>
      <c r="C30" s="13"/>
      <c r="D30" s="15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</row>
  </sheetData>
  <sheetProtection password="CD92" sheet="1"/>
  <mergeCells count="6">
    <mergeCell ref="C26:P26"/>
    <mergeCell ref="C17:P17"/>
    <mergeCell ref="O1:P1"/>
    <mergeCell ref="B2:P2"/>
    <mergeCell ref="B3:P3"/>
    <mergeCell ref="C6:P6"/>
  </mergeCells>
  <printOptions/>
  <pageMargins left="0.7480314960629921" right="0.31496062992125984" top="0.7086614173228347" bottom="1.6141732283464567" header="0.5118110236220472" footer="0.6299212598425197"/>
  <pageSetup horizontalDpi="600" verticalDpi="600" orientation="landscape" paperSize="9" scale="72" r:id="rId1"/>
  <headerFooter alignWithMargins="0">
    <oddHeader>&amp;L15.melléklet&amp;X1&amp;R2/2019.(II.15.) ÖK rendelethez</oddHeader>
    <oddFooter>&amp;L&amp;X1&amp;XMód: 7/2019.(V.31.) ÖK rendelet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P31"/>
  <sheetViews>
    <sheetView view="pageBreakPreview" zoomScale="95" zoomScaleNormal="80" zoomScaleSheetLayoutView="95" zoomScalePageLayoutView="8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0.28125" style="0" customWidth="1"/>
    <col min="4" max="4" width="8.140625" style="0" customWidth="1"/>
    <col min="5" max="5" width="8.57421875" style="0" customWidth="1"/>
    <col min="11" max="11" width="10.00390625" style="0" customWidth="1"/>
    <col min="12" max="12" width="10.140625" style="0" customWidth="1"/>
    <col min="15" max="15" width="10.28125" style="0" customWidth="1"/>
    <col min="16" max="16" width="11.00390625" style="0" customWidth="1"/>
  </cols>
  <sheetData>
    <row r="1" spans="2:16" ht="15.75">
      <c r="B1" s="1022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</row>
    <row r="2" spans="2:16" ht="15.75">
      <c r="B2" s="1022" t="s">
        <v>151</v>
      </c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</row>
    <row r="3" spans="2:16" ht="15.75">
      <c r="B3" s="1016" t="s">
        <v>887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</row>
    <row r="4" spans="2:16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s="37" customFormat="1" ht="15.7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26" t="s">
        <v>523</v>
      </c>
    </row>
    <row r="6" spans="2:16" ht="31.5">
      <c r="B6" s="110" t="s">
        <v>329</v>
      </c>
      <c r="C6" s="111" t="s">
        <v>303</v>
      </c>
      <c r="D6" s="212" t="s">
        <v>330</v>
      </c>
      <c r="E6" s="212" t="s">
        <v>331</v>
      </c>
      <c r="F6" s="212" t="s">
        <v>332</v>
      </c>
      <c r="G6" s="212" t="s">
        <v>333</v>
      </c>
      <c r="H6" s="212" t="s">
        <v>334</v>
      </c>
      <c r="I6" s="212" t="s">
        <v>335</v>
      </c>
      <c r="J6" s="212" t="s">
        <v>336</v>
      </c>
      <c r="K6" s="212" t="s">
        <v>251</v>
      </c>
      <c r="L6" s="212" t="s">
        <v>252</v>
      </c>
      <c r="M6" s="212" t="s">
        <v>253</v>
      </c>
      <c r="N6" s="212" t="s">
        <v>254</v>
      </c>
      <c r="O6" s="212" t="s">
        <v>255</v>
      </c>
      <c r="P6" s="111" t="s">
        <v>269</v>
      </c>
    </row>
    <row r="7" spans="2:16" ht="18" customHeight="1">
      <c r="B7" s="107" t="s">
        <v>276</v>
      </c>
      <c r="C7" s="1018" t="s">
        <v>306</v>
      </c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</row>
    <row r="8" spans="2:16" ht="18" customHeight="1">
      <c r="B8" s="107" t="s">
        <v>277</v>
      </c>
      <c r="C8" s="106" t="s">
        <v>142</v>
      </c>
      <c r="D8" s="114">
        <v>0</v>
      </c>
      <c r="E8" s="114">
        <f>+D8</f>
        <v>0</v>
      </c>
      <c r="F8" s="114">
        <v>0</v>
      </c>
      <c r="G8" s="114">
        <v>0</v>
      </c>
      <c r="H8" s="114">
        <f>+G8</f>
        <v>0</v>
      </c>
      <c r="I8" s="114">
        <f>+H8</f>
        <v>0</v>
      </c>
      <c r="J8" s="114">
        <v>0</v>
      </c>
      <c r="K8" s="114">
        <v>0</v>
      </c>
      <c r="L8" s="114">
        <f>+K8</f>
        <v>0</v>
      </c>
      <c r="M8" s="114">
        <f>+L8</f>
        <v>0</v>
      </c>
      <c r="N8" s="114">
        <f>+M8</f>
        <v>0</v>
      </c>
      <c r="O8" s="114">
        <f>+N8</f>
        <v>0</v>
      </c>
      <c r="P8" s="214">
        <f aca="true" t="shared" si="0" ref="P8:P16">SUM(D8:O8)</f>
        <v>0</v>
      </c>
    </row>
    <row r="9" spans="2:16" ht="18" customHeight="1">
      <c r="B9" s="107" t="s">
        <v>278</v>
      </c>
      <c r="C9" s="106" t="s">
        <v>143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214">
        <f t="shared" si="0"/>
        <v>0</v>
      </c>
    </row>
    <row r="10" spans="2:16" ht="18" customHeight="1">
      <c r="B10" s="107" t="s">
        <v>279</v>
      </c>
      <c r="C10" s="107" t="s">
        <v>337</v>
      </c>
      <c r="D10" s="114">
        <v>0</v>
      </c>
      <c r="E10" s="114">
        <f>+D10</f>
        <v>0</v>
      </c>
      <c r="F10" s="114">
        <v>20</v>
      </c>
      <c r="G10" s="114">
        <v>0</v>
      </c>
      <c r="H10" s="114">
        <f>+G10</f>
        <v>0</v>
      </c>
      <c r="I10" s="114">
        <v>20</v>
      </c>
      <c r="J10" s="114">
        <v>0</v>
      </c>
      <c r="K10" s="114">
        <v>20</v>
      </c>
      <c r="L10" s="114">
        <v>0</v>
      </c>
      <c r="M10" s="114">
        <v>20</v>
      </c>
      <c r="N10" s="114">
        <v>20</v>
      </c>
      <c r="O10" s="114">
        <v>0</v>
      </c>
      <c r="P10" s="214">
        <f t="shared" si="0"/>
        <v>100</v>
      </c>
    </row>
    <row r="11" spans="2:16" ht="18" customHeight="1">
      <c r="B11" s="107" t="s">
        <v>280</v>
      </c>
      <c r="C11" s="107" t="s">
        <v>355</v>
      </c>
      <c r="D11" s="114">
        <v>1028</v>
      </c>
      <c r="E11" s="114">
        <f aca="true" t="shared" si="1" ref="E11:N11">D11</f>
        <v>1028</v>
      </c>
      <c r="F11" s="114">
        <f t="shared" si="1"/>
        <v>1028</v>
      </c>
      <c r="G11" s="114">
        <f t="shared" si="1"/>
        <v>1028</v>
      </c>
      <c r="H11" s="114">
        <f t="shared" si="1"/>
        <v>1028</v>
      </c>
      <c r="I11" s="114">
        <f t="shared" si="1"/>
        <v>1028</v>
      </c>
      <c r="J11" s="114">
        <f t="shared" si="1"/>
        <v>1028</v>
      </c>
      <c r="K11" s="114">
        <f t="shared" si="1"/>
        <v>1028</v>
      </c>
      <c r="L11" s="114">
        <f t="shared" si="1"/>
        <v>1028</v>
      </c>
      <c r="M11" s="114">
        <f t="shared" si="1"/>
        <v>1028</v>
      </c>
      <c r="N11" s="114">
        <f t="shared" si="1"/>
        <v>1028</v>
      </c>
      <c r="O11" s="114">
        <f>N11+3</f>
        <v>1031</v>
      </c>
      <c r="P11" s="214">
        <f t="shared" si="0"/>
        <v>12339</v>
      </c>
    </row>
    <row r="12" spans="2:16" ht="18" customHeight="1">
      <c r="B12" s="107" t="s">
        <v>281</v>
      </c>
      <c r="C12" s="107" t="s">
        <v>317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214">
        <f t="shared" si="0"/>
        <v>0</v>
      </c>
    </row>
    <row r="13" spans="2:16" ht="18" customHeight="1">
      <c r="B13" s="107" t="s">
        <v>282</v>
      </c>
      <c r="C13" s="107" t="s">
        <v>553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214">
        <f t="shared" si="0"/>
        <v>0</v>
      </c>
    </row>
    <row r="14" spans="2:16" ht="18" customHeight="1">
      <c r="B14" s="107" t="s">
        <v>283</v>
      </c>
      <c r="C14" s="107" t="s">
        <v>472</v>
      </c>
      <c r="D14" s="114">
        <v>80</v>
      </c>
      <c r="E14" s="114">
        <v>70</v>
      </c>
      <c r="F14" s="114">
        <v>60</v>
      </c>
      <c r="G14" s="114">
        <f>+F14</f>
        <v>60</v>
      </c>
      <c r="H14" s="114">
        <f>+G14</f>
        <v>60</v>
      </c>
      <c r="I14" s="114">
        <f>+H14</f>
        <v>60</v>
      </c>
      <c r="J14" s="114">
        <f aca="true" t="shared" si="2" ref="J14:O14">+I14</f>
        <v>60</v>
      </c>
      <c r="K14" s="114">
        <f t="shared" si="2"/>
        <v>60</v>
      </c>
      <c r="L14" s="114">
        <f t="shared" si="2"/>
        <v>60</v>
      </c>
      <c r="M14" s="114">
        <f t="shared" si="2"/>
        <v>60</v>
      </c>
      <c r="N14" s="114">
        <f t="shared" si="2"/>
        <v>60</v>
      </c>
      <c r="O14" s="114">
        <f t="shared" si="2"/>
        <v>60</v>
      </c>
      <c r="P14" s="214">
        <f t="shared" si="0"/>
        <v>750</v>
      </c>
    </row>
    <row r="15" spans="2:16" ht="18" customHeight="1">
      <c r="B15" s="107" t="s">
        <v>284</v>
      </c>
      <c r="C15" s="107" t="s">
        <v>149</v>
      </c>
      <c r="D15" s="114">
        <v>0</v>
      </c>
      <c r="E15" s="114">
        <v>0</v>
      </c>
      <c r="F15" s="114">
        <v>1189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214">
        <f t="shared" si="0"/>
        <v>1189</v>
      </c>
    </row>
    <row r="16" spans="2:16" ht="18" customHeight="1">
      <c r="B16" s="107" t="s">
        <v>285</v>
      </c>
      <c r="C16" s="107" t="s">
        <v>150</v>
      </c>
      <c r="D16" s="114">
        <f aca="true" t="shared" si="3" ref="D16:O16">+D28-D8-D9-D10-D11-D12-D13-D14-D15</f>
        <v>11642</v>
      </c>
      <c r="E16" s="114">
        <f t="shared" si="3"/>
        <v>11852</v>
      </c>
      <c r="F16" s="114">
        <f t="shared" si="3"/>
        <v>11062</v>
      </c>
      <c r="G16" s="114">
        <f t="shared" si="3"/>
        <v>12262</v>
      </c>
      <c r="H16" s="114">
        <f t="shared" si="3"/>
        <v>12062</v>
      </c>
      <c r="I16" s="114">
        <f t="shared" si="3"/>
        <v>12342</v>
      </c>
      <c r="J16" s="114">
        <f t="shared" si="3"/>
        <v>11962</v>
      </c>
      <c r="K16" s="114">
        <f t="shared" si="3"/>
        <v>11942</v>
      </c>
      <c r="L16" s="114">
        <f t="shared" si="3"/>
        <v>12562</v>
      </c>
      <c r="M16" s="114">
        <f t="shared" si="3"/>
        <v>11842</v>
      </c>
      <c r="N16" s="114">
        <f t="shared" si="3"/>
        <v>11642</v>
      </c>
      <c r="O16" s="114">
        <f t="shared" si="3"/>
        <v>12221</v>
      </c>
      <c r="P16" s="214">
        <f t="shared" si="0"/>
        <v>143393</v>
      </c>
    </row>
    <row r="17" spans="2:16" ht="18" customHeight="1">
      <c r="B17" s="107" t="s">
        <v>286</v>
      </c>
      <c r="C17" s="215" t="s">
        <v>338</v>
      </c>
      <c r="D17" s="223">
        <f aca="true" t="shared" si="4" ref="D17:P17">SUM(D8:D16)</f>
        <v>12750</v>
      </c>
      <c r="E17" s="223">
        <f t="shared" si="4"/>
        <v>12950</v>
      </c>
      <c r="F17" s="223">
        <f t="shared" si="4"/>
        <v>13359</v>
      </c>
      <c r="G17" s="223">
        <f t="shared" si="4"/>
        <v>13350</v>
      </c>
      <c r="H17" s="223">
        <f t="shared" si="4"/>
        <v>13150</v>
      </c>
      <c r="I17" s="223">
        <f t="shared" si="4"/>
        <v>13450</v>
      </c>
      <c r="J17" s="223">
        <f t="shared" si="4"/>
        <v>13050</v>
      </c>
      <c r="K17" s="223">
        <f t="shared" si="4"/>
        <v>13050</v>
      </c>
      <c r="L17" s="223">
        <f t="shared" si="4"/>
        <v>13650</v>
      </c>
      <c r="M17" s="223">
        <f t="shared" si="4"/>
        <v>12950</v>
      </c>
      <c r="N17" s="223">
        <f t="shared" si="4"/>
        <v>12750</v>
      </c>
      <c r="O17" s="223">
        <f t="shared" si="4"/>
        <v>13312</v>
      </c>
      <c r="P17" s="224">
        <f t="shared" si="4"/>
        <v>157771</v>
      </c>
    </row>
    <row r="18" spans="2:16" ht="18" customHeight="1">
      <c r="B18" s="107" t="s">
        <v>287</v>
      </c>
      <c r="C18" s="1018" t="s">
        <v>310</v>
      </c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</row>
    <row r="19" spans="2:16" ht="18" customHeight="1">
      <c r="B19" s="107" t="s">
        <v>288</v>
      </c>
      <c r="C19" s="107" t="s">
        <v>320</v>
      </c>
      <c r="D19" s="114">
        <v>8510</v>
      </c>
      <c r="E19" s="114">
        <f aca="true" t="shared" si="5" ref="E19:N21">+D19</f>
        <v>8510</v>
      </c>
      <c r="F19" s="114">
        <f t="shared" si="5"/>
        <v>8510</v>
      </c>
      <c r="G19" s="114">
        <f t="shared" si="5"/>
        <v>8510</v>
      </c>
      <c r="H19" s="114">
        <f t="shared" si="5"/>
        <v>8510</v>
      </c>
      <c r="I19" s="114">
        <f t="shared" si="5"/>
        <v>8510</v>
      </c>
      <c r="J19" s="114">
        <f t="shared" si="5"/>
        <v>8510</v>
      </c>
      <c r="K19" s="114">
        <f t="shared" si="5"/>
        <v>8510</v>
      </c>
      <c r="L19" s="114">
        <f t="shared" si="5"/>
        <v>8510</v>
      </c>
      <c r="M19" s="114">
        <f t="shared" si="5"/>
        <v>8510</v>
      </c>
      <c r="N19" s="114">
        <f t="shared" si="5"/>
        <v>8510</v>
      </c>
      <c r="O19" s="114">
        <f>+N19+16</f>
        <v>8526</v>
      </c>
      <c r="P19" s="214">
        <f aca="true" t="shared" si="6" ref="P19:P26">SUM(D19:O19)</f>
        <v>102136</v>
      </c>
    </row>
    <row r="20" spans="2:16" ht="18" customHeight="1">
      <c r="B20" s="107" t="s">
        <v>289</v>
      </c>
      <c r="C20" s="109" t="s">
        <v>488</v>
      </c>
      <c r="D20" s="114">
        <v>1705</v>
      </c>
      <c r="E20" s="114">
        <f t="shared" si="5"/>
        <v>1705</v>
      </c>
      <c r="F20" s="114">
        <f t="shared" si="5"/>
        <v>1705</v>
      </c>
      <c r="G20" s="114">
        <f t="shared" si="5"/>
        <v>1705</v>
      </c>
      <c r="H20" s="114">
        <f t="shared" si="5"/>
        <v>1705</v>
      </c>
      <c r="I20" s="114">
        <f t="shared" si="5"/>
        <v>1705</v>
      </c>
      <c r="J20" s="114">
        <f t="shared" si="5"/>
        <v>1705</v>
      </c>
      <c r="K20" s="114">
        <f t="shared" si="5"/>
        <v>1705</v>
      </c>
      <c r="L20" s="114">
        <f t="shared" si="5"/>
        <v>1705</v>
      </c>
      <c r="M20" s="114">
        <f t="shared" si="5"/>
        <v>1705</v>
      </c>
      <c r="N20" s="114">
        <f t="shared" si="5"/>
        <v>1705</v>
      </c>
      <c r="O20" s="114">
        <f>+N20-8</f>
        <v>1697</v>
      </c>
      <c r="P20" s="214">
        <f t="shared" si="6"/>
        <v>20452</v>
      </c>
    </row>
    <row r="21" spans="2:16" ht="18" customHeight="1">
      <c r="B21" s="107" t="s">
        <v>290</v>
      </c>
      <c r="C21" s="107" t="s">
        <v>323</v>
      </c>
      <c r="D21" s="114">
        <v>2535</v>
      </c>
      <c r="E21" s="114">
        <f>+D21</f>
        <v>2535</v>
      </c>
      <c r="F21" s="114">
        <f>+E21+9</f>
        <v>2544</v>
      </c>
      <c r="G21" s="114">
        <v>2535</v>
      </c>
      <c r="H21" s="114">
        <f t="shared" si="5"/>
        <v>2535</v>
      </c>
      <c r="I21" s="114">
        <f t="shared" si="5"/>
        <v>2535</v>
      </c>
      <c r="J21" s="114">
        <f t="shared" si="5"/>
        <v>2535</v>
      </c>
      <c r="K21" s="114">
        <f t="shared" si="5"/>
        <v>2535</v>
      </c>
      <c r="L21" s="114">
        <f t="shared" si="5"/>
        <v>2535</v>
      </c>
      <c r="M21" s="114">
        <f t="shared" si="5"/>
        <v>2535</v>
      </c>
      <c r="N21" s="114">
        <f t="shared" si="5"/>
        <v>2535</v>
      </c>
      <c r="O21" s="114">
        <f>+N21-2</f>
        <v>2533</v>
      </c>
      <c r="P21" s="214">
        <f t="shared" si="6"/>
        <v>30427</v>
      </c>
    </row>
    <row r="22" spans="2:16" ht="18" customHeight="1">
      <c r="B22" s="107" t="s">
        <v>291</v>
      </c>
      <c r="C22" s="107" t="s">
        <v>339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214">
        <f t="shared" si="6"/>
        <v>0</v>
      </c>
    </row>
    <row r="23" spans="2:16" ht="18" customHeight="1">
      <c r="B23" s="107" t="s">
        <v>292</v>
      </c>
      <c r="C23" s="107" t="s">
        <v>145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214">
        <f t="shared" si="6"/>
        <v>0</v>
      </c>
    </row>
    <row r="24" spans="2:16" ht="18" customHeight="1">
      <c r="B24" s="107" t="s">
        <v>293</v>
      </c>
      <c r="C24" s="107" t="s">
        <v>402</v>
      </c>
      <c r="D24" s="114">
        <v>0</v>
      </c>
      <c r="E24" s="114">
        <v>200</v>
      </c>
      <c r="F24" s="114">
        <v>300</v>
      </c>
      <c r="G24" s="114">
        <v>600</v>
      </c>
      <c r="H24" s="114">
        <v>400</v>
      </c>
      <c r="I24" s="114">
        <f>+H24</f>
        <v>400</v>
      </c>
      <c r="J24" s="114">
        <v>300</v>
      </c>
      <c r="K24" s="114">
        <v>300</v>
      </c>
      <c r="L24" s="114">
        <v>600</v>
      </c>
      <c r="M24" s="114">
        <v>200</v>
      </c>
      <c r="N24" s="114">
        <v>0</v>
      </c>
      <c r="O24" s="114">
        <v>256</v>
      </c>
      <c r="P24" s="214">
        <f t="shared" si="6"/>
        <v>3556</v>
      </c>
    </row>
    <row r="25" spans="2:16" ht="18" customHeight="1">
      <c r="B25" s="107" t="s">
        <v>294</v>
      </c>
      <c r="C25" s="107" t="s">
        <v>403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214">
        <f t="shared" si="6"/>
        <v>0</v>
      </c>
    </row>
    <row r="26" spans="2:16" ht="18" customHeight="1">
      <c r="B26" s="107" t="s">
        <v>296</v>
      </c>
      <c r="C26" s="107" t="s">
        <v>146</v>
      </c>
      <c r="D26" s="114">
        <v>0</v>
      </c>
      <c r="E26" s="114">
        <v>0</v>
      </c>
      <c r="F26" s="114">
        <v>300</v>
      </c>
      <c r="G26" s="114">
        <v>0</v>
      </c>
      <c r="H26" s="114">
        <v>0</v>
      </c>
      <c r="I26" s="114">
        <v>300</v>
      </c>
      <c r="J26" s="114"/>
      <c r="K26" s="114">
        <v>0</v>
      </c>
      <c r="L26" s="114">
        <v>300</v>
      </c>
      <c r="M26" s="114">
        <v>0</v>
      </c>
      <c r="N26" s="114">
        <v>0</v>
      </c>
      <c r="O26" s="114">
        <v>300</v>
      </c>
      <c r="P26" s="214">
        <f t="shared" si="6"/>
        <v>1200</v>
      </c>
    </row>
    <row r="27" spans="2:16" ht="18" customHeight="1">
      <c r="B27" s="107" t="s">
        <v>297</v>
      </c>
      <c r="C27" s="1019"/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1020"/>
      <c r="O27" s="1020"/>
      <c r="P27" s="1020"/>
    </row>
    <row r="28" spans="2:16" ht="18" customHeight="1">
      <c r="B28" s="215" t="s">
        <v>298</v>
      </c>
      <c r="C28" s="215" t="s">
        <v>340</v>
      </c>
      <c r="D28" s="223">
        <f aca="true" t="shared" si="7" ref="D28:P28">SUM(D19:D26)</f>
        <v>12750</v>
      </c>
      <c r="E28" s="223">
        <f t="shared" si="7"/>
        <v>12950</v>
      </c>
      <c r="F28" s="223">
        <f t="shared" si="7"/>
        <v>13359</v>
      </c>
      <c r="G28" s="223">
        <f t="shared" si="7"/>
        <v>13350</v>
      </c>
      <c r="H28" s="223">
        <f t="shared" si="7"/>
        <v>13150</v>
      </c>
      <c r="I28" s="223">
        <f t="shared" si="7"/>
        <v>13450</v>
      </c>
      <c r="J28" s="223">
        <f t="shared" si="7"/>
        <v>13050</v>
      </c>
      <c r="K28" s="223">
        <f t="shared" si="7"/>
        <v>13050</v>
      </c>
      <c r="L28" s="223">
        <f t="shared" si="7"/>
        <v>13650</v>
      </c>
      <c r="M28" s="223">
        <f t="shared" si="7"/>
        <v>12950</v>
      </c>
      <c r="N28" s="223">
        <f t="shared" si="7"/>
        <v>12750</v>
      </c>
      <c r="O28" s="223">
        <f t="shared" si="7"/>
        <v>13312</v>
      </c>
      <c r="P28" s="224">
        <f t="shared" si="7"/>
        <v>157771</v>
      </c>
    </row>
    <row r="29" spans="2:16" ht="18" customHeight="1">
      <c r="B29" s="215" t="s">
        <v>299</v>
      </c>
      <c r="C29" s="218" t="s">
        <v>341</v>
      </c>
      <c r="D29" s="225">
        <f aca="true" t="shared" si="8" ref="D29:P29">+D17-D28</f>
        <v>0</v>
      </c>
      <c r="E29" s="225">
        <f t="shared" si="8"/>
        <v>0</v>
      </c>
      <c r="F29" s="225">
        <f t="shared" si="8"/>
        <v>0</v>
      </c>
      <c r="G29" s="225">
        <f t="shared" si="8"/>
        <v>0</v>
      </c>
      <c r="H29" s="225">
        <f t="shared" si="8"/>
        <v>0</v>
      </c>
      <c r="I29" s="225">
        <f t="shared" si="8"/>
        <v>0</v>
      </c>
      <c r="J29" s="225">
        <f t="shared" si="8"/>
        <v>0</v>
      </c>
      <c r="K29" s="225">
        <f t="shared" si="8"/>
        <v>0</v>
      </c>
      <c r="L29" s="225">
        <f t="shared" si="8"/>
        <v>0</v>
      </c>
      <c r="M29" s="225">
        <f t="shared" si="8"/>
        <v>0</v>
      </c>
      <c r="N29" s="225">
        <f t="shared" si="8"/>
        <v>0</v>
      </c>
      <c r="O29" s="225">
        <f t="shared" si="8"/>
        <v>0</v>
      </c>
      <c r="P29" s="225">
        <f t="shared" si="8"/>
        <v>0</v>
      </c>
    </row>
    <row r="30" spans="2:16" ht="15.7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/>
    </row>
    <row r="31" spans="2:16" ht="15.75">
      <c r="B31" s="10"/>
      <c r="C31" s="13"/>
      <c r="D31" s="14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</row>
  </sheetData>
  <sheetProtection password="CD92" sheet="1"/>
  <mergeCells count="6">
    <mergeCell ref="C27:P27"/>
    <mergeCell ref="B2:P2"/>
    <mergeCell ref="B3:P3"/>
    <mergeCell ref="B1:P1"/>
    <mergeCell ref="C7:P7"/>
    <mergeCell ref="C18:P18"/>
  </mergeCells>
  <printOptions/>
  <pageMargins left="0.2755905511811024" right="0.31496062992125984" top="0.4330708661417323" bottom="1.3779527559055118" header="0.2362204724409449" footer="0.7086614173228347"/>
  <pageSetup horizontalDpi="600" verticalDpi="600" orientation="landscape" paperSize="9" scale="78" r:id="rId1"/>
  <headerFooter alignWithMargins="0">
    <oddHeader>&amp;L16.melléklet&amp;X1&amp;R2/2019.(II.15.) ÖK rendelethez</oddHeader>
    <oddFooter>&amp;L&amp;X1&amp;XMód: 7/2019.(V.31.) ÖK rendelet</oddFooter>
  </headerFooter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1" zoomScaleSheetLayoutView="100" zoomScalePageLayoutView="71" workbookViewId="0" topLeftCell="A1">
      <selection activeCell="C26" sqref="C26"/>
    </sheetView>
  </sheetViews>
  <sheetFormatPr defaultColWidth="9.140625" defaultRowHeight="12.75"/>
  <cols>
    <col min="1" max="1" width="6.00390625" style="0" customWidth="1"/>
    <col min="2" max="2" width="56.00390625" style="0" customWidth="1"/>
    <col min="5" max="5" width="11.28125" style="0" customWidth="1"/>
    <col min="6" max="6" width="10.28125" style="0" customWidth="1"/>
    <col min="7" max="7" width="10.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12.8515625" style="0" customWidth="1"/>
    <col min="13" max="13" width="9.7109375" style="0" customWidth="1"/>
    <col min="14" max="14" width="9.57421875" style="0" customWidth="1"/>
    <col min="15" max="15" width="11.7109375" style="0" customWidth="1"/>
  </cols>
  <sheetData>
    <row r="1" spans="1:15" ht="15.75">
      <c r="A1" s="1027" t="s">
        <v>965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</row>
    <row r="2" spans="1:15" ht="15.75">
      <c r="A2" s="1027" t="s">
        <v>887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</row>
    <row r="3" spans="1:1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26" t="s">
        <v>523</v>
      </c>
    </row>
    <row r="4" spans="1:15" ht="30.75" customHeight="1">
      <c r="A4" s="110" t="s">
        <v>329</v>
      </c>
      <c r="B4" s="111" t="s">
        <v>303</v>
      </c>
      <c r="C4" s="212" t="s">
        <v>330</v>
      </c>
      <c r="D4" s="212" t="s">
        <v>331</v>
      </c>
      <c r="E4" s="212" t="s">
        <v>332</v>
      </c>
      <c r="F4" s="212" t="s">
        <v>333</v>
      </c>
      <c r="G4" s="212" t="s">
        <v>334</v>
      </c>
      <c r="H4" s="212" t="s">
        <v>335</v>
      </c>
      <c r="I4" s="212" t="s">
        <v>336</v>
      </c>
      <c r="J4" s="212" t="s">
        <v>251</v>
      </c>
      <c r="K4" s="212" t="s">
        <v>252</v>
      </c>
      <c r="L4" s="212" t="s">
        <v>253</v>
      </c>
      <c r="M4" s="212" t="s">
        <v>254</v>
      </c>
      <c r="N4" s="212" t="s">
        <v>255</v>
      </c>
      <c r="O4" s="111" t="s">
        <v>269</v>
      </c>
    </row>
    <row r="5" spans="1:15" ht="15">
      <c r="A5" s="107" t="s">
        <v>276</v>
      </c>
      <c r="B5" s="1024" t="s">
        <v>306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6"/>
    </row>
    <row r="6" spans="1:15" ht="18" customHeight="1">
      <c r="A6" s="107" t="s">
        <v>277</v>
      </c>
      <c r="B6" s="106" t="s">
        <v>142</v>
      </c>
      <c r="C6" s="108">
        <v>54894</v>
      </c>
      <c r="D6" s="108">
        <f aca="true" t="shared" si="0" ref="D6:M6">+C6</f>
        <v>54894</v>
      </c>
      <c r="E6" s="108">
        <f>+D6-6451</f>
        <v>48443</v>
      </c>
      <c r="F6" s="108">
        <f t="shared" si="0"/>
        <v>48443</v>
      </c>
      <c r="G6" s="108">
        <f t="shared" si="0"/>
        <v>48443</v>
      </c>
      <c r="H6" s="108">
        <f t="shared" si="0"/>
        <v>48443</v>
      </c>
      <c r="I6" s="108">
        <f t="shared" si="0"/>
        <v>48443</v>
      </c>
      <c r="J6" s="108">
        <f t="shared" si="0"/>
        <v>48443</v>
      </c>
      <c r="K6" s="108">
        <f t="shared" si="0"/>
        <v>48443</v>
      </c>
      <c r="L6" s="108">
        <f t="shared" si="0"/>
        <v>48443</v>
      </c>
      <c r="M6" s="108">
        <f t="shared" si="0"/>
        <v>48443</v>
      </c>
      <c r="N6" s="108">
        <f>+M6+3+5</f>
        <v>48451</v>
      </c>
      <c r="O6" s="213">
        <f aca="true" t="shared" si="1" ref="O6:O13">SUM(C6:N6)</f>
        <v>594226</v>
      </c>
    </row>
    <row r="7" spans="1:15" ht="18" customHeight="1">
      <c r="A7" s="107" t="s">
        <v>278</v>
      </c>
      <c r="B7" s="106" t="s">
        <v>143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214">
        <f t="shared" si="1"/>
        <v>0</v>
      </c>
    </row>
    <row r="8" spans="1:15" ht="18" customHeight="1">
      <c r="A8" s="107" t="s">
        <v>279</v>
      </c>
      <c r="B8" s="107" t="s">
        <v>337</v>
      </c>
      <c r="C8" s="108">
        <v>2100</v>
      </c>
      <c r="D8" s="108">
        <v>2500</v>
      </c>
      <c r="E8" s="108">
        <v>70000</v>
      </c>
      <c r="F8" s="108">
        <v>4500</v>
      </c>
      <c r="G8" s="108">
        <v>2000</v>
      </c>
      <c r="H8" s="108">
        <v>2000</v>
      </c>
      <c r="I8" s="108">
        <v>3000</v>
      </c>
      <c r="J8" s="108">
        <v>4000</v>
      </c>
      <c r="K8" s="108">
        <v>70000</v>
      </c>
      <c r="L8" s="108">
        <v>5000</v>
      </c>
      <c r="M8" s="108">
        <v>1000</v>
      </c>
      <c r="N8" s="108">
        <v>12000</v>
      </c>
      <c r="O8" s="213">
        <f t="shared" si="1"/>
        <v>178100</v>
      </c>
    </row>
    <row r="9" spans="1:15" ht="18" customHeight="1">
      <c r="A9" s="107" t="s">
        <v>280</v>
      </c>
      <c r="B9" s="107" t="s">
        <v>355</v>
      </c>
      <c r="C9" s="108">
        <v>3079</v>
      </c>
      <c r="D9" s="108">
        <v>3079</v>
      </c>
      <c r="E9" s="108">
        <v>3079</v>
      </c>
      <c r="F9" s="108">
        <v>3079</v>
      </c>
      <c r="G9" s="108">
        <v>3079</v>
      </c>
      <c r="H9" s="108">
        <v>3079</v>
      </c>
      <c r="I9" s="108">
        <v>3079</v>
      </c>
      <c r="J9" s="108">
        <v>3079</v>
      </c>
      <c r="K9" s="108">
        <v>3079</v>
      </c>
      <c r="L9" s="108">
        <v>3079</v>
      </c>
      <c r="M9" s="108">
        <v>3079</v>
      </c>
      <c r="N9" s="108">
        <f>3079-1</f>
        <v>3078</v>
      </c>
      <c r="O9" s="213">
        <f t="shared" si="1"/>
        <v>36947</v>
      </c>
    </row>
    <row r="10" spans="1:15" ht="18" customHeight="1">
      <c r="A10" s="107" t="s">
        <v>281</v>
      </c>
      <c r="B10" s="107" t="s">
        <v>317</v>
      </c>
      <c r="C10" s="114">
        <v>0</v>
      </c>
      <c r="D10" s="114">
        <v>3250</v>
      </c>
      <c r="E10" s="114">
        <v>0</v>
      </c>
      <c r="F10" s="114">
        <v>0</v>
      </c>
      <c r="G10" s="114">
        <v>1550</v>
      </c>
      <c r="H10" s="108">
        <v>0</v>
      </c>
      <c r="I10" s="114">
        <v>0</v>
      </c>
      <c r="J10" s="114">
        <v>0</v>
      </c>
      <c r="K10" s="108">
        <v>950</v>
      </c>
      <c r="L10" s="114">
        <v>0</v>
      </c>
      <c r="M10" s="114">
        <v>0</v>
      </c>
      <c r="N10" s="114">
        <v>0</v>
      </c>
      <c r="O10" s="213">
        <f t="shared" si="1"/>
        <v>5750</v>
      </c>
    </row>
    <row r="11" spans="1:15" ht="18" customHeight="1">
      <c r="A11" s="107" t="s">
        <v>282</v>
      </c>
      <c r="B11" s="107" t="s">
        <v>260</v>
      </c>
      <c r="C11" s="114"/>
      <c r="D11" s="114"/>
      <c r="E11" s="108">
        <v>19</v>
      </c>
      <c r="F11" s="114"/>
      <c r="G11" s="114"/>
      <c r="H11" s="108">
        <v>20</v>
      </c>
      <c r="I11" s="114"/>
      <c r="J11" s="114"/>
      <c r="K11" s="108">
        <v>20</v>
      </c>
      <c r="L11" s="114"/>
      <c r="M11" s="114"/>
      <c r="N11" s="108">
        <v>19</v>
      </c>
      <c r="O11" s="213">
        <f t="shared" si="1"/>
        <v>78</v>
      </c>
    </row>
    <row r="12" spans="1:15" ht="18" customHeight="1">
      <c r="A12" s="107" t="s">
        <v>283</v>
      </c>
      <c r="B12" s="107" t="s">
        <v>472</v>
      </c>
      <c r="C12" s="108">
        <v>40</v>
      </c>
      <c r="D12" s="108">
        <v>43</v>
      </c>
      <c r="E12" s="108">
        <v>43</v>
      </c>
      <c r="F12" s="108">
        <v>43</v>
      </c>
      <c r="G12" s="108">
        <v>43</v>
      </c>
      <c r="H12" s="108">
        <v>43</v>
      </c>
      <c r="I12" s="108">
        <v>43</v>
      </c>
      <c r="J12" s="108">
        <v>43</v>
      </c>
      <c r="K12" s="108">
        <v>43</v>
      </c>
      <c r="L12" s="108">
        <v>43</v>
      </c>
      <c r="M12" s="108">
        <v>43</v>
      </c>
      <c r="N12" s="108">
        <v>40</v>
      </c>
      <c r="O12" s="213">
        <f t="shared" si="1"/>
        <v>510</v>
      </c>
    </row>
    <row r="13" spans="1:15" ht="18" customHeight="1">
      <c r="A13" s="107" t="s">
        <v>284</v>
      </c>
      <c r="B13" s="107" t="s">
        <v>144</v>
      </c>
      <c r="C13" s="114">
        <v>0</v>
      </c>
      <c r="D13" s="114">
        <v>0</v>
      </c>
      <c r="E13" s="114">
        <f>26000+1603137</f>
        <v>1629137</v>
      </c>
      <c r="F13" s="114">
        <v>3000</v>
      </c>
      <c r="G13" s="114">
        <v>3000</v>
      </c>
      <c r="H13" s="114">
        <v>35000</v>
      </c>
      <c r="I13" s="114">
        <v>4000</v>
      </c>
      <c r="J13" s="114">
        <v>5000</v>
      </c>
      <c r="K13" s="114">
        <v>32000</v>
      </c>
      <c r="L13" s="114">
        <v>12000</v>
      </c>
      <c r="M13" s="114">
        <v>0</v>
      </c>
      <c r="N13" s="114">
        <v>0</v>
      </c>
      <c r="O13" s="221">
        <f t="shared" si="1"/>
        <v>1723137</v>
      </c>
    </row>
    <row r="14" spans="1:15" ht="18" customHeight="1">
      <c r="A14" s="107" t="s">
        <v>285</v>
      </c>
      <c r="B14" s="1019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</row>
    <row r="15" spans="1:15" ht="18" customHeight="1">
      <c r="A15" s="222" t="s">
        <v>286</v>
      </c>
      <c r="B15" s="215" t="s">
        <v>338</v>
      </c>
      <c r="C15" s="216">
        <f aca="true" t="shared" si="2" ref="C15:N15">SUM(C6:C13)</f>
        <v>60113</v>
      </c>
      <c r="D15" s="216">
        <f>SUM(D6:D13)</f>
        <v>63766</v>
      </c>
      <c r="E15" s="216">
        <f t="shared" si="2"/>
        <v>1750721</v>
      </c>
      <c r="F15" s="216">
        <f t="shared" si="2"/>
        <v>59065</v>
      </c>
      <c r="G15" s="216">
        <f t="shared" si="2"/>
        <v>58115</v>
      </c>
      <c r="H15" s="216">
        <f t="shared" si="2"/>
        <v>88585</v>
      </c>
      <c r="I15" s="216">
        <f t="shared" si="2"/>
        <v>58565</v>
      </c>
      <c r="J15" s="216">
        <f t="shared" si="2"/>
        <v>60565</v>
      </c>
      <c r="K15" s="216">
        <f t="shared" si="2"/>
        <v>154535</v>
      </c>
      <c r="L15" s="216">
        <f t="shared" si="2"/>
        <v>68565</v>
      </c>
      <c r="M15" s="216">
        <f t="shared" si="2"/>
        <v>52565</v>
      </c>
      <c r="N15" s="216">
        <f t="shared" si="2"/>
        <v>63588</v>
      </c>
      <c r="O15" s="217">
        <f>SUM(O6:O13)</f>
        <v>2538748</v>
      </c>
    </row>
    <row r="16" spans="1:15" ht="18" customHeight="1">
      <c r="A16" s="107" t="s">
        <v>287</v>
      </c>
      <c r="B16" s="1024" t="s">
        <v>310</v>
      </c>
      <c r="C16" s="1025"/>
      <c r="D16" s="1025"/>
      <c r="E16" s="1025"/>
      <c r="F16" s="1025"/>
      <c r="G16" s="1025"/>
      <c r="H16" s="1025"/>
      <c r="I16" s="1025"/>
      <c r="J16" s="1025"/>
      <c r="K16" s="1025"/>
      <c r="L16" s="1025"/>
      <c r="M16" s="1025"/>
      <c r="N16" s="1025"/>
      <c r="O16" s="1026"/>
    </row>
    <row r="17" spans="1:15" ht="18" customHeight="1">
      <c r="A17" s="107" t="s">
        <v>288</v>
      </c>
      <c r="B17" s="107" t="s">
        <v>320</v>
      </c>
      <c r="C17" s="108">
        <v>15578</v>
      </c>
      <c r="D17" s="108">
        <f aca="true" t="shared" si="3" ref="D17:M17">+C17</f>
        <v>15578</v>
      </c>
      <c r="E17" s="108">
        <f>+D17+1617</f>
        <v>17195</v>
      </c>
      <c r="F17" s="108">
        <f t="shared" si="3"/>
        <v>17195</v>
      </c>
      <c r="G17" s="108">
        <f t="shared" si="3"/>
        <v>17195</v>
      </c>
      <c r="H17" s="108">
        <f t="shared" si="3"/>
        <v>17195</v>
      </c>
      <c r="I17" s="108">
        <f t="shared" si="3"/>
        <v>17195</v>
      </c>
      <c r="J17" s="108">
        <f t="shared" si="3"/>
        <v>17195</v>
      </c>
      <c r="K17" s="108">
        <f t="shared" si="3"/>
        <v>17195</v>
      </c>
      <c r="L17" s="108">
        <f t="shared" si="3"/>
        <v>17195</v>
      </c>
      <c r="M17" s="108">
        <f t="shared" si="3"/>
        <v>17195</v>
      </c>
      <c r="N17" s="108">
        <f>+M17+4</f>
        <v>17199</v>
      </c>
      <c r="O17" s="213">
        <f aca="true" t="shared" si="4" ref="O17:O26">SUM(C17:N17)</f>
        <v>203110</v>
      </c>
    </row>
    <row r="18" spans="1:15" ht="18" customHeight="1">
      <c r="A18" s="107" t="s">
        <v>289</v>
      </c>
      <c r="B18" s="109" t="s">
        <v>488</v>
      </c>
      <c r="C18" s="108">
        <v>1893</v>
      </c>
      <c r="D18" s="108">
        <v>1893</v>
      </c>
      <c r="E18" s="108">
        <f>1893+460</f>
        <v>2353</v>
      </c>
      <c r="F18" s="108">
        <f aca="true" t="shared" si="5" ref="F18:M18">1893+460</f>
        <v>2353</v>
      </c>
      <c r="G18" s="108">
        <f t="shared" si="5"/>
        <v>2353</v>
      </c>
      <c r="H18" s="108">
        <f t="shared" si="5"/>
        <v>2353</v>
      </c>
      <c r="I18" s="108">
        <f t="shared" si="5"/>
        <v>2353</v>
      </c>
      <c r="J18" s="108">
        <f t="shared" si="5"/>
        <v>2353</v>
      </c>
      <c r="K18" s="108">
        <f t="shared" si="5"/>
        <v>2353</v>
      </c>
      <c r="L18" s="108">
        <f t="shared" si="5"/>
        <v>2353</v>
      </c>
      <c r="M18" s="108">
        <f t="shared" si="5"/>
        <v>2353</v>
      </c>
      <c r="N18" s="108">
        <f>1893+460-7</f>
        <v>2346</v>
      </c>
      <c r="O18" s="213">
        <f t="shared" si="4"/>
        <v>27309</v>
      </c>
    </row>
    <row r="19" spans="1:15" ht="18" customHeight="1">
      <c r="A19" s="107" t="s">
        <v>290</v>
      </c>
      <c r="B19" s="107" t="s">
        <v>323</v>
      </c>
      <c r="C19" s="108">
        <v>7805</v>
      </c>
      <c r="D19" s="108">
        <v>7805</v>
      </c>
      <c r="E19" s="108">
        <f>7805+4811</f>
        <v>12616</v>
      </c>
      <c r="F19" s="108">
        <f aca="true" t="shared" si="6" ref="F19:M19">7805+4811</f>
        <v>12616</v>
      </c>
      <c r="G19" s="108">
        <f t="shared" si="6"/>
        <v>12616</v>
      </c>
      <c r="H19" s="108">
        <f t="shared" si="6"/>
        <v>12616</v>
      </c>
      <c r="I19" s="108">
        <f t="shared" si="6"/>
        <v>12616</v>
      </c>
      <c r="J19" s="108">
        <f t="shared" si="6"/>
        <v>12616</v>
      </c>
      <c r="K19" s="108">
        <f t="shared" si="6"/>
        <v>12616</v>
      </c>
      <c r="L19" s="108">
        <f t="shared" si="6"/>
        <v>12616</v>
      </c>
      <c r="M19" s="108">
        <f t="shared" si="6"/>
        <v>12616</v>
      </c>
      <c r="N19" s="108">
        <f>7805+4811-3</f>
        <v>12613</v>
      </c>
      <c r="O19" s="213">
        <f t="shared" si="4"/>
        <v>141767</v>
      </c>
    </row>
    <row r="20" spans="1:15" ht="18" customHeight="1">
      <c r="A20" s="107" t="s">
        <v>291</v>
      </c>
      <c r="B20" s="107" t="s">
        <v>339</v>
      </c>
      <c r="C20" s="108">
        <v>1267</v>
      </c>
      <c r="D20" s="108">
        <f aca="true" t="shared" si="7" ref="D20:M20">+C20</f>
        <v>1267</v>
      </c>
      <c r="E20" s="108">
        <f t="shared" si="7"/>
        <v>1267</v>
      </c>
      <c r="F20" s="108">
        <f t="shared" si="7"/>
        <v>1267</v>
      </c>
      <c r="G20" s="108">
        <f t="shared" si="7"/>
        <v>1267</v>
      </c>
      <c r="H20" s="108">
        <f t="shared" si="7"/>
        <v>1267</v>
      </c>
      <c r="I20" s="108">
        <f t="shared" si="7"/>
        <v>1267</v>
      </c>
      <c r="J20" s="108">
        <f t="shared" si="7"/>
        <v>1267</v>
      </c>
      <c r="K20" s="108">
        <f t="shared" si="7"/>
        <v>1267</v>
      </c>
      <c r="L20" s="108">
        <f t="shared" si="7"/>
        <v>1267</v>
      </c>
      <c r="M20" s="108">
        <f t="shared" si="7"/>
        <v>1267</v>
      </c>
      <c r="N20" s="108">
        <f>+M20-4</f>
        <v>1263</v>
      </c>
      <c r="O20" s="213">
        <f t="shared" si="4"/>
        <v>15200</v>
      </c>
    </row>
    <row r="21" spans="1:15" ht="18" customHeight="1">
      <c r="A21" s="107" t="s">
        <v>292</v>
      </c>
      <c r="B21" s="107" t="s">
        <v>145</v>
      </c>
      <c r="C21" s="108">
        <v>4019</v>
      </c>
      <c r="D21" s="108">
        <v>4019</v>
      </c>
      <c r="E21" s="108">
        <v>4019</v>
      </c>
      <c r="F21" s="108">
        <v>4019</v>
      </c>
      <c r="G21" s="108">
        <v>4019</v>
      </c>
      <c r="H21" s="108">
        <v>4019</v>
      </c>
      <c r="I21" s="108">
        <v>4019</v>
      </c>
      <c r="J21" s="108">
        <v>4019</v>
      </c>
      <c r="K21" s="108">
        <v>4019</v>
      </c>
      <c r="L21" s="108">
        <v>4019</v>
      </c>
      <c r="M21" s="108">
        <v>4019</v>
      </c>
      <c r="N21" s="108">
        <f>4019-5</f>
        <v>4014</v>
      </c>
      <c r="O21" s="213">
        <f t="shared" si="4"/>
        <v>48223</v>
      </c>
    </row>
    <row r="22" spans="1:15" ht="18" customHeight="1">
      <c r="A22" s="107" t="s">
        <v>293</v>
      </c>
      <c r="B22" s="107" t="s">
        <v>402</v>
      </c>
      <c r="C22" s="108">
        <v>6233</v>
      </c>
      <c r="D22" s="108">
        <f>+C22</f>
        <v>6233</v>
      </c>
      <c r="E22" s="108">
        <f>+D22+129915</f>
        <v>136148</v>
      </c>
      <c r="F22" s="108">
        <f aca="true" t="shared" si="8" ref="F22:M22">+E22</f>
        <v>136148</v>
      </c>
      <c r="G22" s="108">
        <f t="shared" si="8"/>
        <v>136148</v>
      </c>
      <c r="H22" s="108">
        <f t="shared" si="8"/>
        <v>136148</v>
      </c>
      <c r="I22" s="108">
        <f t="shared" si="8"/>
        <v>136148</v>
      </c>
      <c r="J22" s="108">
        <f t="shared" si="8"/>
        <v>136148</v>
      </c>
      <c r="K22" s="108">
        <f t="shared" si="8"/>
        <v>136148</v>
      </c>
      <c r="L22" s="108">
        <f t="shared" si="8"/>
        <v>136148</v>
      </c>
      <c r="M22" s="108">
        <f t="shared" si="8"/>
        <v>136148</v>
      </c>
      <c r="N22" s="108">
        <f>+M22+4-3+6</f>
        <v>136155</v>
      </c>
      <c r="O22" s="213">
        <f t="shared" si="4"/>
        <v>1373953</v>
      </c>
    </row>
    <row r="23" spans="1:15" ht="18" customHeight="1">
      <c r="A23" s="107" t="s">
        <v>294</v>
      </c>
      <c r="B23" s="107" t="s">
        <v>403</v>
      </c>
      <c r="C23" s="114">
        <v>0</v>
      </c>
      <c r="D23" s="114">
        <v>0</v>
      </c>
      <c r="E23" s="114">
        <f>14258+17060</f>
        <v>31318</v>
      </c>
      <c r="F23" s="108">
        <v>17060</v>
      </c>
      <c r="G23" s="114">
        <v>17060</v>
      </c>
      <c r="H23" s="114">
        <v>17060</v>
      </c>
      <c r="I23" s="114">
        <f>1500+17060</f>
        <v>18560</v>
      </c>
      <c r="J23" s="114">
        <f>1000+17060</f>
        <v>18060</v>
      </c>
      <c r="K23" s="114">
        <f>14258+17060</f>
        <v>31318</v>
      </c>
      <c r="L23" s="108">
        <f>1500+17060</f>
        <v>18560</v>
      </c>
      <c r="M23" s="114">
        <v>17060</v>
      </c>
      <c r="N23" s="114">
        <f>17060-3</f>
        <v>17057</v>
      </c>
      <c r="O23" s="213">
        <f t="shared" si="4"/>
        <v>203113</v>
      </c>
    </row>
    <row r="24" spans="1:15" ht="18" customHeight="1">
      <c r="A24" s="107" t="s">
        <v>296</v>
      </c>
      <c r="B24" s="107" t="s">
        <v>146</v>
      </c>
      <c r="C24" s="114">
        <v>0</v>
      </c>
      <c r="D24" s="114">
        <v>0</v>
      </c>
      <c r="E24" s="114">
        <v>161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221">
        <f t="shared" si="4"/>
        <v>161</v>
      </c>
    </row>
    <row r="25" spans="1:15" ht="18" customHeight="1">
      <c r="A25" s="107" t="s">
        <v>297</v>
      </c>
      <c r="B25" s="107" t="s">
        <v>405</v>
      </c>
      <c r="C25" s="114">
        <v>12365</v>
      </c>
      <c r="D25" s="114">
        <v>0</v>
      </c>
      <c r="E25" s="114">
        <v>25000</v>
      </c>
      <c r="F25" s="114">
        <v>0</v>
      </c>
      <c r="G25" s="114">
        <v>0</v>
      </c>
      <c r="H25" s="114">
        <v>5000</v>
      </c>
      <c r="I25" s="114">
        <v>0</v>
      </c>
      <c r="J25" s="114">
        <v>0</v>
      </c>
      <c r="K25" s="114">
        <v>10000</v>
      </c>
      <c r="L25" s="114">
        <v>0</v>
      </c>
      <c r="M25" s="114"/>
      <c r="N25" s="114">
        <v>0</v>
      </c>
      <c r="O25" s="221">
        <f t="shared" si="4"/>
        <v>52365</v>
      </c>
    </row>
    <row r="26" spans="1:15" ht="18" customHeight="1">
      <c r="A26" s="107" t="s">
        <v>298</v>
      </c>
      <c r="B26" s="107" t="s">
        <v>1</v>
      </c>
      <c r="C26" s="778">
        <f>'[7]12.mell.vsz finterv'!D15+'[7]13.mell. eszesz finterv'!D16+'[7]14.mell. könyvtár fin terv'!D15+'[7]15.mell. PH ei.felh.'!D16</f>
        <v>40266</v>
      </c>
      <c r="D26" s="778">
        <f>'[7]12.mell.vsz finterv'!E15+'[7]13.mell. eszesz finterv'!E16+'[7]14.mell. könyvtár fin terv'!E15+'[7]15.mell. PH ei.felh.'!E16</f>
        <v>40476</v>
      </c>
      <c r="E26" s="778">
        <f>'[7]12.mell.vsz finterv'!F15+'[7]13.mell. eszesz finterv'!F16+'[7]14.mell. könyvtár fin terv'!F15+'[7]15.mell. PH ei.felh.'!F16</f>
        <v>24382</v>
      </c>
      <c r="F26" s="778">
        <f>'[7]12.mell.vsz finterv'!G15+'[7]13.mell. eszesz finterv'!G16+'[7]14.mell. könyvtár fin terv'!G15+'[7]15.mell. PH ei.felh.'!G16</f>
        <v>40986</v>
      </c>
      <c r="G26" s="778">
        <f>'[7]12.mell.vsz finterv'!H15+'[7]13.mell. eszesz finterv'!H16+'[7]14.mell. könyvtár fin terv'!H15+'[7]15.mell. PH ei.felh.'!H16</f>
        <v>41086</v>
      </c>
      <c r="H26" s="778">
        <f>'[7]12.mell.vsz finterv'!I15+'[7]13.mell. eszesz finterv'!I16+'[7]14.mell. könyvtár fin terv'!I15+'[7]15.mell. PH ei.felh.'!I16</f>
        <v>41216</v>
      </c>
      <c r="I26" s="778">
        <f>'[7]12.mell.vsz finterv'!J15+'[7]13.mell. eszesz finterv'!J16+'[7]14.mell. könyvtár fin terv'!J15+'[7]15.mell. PH ei.felh.'!J16</f>
        <v>40786</v>
      </c>
      <c r="J26" s="778">
        <f>'[7]12.mell.vsz finterv'!K15+'[7]13.mell. eszesz finterv'!K16+'[7]14.mell. könyvtár fin terv'!K15+'[7]15.mell. PH ei.felh.'!K16</f>
        <v>40766</v>
      </c>
      <c r="K26" s="778">
        <f>'[7]12.mell.vsz finterv'!L15+'[7]13.mell. eszesz finterv'!L16+'[7]14.mell. könyvtár fin terv'!L15+'[7]15.mell. PH ei.felh.'!L16</f>
        <v>41486</v>
      </c>
      <c r="L26" s="778">
        <f>'[7]12.mell.vsz finterv'!M15+'[7]13.mell. eszesz finterv'!M16+'[7]14.mell. könyvtár fin terv'!M15+'[7]15.mell. PH ei.felh.'!M16</f>
        <v>40566</v>
      </c>
      <c r="M26" s="778">
        <f>'[7]12.mell.vsz finterv'!N15+'[7]13.mell. eszesz finterv'!N16+'[7]14.mell. könyvtár fin terv'!N15+'[7]15.mell. PH ei.felh.'!N16</f>
        <v>40566</v>
      </c>
      <c r="N26" s="778">
        <f>'[7]12.mell.vsz finterv'!O15+'[7]13.mell. eszesz finterv'!O16+'[7]14.mell. könyvtár fin terv'!O15+'[7]15.mell. PH ei.felh.'!O16</f>
        <v>40965</v>
      </c>
      <c r="O26" s="779">
        <f t="shared" si="4"/>
        <v>473547</v>
      </c>
    </row>
    <row r="27" spans="1:15" ht="18" customHeight="1">
      <c r="A27" s="215" t="s">
        <v>299</v>
      </c>
      <c r="B27" s="215" t="s">
        <v>340</v>
      </c>
      <c r="C27" s="216">
        <f>SUM(C17:C25)</f>
        <v>49160</v>
      </c>
      <c r="D27" s="216">
        <f aca="true" t="shared" si="9" ref="D27:N27">SUM(D17:D25)</f>
        <v>36795</v>
      </c>
      <c r="E27" s="216">
        <f t="shared" si="9"/>
        <v>230077</v>
      </c>
      <c r="F27" s="216">
        <f t="shared" si="9"/>
        <v>190658</v>
      </c>
      <c r="G27" s="216">
        <f t="shared" si="9"/>
        <v>190658</v>
      </c>
      <c r="H27" s="216">
        <f t="shared" si="9"/>
        <v>195658</v>
      </c>
      <c r="I27" s="216">
        <f t="shared" si="9"/>
        <v>192158</v>
      </c>
      <c r="J27" s="216">
        <f t="shared" si="9"/>
        <v>191658</v>
      </c>
      <c r="K27" s="216">
        <f t="shared" si="9"/>
        <v>214916</v>
      </c>
      <c r="L27" s="216">
        <f t="shared" si="9"/>
        <v>192158</v>
      </c>
      <c r="M27" s="216">
        <f t="shared" si="9"/>
        <v>190658</v>
      </c>
      <c r="N27" s="216">
        <f t="shared" si="9"/>
        <v>190647</v>
      </c>
      <c r="O27" s="217">
        <f>SUM(C27:N27)</f>
        <v>2065201</v>
      </c>
    </row>
    <row r="28" spans="1:15" ht="18" customHeight="1">
      <c r="A28" s="215" t="s">
        <v>300</v>
      </c>
      <c r="B28" s="218" t="s">
        <v>344</v>
      </c>
      <c r="C28" s="219">
        <f>C15-C27</f>
        <v>10953</v>
      </c>
      <c r="D28" s="219">
        <f>C28+D15-D27</f>
        <v>37924</v>
      </c>
      <c r="E28" s="219">
        <f aca="true" t="shared" si="10" ref="E28:N28">D28+E15-E27</f>
        <v>1558568</v>
      </c>
      <c r="F28" s="219">
        <f t="shared" si="10"/>
        <v>1426975</v>
      </c>
      <c r="G28" s="219">
        <f t="shared" si="10"/>
        <v>1294432</v>
      </c>
      <c r="H28" s="219">
        <f t="shared" si="10"/>
        <v>1187359</v>
      </c>
      <c r="I28" s="219">
        <f t="shared" si="10"/>
        <v>1053766</v>
      </c>
      <c r="J28" s="219">
        <f t="shared" si="10"/>
        <v>922673</v>
      </c>
      <c r="K28" s="219">
        <f t="shared" si="10"/>
        <v>862292</v>
      </c>
      <c r="L28" s="219">
        <f t="shared" si="10"/>
        <v>738699</v>
      </c>
      <c r="M28" s="219">
        <f t="shared" si="10"/>
        <v>600606</v>
      </c>
      <c r="N28" s="219">
        <f t="shared" si="10"/>
        <v>473547</v>
      </c>
      <c r="O28" s="220" t="s">
        <v>343</v>
      </c>
    </row>
    <row r="29" spans="1:15" ht="12.7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7"/>
    </row>
    <row r="30" spans="1:15" ht="12.7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7"/>
    </row>
  </sheetData>
  <sheetProtection password="CD92" sheet="1"/>
  <mergeCells count="5">
    <mergeCell ref="B16:O16"/>
    <mergeCell ref="A1:O1"/>
    <mergeCell ref="A2:O2"/>
    <mergeCell ref="B14:O14"/>
    <mergeCell ref="B5:O5"/>
  </mergeCells>
  <printOptions/>
  <pageMargins left="0.3937007874015748" right="0.15748031496062992" top="0.4724409448818898" bottom="1.6141732283464567" header="0.2755905511811024" footer="0.6692913385826772"/>
  <pageSetup horizontalDpi="600" verticalDpi="600" orientation="landscape" paperSize="9" scale="73" r:id="rId1"/>
  <headerFooter alignWithMargins="0">
    <oddHeader>&amp;L17.melléklet&amp;X1&amp;R2/2019.(II.15.) ÖK rendelethez</oddHeader>
    <oddFooter>&amp;L&amp;X1&amp;XMód: 7/2019.(V.31.) ÖK rendelet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94"/>
  <sheetViews>
    <sheetView view="pageBreakPreview" zoomScale="82" zoomScaleNormal="77" zoomScaleSheetLayoutView="82" zoomScalePageLayoutView="77" workbookViewId="0" topLeftCell="A1">
      <selection activeCell="L28" sqref="L28"/>
    </sheetView>
  </sheetViews>
  <sheetFormatPr defaultColWidth="9.140625" defaultRowHeight="13.5" customHeight="1"/>
  <cols>
    <col min="1" max="1" width="6.421875" style="5" customWidth="1"/>
    <col min="2" max="2" width="56.00390625" style="5" customWidth="1"/>
    <col min="3" max="3" width="11.7109375" style="5" customWidth="1"/>
    <col min="4" max="4" width="12.8515625" style="5" bestFit="1" customWidth="1"/>
    <col min="5" max="5" width="10.28125" style="5" bestFit="1" customWidth="1"/>
    <col min="6" max="6" width="10.8515625" style="5" customWidth="1"/>
    <col min="7" max="9" width="10.28125" style="5" bestFit="1" customWidth="1"/>
    <col min="10" max="10" width="10.140625" style="5" bestFit="1" customWidth="1"/>
    <col min="11" max="11" width="11.140625" style="5" bestFit="1" customWidth="1"/>
    <col min="12" max="12" width="10.28125" style="5" bestFit="1" customWidth="1"/>
    <col min="13" max="13" width="11.7109375" style="5" bestFit="1" customWidth="1"/>
    <col min="14" max="14" width="11.28125" style="5" bestFit="1" customWidth="1"/>
    <col min="15" max="15" width="11.28125" style="42" bestFit="1" customWidth="1"/>
    <col min="16" max="18" width="11.7109375" style="5" customWidth="1"/>
    <col min="19" max="20" width="9.7109375" style="5" customWidth="1"/>
    <col min="21" max="21" width="10.57421875" style="5" customWidth="1"/>
    <col min="22" max="22" width="13.00390625" style="5" customWidth="1"/>
    <col min="23" max="23" width="9.28125" style="5" customWidth="1"/>
    <col min="24" max="16384" width="9.140625" style="5" customWidth="1"/>
  </cols>
  <sheetData>
    <row r="1" spans="1:15" ht="32.25" customHeight="1">
      <c r="A1" s="1028" t="s">
        <v>147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</row>
    <row r="2" spans="1:15" ht="18.75" customHeight="1">
      <c r="A2" s="1029" t="s">
        <v>887</v>
      </c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</row>
    <row r="3" spans="1:15" ht="19.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8" t="s">
        <v>523</v>
      </c>
    </row>
    <row r="4" spans="1:15" s="45" customFormat="1" ht="42" customHeight="1">
      <c r="A4" s="449" t="s">
        <v>329</v>
      </c>
      <c r="B4" s="450" t="s">
        <v>303</v>
      </c>
      <c r="C4" s="451" t="s">
        <v>330</v>
      </c>
      <c r="D4" s="451" t="s">
        <v>331</v>
      </c>
      <c r="E4" s="451" t="s">
        <v>332</v>
      </c>
      <c r="F4" s="451" t="s">
        <v>333</v>
      </c>
      <c r="G4" s="451" t="s">
        <v>334</v>
      </c>
      <c r="H4" s="451" t="s">
        <v>335</v>
      </c>
      <c r="I4" s="451" t="s">
        <v>336</v>
      </c>
      <c r="J4" s="451" t="s">
        <v>251</v>
      </c>
      <c r="K4" s="451" t="s">
        <v>252</v>
      </c>
      <c r="L4" s="451" t="s">
        <v>253</v>
      </c>
      <c r="M4" s="451" t="s">
        <v>254</v>
      </c>
      <c r="N4" s="451" t="s">
        <v>255</v>
      </c>
      <c r="O4" s="450" t="s">
        <v>269</v>
      </c>
    </row>
    <row r="5" spans="1:15" s="34" customFormat="1" ht="18" customHeight="1">
      <c r="A5" s="452" t="s">
        <v>276</v>
      </c>
      <c r="B5" s="1030" t="s">
        <v>306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2"/>
    </row>
    <row r="6" spans="1:15" s="34" customFormat="1" ht="18" customHeight="1">
      <c r="A6" s="452" t="s">
        <v>277</v>
      </c>
      <c r="B6" s="452" t="s">
        <v>342</v>
      </c>
      <c r="C6" s="114">
        <f>1602025</f>
        <v>1602025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4" t="s">
        <v>343</v>
      </c>
    </row>
    <row r="7" spans="1:15" s="34" customFormat="1" ht="18" customHeight="1">
      <c r="A7" s="452" t="s">
        <v>278</v>
      </c>
      <c r="B7" s="455" t="s">
        <v>142</v>
      </c>
      <c r="C7" s="114">
        <f>'[7]12.mell.vsz finterv'!D7+'[7]13.mell. eszesz finterv'!D8+'[7]14.mell. könyvtár fin terv'!D7+'[7]15.mell. PH ei.felh.'!D8+'[7]16.mell. ÖK finansz.'!C6</f>
        <v>59065</v>
      </c>
      <c r="D7" s="114">
        <f>'[7]12.mell.vsz finterv'!E7+'[7]13.mell. eszesz finterv'!E8+'[7]14.mell. könyvtár fin terv'!E7+'[7]15.mell. PH ei.felh.'!E8+'[7]16.mell. ÖK finansz.'!D6</f>
        <v>59065</v>
      </c>
      <c r="E7" s="114">
        <f>'[7]12.mell.vsz finterv'!F7+'[7]13.mell. eszesz finterv'!F8+'[7]14.mell. könyvtár fin terv'!F7+'[7]15.mell. PH ei.felh.'!F8+'[7]16.mell. ÖK finansz.'!E6</f>
        <v>65256</v>
      </c>
      <c r="F7" s="114">
        <f>'[7]12.mell.vsz finterv'!G7+'[7]13.mell. eszesz finterv'!G8+'[7]14.mell. könyvtár fin terv'!G7+'[7]15.mell. PH ei.felh.'!G8+'[7]16.mell. ÖK finansz.'!F6</f>
        <v>52614</v>
      </c>
      <c r="G7" s="114">
        <f>'[7]12.mell.vsz finterv'!H7+'[7]13.mell. eszesz finterv'!H8+'[7]14.mell. könyvtár fin terv'!H7+'[7]15.mell. PH ei.felh.'!H8+'[7]16.mell. ÖK finansz.'!G6</f>
        <v>52614</v>
      </c>
      <c r="H7" s="114">
        <f>'[7]12.mell.vsz finterv'!I7+'[7]13.mell. eszesz finterv'!I8+'[7]14.mell. könyvtár fin terv'!I7+'[7]15.mell. PH ei.felh.'!I8+'[7]16.mell. ÖK finansz.'!H6</f>
        <v>52614</v>
      </c>
      <c r="I7" s="114">
        <f>'[7]12.mell.vsz finterv'!J7+'[7]13.mell. eszesz finterv'!J8+'[7]14.mell. könyvtár fin terv'!J7+'[7]15.mell. PH ei.felh.'!J8+'[7]16.mell. ÖK finansz.'!I6</f>
        <v>52614</v>
      </c>
      <c r="J7" s="114">
        <f>'[7]12.mell.vsz finterv'!K7+'[7]13.mell. eszesz finterv'!K8+'[7]14.mell. könyvtár fin terv'!K7+'[7]15.mell. PH ei.felh.'!K8+'[7]16.mell. ÖK finansz.'!J6</f>
        <v>52614</v>
      </c>
      <c r="K7" s="114">
        <f>'[7]12.mell.vsz finterv'!L7+'[7]13.mell. eszesz finterv'!L8+'[7]14.mell. könyvtár fin terv'!L7+'[7]15.mell. PH ei.felh.'!L8+'[7]16.mell. ÖK finansz.'!K6</f>
        <v>52614</v>
      </c>
      <c r="L7" s="114">
        <f>'[7]12.mell.vsz finterv'!M7+'[7]13.mell. eszesz finterv'!M8+'[7]14.mell. könyvtár fin terv'!M7+'[7]15.mell. PH ei.felh.'!M8+'[7]16.mell. ÖK finansz.'!L6</f>
        <v>52614</v>
      </c>
      <c r="M7" s="114">
        <f>'[7]12.mell.vsz finterv'!N7+'[7]13.mell. eszesz finterv'!N8+'[7]14.mell. könyvtár fin terv'!N7+'[7]15.mell. PH ei.felh.'!N8+'[7]16.mell. ÖK finansz.'!M6</f>
        <v>52614</v>
      </c>
      <c r="N7" s="114">
        <f>'[7]12.mell.vsz finterv'!O7+'[7]13.mell. eszesz finterv'!O8+'[7]14.mell. könyvtár fin terv'!O7+'[7]15.mell. PH ei.felh.'!O8+'[7]16.mell. ÖK finansz.'!N6</f>
        <v>52627</v>
      </c>
      <c r="O7" s="214">
        <f>SUM(C7:N7)</f>
        <v>656925</v>
      </c>
    </row>
    <row r="8" spans="1:15" s="34" customFormat="1" ht="18" customHeight="1">
      <c r="A8" s="452" t="s">
        <v>279</v>
      </c>
      <c r="B8" s="455" t="s">
        <v>143</v>
      </c>
      <c r="C8" s="114">
        <f>'[7]12.mell.vsz finterv'!D8+'[7]13.mell. eszesz finterv'!D9+'[7]14.mell. könyvtár fin terv'!D8+'[7]15.mell. PH ei.felh.'!D9+'[7]16.mell. ÖK finansz.'!C7</f>
        <v>0</v>
      </c>
      <c r="D8" s="114">
        <f>'[7]12.mell.vsz finterv'!E8+'[7]13.mell. eszesz finterv'!E9+'[7]14.mell. könyvtár fin terv'!E8+'[7]15.mell. PH ei.felh.'!E9+'[7]16.mell. ÖK finansz.'!D7</f>
        <v>0</v>
      </c>
      <c r="E8" s="114">
        <f>'[7]12.mell.vsz finterv'!F8+'[7]13.mell. eszesz finterv'!F9+'[7]14.mell. könyvtár fin terv'!F8+'[7]15.mell. PH ei.felh.'!F9+'[7]16.mell. ÖK finansz.'!E7</f>
        <v>161</v>
      </c>
      <c r="F8" s="114">
        <f>'[7]12.mell.vsz finterv'!G8+'[7]13.mell. eszesz finterv'!G9+'[7]14.mell. könyvtár fin terv'!G8+'[7]15.mell. PH ei.felh.'!G9+'[7]16.mell. ÖK finansz.'!F7</f>
        <v>0</v>
      </c>
      <c r="G8" s="114">
        <f>'[7]12.mell.vsz finterv'!H8+'[7]13.mell. eszesz finterv'!H9+'[7]14.mell. könyvtár fin terv'!H8+'[7]15.mell. PH ei.felh.'!H9+'[7]16.mell. ÖK finansz.'!G7</f>
        <v>0</v>
      </c>
      <c r="H8" s="114">
        <f>'[7]12.mell.vsz finterv'!I8+'[7]13.mell. eszesz finterv'!I9+'[7]14.mell. könyvtár fin terv'!I8+'[7]15.mell. PH ei.felh.'!I9+'[7]16.mell. ÖK finansz.'!H7</f>
        <v>0</v>
      </c>
      <c r="I8" s="114">
        <f>'[7]12.mell.vsz finterv'!J8+'[7]13.mell. eszesz finterv'!J9+'[7]14.mell. könyvtár fin terv'!J8+'[7]15.mell. PH ei.felh.'!J9+'[7]16.mell. ÖK finansz.'!I7</f>
        <v>0</v>
      </c>
      <c r="J8" s="114">
        <f>'[7]12.mell.vsz finterv'!K8+'[7]13.mell. eszesz finterv'!K9+'[7]14.mell. könyvtár fin terv'!K8+'[7]15.mell. PH ei.felh.'!K9+'[7]16.mell. ÖK finansz.'!J7</f>
        <v>0</v>
      </c>
      <c r="K8" s="114">
        <f>'[7]12.mell.vsz finterv'!L8+'[7]13.mell. eszesz finterv'!L9+'[7]14.mell. könyvtár fin terv'!L8+'[7]15.mell. PH ei.felh.'!L9+'[7]16.mell. ÖK finansz.'!K7</f>
        <v>0</v>
      </c>
      <c r="L8" s="114">
        <f>'[7]12.mell.vsz finterv'!M8+'[7]13.mell. eszesz finterv'!M9+'[7]14.mell. könyvtár fin terv'!M8+'[7]15.mell. PH ei.felh.'!M9+'[7]16.mell. ÖK finansz.'!L7</f>
        <v>0</v>
      </c>
      <c r="M8" s="114">
        <f>'[7]12.mell.vsz finterv'!N8+'[7]13.mell. eszesz finterv'!N9+'[7]14.mell. könyvtár fin terv'!N8+'[7]15.mell. PH ei.felh.'!N9+'[7]16.mell. ÖK finansz.'!M7</f>
        <v>0</v>
      </c>
      <c r="N8" s="114">
        <f>'[7]12.mell.vsz finterv'!O8+'[7]13.mell. eszesz finterv'!O9+'[7]14.mell. könyvtár fin terv'!O8+'[7]15.mell. PH ei.felh.'!O9+'[7]16.mell. ÖK finansz.'!N7</f>
        <v>0</v>
      </c>
      <c r="O8" s="214">
        <f>SUM(C8:N8)</f>
        <v>161</v>
      </c>
    </row>
    <row r="9" spans="1:15" s="34" customFormat="1" ht="18" customHeight="1">
      <c r="A9" s="452" t="s">
        <v>280</v>
      </c>
      <c r="B9" s="452" t="s">
        <v>337</v>
      </c>
      <c r="C9" s="114">
        <f>'[7]12.mell.vsz finterv'!D9+'[7]13.mell. eszesz finterv'!D10+'[7]14.mell. könyvtár fin terv'!D9+'[7]15.mell. PH ei.felh.'!D10+'[7]16.mell. ÖK finansz.'!C8</f>
        <v>2100</v>
      </c>
      <c r="D9" s="114">
        <f>'[7]12.mell.vsz finterv'!E9+'[7]13.mell. eszesz finterv'!E10+'[7]14.mell. könyvtár fin terv'!E9+'[7]15.mell. PH ei.felh.'!E10+'[7]16.mell. ÖK finansz.'!D8</f>
        <v>2500</v>
      </c>
      <c r="E9" s="114">
        <f>'[7]12.mell.vsz finterv'!F9+'[7]13.mell. eszesz finterv'!F10+'[7]14.mell. könyvtár fin terv'!F9+'[7]15.mell. PH ei.felh.'!F10+'[7]16.mell. ÖK finansz.'!E8</f>
        <v>70020</v>
      </c>
      <c r="F9" s="114">
        <f>'[7]12.mell.vsz finterv'!G9+'[7]13.mell. eszesz finterv'!G10+'[7]14.mell. könyvtár fin terv'!G9+'[7]15.mell. PH ei.felh.'!G10+'[7]16.mell. ÖK finansz.'!F8</f>
        <v>4500</v>
      </c>
      <c r="G9" s="114">
        <f>'[7]12.mell.vsz finterv'!H9+'[7]13.mell. eszesz finterv'!H10+'[7]14.mell. könyvtár fin terv'!H9+'[7]15.mell. PH ei.felh.'!H10+'[7]16.mell. ÖK finansz.'!G8</f>
        <v>2000</v>
      </c>
      <c r="H9" s="114">
        <f>'[7]12.mell.vsz finterv'!I9+'[7]13.mell. eszesz finterv'!I10+'[7]14.mell. könyvtár fin terv'!I9+'[7]15.mell. PH ei.felh.'!I10+'[7]16.mell. ÖK finansz.'!H8</f>
        <v>2020</v>
      </c>
      <c r="I9" s="114">
        <f>'[7]12.mell.vsz finterv'!J9+'[7]13.mell. eszesz finterv'!J10+'[7]14.mell. könyvtár fin terv'!J9+'[7]15.mell. PH ei.felh.'!J10+'[7]16.mell. ÖK finansz.'!I8</f>
        <v>3000</v>
      </c>
      <c r="J9" s="114">
        <f>'[7]12.mell.vsz finterv'!K9+'[7]13.mell. eszesz finterv'!K10+'[7]14.mell. könyvtár fin terv'!K9+'[7]15.mell. PH ei.felh.'!K10+'[7]16.mell. ÖK finansz.'!J8</f>
        <v>4020</v>
      </c>
      <c r="K9" s="114">
        <f>'[7]12.mell.vsz finterv'!L9+'[7]13.mell. eszesz finterv'!L10+'[7]14.mell. könyvtár fin terv'!L9+'[7]15.mell. PH ei.felh.'!L10+'[7]16.mell. ÖK finansz.'!K8</f>
        <v>70000</v>
      </c>
      <c r="L9" s="114">
        <f>'[7]12.mell.vsz finterv'!M9+'[7]13.mell. eszesz finterv'!M10+'[7]14.mell. könyvtár fin terv'!M9+'[7]15.mell. PH ei.felh.'!M10+'[7]16.mell. ÖK finansz.'!L8</f>
        <v>5020</v>
      </c>
      <c r="M9" s="114">
        <f>'[7]12.mell.vsz finterv'!N9+'[7]13.mell. eszesz finterv'!N10+'[7]14.mell. könyvtár fin terv'!N9+'[7]15.mell. PH ei.felh.'!N10+'[7]16.mell. ÖK finansz.'!M8</f>
        <v>1020</v>
      </c>
      <c r="N9" s="114">
        <f>'[7]12.mell.vsz finterv'!O9+'[7]13.mell. eszesz finterv'!O10+'[7]14.mell. könyvtár fin terv'!O9+'[7]15.mell. PH ei.felh.'!O10+'[7]16.mell. ÖK finansz.'!N8</f>
        <v>12000</v>
      </c>
      <c r="O9" s="214">
        <f>SUM(C9:N9)</f>
        <v>178200</v>
      </c>
    </row>
    <row r="10" spans="1:15" s="34" customFormat="1" ht="18" customHeight="1">
      <c r="A10" s="452" t="s">
        <v>281</v>
      </c>
      <c r="B10" s="452" t="s">
        <v>355</v>
      </c>
      <c r="C10" s="114">
        <f>'[7]12.mell.vsz finterv'!D10+'[7]13.mell. eszesz finterv'!D11+'[7]14.mell. könyvtár fin terv'!D10+'[7]15.mell. PH ei.felh.'!D11+'[7]16.mell. ÖK finansz.'!C9</f>
        <v>10611</v>
      </c>
      <c r="D10" s="114">
        <f>'[7]12.mell.vsz finterv'!E10+'[7]13.mell. eszesz finterv'!E11+'[7]14.mell. könyvtár fin terv'!E10+'[7]15.mell. PH ei.felh.'!E11+'[7]16.mell. ÖK finansz.'!D9</f>
        <v>10611</v>
      </c>
      <c r="E10" s="114">
        <f>'[7]12.mell.vsz finterv'!F10+'[7]13.mell. eszesz finterv'!F11+'[7]14.mell. könyvtár fin terv'!F10+'[7]15.mell. PH ei.felh.'!F11+'[7]16.mell. ÖK finansz.'!E9</f>
        <v>10612</v>
      </c>
      <c r="F10" s="114">
        <f>'[7]12.mell.vsz finterv'!G10+'[7]13.mell. eszesz finterv'!G11+'[7]14.mell. könyvtár fin terv'!G10+'[7]15.mell. PH ei.felh.'!G11+'[7]16.mell. ÖK finansz.'!F9</f>
        <v>10611</v>
      </c>
      <c r="G10" s="114">
        <f>'[7]12.mell.vsz finterv'!H10+'[7]13.mell. eszesz finterv'!H11+'[7]14.mell. könyvtár fin terv'!H10+'[7]15.mell. PH ei.felh.'!H11+'[7]16.mell. ÖK finansz.'!G9</f>
        <v>10611</v>
      </c>
      <c r="H10" s="114">
        <f>'[7]12.mell.vsz finterv'!I10+'[7]13.mell. eszesz finterv'!I11+'[7]14.mell. könyvtár fin terv'!I10+'[7]15.mell. PH ei.felh.'!I11+'[7]16.mell. ÖK finansz.'!H9</f>
        <v>10611</v>
      </c>
      <c r="I10" s="114">
        <f>'[7]12.mell.vsz finterv'!J10+'[7]13.mell. eszesz finterv'!J11+'[7]14.mell. könyvtár fin terv'!J10+'[7]15.mell. PH ei.felh.'!J11+'[7]16.mell. ÖK finansz.'!I9</f>
        <v>10611</v>
      </c>
      <c r="J10" s="114">
        <f>'[7]12.mell.vsz finterv'!K10+'[7]13.mell. eszesz finterv'!K11+'[7]14.mell. könyvtár fin terv'!K10+'[7]15.mell. PH ei.felh.'!K11+'[7]16.mell. ÖK finansz.'!J9</f>
        <v>10611</v>
      </c>
      <c r="K10" s="114">
        <f>'[7]12.mell.vsz finterv'!L10+'[7]13.mell. eszesz finterv'!L11+'[7]14.mell. könyvtár fin terv'!L10+'[7]15.mell. PH ei.felh.'!L11+'[7]16.mell. ÖK finansz.'!K9</f>
        <v>10611</v>
      </c>
      <c r="L10" s="114">
        <f>'[7]12.mell.vsz finterv'!M10+'[7]13.mell. eszesz finterv'!M11+'[7]14.mell. könyvtár fin terv'!M10+'[7]15.mell. PH ei.felh.'!M11+'[7]16.mell. ÖK finansz.'!L9</f>
        <v>10611</v>
      </c>
      <c r="M10" s="114">
        <f>'[7]12.mell.vsz finterv'!N10+'[7]13.mell. eszesz finterv'!N11+'[7]14.mell. könyvtár fin terv'!N10+'[7]15.mell. PH ei.felh.'!N11+'[7]16.mell. ÖK finansz.'!M9</f>
        <v>10611</v>
      </c>
      <c r="N10" s="114">
        <f>'[7]12.mell.vsz finterv'!O10+'[7]13.mell. eszesz finterv'!O11+'[7]14.mell. könyvtár fin terv'!O10+'[7]15.mell. PH ei.felh.'!O11+'[7]16.mell. ÖK finansz.'!N9</f>
        <v>10610</v>
      </c>
      <c r="O10" s="214">
        <f aca="true" t="shared" si="0" ref="O10:O27">SUM(C10:N10)</f>
        <v>127332</v>
      </c>
    </row>
    <row r="11" spans="1:15" s="34" customFormat="1" ht="18" customHeight="1">
      <c r="A11" s="452" t="s">
        <v>282</v>
      </c>
      <c r="B11" s="452" t="s">
        <v>317</v>
      </c>
      <c r="C11" s="114">
        <f>'[7]12.mell.vsz finterv'!D11+'[7]13.mell. eszesz finterv'!D12+'[7]14.mell. könyvtár fin terv'!D11+'[7]15.mell. PH ei.felh.'!D12+'[7]16.mell. ÖK finansz.'!C10</f>
        <v>0</v>
      </c>
      <c r="D11" s="114">
        <f>'[7]12.mell.vsz finterv'!E11+'[7]13.mell. eszesz finterv'!E12+'[7]14.mell. könyvtár fin terv'!E11+'[7]15.mell. PH ei.felh.'!E12+'[7]16.mell. ÖK finansz.'!D10</f>
        <v>3250</v>
      </c>
      <c r="E11" s="114">
        <f>'[7]12.mell.vsz finterv'!F11+'[7]13.mell. eszesz finterv'!F12+'[7]14.mell. könyvtár fin terv'!F11+'[7]15.mell. PH ei.felh.'!F12+'[7]16.mell. ÖK finansz.'!E10</f>
        <v>0</v>
      </c>
      <c r="F11" s="114">
        <f>'[7]12.mell.vsz finterv'!G11+'[7]13.mell. eszesz finterv'!G12+'[7]14.mell. könyvtár fin terv'!G11+'[7]15.mell. PH ei.felh.'!G12+'[7]16.mell. ÖK finansz.'!F10</f>
        <v>0</v>
      </c>
      <c r="G11" s="114">
        <f>'[7]12.mell.vsz finterv'!H11+'[7]13.mell. eszesz finterv'!H12+'[7]14.mell. könyvtár fin terv'!H11+'[7]15.mell. PH ei.felh.'!H12+'[7]16.mell. ÖK finansz.'!G10</f>
        <v>1550</v>
      </c>
      <c r="H11" s="114">
        <f>'[7]12.mell.vsz finterv'!I11+'[7]13.mell. eszesz finterv'!I12+'[7]14.mell. könyvtár fin terv'!I11+'[7]15.mell. PH ei.felh.'!I12+'[7]16.mell. ÖK finansz.'!H10</f>
        <v>0</v>
      </c>
      <c r="I11" s="114">
        <f>'[7]12.mell.vsz finterv'!J11+'[7]13.mell. eszesz finterv'!J12+'[7]14.mell. könyvtár fin terv'!J11+'[7]15.mell. PH ei.felh.'!J12+'[7]16.mell. ÖK finansz.'!I10</f>
        <v>0</v>
      </c>
      <c r="J11" s="114">
        <f>'[7]12.mell.vsz finterv'!K11+'[7]13.mell. eszesz finterv'!K12+'[7]14.mell. könyvtár fin terv'!K11+'[7]15.mell. PH ei.felh.'!K12+'[7]16.mell. ÖK finansz.'!J10</f>
        <v>0</v>
      </c>
      <c r="K11" s="114">
        <f>'[7]12.mell.vsz finterv'!L11+'[7]13.mell. eszesz finterv'!L12+'[7]14.mell. könyvtár fin terv'!L11+'[7]15.mell. PH ei.felh.'!L12+'[7]16.mell. ÖK finansz.'!K10</f>
        <v>950</v>
      </c>
      <c r="L11" s="114">
        <f>'[7]12.mell.vsz finterv'!M11+'[7]13.mell. eszesz finterv'!M12+'[7]14.mell. könyvtár fin terv'!M11+'[7]15.mell. PH ei.felh.'!M12+'[7]16.mell. ÖK finansz.'!L10</f>
        <v>0</v>
      </c>
      <c r="M11" s="114">
        <f>'[7]12.mell.vsz finterv'!N11+'[7]13.mell. eszesz finterv'!N12+'[7]14.mell. könyvtár fin terv'!N11+'[7]15.mell. PH ei.felh.'!N12+'[7]16.mell. ÖK finansz.'!M10</f>
        <v>0</v>
      </c>
      <c r="N11" s="114">
        <f>'[7]12.mell.vsz finterv'!O11+'[7]13.mell. eszesz finterv'!O12+'[7]14.mell. könyvtár fin terv'!O11+'[7]15.mell. PH ei.felh.'!O12+'[7]16.mell. ÖK finansz.'!N10</f>
        <v>0</v>
      </c>
      <c r="O11" s="214">
        <f t="shared" si="0"/>
        <v>5750</v>
      </c>
    </row>
    <row r="12" spans="1:15" s="34" customFormat="1" ht="18" customHeight="1">
      <c r="A12" s="452" t="s">
        <v>283</v>
      </c>
      <c r="B12" s="452" t="s">
        <v>553</v>
      </c>
      <c r="C12" s="114">
        <f>'[7]12.mell.vsz finterv'!D12+'[7]13.mell. eszesz finterv'!D13+'[7]14.mell. könyvtár fin terv'!D12+'[7]15.mell. PH ei.felh.'!D13+'[7]16.mell. ÖK finansz.'!C11</f>
        <v>0</v>
      </c>
      <c r="D12" s="114">
        <f>'[7]12.mell.vsz finterv'!E12+'[7]13.mell. eszesz finterv'!E13+'[7]14.mell. könyvtár fin terv'!E12+'[7]15.mell. PH ei.felh.'!E13+'[7]16.mell. ÖK finansz.'!D11</f>
        <v>0</v>
      </c>
      <c r="E12" s="114">
        <f>'[7]12.mell.vsz finterv'!F12+'[7]13.mell. eszesz finterv'!F13+'[7]14.mell. könyvtár fin terv'!F12+'[7]15.mell. PH ei.felh.'!F13+'[7]16.mell. ÖK finansz.'!E11</f>
        <v>19</v>
      </c>
      <c r="F12" s="114">
        <f>'[7]12.mell.vsz finterv'!G12+'[7]13.mell. eszesz finterv'!G13+'[7]14.mell. könyvtár fin terv'!G12+'[7]15.mell. PH ei.felh.'!G13+'[7]16.mell. ÖK finansz.'!F11</f>
        <v>0</v>
      </c>
      <c r="G12" s="114">
        <f>'[7]12.mell.vsz finterv'!H12+'[7]13.mell. eszesz finterv'!H13+'[7]14.mell. könyvtár fin terv'!H12+'[7]15.mell. PH ei.felh.'!H13+'[7]16.mell. ÖK finansz.'!G11</f>
        <v>0</v>
      </c>
      <c r="H12" s="114">
        <f>'[7]12.mell.vsz finterv'!I12+'[7]13.mell. eszesz finterv'!I13+'[7]14.mell. könyvtár fin terv'!I12+'[7]15.mell. PH ei.felh.'!I13+'[7]16.mell. ÖK finansz.'!H11</f>
        <v>20</v>
      </c>
      <c r="I12" s="114">
        <f>'[7]12.mell.vsz finterv'!J12+'[7]13.mell. eszesz finterv'!J13+'[7]14.mell. könyvtár fin terv'!J12+'[7]15.mell. PH ei.felh.'!J13+'[7]16.mell. ÖK finansz.'!I11</f>
        <v>0</v>
      </c>
      <c r="J12" s="114">
        <f>'[7]12.mell.vsz finterv'!K12+'[7]13.mell. eszesz finterv'!K13+'[7]14.mell. könyvtár fin terv'!K12+'[7]15.mell. PH ei.felh.'!K13+'[7]16.mell. ÖK finansz.'!J11</f>
        <v>0</v>
      </c>
      <c r="K12" s="114">
        <f>'[7]12.mell.vsz finterv'!L12+'[7]13.mell. eszesz finterv'!L13+'[7]14.mell. könyvtár fin terv'!L12+'[7]15.mell. PH ei.felh.'!L13+'[7]16.mell. ÖK finansz.'!K11</f>
        <v>20</v>
      </c>
      <c r="L12" s="114">
        <f>'[7]12.mell.vsz finterv'!M12+'[7]13.mell. eszesz finterv'!M13+'[7]14.mell. könyvtár fin terv'!M12+'[7]15.mell. PH ei.felh.'!M13+'[7]16.mell. ÖK finansz.'!L11</f>
        <v>0</v>
      </c>
      <c r="M12" s="114">
        <f>'[7]12.mell.vsz finterv'!N12+'[7]13.mell. eszesz finterv'!N13+'[7]14.mell. könyvtár fin terv'!N12+'[7]15.mell. PH ei.felh.'!N13+'[7]16.mell. ÖK finansz.'!M11</f>
        <v>0</v>
      </c>
      <c r="N12" s="114">
        <f>'[7]12.mell.vsz finterv'!O12+'[7]13.mell. eszesz finterv'!O13+'[7]14.mell. könyvtár fin terv'!O12+'[7]15.mell. PH ei.felh.'!O13+'[7]16.mell. ÖK finansz.'!N11</f>
        <v>19</v>
      </c>
      <c r="O12" s="214">
        <f t="shared" si="0"/>
        <v>78</v>
      </c>
    </row>
    <row r="13" spans="1:15" s="34" customFormat="1" ht="18" customHeight="1">
      <c r="A13" s="452" t="s">
        <v>284</v>
      </c>
      <c r="B13" s="452" t="s">
        <v>472</v>
      </c>
      <c r="C13" s="114">
        <f>'[7]12.mell.vsz finterv'!D13+'[7]13.mell. eszesz finterv'!D14+'[7]14.mell. könyvtár fin terv'!D13+'[7]15.mell. PH ei.felh.'!D14+'[7]16.mell. ÖK finansz.'!C12</f>
        <v>120</v>
      </c>
      <c r="D13" s="114">
        <f>'[7]12.mell.vsz finterv'!E13+'[7]13.mell. eszesz finterv'!E14+'[7]14.mell. könyvtár fin terv'!E13+'[7]15.mell. PH ei.felh.'!E14+'[7]16.mell. ÖK finansz.'!D12</f>
        <v>113</v>
      </c>
      <c r="E13" s="114">
        <f>'[7]12.mell.vsz finterv'!F13+'[7]13.mell. eszesz finterv'!F14+'[7]14.mell. könyvtár fin terv'!F13+'[7]15.mell. PH ei.felh.'!F14+'[7]16.mell. ÖK finansz.'!E12</f>
        <v>103</v>
      </c>
      <c r="F13" s="114">
        <f>'[7]12.mell.vsz finterv'!G13+'[7]13.mell. eszesz finterv'!G14+'[7]14.mell. könyvtár fin terv'!G13+'[7]15.mell. PH ei.felh.'!G14+'[7]16.mell. ÖK finansz.'!F12</f>
        <v>103</v>
      </c>
      <c r="G13" s="114">
        <f>'[7]12.mell.vsz finterv'!H13+'[7]13.mell. eszesz finterv'!H14+'[7]14.mell. könyvtár fin terv'!H13+'[7]15.mell. PH ei.felh.'!H14+'[7]16.mell. ÖK finansz.'!G12</f>
        <v>103</v>
      </c>
      <c r="H13" s="114">
        <f>'[7]12.mell.vsz finterv'!I13+'[7]13.mell. eszesz finterv'!I14+'[7]14.mell. könyvtár fin terv'!I13+'[7]15.mell. PH ei.felh.'!I14+'[7]16.mell. ÖK finansz.'!H12</f>
        <v>103</v>
      </c>
      <c r="I13" s="114">
        <f>'[7]12.mell.vsz finterv'!J13+'[7]13.mell. eszesz finterv'!J14+'[7]14.mell. könyvtár fin terv'!J13+'[7]15.mell. PH ei.felh.'!J14+'[7]16.mell. ÖK finansz.'!I12</f>
        <v>103</v>
      </c>
      <c r="J13" s="114">
        <f>'[7]12.mell.vsz finterv'!K13+'[7]13.mell. eszesz finterv'!K14+'[7]14.mell. könyvtár fin terv'!K13+'[7]15.mell. PH ei.felh.'!K14+'[7]16.mell. ÖK finansz.'!J12</f>
        <v>103</v>
      </c>
      <c r="K13" s="114">
        <f>'[7]12.mell.vsz finterv'!L13+'[7]13.mell. eszesz finterv'!L14+'[7]14.mell. könyvtár fin terv'!L13+'[7]15.mell. PH ei.felh.'!L14+'[7]16.mell. ÖK finansz.'!K12</f>
        <v>103</v>
      </c>
      <c r="L13" s="114">
        <f>'[7]12.mell.vsz finterv'!M13+'[7]13.mell. eszesz finterv'!M14+'[7]14.mell. könyvtár fin terv'!M13+'[7]15.mell. PH ei.felh.'!M14+'[7]16.mell. ÖK finansz.'!L12</f>
        <v>103</v>
      </c>
      <c r="M13" s="114">
        <f>'[7]12.mell.vsz finterv'!N13+'[7]13.mell. eszesz finterv'!N14+'[7]14.mell. könyvtár fin terv'!N13+'[7]15.mell. PH ei.felh.'!N14+'[7]16.mell. ÖK finansz.'!M12</f>
        <v>103</v>
      </c>
      <c r="N13" s="114">
        <f>'[7]12.mell.vsz finterv'!O13+'[7]13.mell. eszesz finterv'!O14+'[7]14.mell. könyvtár fin terv'!O13+'[7]15.mell. PH ei.felh.'!O14+'[7]16.mell. ÖK finansz.'!N12</f>
        <v>100</v>
      </c>
      <c r="O13" s="214">
        <f t="shared" si="0"/>
        <v>1260</v>
      </c>
    </row>
    <row r="14" spans="1:15" s="34" customFormat="1" ht="18" customHeight="1">
      <c r="A14" s="452" t="s">
        <v>285</v>
      </c>
      <c r="B14" s="452" t="s">
        <v>149</v>
      </c>
      <c r="C14" s="114">
        <f>'[7]12.mell.vsz finterv'!D14+'[7]13.mell. eszesz finterv'!D15+'[7]14.mell. könyvtár fin terv'!D14+'[7]15.mell. PH ei.felh.'!D15+'[7]16.mell. ÖK finansz.'!C13</f>
        <v>0</v>
      </c>
      <c r="D14" s="114">
        <f>'[7]12.mell.vsz finterv'!E14+'[7]13.mell. eszesz finterv'!E15+'[7]14.mell. könyvtár fin terv'!E14+'[7]15.mell. PH ei.felh.'!E15+'[7]16.mell. ÖK finansz.'!D13</f>
        <v>0</v>
      </c>
      <c r="E14" s="114">
        <f>'[7]12.mell.vsz finterv'!F14+'[7]13.mell. eszesz finterv'!F15+'[7]14.mell. könyvtár fin terv'!F14+'[7]15.mell. PH ei.felh.'!F15+'[7]16.mell. ÖK finansz.'!E13</f>
        <v>1633675</v>
      </c>
      <c r="F14" s="114">
        <f>'[7]12.mell.vsz finterv'!G14+'[7]13.mell. eszesz finterv'!G15+'[7]14.mell. könyvtár fin terv'!G14+'[7]15.mell. PH ei.felh.'!G15+'[7]16.mell. ÖK finansz.'!F13</f>
        <v>3000</v>
      </c>
      <c r="G14" s="114">
        <f>'[7]12.mell.vsz finterv'!H14+'[7]13.mell. eszesz finterv'!H15+'[7]14.mell. könyvtár fin terv'!H14+'[7]15.mell. PH ei.felh.'!H15+'[7]16.mell. ÖK finansz.'!G13</f>
        <v>3000</v>
      </c>
      <c r="H14" s="114">
        <f>'[7]12.mell.vsz finterv'!I14+'[7]13.mell. eszesz finterv'!I15+'[7]14.mell. könyvtár fin terv'!I14+'[7]15.mell. PH ei.felh.'!I15+'[7]16.mell. ÖK finansz.'!H13</f>
        <v>35000</v>
      </c>
      <c r="I14" s="114">
        <f>'[7]12.mell.vsz finterv'!J14+'[7]13.mell. eszesz finterv'!J15+'[7]14.mell. könyvtár fin terv'!J14+'[7]15.mell. PH ei.felh.'!J15+'[7]16.mell. ÖK finansz.'!I13</f>
        <v>4000</v>
      </c>
      <c r="J14" s="114">
        <f>'[7]12.mell.vsz finterv'!K14+'[7]13.mell. eszesz finterv'!K15+'[7]14.mell. könyvtár fin terv'!K14+'[7]15.mell. PH ei.felh.'!K15+'[7]16.mell. ÖK finansz.'!J13</f>
        <v>5000</v>
      </c>
      <c r="K14" s="114">
        <f>'[7]12.mell.vsz finterv'!L14+'[7]13.mell. eszesz finterv'!L15+'[7]14.mell. könyvtár fin terv'!L14+'[7]15.mell. PH ei.felh.'!L15+'[7]16.mell. ÖK finansz.'!K13</f>
        <v>32000</v>
      </c>
      <c r="L14" s="114">
        <f>'[7]12.mell.vsz finterv'!M14+'[7]13.mell. eszesz finterv'!M15+'[7]14.mell. könyvtár fin terv'!M14+'[7]15.mell. PH ei.felh.'!M15+'[7]16.mell. ÖK finansz.'!L13</f>
        <v>12000</v>
      </c>
      <c r="M14" s="114">
        <f>'[7]12.mell.vsz finterv'!N14+'[7]13.mell. eszesz finterv'!N15+'[7]14.mell. könyvtár fin terv'!N14+'[7]15.mell. PH ei.felh.'!N15+'[7]16.mell. ÖK finansz.'!M13</f>
        <v>0</v>
      </c>
      <c r="N14" s="114">
        <f>'[7]12.mell.vsz finterv'!O14+'[7]13.mell. eszesz finterv'!O15+'[7]14.mell. könyvtár fin terv'!O14+'[7]15.mell. PH ei.felh.'!O15+'[7]16.mell. ÖK finansz.'!N13</f>
        <v>0</v>
      </c>
      <c r="O14" s="214">
        <f t="shared" si="0"/>
        <v>1727675</v>
      </c>
    </row>
    <row r="15" spans="1:18" s="112" customFormat="1" ht="18" customHeight="1">
      <c r="A15" s="452" t="s">
        <v>286</v>
      </c>
      <c r="B15" s="456" t="s">
        <v>150</v>
      </c>
      <c r="C15" s="457">
        <f>C27</f>
        <v>40266</v>
      </c>
      <c r="D15" s="457">
        <f aca="true" t="shared" si="1" ref="D15:N15">D27</f>
        <v>40476</v>
      </c>
      <c r="E15" s="457">
        <f t="shared" si="1"/>
        <v>24382</v>
      </c>
      <c r="F15" s="457">
        <f t="shared" si="1"/>
        <v>40986</v>
      </c>
      <c r="G15" s="457">
        <f t="shared" si="1"/>
        <v>41086</v>
      </c>
      <c r="H15" s="457">
        <f t="shared" si="1"/>
        <v>41216</v>
      </c>
      <c r="I15" s="457">
        <f t="shared" si="1"/>
        <v>40786</v>
      </c>
      <c r="J15" s="457">
        <f t="shared" si="1"/>
        <v>40766</v>
      </c>
      <c r="K15" s="457">
        <f t="shared" si="1"/>
        <v>41486</v>
      </c>
      <c r="L15" s="457">
        <f t="shared" si="1"/>
        <v>40566</v>
      </c>
      <c r="M15" s="457">
        <f t="shared" si="1"/>
        <v>40566</v>
      </c>
      <c r="N15" s="457">
        <f t="shared" si="1"/>
        <v>40965</v>
      </c>
      <c r="O15" s="457">
        <f>SUM(C15:N15)</f>
        <v>473547</v>
      </c>
      <c r="P15" s="34"/>
      <c r="R15" s="34"/>
    </row>
    <row r="16" spans="1:18" s="112" customFormat="1" ht="18" customHeight="1">
      <c r="A16" s="452" t="s">
        <v>287</v>
      </c>
      <c r="B16" s="458" t="s">
        <v>338</v>
      </c>
      <c r="C16" s="223">
        <f>SUM(C7:C14)</f>
        <v>71896</v>
      </c>
      <c r="D16" s="223">
        <f aca="true" t="shared" si="2" ref="D16:N16">SUM(D7:D14)</f>
        <v>75539</v>
      </c>
      <c r="E16" s="223">
        <f t="shared" si="2"/>
        <v>1779846</v>
      </c>
      <c r="F16" s="223">
        <f t="shared" si="2"/>
        <v>70828</v>
      </c>
      <c r="G16" s="223">
        <f t="shared" si="2"/>
        <v>69878</v>
      </c>
      <c r="H16" s="223">
        <f t="shared" si="2"/>
        <v>100368</v>
      </c>
      <c r="I16" s="223">
        <f t="shared" si="2"/>
        <v>70328</v>
      </c>
      <c r="J16" s="223">
        <f t="shared" si="2"/>
        <v>72348</v>
      </c>
      <c r="K16" s="223">
        <f t="shared" si="2"/>
        <v>166298</v>
      </c>
      <c r="L16" s="223">
        <f t="shared" si="2"/>
        <v>80348</v>
      </c>
      <c r="M16" s="223">
        <f t="shared" si="2"/>
        <v>64348</v>
      </c>
      <c r="N16" s="223">
        <f t="shared" si="2"/>
        <v>75356</v>
      </c>
      <c r="O16" s="224">
        <f>SUM(C16:N16)</f>
        <v>2697381</v>
      </c>
      <c r="P16" s="34"/>
      <c r="R16" s="34"/>
    </row>
    <row r="17" spans="1:18" s="112" customFormat="1" ht="18" customHeight="1">
      <c r="A17" s="452" t="s">
        <v>288</v>
      </c>
      <c r="B17" s="1030" t="s">
        <v>310</v>
      </c>
      <c r="C17" s="1031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/>
      <c r="O17" s="1032"/>
      <c r="P17" s="34"/>
      <c r="R17" s="34"/>
    </row>
    <row r="18" spans="1:15" s="34" customFormat="1" ht="18" customHeight="1">
      <c r="A18" s="452" t="s">
        <v>289</v>
      </c>
      <c r="B18" s="452" t="s">
        <v>320</v>
      </c>
      <c r="C18" s="114">
        <f>'[7]12.mell.vsz finterv'!D18+'[7]13.mell. eszesz finterv'!D19+'[7]14.mell. könyvtár fin terv'!D18+'[7]15.mell. PH ei.felh.'!D19+'[7]16.mell. ÖK finansz.'!C17</f>
        <v>41718</v>
      </c>
      <c r="D18" s="114">
        <f>'[7]12.mell.vsz finterv'!E18+'[7]13.mell. eszesz finterv'!E19+'[7]14.mell. könyvtár fin terv'!E18+'[7]15.mell. PH ei.felh.'!E19+'[7]16.mell. ÖK finansz.'!D17</f>
        <v>41718</v>
      </c>
      <c r="E18" s="114">
        <f>'[7]12.mell.vsz finterv'!F18+'[7]13.mell. eszesz finterv'!F19+'[7]14.mell. könyvtár fin terv'!F18+'[7]15.mell. PH ei.felh.'!F19+'[7]16.mell. ÖK finansz.'!E17</f>
        <v>43335</v>
      </c>
      <c r="F18" s="114">
        <f>'[7]12.mell.vsz finterv'!G18+'[7]13.mell. eszesz finterv'!G19+'[7]14.mell. könyvtár fin terv'!G18+'[7]15.mell. PH ei.felh.'!G19+'[7]16.mell. ÖK finansz.'!F17</f>
        <v>43335</v>
      </c>
      <c r="G18" s="114">
        <f>'[7]12.mell.vsz finterv'!H18+'[7]13.mell. eszesz finterv'!H19+'[7]14.mell. könyvtár fin terv'!H18+'[7]15.mell. PH ei.felh.'!H19+'[7]16.mell. ÖK finansz.'!G17</f>
        <v>43335</v>
      </c>
      <c r="H18" s="114">
        <f>'[7]12.mell.vsz finterv'!I18+'[7]13.mell. eszesz finterv'!I19+'[7]14.mell. könyvtár fin terv'!I18+'[7]15.mell. PH ei.felh.'!I19+'[7]16.mell. ÖK finansz.'!H17</f>
        <v>43335</v>
      </c>
      <c r="I18" s="114">
        <f>'[7]12.mell.vsz finterv'!J18+'[7]13.mell. eszesz finterv'!J19+'[7]14.mell. könyvtár fin terv'!J18+'[7]15.mell. PH ei.felh.'!J19+'[7]16.mell. ÖK finansz.'!I17</f>
        <v>43335</v>
      </c>
      <c r="J18" s="114">
        <f>'[7]12.mell.vsz finterv'!K18+'[7]13.mell. eszesz finterv'!K19+'[7]14.mell. könyvtár fin terv'!K18+'[7]15.mell. PH ei.felh.'!K19+'[7]16.mell. ÖK finansz.'!J17</f>
        <v>43335</v>
      </c>
      <c r="K18" s="114">
        <f>'[7]12.mell.vsz finterv'!L18+'[7]13.mell. eszesz finterv'!L19+'[7]14.mell. könyvtár fin terv'!L18+'[7]15.mell. PH ei.felh.'!L19+'[7]16.mell. ÖK finansz.'!K17</f>
        <v>43335</v>
      </c>
      <c r="L18" s="114">
        <f>'[7]12.mell.vsz finterv'!M18+'[7]13.mell. eszesz finterv'!M19+'[7]14.mell. könyvtár fin terv'!M18+'[7]15.mell. PH ei.felh.'!M19+'[7]16.mell. ÖK finansz.'!L17</f>
        <v>43335</v>
      </c>
      <c r="M18" s="114">
        <f>'[7]12.mell.vsz finterv'!N18+'[7]13.mell. eszesz finterv'!N19+'[7]14.mell. könyvtár fin terv'!N18+'[7]15.mell. PH ei.felh.'!N19+'[7]16.mell. ÖK finansz.'!M17</f>
        <v>43335</v>
      </c>
      <c r="N18" s="114">
        <f>'[7]12.mell.vsz finterv'!O18+'[7]13.mell. eszesz finterv'!O19+'[7]14.mell. könyvtár fin terv'!O18+'[7]15.mell. PH ei.felh.'!O19+'[7]16.mell. ÖK finansz.'!N17</f>
        <v>43357</v>
      </c>
      <c r="O18" s="214">
        <f>SUM(C18:N18)</f>
        <v>516808</v>
      </c>
    </row>
    <row r="19" spans="1:15" s="34" customFormat="1" ht="18" customHeight="1">
      <c r="A19" s="452" t="s">
        <v>290</v>
      </c>
      <c r="B19" s="459" t="s">
        <v>488</v>
      </c>
      <c r="C19" s="114">
        <f>'[7]12.mell.vsz finterv'!D19+'[7]13.mell. eszesz finterv'!D20+'[7]14.mell. könyvtár fin terv'!D19+'[7]15.mell. PH ei.felh.'!D20+'[7]16.mell. ÖK finansz.'!C18</f>
        <v>7062</v>
      </c>
      <c r="D19" s="114">
        <f>'[7]12.mell.vsz finterv'!E19+'[7]13.mell. eszesz finterv'!E20+'[7]14.mell. könyvtár fin terv'!E19+'[7]15.mell. PH ei.felh.'!E20+'[7]16.mell. ÖK finansz.'!D18</f>
        <v>7062</v>
      </c>
      <c r="E19" s="114">
        <f>'[7]12.mell.vsz finterv'!F19+'[7]13.mell. eszesz finterv'!F20+'[7]14.mell. könyvtár fin terv'!F19+'[7]15.mell. PH ei.felh.'!F20+'[7]16.mell. ÖK finansz.'!E18</f>
        <v>7522</v>
      </c>
      <c r="F19" s="114">
        <f>'[7]12.mell.vsz finterv'!G19+'[7]13.mell. eszesz finterv'!G20+'[7]14.mell. könyvtár fin terv'!G19+'[7]15.mell. PH ei.felh.'!G20+'[7]16.mell. ÖK finansz.'!F18</f>
        <v>7522</v>
      </c>
      <c r="G19" s="114">
        <f>'[7]12.mell.vsz finterv'!H19+'[7]13.mell. eszesz finterv'!H20+'[7]14.mell. könyvtár fin terv'!H19+'[7]15.mell. PH ei.felh.'!H20+'[7]16.mell. ÖK finansz.'!G18</f>
        <v>7522</v>
      </c>
      <c r="H19" s="114">
        <f>'[7]12.mell.vsz finterv'!I19+'[7]13.mell. eszesz finterv'!I20+'[7]14.mell. könyvtár fin terv'!I19+'[7]15.mell. PH ei.felh.'!I20+'[7]16.mell. ÖK finansz.'!H18</f>
        <v>7522</v>
      </c>
      <c r="I19" s="114">
        <f>'[7]12.mell.vsz finterv'!J19+'[7]13.mell. eszesz finterv'!J20+'[7]14.mell. könyvtár fin terv'!J19+'[7]15.mell. PH ei.felh.'!J20+'[7]16.mell. ÖK finansz.'!I18</f>
        <v>7522</v>
      </c>
      <c r="J19" s="114">
        <f>'[7]12.mell.vsz finterv'!K19+'[7]13.mell. eszesz finterv'!K20+'[7]14.mell. könyvtár fin terv'!K19+'[7]15.mell. PH ei.felh.'!K20+'[7]16.mell. ÖK finansz.'!J18</f>
        <v>7522</v>
      </c>
      <c r="K19" s="114">
        <f>'[7]12.mell.vsz finterv'!L19+'[7]13.mell. eszesz finterv'!L20+'[7]14.mell. könyvtár fin terv'!L19+'[7]15.mell. PH ei.felh.'!L20+'[7]16.mell. ÖK finansz.'!K18</f>
        <v>7522</v>
      </c>
      <c r="L19" s="114">
        <f>'[7]12.mell.vsz finterv'!M19+'[7]13.mell. eszesz finterv'!M20+'[7]14.mell. könyvtár fin terv'!M19+'[7]15.mell. PH ei.felh.'!M20+'[7]16.mell. ÖK finansz.'!L18</f>
        <v>7522</v>
      </c>
      <c r="M19" s="114">
        <f>'[7]12.mell.vsz finterv'!N19+'[7]13.mell. eszesz finterv'!N20+'[7]14.mell. könyvtár fin terv'!N19+'[7]15.mell. PH ei.felh.'!N20+'[7]16.mell. ÖK finansz.'!M18</f>
        <v>7522</v>
      </c>
      <c r="N19" s="114">
        <f>'[7]12.mell.vsz finterv'!O19+'[7]13.mell. eszesz finterv'!O20+'[7]14.mell. könyvtár fin terv'!O19+'[7]15.mell. PH ei.felh.'!O20+'[7]16.mell. ÖK finansz.'!N18</f>
        <v>7514</v>
      </c>
      <c r="O19" s="214">
        <f t="shared" si="0"/>
        <v>89336</v>
      </c>
    </row>
    <row r="20" spans="1:15" s="34" customFormat="1" ht="18" customHeight="1">
      <c r="A20" s="452" t="s">
        <v>291</v>
      </c>
      <c r="B20" s="452" t="s">
        <v>323</v>
      </c>
      <c r="C20" s="114">
        <f>'[7]12.mell.vsz finterv'!D20+'[7]13.mell. eszesz finterv'!D21+'[7]14.mell. könyvtár fin terv'!D20+'[7]15.mell. PH ei.felh.'!D21+'[7]16.mell. ÖK finansz.'!C19</f>
        <v>28545</v>
      </c>
      <c r="D20" s="114">
        <f>'[7]12.mell.vsz finterv'!E20+'[7]13.mell. eszesz finterv'!E21+'[7]14.mell. könyvtár fin terv'!E20+'[7]15.mell. PH ei.felh.'!E21+'[7]16.mell. ÖK finansz.'!D19</f>
        <v>28545</v>
      </c>
      <c r="E20" s="114">
        <f>'[7]12.mell.vsz finterv'!F20+'[7]13.mell. eszesz finterv'!F21+'[7]14.mell. könyvtár fin terv'!F20+'[7]15.mell. PH ei.felh.'!F21+'[7]16.mell. ÖK finansz.'!E19</f>
        <v>33364</v>
      </c>
      <c r="F20" s="114">
        <f>'[7]12.mell.vsz finterv'!G20+'[7]13.mell. eszesz finterv'!G21+'[7]14.mell. könyvtár fin terv'!G20+'[7]15.mell. PH ei.felh.'!G21+'[7]16.mell. ÖK finansz.'!F19</f>
        <v>33356</v>
      </c>
      <c r="G20" s="114">
        <f>'[7]12.mell.vsz finterv'!H20+'[7]13.mell. eszesz finterv'!H21+'[7]14.mell. könyvtár fin terv'!H20+'[7]15.mell. PH ei.felh.'!H21+'[7]16.mell. ÖK finansz.'!G19</f>
        <v>33356</v>
      </c>
      <c r="H20" s="114">
        <f>'[7]12.mell.vsz finterv'!I20+'[7]13.mell. eszesz finterv'!I21+'[7]14.mell. könyvtár fin terv'!I20+'[7]15.mell. PH ei.felh.'!I21+'[7]16.mell. ÖK finansz.'!H19</f>
        <v>33356</v>
      </c>
      <c r="I20" s="114">
        <f>'[7]12.mell.vsz finterv'!J20+'[7]13.mell. eszesz finterv'!J21+'[7]14.mell. könyvtár fin terv'!J20+'[7]15.mell. PH ei.felh.'!J21+'[7]16.mell. ÖK finansz.'!I19</f>
        <v>33356</v>
      </c>
      <c r="J20" s="114">
        <f>'[7]12.mell.vsz finterv'!K20+'[7]13.mell. eszesz finterv'!K21+'[7]14.mell. könyvtár fin terv'!K20+'[7]15.mell. PH ei.felh.'!K21+'[7]16.mell. ÖK finansz.'!J19</f>
        <v>33356</v>
      </c>
      <c r="K20" s="114">
        <f>'[7]12.mell.vsz finterv'!L20+'[7]13.mell. eszesz finterv'!L21+'[7]14.mell. könyvtár fin terv'!L20+'[7]15.mell. PH ei.felh.'!L21+'[7]16.mell. ÖK finansz.'!K19</f>
        <v>33356</v>
      </c>
      <c r="L20" s="114">
        <f>'[7]12.mell.vsz finterv'!M20+'[7]13.mell. eszesz finterv'!M21+'[7]14.mell. könyvtár fin terv'!M20+'[7]15.mell. PH ei.felh.'!M21+'[7]16.mell. ÖK finansz.'!L19</f>
        <v>33356</v>
      </c>
      <c r="M20" s="114">
        <f>'[7]12.mell.vsz finterv'!N20+'[7]13.mell. eszesz finterv'!N21+'[7]14.mell. könyvtár fin terv'!N20+'[7]15.mell. PH ei.felh.'!N21+'[7]16.mell. ÖK finansz.'!M19</f>
        <v>33356</v>
      </c>
      <c r="N20" s="114">
        <f>'[7]12.mell.vsz finterv'!O20+'[7]13.mell. eszesz finterv'!O21+'[7]14.mell. könyvtár fin terv'!O20+'[7]15.mell. PH ei.felh.'!O21+'[7]16.mell. ÖK finansz.'!N19</f>
        <v>33364</v>
      </c>
      <c r="O20" s="214">
        <f t="shared" si="0"/>
        <v>390666</v>
      </c>
    </row>
    <row r="21" spans="1:15" s="34" customFormat="1" ht="18" customHeight="1">
      <c r="A21" s="452" t="s">
        <v>292</v>
      </c>
      <c r="B21" s="452" t="s">
        <v>339</v>
      </c>
      <c r="C21" s="114">
        <f>'[7]12.mell.vsz finterv'!D21+'[7]13.mell. eszesz finterv'!D22+'[7]14.mell. könyvtár fin terv'!D21+'[7]15.mell. PH ei.felh.'!D22+'[7]16.mell. ÖK finansz.'!C20</f>
        <v>1267</v>
      </c>
      <c r="D21" s="114">
        <f>'[7]12.mell.vsz finterv'!E21+'[7]13.mell. eszesz finterv'!E22+'[7]14.mell. könyvtár fin terv'!E21+'[7]15.mell. PH ei.felh.'!E22+'[7]16.mell. ÖK finansz.'!D20</f>
        <v>1267</v>
      </c>
      <c r="E21" s="114">
        <f>'[7]12.mell.vsz finterv'!F21+'[7]13.mell. eszesz finterv'!F22+'[7]14.mell. könyvtár fin terv'!F21+'[7]15.mell. PH ei.felh.'!F22+'[7]16.mell. ÖK finansz.'!E20</f>
        <v>1267</v>
      </c>
      <c r="F21" s="114">
        <f>'[7]12.mell.vsz finterv'!G21+'[7]13.mell. eszesz finterv'!G22+'[7]14.mell. könyvtár fin terv'!G21+'[7]15.mell. PH ei.felh.'!G22+'[7]16.mell. ÖK finansz.'!F20</f>
        <v>1267</v>
      </c>
      <c r="G21" s="114">
        <f>'[7]12.mell.vsz finterv'!H21+'[7]13.mell. eszesz finterv'!H22+'[7]14.mell. könyvtár fin terv'!H21+'[7]15.mell. PH ei.felh.'!H22+'[7]16.mell. ÖK finansz.'!G20</f>
        <v>1267</v>
      </c>
      <c r="H21" s="114">
        <f>'[7]12.mell.vsz finterv'!I21+'[7]13.mell. eszesz finterv'!I22+'[7]14.mell. könyvtár fin terv'!I21+'[7]15.mell. PH ei.felh.'!I22+'[7]16.mell. ÖK finansz.'!H20</f>
        <v>1267</v>
      </c>
      <c r="I21" s="114">
        <f>'[7]12.mell.vsz finterv'!J21+'[7]13.mell. eszesz finterv'!J22+'[7]14.mell. könyvtár fin terv'!J21+'[7]15.mell. PH ei.felh.'!J22+'[7]16.mell. ÖK finansz.'!I20</f>
        <v>1267</v>
      </c>
      <c r="J21" s="114">
        <f>'[7]12.mell.vsz finterv'!K21+'[7]13.mell. eszesz finterv'!K22+'[7]14.mell. könyvtár fin terv'!K21+'[7]15.mell. PH ei.felh.'!K22+'[7]16.mell. ÖK finansz.'!J20</f>
        <v>1267</v>
      </c>
      <c r="K21" s="114">
        <f>'[7]12.mell.vsz finterv'!L21+'[7]13.mell. eszesz finterv'!L22+'[7]14.mell. könyvtár fin terv'!L21+'[7]15.mell. PH ei.felh.'!L22+'[7]16.mell. ÖK finansz.'!K20</f>
        <v>1267</v>
      </c>
      <c r="L21" s="114">
        <f>'[7]12.mell.vsz finterv'!M21+'[7]13.mell. eszesz finterv'!M22+'[7]14.mell. könyvtár fin terv'!M21+'[7]15.mell. PH ei.felh.'!M22+'[7]16.mell. ÖK finansz.'!L20</f>
        <v>1267</v>
      </c>
      <c r="M21" s="114">
        <f>'[7]12.mell.vsz finterv'!N21+'[7]13.mell. eszesz finterv'!N22+'[7]14.mell. könyvtár fin terv'!N21+'[7]15.mell. PH ei.felh.'!N22+'[7]16.mell. ÖK finansz.'!M20</f>
        <v>1267</v>
      </c>
      <c r="N21" s="114">
        <f>'[7]12.mell.vsz finterv'!O21+'[7]13.mell. eszesz finterv'!O22+'[7]14.mell. könyvtár fin terv'!O21+'[7]15.mell. PH ei.felh.'!O22+'[7]16.mell. ÖK finansz.'!N20</f>
        <v>1263</v>
      </c>
      <c r="O21" s="214">
        <f t="shared" si="0"/>
        <v>15200</v>
      </c>
    </row>
    <row r="22" spans="1:15" s="34" customFormat="1" ht="18" customHeight="1">
      <c r="A22" s="452" t="s">
        <v>293</v>
      </c>
      <c r="B22" s="452" t="s">
        <v>145</v>
      </c>
      <c r="C22" s="114">
        <f>'[7]12.mell.vsz finterv'!D22+'[7]13.mell. eszesz finterv'!D23+'[7]14.mell. könyvtár fin terv'!D22+'[7]15.mell. PH ei.felh.'!D23+'[7]16.mell. ÖK finansz.'!C21</f>
        <v>4019</v>
      </c>
      <c r="D22" s="114">
        <f>'[7]12.mell.vsz finterv'!E22+'[7]13.mell. eszesz finterv'!E23+'[7]14.mell. könyvtár fin terv'!E22+'[7]15.mell. PH ei.felh.'!E23+'[7]16.mell. ÖK finansz.'!D21</f>
        <v>4019</v>
      </c>
      <c r="E22" s="114">
        <f>'[7]12.mell.vsz finterv'!F22+'[7]13.mell. eszesz finterv'!F23+'[7]14.mell. könyvtár fin terv'!F22+'[7]15.mell. PH ei.felh.'!F23+'[7]16.mell. ÖK finansz.'!E21</f>
        <v>4019</v>
      </c>
      <c r="F22" s="114">
        <f>'[7]12.mell.vsz finterv'!G22+'[7]13.mell. eszesz finterv'!G23+'[7]14.mell. könyvtár fin terv'!G22+'[7]15.mell. PH ei.felh.'!G23+'[7]16.mell. ÖK finansz.'!F21</f>
        <v>4019</v>
      </c>
      <c r="G22" s="114">
        <f>'[7]12.mell.vsz finterv'!H22+'[7]13.mell. eszesz finterv'!H23+'[7]14.mell. könyvtár fin terv'!H22+'[7]15.mell. PH ei.felh.'!H23+'[7]16.mell. ÖK finansz.'!G21</f>
        <v>4019</v>
      </c>
      <c r="H22" s="114">
        <f>'[7]12.mell.vsz finterv'!I22+'[7]13.mell. eszesz finterv'!I23+'[7]14.mell. könyvtár fin terv'!I22+'[7]15.mell. PH ei.felh.'!I23+'[7]16.mell. ÖK finansz.'!H21</f>
        <v>4019</v>
      </c>
      <c r="I22" s="114">
        <f>'[7]12.mell.vsz finterv'!J22+'[7]13.mell. eszesz finterv'!J23+'[7]14.mell. könyvtár fin terv'!J22+'[7]15.mell. PH ei.felh.'!J23+'[7]16.mell. ÖK finansz.'!I21</f>
        <v>4019</v>
      </c>
      <c r="J22" s="114">
        <f>'[7]12.mell.vsz finterv'!K22+'[7]13.mell. eszesz finterv'!K23+'[7]14.mell. könyvtár fin terv'!K22+'[7]15.mell. PH ei.felh.'!K23+'[7]16.mell. ÖK finansz.'!J21</f>
        <v>4019</v>
      </c>
      <c r="K22" s="114">
        <f>'[7]12.mell.vsz finterv'!L22+'[7]13.mell. eszesz finterv'!L23+'[7]14.mell. könyvtár fin terv'!L22+'[7]15.mell. PH ei.felh.'!L23+'[7]16.mell. ÖK finansz.'!K21</f>
        <v>4019</v>
      </c>
      <c r="L22" s="114">
        <f>'[7]12.mell.vsz finterv'!M22+'[7]13.mell. eszesz finterv'!M23+'[7]14.mell. könyvtár fin terv'!M22+'[7]15.mell. PH ei.felh.'!M23+'[7]16.mell. ÖK finansz.'!L21</f>
        <v>4019</v>
      </c>
      <c r="M22" s="114">
        <f>'[7]12.mell.vsz finterv'!N22+'[7]13.mell. eszesz finterv'!N23+'[7]14.mell. könyvtár fin terv'!N22+'[7]15.mell. PH ei.felh.'!N23+'[7]16.mell. ÖK finansz.'!M21</f>
        <v>4019</v>
      </c>
      <c r="N22" s="114">
        <f>'[7]12.mell.vsz finterv'!O22+'[7]13.mell. eszesz finterv'!O23+'[7]14.mell. könyvtár fin terv'!O22+'[7]15.mell. PH ei.felh.'!O23+'[7]16.mell. ÖK finansz.'!N21</f>
        <v>4014</v>
      </c>
      <c r="O22" s="214">
        <f t="shared" si="0"/>
        <v>48223</v>
      </c>
    </row>
    <row r="23" spans="1:15" s="34" customFormat="1" ht="18" customHeight="1">
      <c r="A23" s="452" t="s">
        <v>294</v>
      </c>
      <c r="B23" s="452" t="s">
        <v>402</v>
      </c>
      <c r="C23" s="114">
        <f>'[7]12.mell.vsz finterv'!D23+'[7]13.mell. eszesz finterv'!D24+'[7]14.mell. könyvtár fin terv'!D23+'[7]15.mell. PH ei.felh.'!D24+'[7]16.mell. ÖK finansz.'!C22</f>
        <v>6233</v>
      </c>
      <c r="D23" s="114">
        <f>'[7]12.mell.vsz finterv'!E23+'[7]13.mell. eszesz finterv'!E24+'[7]14.mell. könyvtár fin terv'!E23+'[7]15.mell. PH ei.felh.'!E24+'[7]16.mell. ÖK finansz.'!D22</f>
        <v>6433</v>
      </c>
      <c r="E23" s="114">
        <f>'[7]12.mell.vsz finterv'!F23+'[7]13.mell. eszesz finterv'!F24+'[7]14.mell. könyvtár fin terv'!F23+'[7]15.mell. PH ei.felh.'!F24+'[7]16.mell. ÖK finansz.'!E22</f>
        <v>137298</v>
      </c>
      <c r="F23" s="114">
        <f>'[7]12.mell.vsz finterv'!G23+'[7]13.mell. eszesz finterv'!G24+'[7]14.mell. könyvtár fin terv'!G23+'[7]15.mell. PH ei.felh.'!G24+'[7]16.mell. ÖK finansz.'!F22</f>
        <v>136848</v>
      </c>
      <c r="G23" s="114">
        <f>'[7]12.mell.vsz finterv'!H23+'[7]13.mell. eszesz finterv'!H24+'[7]14.mell. könyvtár fin terv'!H23+'[7]15.mell. PH ei.felh.'!H24+'[7]16.mell. ÖK finansz.'!G22</f>
        <v>136948</v>
      </c>
      <c r="H23" s="114">
        <f>'[7]12.mell.vsz finterv'!I23+'[7]13.mell. eszesz finterv'!I24+'[7]14.mell. könyvtár fin terv'!I23+'[7]15.mell. PH ei.felh.'!I24+'[7]16.mell. ÖK finansz.'!H22</f>
        <v>136798</v>
      </c>
      <c r="I23" s="114">
        <f>'[7]12.mell.vsz finterv'!J23+'[7]13.mell. eszesz finterv'!J24+'[7]14.mell. könyvtár fin terv'!J23+'[7]15.mell. PH ei.felh.'!J24+'[7]16.mell. ÖK finansz.'!I22</f>
        <v>136648</v>
      </c>
      <c r="J23" s="114">
        <f>'[7]12.mell.vsz finterv'!K23+'[7]13.mell. eszesz finterv'!K24+'[7]14.mell. könyvtár fin terv'!K23+'[7]15.mell. PH ei.felh.'!K24+'[7]16.mell. ÖK finansz.'!J22</f>
        <v>136648</v>
      </c>
      <c r="K23" s="114">
        <f>'[7]12.mell.vsz finterv'!L23+'[7]13.mell. eszesz finterv'!L24+'[7]14.mell. könyvtár fin terv'!L23+'[7]15.mell. PH ei.felh.'!L24+'[7]16.mell. ÖK finansz.'!K22</f>
        <v>137048</v>
      </c>
      <c r="L23" s="114">
        <f>'[7]12.mell.vsz finterv'!M23+'[7]13.mell. eszesz finterv'!M24+'[7]14.mell. könyvtár fin terv'!M23+'[7]15.mell. PH ei.felh.'!M24+'[7]16.mell. ÖK finansz.'!L22</f>
        <v>136448</v>
      </c>
      <c r="M23" s="114">
        <f>'[7]12.mell.vsz finterv'!N23+'[7]13.mell. eszesz finterv'!N24+'[7]14.mell. könyvtár fin terv'!N23+'[7]15.mell. PH ei.felh.'!N24+'[7]16.mell. ÖK finansz.'!M22</f>
        <v>136448</v>
      </c>
      <c r="N23" s="114">
        <f>'[7]12.mell.vsz finterv'!O23+'[7]13.mell. eszesz finterv'!O24+'[7]14.mell. könyvtár fin terv'!O23+'[7]15.mell. PH ei.felh.'!O24+'[7]16.mell. ÖK finansz.'!N22</f>
        <v>136511</v>
      </c>
      <c r="O23" s="214">
        <f t="shared" si="0"/>
        <v>1380309</v>
      </c>
    </row>
    <row r="24" spans="1:15" s="34" customFormat="1" ht="18" customHeight="1">
      <c r="A24" s="452" t="s">
        <v>296</v>
      </c>
      <c r="B24" s="452" t="s">
        <v>403</v>
      </c>
      <c r="C24" s="114">
        <f>'[7]12.mell.vsz finterv'!D24+'[7]13.mell. eszesz finterv'!D25+'[7]14.mell. könyvtár fin terv'!D24+'[7]15.mell. PH ei.felh.'!D25+'[7]16.mell. ÖK finansz.'!C23</f>
        <v>0</v>
      </c>
      <c r="D24" s="114">
        <f>'[7]12.mell.vsz finterv'!E24+'[7]13.mell. eszesz finterv'!E25+'[7]14.mell. könyvtár fin terv'!E24+'[7]15.mell. PH ei.felh.'!E25+'[7]16.mell. ÖK finansz.'!D23</f>
        <v>0</v>
      </c>
      <c r="E24" s="114">
        <f>'[7]12.mell.vsz finterv'!F24+'[7]13.mell. eszesz finterv'!F25+'[7]14.mell. könyvtár fin terv'!F24+'[7]15.mell. PH ei.felh.'!F25+'[7]16.mell. ÖK finansz.'!E23</f>
        <v>31318</v>
      </c>
      <c r="F24" s="114">
        <f>'[7]12.mell.vsz finterv'!G24+'[7]13.mell. eszesz finterv'!G25+'[7]14.mell. könyvtár fin terv'!G24+'[7]15.mell. PH ei.felh.'!G25+'[7]16.mell. ÖK finansz.'!F23</f>
        <v>17060</v>
      </c>
      <c r="G24" s="114">
        <f>'[7]12.mell.vsz finterv'!H24+'[7]13.mell. eszesz finterv'!H25+'[7]14.mell. könyvtár fin terv'!H24+'[7]15.mell. PH ei.felh.'!H25+'[7]16.mell. ÖK finansz.'!G23</f>
        <v>17060</v>
      </c>
      <c r="H24" s="114">
        <f>'[7]12.mell.vsz finterv'!I24+'[7]13.mell. eszesz finterv'!I25+'[7]14.mell. könyvtár fin terv'!I24+'[7]15.mell. PH ei.felh.'!I25+'[7]16.mell. ÖK finansz.'!H23</f>
        <v>17060</v>
      </c>
      <c r="I24" s="114">
        <f>'[7]12.mell.vsz finterv'!J24+'[7]13.mell. eszesz finterv'!J25+'[7]14.mell. könyvtár fin terv'!J24+'[7]15.mell. PH ei.felh.'!J25+'[7]16.mell. ÖK finansz.'!I23</f>
        <v>18560</v>
      </c>
      <c r="J24" s="114">
        <f>'[7]12.mell.vsz finterv'!K24+'[7]13.mell. eszesz finterv'!K25+'[7]14.mell. könyvtár fin terv'!K24+'[7]15.mell. PH ei.felh.'!K25+'[7]16.mell. ÖK finansz.'!J23</f>
        <v>18060</v>
      </c>
      <c r="K24" s="114">
        <f>'[7]12.mell.vsz finterv'!L24+'[7]13.mell. eszesz finterv'!L25+'[7]14.mell. könyvtár fin terv'!L24+'[7]15.mell. PH ei.felh.'!L25+'[7]16.mell. ÖK finansz.'!K23</f>
        <v>31318</v>
      </c>
      <c r="L24" s="114">
        <f>'[7]12.mell.vsz finterv'!M24+'[7]13.mell. eszesz finterv'!M25+'[7]14.mell. könyvtár fin terv'!M24+'[7]15.mell. PH ei.felh.'!M25+'[7]16.mell. ÖK finansz.'!L23</f>
        <v>18560</v>
      </c>
      <c r="M24" s="114">
        <f>'[7]12.mell.vsz finterv'!N24+'[7]13.mell. eszesz finterv'!N25+'[7]14.mell. könyvtár fin terv'!N24+'[7]15.mell. PH ei.felh.'!N25+'[7]16.mell. ÖK finansz.'!M23</f>
        <v>17060</v>
      </c>
      <c r="N24" s="114">
        <f>'[7]12.mell.vsz finterv'!O24+'[7]13.mell. eszesz finterv'!O25+'[7]14.mell. könyvtár fin terv'!O24+'[7]15.mell. PH ei.felh.'!O25+'[7]16.mell. ÖK finansz.'!N23</f>
        <v>17057</v>
      </c>
      <c r="O24" s="214">
        <f t="shared" si="0"/>
        <v>203113</v>
      </c>
    </row>
    <row r="25" spans="1:15" s="34" customFormat="1" ht="18" customHeight="1">
      <c r="A25" s="452" t="s">
        <v>297</v>
      </c>
      <c r="B25" s="452" t="s">
        <v>146</v>
      </c>
      <c r="C25" s="114">
        <f>'[7]12.mell.vsz finterv'!D25+'[7]13.mell. eszesz finterv'!D26+'[7]14.mell. könyvtár fin terv'!D25+'[7]15.mell. PH ei.felh.'!D26+'[7]16.mell. ÖK finansz.'!C24</f>
        <v>0</v>
      </c>
      <c r="D25" s="114">
        <f>'[7]12.mell.vsz finterv'!E25+'[7]13.mell. eszesz finterv'!E26+'[7]14.mell. könyvtár fin terv'!E25+'[7]15.mell. PH ei.felh.'!E26+'[7]16.mell. ÖK finansz.'!D24</f>
        <v>0</v>
      </c>
      <c r="E25" s="114">
        <f>'[7]12.mell.vsz finterv'!F25+'[7]13.mell. eszesz finterv'!F26+'[7]14.mell. könyvtár fin terv'!F25+'[7]15.mell. PH ei.felh.'!F26+'[7]16.mell. ÖK finansz.'!E24</f>
        <v>461</v>
      </c>
      <c r="F25" s="114">
        <f>'[7]12.mell.vsz finterv'!G25+'[7]13.mell. eszesz finterv'!G26+'[7]14.mell. könyvtár fin terv'!G25+'[7]15.mell. PH ei.felh.'!G26+'[7]16.mell. ÖK finansz.'!F24</f>
        <v>0</v>
      </c>
      <c r="G25" s="114">
        <f>'[7]12.mell.vsz finterv'!H25+'[7]13.mell. eszesz finterv'!H26+'[7]14.mell. könyvtár fin terv'!H25+'[7]15.mell. PH ei.felh.'!H26+'[7]16.mell. ÖK finansz.'!G24</f>
        <v>0</v>
      </c>
      <c r="H25" s="114">
        <f>'[7]12.mell.vsz finterv'!I25+'[7]13.mell. eszesz finterv'!I26+'[7]14.mell. könyvtár fin terv'!I25+'[7]15.mell. PH ei.felh.'!I26+'[7]16.mell. ÖK finansz.'!H24</f>
        <v>300</v>
      </c>
      <c r="I25" s="114">
        <f>'[7]12.mell.vsz finterv'!J25+'[7]13.mell. eszesz finterv'!J26+'[7]14.mell. könyvtár fin terv'!J25+'[7]15.mell. PH ei.felh.'!J26+'[7]16.mell. ÖK finansz.'!I24</f>
        <v>0</v>
      </c>
      <c r="J25" s="114">
        <f>'[7]12.mell.vsz finterv'!K25+'[7]13.mell. eszesz finterv'!K26+'[7]14.mell. könyvtár fin terv'!K25+'[7]15.mell. PH ei.felh.'!K26+'[7]16.mell. ÖK finansz.'!J24</f>
        <v>0</v>
      </c>
      <c r="K25" s="114">
        <f>'[7]12.mell.vsz finterv'!L25+'[7]13.mell. eszesz finterv'!L26+'[7]14.mell. könyvtár fin terv'!L25+'[7]15.mell. PH ei.felh.'!L26+'[7]16.mell. ÖK finansz.'!K24</f>
        <v>300</v>
      </c>
      <c r="L25" s="114">
        <f>'[7]12.mell.vsz finterv'!M25+'[7]13.mell. eszesz finterv'!M26+'[7]14.mell. könyvtár fin terv'!M25+'[7]15.mell. PH ei.felh.'!M26+'[7]16.mell. ÖK finansz.'!L24</f>
        <v>0</v>
      </c>
      <c r="M25" s="114">
        <f>'[7]12.mell.vsz finterv'!N25+'[7]13.mell. eszesz finterv'!N26+'[7]14.mell. könyvtár fin terv'!N25+'[7]15.mell. PH ei.felh.'!N26+'[7]16.mell. ÖK finansz.'!M24</f>
        <v>0</v>
      </c>
      <c r="N25" s="114">
        <f>'[7]12.mell.vsz finterv'!O25+'[7]13.mell. eszesz finterv'!O26+'[7]14.mell. könyvtár fin terv'!O25+'[7]15.mell. PH ei.felh.'!O26+'[7]16.mell. ÖK finansz.'!N24</f>
        <v>300</v>
      </c>
      <c r="O25" s="214">
        <f t="shared" si="0"/>
        <v>1361</v>
      </c>
    </row>
    <row r="26" spans="1:15" s="34" customFormat="1" ht="18" customHeight="1">
      <c r="A26" s="452" t="s">
        <v>298</v>
      </c>
      <c r="B26" s="452" t="s">
        <v>405</v>
      </c>
      <c r="C26" s="114">
        <f>'[7]12.mell.vsz finterv'!D26+'[7]13.mell. eszesz finterv'!D27+'[7]14.mell. könyvtár fin terv'!D26+'[7]15.mell. PH ei.felh.'!D27+'[7]16.mell. ÖK finansz.'!C25</f>
        <v>12365</v>
      </c>
      <c r="D26" s="114">
        <f>'[7]12.mell.vsz finterv'!E26+'[7]13.mell. eszesz finterv'!E27+'[7]14.mell. könyvtár fin terv'!E26+'[7]15.mell. PH ei.felh.'!E27+'[7]16.mell. ÖK finansz.'!D25</f>
        <v>0</v>
      </c>
      <c r="E26" s="114">
        <f>'[7]12.mell.vsz finterv'!F26+'[7]13.mell. eszesz finterv'!F27+'[7]14.mell. könyvtár fin terv'!F26+'[7]15.mell. PH ei.felh.'!F27+'[7]16.mell. ÖK finansz.'!E25</f>
        <v>25000</v>
      </c>
      <c r="F26" s="114">
        <f>'[7]12.mell.vsz finterv'!G26+'[7]13.mell. eszesz finterv'!G27+'[7]14.mell. könyvtár fin terv'!G26+'[7]15.mell. PH ei.felh.'!G27+'[7]16.mell. ÖK finansz.'!F25</f>
        <v>0</v>
      </c>
      <c r="G26" s="114">
        <f>'[7]12.mell.vsz finterv'!H26+'[7]13.mell. eszesz finterv'!H27+'[7]14.mell. könyvtár fin terv'!H26+'[7]15.mell. PH ei.felh.'!H27+'[7]16.mell. ÖK finansz.'!G25</f>
        <v>0</v>
      </c>
      <c r="H26" s="114">
        <f>'[7]12.mell.vsz finterv'!I26+'[7]13.mell. eszesz finterv'!I27+'[7]14.mell. könyvtár fin terv'!I26+'[7]15.mell. PH ei.felh.'!I27+'[7]16.mell. ÖK finansz.'!H25</f>
        <v>5000</v>
      </c>
      <c r="I26" s="114">
        <f>'[7]12.mell.vsz finterv'!J26+'[7]13.mell. eszesz finterv'!J27+'[7]14.mell. könyvtár fin terv'!J26+'[7]15.mell. PH ei.felh.'!J27+'[7]16.mell. ÖK finansz.'!I25</f>
        <v>0</v>
      </c>
      <c r="J26" s="114">
        <f>'[7]12.mell.vsz finterv'!K26+'[7]13.mell. eszesz finterv'!K27+'[7]14.mell. könyvtár fin terv'!K26+'[7]15.mell. PH ei.felh.'!K27+'[7]16.mell. ÖK finansz.'!J25</f>
        <v>0</v>
      </c>
      <c r="K26" s="114">
        <f>'[7]12.mell.vsz finterv'!L26+'[7]13.mell. eszesz finterv'!L27+'[7]14.mell. könyvtár fin terv'!L26+'[7]15.mell. PH ei.felh.'!L27+'[7]16.mell. ÖK finansz.'!K25</f>
        <v>10000</v>
      </c>
      <c r="L26" s="114">
        <f>'[7]12.mell.vsz finterv'!M26+'[7]13.mell. eszesz finterv'!M27+'[7]14.mell. könyvtár fin terv'!M26+'[7]15.mell. PH ei.felh.'!M27+'[7]16.mell. ÖK finansz.'!L25</f>
        <v>0</v>
      </c>
      <c r="M26" s="114">
        <f>'[7]12.mell.vsz finterv'!N26+'[7]13.mell. eszesz finterv'!N27+'[7]14.mell. könyvtár fin terv'!N26+'[7]15.mell. PH ei.felh.'!N27+'[7]16.mell. ÖK finansz.'!M25</f>
        <v>0</v>
      </c>
      <c r="N26" s="114">
        <f>'[7]12.mell.vsz finterv'!O26+'[7]13.mell. eszesz finterv'!O27+'[7]14.mell. könyvtár fin terv'!O26+'[7]15.mell. PH ei.felh.'!O27+'[7]16.mell. ÖK finansz.'!N25</f>
        <v>0</v>
      </c>
      <c r="O26" s="214">
        <f t="shared" si="0"/>
        <v>52365</v>
      </c>
    </row>
    <row r="27" spans="1:15" s="34" customFormat="1" ht="18" customHeight="1">
      <c r="A27" s="460" t="s">
        <v>299</v>
      </c>
      <c r="B27" s="456" t="s">
        <v>1</v>
      </c>
      <c r="C27" s="461">
        <f>'[7]12.mell.vsz finterv'!D15+'[7]13.mell. eszesz finterv'!D16+'[7]14.mell. könyvtár fin terv'!D15+'[7]15.mell. PH ei.felh.'!D16</f>
        <v>40266</v>
      </c>
      <c r="D27" s="461">
        <f>'[7]12.mell.vsz finterv'!E15+'[7]13.mell. eszesz finterv'!E16+'[7]14.mell. könyvtár fin terv'!E15+'[7]15.mell. PH ei.felh.'!E16</f>
        <v>40476</v>
      </c>
      <c r="E27" s="461">
        <f>'[7]12.mell.vsz finterv'!F15+'[7]13.mell. eszesz finterv'!F16+'[7]14.mell. könyvtár fin terv'!F15+'[7]15.mell. PH ei.felh.'!F16</f>
        <v>24382</v>
      </c>
      <c r="F27" s="461">
        <f>'[7]12.mell.vsz finterv'!G15+'[7]13.mell. eszesz finterv'!G16+'[7]14.mell. könyvtár fin terv'!G15+'[7]15.mell. PH ei.felh.'!G16</f>
        <v>40986</v>
      </c>
      <c r="G27" s="461">
        <f>'[7]12.mell.vsz finterv'!H15+'[7]13.mell. eszesz finterv'!H16+'[7]14.mell. könyvtár fin terv'!H15+'[7]15.mell. PH ei.felh.'!H16</f>
        <v>41086</v>
      </c>
      <c r="H27" s="461">
        <f>'[7]12.mell.vsz finterv'!I15+'[7]13.mell. eszesz finterv'!I16+'[7]14.mell. könyvtár fin terv'!I15+'[7]15.mell. PH ei.felh.'!I16</f>
        <v>41216</v>
      </c>
      <c r="I27" s="461">
        <f>'[7]12.mell.vsz finterv'!J15+'[7]13.mell. eszesz finterv'!J16+'[7]14.mell. könyvtár fin terv'!J15+'[7]15.mell. PH ei.felh.'!J16</f>
        <v>40786</v>
      </c>
      <c r="J27" s="461">
        <f>'[7]12.mell.vsz finterv'!K15+'[7]13.mell. eszesz finterv'!K16+'[7]14.mell. könyvtár fin terv'!K15+'[7]15.mell. PH ei.felh.'!K16</f>
        <v>40766</v>
      </c>
      <c r="K27" s="461">
        <f>'[7]12.mell.vsz finterv'!L15+'[7]13.mell. eszesz finterv'!L16+'[7]14.mell. könyvtár fin terv'!L15+'[7]15.mell. PH ei.felh.'!L16</f>
        <v>41486</v>
      </c>
      <c r="L27" s="461">
        <f>'[7]12.mell.vsz finterv'!M15+'[7]13.mell. eszesz finterv'!M16+'[7]14.mell. könyvtár fin terv'!M15+'[7]15.mell. PH ei.felh.'!M16</f>
        <v>40566</v>
      </c>
      <c r="M27" s="461">
        <f>'[7]12.mell.vsz finterv'!N15+'[7]13.mell. eszesz finterv'!N16+'[7]14.mell. könyvtár fin terv'!N15+'[7]15.mell. PH ei.felh.'!N16</f>
        <v>40566</v>
      </c>
      <c r="N27" s="461">
        <f>'[7]12.mell.vsz finterv'!O15+'[7]13.mell. eszesz finterv'!O16+'[7]14.mell. könyvtár fin terv'!O15+'[7]15.mell. PH ei.felh.'!O16</f>
        <v>40965</v>
      </c>
      <c r="O27" s="457">
        <f t="shared" si="0"/>
        <v>473547</v>
      </c>
    </row>
    <row r="28" spans="1:18" s="112" customFormat="1" ht="18" customHeight="1">
      <c r="A28" s="458" t="s">
        <v>300</v>
      </c>
      <c r="B28" s="458" t="s">
        <v>340</v>
      </c>
      <c r="C28" s="223">
        <f>SUM(C18:C26)</f>
        <v>101209</v>
      </c>
      <c r="D28" s="223">
        <f aca="true" t="shared" si="3" ref="D28:N28">SUM(D18:D26)</f>
        <v>89044</v>
      </c>
      <c r="E28" s="223">
        <f t="shared" si="3"/>
        <v>283584</v>
      </c>
      <c r="F28" s="223">
        <f t="shared" si="3"/>
        <v>243407</v>
      </c>
      <c r="G28" s="223">
        <f t="shared" si="3"/>
        <v>243507</v>
      </c>
      <c r="H28" s="223">
        <f t="shared" si="3"/>
        <v>248657</v>
      </c>
      <c r="I28" s="223">
        <f t="shared" si="3"/>
        <v>244707</v>
      </c>
      <c r="J28" s="223">
        <f t="shared" si="3"/>
        <v>244207</v>
      </c>
      <c r="K28" s="223">
        <f t="shared" si="3"/>
        <v>268165</v>
      </c>
      <c r="L28" s="223">
        <f t="shared" si="3"/>
        <v>244507</v>
      </c>
      <c r="M28" s="223">
        <f t="shared" si="3"/>
        <v>243007</v>
      </c>
      <c r="N28" s="223">
        <f t="shared" si="3"/>
        <v>243380</v>
      </c>
      <c r="O28" s="224">
        <f>SUM(C28:N28)</f>
        <v>2697381</v>
      </c>
      <c r="R28" s="34"/>
    </row>
    <row r="29" spans="1:15" s="112" customFormat="1" ht="18" customHeight="1">
      <c r="A29" s="458" t="s">
        <v>301</v>
      </c>
      <c r="B29" s="462" t="s">
        <v>344</v>
      </c>
      <c r="C29" s="225">
        <f>+C6+C16-C28</f>
        <v>1572712</v>
      </c>
      <c r="D29" s="225">
        <f>+C29+D16-D28</f>
        <v>1559207</v>
      </c>
      <c r="E29" s="225">
        <f aca="true" t="shared" si="4" ref="E29:M29">+D29+E16-E28</f>
        <v>3055469</v>
      </c>
      <c r="F29" s="225">
        <f t="shared" si="4"/>
        <v>2882890</v>
      </c>
      <c r="G29" s="225">
        <f t="shared" si="4"/>
        <v>2709261</v>
      </c>
      <c r="H29" s="225">
        <f t="shared" si="4"/>
        <v>2560972</v>
      </c>
      <c r="I29" s="225">
        <f t="shared" si="4"/>
        <v>2386593</v>
      </c>
      <c r="J29" s="225">
        <f t="shared" si="4"/>
        <v>2214734</v>
      </c>
      <c r="K29" s="225">
        <f t="shared" si="4"/>
        <v>2112867</v>
      </c>
      <c r="L29" s="225">
        <f t="shared" si="4"/>
        <v>1948708</v>
      </c>
      <c r="M29" s="225">
        <f t="shared" si="4"/>
        <v>1770049</v>
      </c>
      <c r="N29" s="225">
        <f>+M29+N16-N28</f>
        <v>1602025</v>
      </c>
      <c r="O29" s="463" t="s">
        <v>343</v>
      </c>
    </row>
    <row r="30" s="2" customFormat="1" ht="28.5" customHeight="1">
      <c r="B30" s="42"/>
    </row>
    <row r="38" ht="13.5" customHeight="1">
      <c r="O38" s="5"/>
    </row>
    <row r="39" ht="13.5" customHeight="1">
      <c r="O39" s="5"/>
    </row>
    <row r="40" spans="2:15" ht="13.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ht="12.75" customHeight="1">
      <c r="O41" s="5"/>
    </row>
    <row r="42" spans="2:15" ht="13.5" customHeight="1" hidden="1">
      <c r="B42" s="42"/>
      <c r="O42" s="5"/>
    </row>
    <row r="43" spans="2:15" ht="13.5" customHeight="1" hidden="1">
      <c r="B43" s="42"/>
      <c r="O43" s="5"/>
    </row>
    <row r="44" ht="13.5" customHeight="1" hidden="1">
      <c r="O44" s="5"/>
    </row>
    <row r="45" ht="13.5" customHeight="1" hidden="1">
      <c r="O45" s="5"/>
    </row>
    <row r="46" ht="13.5" customHeight="1" hidden="1">
      <c r="O46" s="5"/>
    </row>
    <row r="47" ht="13.5" customHeight="1" hidden="1">
      <c r="O47" s="5"/>
    </row>
    <row r="48" ht="13.5" customHeight="1" hidden="1">
      <c r="O48" s="5"/>
    </row>
    <row r="49" ht="13.5" customHeight="1" hidden="1">
      <c r="O49" s="5"/>
    </row>
    <row r="50" ht="13.5" customHeight="1" hidden="1">
      <c r="O50" s="5"/>
    </row>
    <row r="51" ht="13.5" customHeight="1" hidden="1">
      <c r="O51" s="5"/>
    </row>
    <row r="52" ht="13.5" customHeight="1" hidden="1">
      <c r="O52" s="5"/>
    </row>
    <row r="53" ht="13.5" customHeight="1" hidden="1">
      <c r="O53" s="5"/>
    </row>
    <row r="54" ht="13.5" customHeight="1" hidden="1">
      <c r="O54" s="5"/>
    </row>
    <row r="55" ht="13.5" customHeight="1" hidden="1">
      <c r="O55" s="5"/>
    </row>
    <row r="56" ht="13.5" customHeight="1" hidden="1">
      <c r="O56" s="5"/>
    </row>
    <row r="57" ht="13.5" customHeight="1" hidden="1">
      <c r="O57" s="5"/>
    </row>
    <row r="58" ht="13.5" customHeight="1" hidden="1">
      <c r="O58" s="5"/>
    </row>
    <row r="59" ht="13.5" customHeight="1" hidden="1">
      <c r="O59" s="5"/>
    </row>
    <row r="60" ht="13.5" customHeight="1" hidden="1">
      <c r="O60" s="5"/>
    </row>
    <row r="61" ht="13.5" customHeight="1" hidden="1">
      <c r="O61" s="5"/>
    </row>
    <row r="62" ht="13.5" customHeight="1" hidden="1">
      <c r="O62" s="5"/>
    </row>
    <row r="63" ht="13.5" customHeight="1" hidden="1">
      <c r="O63" s="5"/>
    </row>
    <row r="64" ht="13.5" customHeight="1">
      <c r="O64" s="5"/>
    </row>
    <row r="65" ht="13.5" customHeight="1">
      <c r="O65" s="5"/>
    </row>
    <row r="66" ht="13.5" customHeight="1">
      <c r="O66" s="5"/>
    </row>
    <row r="67" ht="13.5" customHeight="1">
      <c r="O67" s="5"/>
    </row>
    <row r="68" spans="2:15" ht="13.5" customHeight="1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2:15" ht="13.5" customHeight="1"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ht="13.5" customHeight="1">
      <c r="O70" s="5"/>
    </row>
    <row r="71" ht="13.5" customHeight="1">
      <c r="O71" s="5"/>
    </row>
    <row r="73" ht="13.5" customHeight="1">
      <c r="O73" s="5"/>
    </row>
    <row r="79" ht="13.5" customHeight="1">
      <c r="O79" s="5"/>
    </row>
    <row r="80" spans="2:15" ht="13.5" customHeight="1">
      <c r="B80" s="39"/>
      <c r="O80" s="5"/>
    </row>
    <row r="81" ht="13.5" customHeight="1">
      <c r="B81" s="39"/>
    </row>
    <row r="88" ht="13.5" customHeight="1">
      <c r="O88" s="88"/>
    </row>
    <row r="89" ht="13.5" customHeight="1">
      <c r="O89" s="88"/>
    </row>
    <row r="90" ht="13.5" customHeight="1">
      <c r="O90" s="88"/>
    </row>
    <row r="91" ht="13.5" customHeight="1">
      <c r="O91" s="88"/>
    </row>
    <row r="92" spans="1:15" ht="13.5" customHeight="1">
      <c r="A92" s="41"/>
      <c r="O92" s="5"/>
    </row>
    <row r="94" ht="13.5" customHeight="1">
      <c r="O94" s="5"/>
    </row>
  </sheetData>
  <sheetProtection password="CD92" sheet="1"/>
  <mergeCells count="4">
    <mergeCell ref="A1:O1"/>
    <mergeCell ref="A2:O2"/>
    <mergeCell ref="B5:O5"/>
    <mergeCell ref="B17:O17"/>
  </mergeCells>
  <printOptions/>
  <pageMargins left="0.4724409448818898" right="0.3937007874015748" top="0.35433070866141736" bottom="1.6141732283464567" header="0.3937007874015748" footer="0.7480314960629921"/>
  <pageSetup horizontalDpi="600" verticalDpi="600" orientation="landscape" paperSize="9" scale="68" r:id="rId1"/>
  <headerFooter alignWithMargins="0">
    <oddHeader>&amp;L18.melléklet&amp;X1&amp;R2/2019.(II.15.) ÖK rendelethez</oddHeader>
    <oddFooter>&amp;L&amp;X1&amp;XMód: 7/2019.(V.31.) ÖK rendelet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1">
      <selection activeCell="B26" sqref="B26"/>
    </sheetView>
  </sheetViews>
  <sheetFormatPr defaultColWidth="10.421875" defaultRowHeight="12.75"/>
  <cols>
    <col min="1" max="1" width="7.57421875" style="389" customWidth="1"/>
    <col min="2" max="2" width="56.421875" style="389" customWidth="1"/>
    <col min="3" max="3" width="0.13671875" style="389" hidden="1" customWidth="1"/>
    <col min="4" max="4" width="11.57421875" style="389" customWidth="1"/>
    <col min="5" max="5" width="12.00390625" style="389" customWidth="1"/>
    <col min="6" max="6" width="13.28125" style="389" customWidth="1"/>
    <col min="7" max="7" width="13.7109375" style="389" customWidth="1"/>
    <col min="8" max="16384" width="10.421875" style="389" customWidth="1"/>
  </cols>
  <sheetData>
    <row r="1" spans="1:7" ht="43.5" customHeight="1">
      <c r="A1" s="1034" t="s">
        <v>385</v>
      </c>
      <c r="B1" s="1034"/>
      <c r="C1" s="1034"/>
      <c r="D1" s="1034"/>
      <c r="E1" s="1034"/>
      <c r="F1" s="1034"/>
      <c r="G1" s="1034"/>
    </row>
    <row r="2" spans="1:7" ht="15.75">
      <c r="A2" s="390"/>
      <c r="B2" s="390"/>
      <c r="C2" s="391"/>
      <c r="D2" s="391"/>
      <c r="E2" s="391"/>
      <c r="G2" s="372" t="s">
        <v>386</v>
      </c>
    </row>
    <row r="3" spans="1:7" ht="44.25" customHeight="1">
      <c r="A3" s="392" t="s">
        <v>329</v>
      </c>
      <c r="B3" s="392" t="s">
        <v>346</v>
      </c>
      <c r="C3" s="392" t="s">
        <v>37</v>
      </c>
      <c r="D3" s="392" t="s">
        <v>38</v>
      </c>
      <c r="E3" s="392" t="s">
        <v>39</v>
      </c>
      <c r="F3" s="392" t="s">
        <v>646</v>
      </c>
      <c r="G3" s="392" t="s">
        <v>829</v>
      </c>
    </row>
    <row r="4" spans="1:7" ht="22.5" customHeight="1">
      <c r="A4" s="599" t="s">
        <v>276</v>
      </c>
      <c r="B4" s="587" t="s">
        <v>379</v>
      </c>
      <c r="C4" s="208">
        <v>144000</v>
      </c>
      <c r="D4" s="208">
        <f>'1.mell. BEVÉTEL'!G109+'1.mell. BEVÉTEL'!G110</f>
        <v>8000</v>
      </c>
      <c r="E4" s="208">
        <v>144000</v>
      </c>
      <c r="F4" s="208">
        <v>144000</v>
      </c>
      <c r="G4" s="587">
        <v>144000</v>
      </c>
    </row>
    <row r="5" spans="1:7" ht="36" customHeight="1">
      <c r="A5" s="599" t="s">
        <v>277</v>
      </c>
      <c r="B5" s="601" t="s">
        <v>380</v>
      </c>
      <c r="C5" s="208">
        <f>2400+6500+3010+6500</f>
        <v>18410</v>
      </c>
      <c r="D5" s="208">
        <f>'1.mell. BEVÉTEL'!G122+'1.mell. BEVÉTEL'!G155</f>
        <v>0</v>
      </c>
      <c r="E5" s="208">
        <v>17500</v>
      </c>
      <c r="F5" s="208">
        <v>17500</v>
      </c>
      <c r="G5" s="587">
        <v>17500</v>
      </c>
    </row>
    <row r="6" spans="1:7" ht="17.25" customHeight="1">
      <c r="A6" s="599" t="s">
        <v>278</v>
      </c>
      <c r="B6" s="587" t="s">
        <v>381</v>
      </c>
      <c r="C6" s="208">
        <v>0</v>
      </c>
      <c r="D6" s="208">
        <v>0</v>
      </c>
      <c r="E6" s="208">
        <v>0</v>
      </c>
      <c r="F6" s="208">
        <v>0</v>
      </c>
      <c r="G6" s="587"/>
    </row>
    <row r="7" spans="1:7" ht="31.5">
      <c r="A7" s="599" t="s">
        <v>279</v>
      </c>
      <c r="B7" s="601" t="s">
        <v>382</v>
      </c>
      <c r="C7" s="208">
        <v>4000</v>
      </c>
      <c r="D7" s="208">
        <f>'1.mell. BEVÉTEL'!G167</f>
        <v>1260</v>
      </c>
      <c r="E7" s="208">
        <v>3000</v>
      </c>
      <c r="F7" s="208">
        <v>3000</v>
      </c>
      <c r="G7" s="587">
        <v>2000</v>
      </c>
    </row>
    <row r="8" spans="1:7" ht="15.75">
      <c r="A8" s="599" t="s">
        <v>280</v>
      </c>
      <c r="B8" s="587" t="s">
        <v>383</v>
      </c>
      <c r="C8" s="208">
        <f>2500+1500+100+50+6500</f>
        <v>10650</v>
      </c>
      <c r="D8" s="208">
        <f>'1.mell. BEVÉTEL'!G112+'1.mell. BEVÉTEL'!G114+'1.mell. BEVÉTEL'!G115+'1.mell. BEVÉTEL'!G116+'1.mell. BEVÉTEL'!G117</f>
        <v>175480</v>
      </c>
      <c r="E8" s="208">
        <v>9650</v>
      </c>
      <c r="F8" s="208">
        <v>9650</v>
      </c>
      <c r="G8" s="587">
        <v>9650</v>
      </c>
    </row>
    <row r="9" spans="1:7" ht="18" customHeight="1">
      <c r="A9" s="599" t="s">
        <v>281</v>
      </c>
      <c r="B9" s="587" t="s">
        <v>384</v>
      </c>
      <c r="C9" s="208">
        <v>0</v>
      </c>
      <c r="D9" s="208">
        <v>0</v>
      </c>
      <c r="E9" s="208">
        <v>0</v>
      </c>
      <c r="F9" s="208">
        <v>0</v>
      </c>
      <c r="G9" s="587"/>
    </row>
    <row r="10" spans="1:7" ht="15.75">
      <c r="A10" s="599" t="s">
        <v>282</v>
      </c>
      <c r="B10" s="600" t="s">
        <v>347</v>
      </c>
      <c r="C10" s="209">
        <f>SUM(C4:C9)</f>
        <v>177060</v>
      </c>
      <c r="D10" s="209">
        <f>SUM(D4:D9)</f>
        <v>184740</v>
      </c>
      <c r="E10" s="209">
        <f>SUM(E4:E9)</f>
        <v>174150</v>
      </c>
      <c r="F10" s="209">
        <f>SUM(F4:F9)</f>
        <v>174150</v>
      </c>
      <c r="G10" s="209">
        <f>SUM(G4:G9)</f>
        <v>173150</v>
      </c>
    </row>
    <row r="11" spans="1:7" ht="15.75">
      <c r="A11" s="599" t="s">
        <v>283</v>
      </c>
      <c r="B11" s="587" t="s">
        <v>749</v>
      </c>
      <c r="C11" s="208">
        <f>C10*50%</f>
        <v>88530</v>
      </c>
      <c r="D11" s="208">
        <f>D10*50%</f>
        <v>92370</v>
      </c>
      <c r="E11" s="208">
        <f>E10*50%</f>
        <v>87075</v>
      </c>
      <c r="F11" s="208">
        <f>F10*50%</f>
        <v>87075</v>
      </c>
      <c r="G11" s="208">
        <f>G10*50%</f>
        <v>86575</v>
      </c>
    </row>
    <row r="12" spans="1:2" ht="43.5" customHeight="1">
      <c r="A12" s="1033" t="s">
        <v>387</v>
      </c>
      <c r="B12" s="1033"/>
    </row>
    <row r="17" spans="3:5" ht="15.75">
      <c r="C17" s="393"/>
      <c r="D17" s="393"/>
      <c r="E17" s="393"/>
    </row>
    <row r="19" spans="3:5" ht="15.75">
      <c r="C19" s="393"/>
      <c r="D19" s="393"/>
      <c r="E19" s="393"/>
    </row>
  </sheetData>
  <sheetProtection password="CD92" sheet="1"/>
  <mergeCells count="2">
    <mergeCell ref="A12:B12"/>
    <mergeCell ref="A1:G1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&amp;L19.melléklet&amp;R 2/2019.(II.15.) ÖK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zoomScaleSheetLayoutView="100" workbookViewId="0" topLeftCell="A193">
      <selection activeCell="N203" sqref="N203"/>
    </sheetView>
  </sheetViews>
  <sheetFormatPr defaultColWidth="9.140625" defaultRowHeight="21.75" customHeight="1"/>
  <cols>
    <col min="1" max="1" width="4.57421875" style="0" customWidth="1"/>
    <col min="2" max="2" width="7.00390625" style="0" customWidth="1"/>
    <col min="3" max="3" width="71.7109375" style="0" customWidth="1"/>
    <col min="4" max="4" width="14.7109375" style="0" hidden="1" customWidth="1"/>
    <col min="5" max="5" width="18.8515625" style="0" hidden="1" customWidth="1"/>
    <col min="6" max="6" width="15.00390625" style="0" hidden="1" customWidth="1"/>
    <col min="7" max="8" width="14.7109375" style="0" customWidth="1"/>
    <col min="9" max="9" width="16.421875" style="0" customWidth="1"/>
    <col min="10" max="10" width="11.421875" style="0" bestFit="1" customWidth="1"/>
    <col min="11" max="11" width="10.140625" style="0" bestFit="1" customWidth="1"/>
  </cols>
  <sheetData>
    <row r="1" spans="1:10" ht="15.75">
      <c r="A1" s="800" t="s">
        <v>838</v>
      </c>
      <c r="B1" s="800"/>
      <c r="C1" s="800"/>
      <c r="D1" s="800"/>
      <c r="E1" s="800"/>
      <c r="F1" s="800"/>
      <c r="G1" s="800"/>
      <c r="H1" s="800"/>
      <c r="I1" s="800"/>
      <c r="J1" s="3"/>
    </row>
    <row r="2" spans="1:10" ht="15">
      <c r="A2" s="791" t="s">
        <v>202</v>
      </c>
      <c r="B2" s="791"/>
      <c r="C2" s="791"/>
      <c r="D2" s="791"/>
      <c r="E2" s="791"/>
      <c r="F2" s="791"/>
      <c r="G2" s="791"/>
      <c r="H2" s="791"/>
      <c r="I2" s="791"/>
      <c r="J2" s="3"/>
    </row>
    <row r="3" spans="1:10" ht="15">
      <c r="A3" s="292"/>
      <c r="B3" s="56"/>
      <c r="C3" s="56"/>
      <c r="D3" s="62"/>
      <c r="E3" s="62"/>
      <c r="F3" s="62"/>
      <c r="G3" s="573"/>
      <c r="H3" s="573"/>
      <c r="I3" s="573" t="s">
        <v>523</v>
      </c>
      <c r="J3" s="3"/>
    </row>
    <row r="4" spans="1:10" s="524" customFormat="1" ht="15" customHeight="1">
      <c r="A4" s="792" t="s">
        <v>503</v>
      </c>
      <c r="B4" s="794" t="s">
        <v>502</v>
      </c>
      <c r="C4" s="796" t="s">
        <v>518</v>
      </c>
      <c r="D4" s="821" t="s">
        <v>664</v>
      </c>
      <c r="E4" s="822" t="s">
        <v>806</v>
      </c>
      <c r="F4" s="823" t="s">
        <v>834</v>
      </c>
      <c r="G4" s="782" t="s">
        <v>966</v>
      </c>
      <c r="H4" s="780" t="s">
        <v>969</v>
      </c>
      <c r="I4" s="784" t="s">
        <v>970</v>
      </c>
      <c r="J4" s="523"/>
    </row>
    <row r="5" spans="1:10" s="524" customFormat="1" ht="46.5" customHeight="1">
      <c r="A5" s="793"/>
      <c r="B5" s="795"/>
      <c r="C5" s="797"/>
      <c r="D5" s="821"/>
      <c r="E5" s="822"/>
      <c r="F5" s="823"/>
      <c r="G5" s="783"/>
      <c r="H5" s="781"/>
      <c r="I5" s="785"/>
      <c r="J5" s="523"/>
    </row>
    <row r="6" spans="1:10" s="526" customFormat="1" ht="12.75">
      <c r="A6" s="474" t="s">
        <v>270</v>
      </c>
      <c r="B6" s="474" t="s">
        <v>271</v>
      </c>
      <c r="C6" s="474" t="s">
        <v>452</v>
      </c>
      <c r="D6" s="476" t="s">
        <v>453</v>
      </c>
      <c r="E6" s="476" t="s">
        <v>208</v>
      </c>
      <c r="F6" s="476" t="s">
        <v>272</v>
      </c>
      <c r="G6" s="476" t="s">
        <v>453</v>
      </c>
      <c r="H6" s="476" t="s">
        <v>454</v>
      </c>
      <c r="I6" s="476" t="s">
        <v>272</v>
      </c>
      <c r="J6" s="525"/>
    </row>
    <row r="7" spans="1:10" ht="33.75" customHeight="1">
      <c r="A7" s="294" t="s">
        <v>276</v>
      </c>
      <c r="B7" s="563" t="s">
        <v>486</v>
      </c>
      <c r="C7" s="559" t="s">
        <v>320</v>
      </c>
      <c r="D7" s="560">
        <f aca="true" t="shared" si="0" ref="D7:I7">D8+D12+D16+D20+D24</f>
        <v>526940.7</v>
      </c>
      <c r="E7" s="560">
        <f t="shared" si="0"/>
        <v>620890</v>
      </c>
      <c r="F7" s="560">
        <f t="shared" si="0"/>
        <v>564425</v>
      </c>
      <c r="G7" s="560">
        <f t="shared" si="0"/>
        <v>500633.7</v>
      </c>
      <c r="H7" s="560">
        <f t="shared" si="0"/>
        <v>16174</v>
      </c>
      <c r="I7" s="560">
        <f t="shared" si="0"/>
        <v>516807.7</v>
      </c>
      <c r="J7" s="45"/>
    </row>
    <row r="8" spans="1:10" ht="30" customHeight="1">
      <c r="A8" s="294" t="s">
        <v>277</v>
      </c>
      <c r="B8" s="97"/>
      <c r="C8" s="259" t="s">
        <v>499</v>
      </c>
      <c r="D8" s="156">
        <v>74383</v>
      </c>
      <c r="E8" s="117">
        <f>'[8]VSZ - KIADÁSOK'!E8</f>
        <v>73580</v>
      </c>
      <c r="F8" s="117">
        <f>'[8]VSZ - KIADÁSOK'!F8</f>
        <v>73029</v>
      </c>
      <c r="G8" s="156">
        <f>SUM(G9:G10)</f>
        <v>78389</v>
      </c>
      <c r="H8" s="156">
        <f>SUM(H9:H10)</f>
        <v>0</v>
      </c>
      <c r="I8" s="156">
        <f>SUM(G8:H8)</f>
        <v>78389</v>
      </c>
      <c r="J8" s="3"/>
    </row>
    <row r="9" spans="1:10" ht="27.75" customHeight="1">
      <c r="A9" s="294" t="s">
        <v>278</v>
      </c>
      <c r="B9" s="97"/>
      <c r="C9" s="622" t="s">
        <v>971</v>
      </c>
      <c r="D9" s="539">
        <v>73913</v>
      </c>
      <c r="E9" s="623"/>
      <c r="F9" s="623"/>
      <c r="G9" s="539">
        <f>'[8]VSZ - KIADÁSOK'!G8-'[8]VSZ - KIADÁSOK'!G20-'[8]VSZ - KIADÁSOK'!G22</f>
        <v>77919</v>
      </c>
      <c r="H9" s="539">
        <v>0</v>
      </c>
      <c r="I9" s="539">
        <f>SUM(G9:H9)</f>
        <v>77919</v>
      </c>
      <c r="J9" s="45"/>
    </row>
    <row r="10" spans="1:10" ht="20.25" customHeight="1">
      <c r="A10" s="294" t="s">
        <v>279</v>
      </c>
      <c r="B10" s="97"/>
      <c r="C10" s="263" t="s">
        <v>972</v>
      </c>
      <c r="D10" s="539">
        <v>470</v>
      </c>
      <c r="E10" s="623"/>
      <c r="F10" s="623"/>
      <c r="G10" s="539">
        <f>'[8]VSZ - KIADÁSOK'!G22+'[8]VSZ - KIADÁSOK'!G20</f>
        <v>470</v>
      </c>
      <c r="H10" s="539">
        <v>0</v>
      </c>
      <c r="I10" s="539">
        <f>SUM(G10:H10)</f>
        <v>470</v>
      </c>
      <c r="J10" s="3"/>
    </row>
    <row r="11" spans="1:10" ht="15.75">
      <c r="A11" s="294" t="s">
        <v>280</v>
      </c>
      <c r="B11" s="97"/>
      <c r="C11" s="148"/>
      <c r="D11" s="55"/>
      <c r="E11" s="55"/>
      <c r="F11" s="55"/>
      <c r="G11" s="55"/>
      <c r="H11" s="55"/>
      <c r="I11" s="55"/>
      <c r="J11" s="3"/>
    </row>
    <row r="12" spans="1:10" ht="30" customHeight="1">
      <c r="A12" s="294" t="s">
        <v>281</v>
      </c>
      <c r="B12" s="97"/>
      <c r="C12" s="259" t="s">
        <v>321</v>
      </c>
      <c r="D12" s="156">
        <v>105771</v>
      </c>
      <c r="E12" s="117">
        <v>105771</v>
      </c>
      <c r="F12" s="117">
        <f>'[8]ESZESZ - KIADÁSOK'!F9</f>
        <v>106213</v>
      </c>
      <c r="G12" s="156">
        <f>SUM(G13:G14)</f>
        <v>118374.7</v>
      </c>
      <c r="H12" s="156">
        <f>SUM(H13:H14)</f>
        <v>0</v>
      </c>
      <c r="I12" s="156">
        <f>SUM(I13:I14)</f>
        <v>118374.7</v>
      </c>
      <c r="J12" s="3"/>
    </row>
    <row r="13" spans="1:10" ht="40.5" customHeight="1">
      <c r="A13" s="294" t="s">
        <v>282</v>
      </c>
      <c r="B13" s="97"/>
      <c r="C13" s="622" t="s">
        <v>973</v>
      </c>
      <c r="D13" s="539">
        <v>93301</v>
      </c>
      <c r="E13" s="623"/>
      <c r="F13" s="623"/>
      <c r="G13" s="539">
        <f>'[8]ESZESZ - KIADÁSOK'!G9-'[8]ESZESZ - KIADÁSOK'!G31-'[8]ESZESZ - KIADÁSOK'!G23</f>
        <v>109266.7</v>
      </c>
      <c r="H13" s="539">
        <v>0</v>
      </c>
      <c r="I13" s="539">
        <f>SUM(G13:H13)</f>
        <v>109266.7</v>
      </c>
      <c r="J13" s="45"/>
    </row>
    <row r="14" spans="1:10" ht="24.75" customHeight="1">
      <c r="A14" s="294" t="s">
        <v>283</v>
      </c>
      <c r="B14" s="97"/>
      <c r="C14" s="263" t="s">
        <v>972</v>
      </c>
      <c r="D14" s="539">
        <v>12470</v>
      </c>
      <c r="E14" s="623"/>
      <c r="F14" s="623"/>
      <c r="G14" s="539">
        <f>'[8]ESZESZ - KIADÁSOK'!G23+'[8]ESZESZ - KIADÁSOK'!G31</f>
        <v>9108</v>
      </c>
      <c r="H14" s="539">
        <v>0</v>
      </c>
      <c r="I14" s="539">
        <f>SUM(G14:H14)</f>
        <v>9108</v>
      </c>
      <c r="J14" s="3"/>
    </row>
    <row r="15" spans="1:10" ht="15.75">
      <c r="A15" s="294" t="s">
        <v>284</v>
      </c>
      <c r="B15" s="97"/>
      <c r="C15" s="258"/>
      <c r="D15" s="55"/>
      <c r="E15" s="55"/>
      <c r="F15" s="55"/>
      <c r="G15" s="55"/>
      <c r="H15" s="55"/>
      <c r="I15" s="55"/>
      <c r="J15" s="3"/>
    </row>
    <row r="16" spans="1:10" ht="30" customHeight="1">
      <c r="A16" s="294" t="s">
        <v>285</v>
      </c>
      <c r="B16" s="97"/>
      <c r="C16" s="259" t="s">
        <v>177</v>
      </c>
      <c r="D16" s="156">
        <f>SUM(D17:D18)</f>
        <v>13047</v>
      </c>
      <c r="E16" s="117">
        <f>'[8]KÖNYVTÁR - KIADÁSOK'!E8</f>
        <v>13672</v>
      </c>
      <c r="F16" s="117">
        <f>'[8]KÖNYVTÁR - KIADÁSOK'!F8</f>
        <v>11714</v>
      </c>
      <c r="G16" s="156">
        <f>SUM(G17:G18)</f>
        <v>14798</v>
      </c>
      <c r="H16" s="156">
        <f>SUM(H17:H18)</f>
        <v>0</v>
      </c>
      <c r="I16" s="156">
        <f>SUM(I17:I18)</f>
        <v>14798</v>
      </c>
      <c r="J16" s="3"/>
    </row>
    <row r="17" spans="1:10" ht="32.25" customHeight="1">
      <c r="A17" s="294" t="s">
        <v>286</v>
      </c>
      <c r="B17" s="97"/>
      <c r="C17" s="622" t="s">
        <v>974</v>
      </c>
      <c r="D17" s="539">
        <v>11812</v>
      </c>
      <c r="E17" s="623"/>
      <c r="F17" s="623"/>
      <c r="G17" s="539">
        <f>'[8]KÖNYVTÁR - KIADÁSOK'!G8-'[8]KÖNYVTÁR - KIADÁSOK'!G18-'[8]KÖNYVTÁR - KIADÁSOK'!G21</f>
        <v>13758</v>
      </c>
      <c r="H17" s="539">
        <v>0</v>
      </c>
      <c r="I17" s="539">
        <f>SUM(G17:H17)</f>
        <v>13758</v>
      </c>
      <c r="J17" s="3"/>
    </row>
    <row r="18" spans="1:10" ht="20.25" customHeight="1">
      <c r="A18" s="294" t="s">
        <v>287</v>
      </c>
      <c r="B18" s="97"/>
      <c r="C18" s="263" t="s">
        <v>972</v>
      </c>
      <c r="D18" s="539">
        <v>1235</v>
      </c>
      <c r="E18" s="623"/>
      <c r="F18" s="623"/>
      <c r="G18" s="539">
        <f>'[8]KÖNYVTÁR - KIADÁSOK'!G18+'[8]KÖNYVTÁR - KIADÁSOK'!G21</f>
        <v>1040</v>
      </c>
      <c r="H18" s="539">
        <v>0</v>
      </c>
      <c r="I18" s="539">
        <f>SUM(G18:H18)</f>
        <v>1040</v>
      </c>
      <c r="J18" s="45"/>
    </row>
    <row r="19" spans="1:10" ht="15.75">
      <c r="A19" s="294" t="s">
        <v>288</v>
      </c>
      <c r="B19" s="97"/>
      <c r="C19" s="148"/>
      <c r="D19" s="55"/>
      <c r="E19" s="55"/>
      <c r="F19" s="55"/>
      <c r="G19" s="55"/>
      <c r="H19" s="55"/>
      <c r="I19" s="55"/>
      <c r="J19" s="3"/>
    </row>
    <row r="20" spans="1:10" ht="30" customHeight="1">
      <c r="A20" s="294" t="s">
        <v>289</v>
      </c>
      <c r="B20" s="97"/>
      <c r="C20" s="259" t="s">
        <v>345</v>
      </c>
      <c r="D20" s="156">
        <f>SUM(D21:D22)</f>
        <v>89556</v>
      </c>
      <c r="E20" s="117">
        <f>'[8]PH - KIADÁSOK'!E8</f>
        <v>92860</v>
      </c>
      <c r="F20" s="117">
        <f>'[8]PH - KIADÁSOK'!F8</f>
        <v>82456</v>
      </c>
      <c r="G20" s="156">
        <f>SUM(G21:G22)</f>
        <v>102136</v>
      </c>
      <c r="H20" s="156">
        <f>SUM(H21:H22)</f>
        <v>0</v>
      </c>
      <c r="I20" s="156">
        <f>SUM(I21:I22)</f>
        <v>102136</v>
      </c>
      <c r="J20" s="3"/>
    </row>
    <row r="21" spans="1:10" ht="28.5" customHeight="1">
      <c r="A21" s="294" t="s">
        <v>290</v>
      </c>
      <c r="B21" s="97"/>
      <c r="C21" s="622" t="s">
        <v>971</v>
      </c>
      <c r="D21" s="539">
        <v>84936</v>
      </c>
      <c r="E21" s="623"/>
      <c r="F21" s="623"/>
      <c r="G21" s="539">
        <f>'[8]PH - KIADÁSOK'!G8-'[8]PH - KIADÁSOK'!G20-'[8]PH - KIADÁSOK'!G24</f>
        <v>96770</v>
      </c>
      <c r="H21" s="539">
        <v>0</v>
      </c>
      <c r="I21" s="539">
        <f>SUM(G21:H21)</f>
        <v>96770</v>
      </c>
      <c r="J21" s="45"/>
    </row>
    <row r="22" spans="1:10" ht="19.5" customHeight="1">
      <c r="A22" s="294" t="s">
        <v>291</v>
      </c>
      <c r="B22" s="97"/>
      <c r="C22" s="263" t="s">
        <v>972</v>
      </c>
      <c r="D22" s="539">
        <v>4620</v>
      </c>
      <c r="E22" s="623"/>
      <c r="F22" s="623"/>
      <c r="G22" s="539">
        <f>'[8]PH - KIADÁSOK'!G20+'[8]PH - KIADÁSOK'!G24</f>
        <v>5366</v>
      </c>
      <c r="H22" s="539">
        <v>0</v>
      </c>
      <c r="I22" s="539">
        <f>SUM(G22:H22)</f>
        <v>5366</v>
      </c>
      <c r="J22" s="3"/>
    </row>
    <row r="23" spans="1:10" ht="15.75">
      <c r="A23" s="294" t="s">
        <v>292</v>
      </c>
      <c r="B23" s="97"/>
      <c r="C23" s="148"/>
      <c r="D23" s="55"/>
      <c r="E23" s="55"/>
      <c r="F23" s="55"/>
      <c r="G23" s="55"/>
      <c r="H23" s="55"/>
      <c r="I23" s="55"/>
      <c r="J23" s="3"/>
    </row>
    <row r="24" spans="1:10" ht="30.75" customHeight="1">
      <c r="A24" s="294" t="s">
        <v>293</v>
      </c>
      <c r="B24" s="97"/>
      <c r="C24" s="259" t="s">
        <v>295</v>
      </c>
      <c r="D24" s="156">
        <f>SUM(D25:D26)</f>
        <v>244183.7</v>
      </c>
      <c r="E24" s="117">
        <f>'[8]ÖK - KIADÁSOK'!F9</f>
        <v>335007</v>
      </c>
      <c r="F24" s="117">
        <f>'[8]ÖK - KIADÁSOK'!G9</f>
        <v>291013</v>
      </c>
      <c r="G24" s="156">
        <f>SUM(G25:G26)</f>
        <v>186936</v>
      </c>
      <c r="H24" s="156">
        <f>SUM(H25:H26)</f>
        <v>16174</v>
      </c>
      <c r="I24" s="156">
        <f aca="true" t="shared" si="1" ref="I24:I33">SUM(G24:H24)</f>
        <v>203110</v>
      </c>
      <c r="J24" s="3"/>
    </row>
    <row r="25" spans="1:10" ht="31.5" customHeight="1">
      <c r="A25" s="294" t="s">
        <v>294</v>
      </c>
      <c r="B25" s="97"/>
      <c r="C25" s="622" t="s">
        <v>975</v>
      </c>
      <c r="D25" s="539">
        <v>205286</v>
      </c>
      <c r="E25" s="623"/>
      <c r="F25" s="623"/>
      <c r="G25" s="539">
        <f>'[8]ÖK - KIADÁSOK'!H9-'[8]ÖK - KIADÁSOK'!H21-'[8]ÖK - KIADÁSOK'!H43-'[8]ÖK - KIADÁSOK'!H54-'[8]ÖK - KIADÁSOK'!H55</f>
        <v>148238</v>
      </c>
      <c r="H25" s="539">
        <v>0</v>
      </c>
      <c r="I25" s="539">
        <f t="shared" si="1"/>
        <v>148238</v>
      </c>
      <c r="J25" s="45"/>
    </row>
    <row r="26" spans="1:10" ht="40.5" customHeight="1">
      <c r="A26" s="294" t="s">
        <v>296</v>
      </c>
      <c r="B26" s="97"/>
      <c r="C26" s="263" t="s">
        <v>976</v>
      </c>
      <c r="D26" s="539">
        <v>38897.7</v>
      </c>
      <c r="E26" s="623"/>
      <c r="F26" s="623"/>
      <c r="G26" s="539">
        <f>'[8]ÖK - KIADÁSOK'!H55+'[8]ÖK - KIADÁSOK'!H54+'[8]ÖK - KIADÁSOK'!H43+'[8]ÖK - KIADÁSOK'!H21</f>
        <v>38698</v>
      </c>
      <c r="H26" s="539">
        <v>16174</v>
      </c>
      <c r="I26" s="539">
        <f t="shared" si="1"/>
        <v>54872</v>
      </c>
      <c r="J26" s="3"/>
    </row>
    <row r="27" spans="1:10" ht="19.5" customHeight="1">
      <c r="A27" s="294" t="s">
        <v>297</v>
      </c>
      <c r="B27" s="97"/>
      <c r="C27" s="537" t="s">
        <v>842</v>
      </c>
      <c r="D27" s="324"/>
      <c r="E27" s="117"/>
      <c r="F27" s="117"/>
      <c r="G27" s="539">
        <f>SUM(G25:G26)</f>
        <v>186936</v>
      </c>
      <c r="H27" s="539">
        <v>0</v>
      </c>
      <c r="I27" s="539">
        <f t="shared" si="1"/>
        <v>186936</v>
      </c>
      <c r="J27" s="3"/>
    </row>
    <row r="28" spans="1:10" ht="18" customHeight="1">
      <c r="A28" s="294" t="s">
        <v>298</v>
      </c>
      <c r="B28" s="97"/>
      <c r="C28" s="537" t="s">
        <v>843</v>
      </c>
      <c r="D28" s="324"/>
      <c r="E28" s="117"/>
      <c r="F28" s="117"/>
      <c r="G28" s="539">
        <v>0</v>
      </c>
      <c r="H28" s="539">
        <f>SUM(H29:H33)</f>
        <v>16174</v>
      </c>
      <c r="I28" s="539">
        <f t="shared" si="1"/>
        <v>16174</v>
      </c>
      <c r="J28" s="3"/>
    </row>
    <row r="29" spans="1:10" ht="26.25" customHeight="1">
      <c r="A29" s="294" t="s">
        <v>299</v>
      </c>
      <c r="B29" s="97"/>
      <c r="C29" s="624" t="s">
        <v>675</v>
      </c>
      <c r="D29" s="625"/>
      <c r="E29" s="626"/>
      <c r="F29" s="626"/>
      <c r="G29" s="625">
        <v>0</v>
      </c>
      <c r="H29" s="626">
        <v>817</v>
      </c>
      <c r="I29" s="282">
        <f t="shared" si="1"/>
        <v>817</v>
      </c>
      <c r="J29" s="3"/>
    </row>
    <row r="30" spans="1:10" ht="30" customHeight="1">
      <c r="A30" s="294" t="s">
        <v>300</v>
      </c>
      <c r="B30" s="97"/>
      <c r="C30" s="627" t="s">
        <v>677</v>
      </c>
      <c r="D30" s="625"/>
      <c r="E30" s="626"/>
      <c r="F30" s="626"/>
      <c r="G30" s="625">
        <v>0</v>
      </c>
      <c r="H30" s="626">
        <v>3788</v>
      </c>
      <c r="I30" s="282">
        <f t="shared" si="1"/>
        <v>3788</v>
      </c>
      <c r="J30" s="3"/>
    </row>
    <row r="31" spans="1:11" ht="15.75">
      <c r="A31" s="294" t="s">
        <v>301</v>
      </c>
      <c r="B31" s="97"/>
      <c r="C31" s="628" t="s">
        <v>740</v>
      </c>
      <c r="D31" s="625"/>
      <c r="E31" s="626"/>
      <c r="F31" s="626"/>
      <c r="G31" s="625">
        <v>0</v>
      </c>
      <c r="H31" s="628">
        <v>6798</v>
      </c>
      <c r="I31" s="282">
        <f t="shared" si="1"/>
        <v>6798</v>
      </c>
      <c r="J31" s="3"/>
      <c r="K31" s="5"/>
    </row>
    <row r="32" spans="1:10" ht="20.25" customHeight="1">
      <c r="A32" s="294" t="s">
        <v>440</v>
      </c>
      <c r="B32" s="97"/>
      <c r="C32" s="628" t="s">
        <v>739</v>
      </c>
      <c r="D32" s="625"/>
      <c r="E32" s="626"/>
      <c r="F32" s="626"/>
      <c r="G32" s="625">
        <v>0</v>
      </c>
      <c r="H32" s="628">
        <v>3723</v>
      </c>
      <c r="I32" s="282">
        <f t="shared" si="1"/>
        <v>3723</v>
      </c>
      <c r="J32" s="3"/>
    </row>
    <row r="33" spans="1:10" ht="21.75" customHeight="1">
      <c r="A33" s="294" t="s">
        <v>441</v>
      </c>
      <c r="B33" s="97"/>
      <c r="C33" s="629" t="s">
        <v>803</v>
      </c>
      <c r="D33" s="625"/>
      <c r="E33" s="626"/>
      <c r="F33" s="626"/>
      <c r="G33" s="625">
        <v>0</v>
      </c>
      <c r="H33" s="628">
        <v>1048</v>
      </c>
      <c r="I33" s="282">
        <f t="shared" si="1"/>
        <v>1048</v>
      </c>
      <c r="J33" s="3"/>
    </row>
    <row r="34" spans="1:10" ht="15.75">
      <c r="A34" s="294" t="s">
        <v>442</v>
      </c>
      <c r="B34" s="97"/>
      <c r="C34" s="148"/>
      <c r="D34" s="55"/>
      <c r="E34" s="55"/>
      <c r="F34" s="55"/>
      <c r="G34" s="55"/>
      <c r="H34" s="55"/>
      <c r="I34" s="55"/>
      <c r="J34" s="3"/>
    </row>
    <row r="35" spans="1:10" ht="33.75" customHeight="1">
      <c r="A35" s="294" t="s">
        <v>483</v>
      </c>
      <c r="B35" s="563" t="s">
        <v>487</v>
      </c>
      <c r="C35" s="561" t="s">
        <v>488</v>
      </c>
      <c r="D35" s="562">
        <f aca="true" t="shared" si="2" ref="D35:I35">D36+D43+D49+D54+D60</f>
        <v>84193</v>
      </c>
      <c r="E35" s="562">
        <f t="shared" si="2"/>
        <v>101130</v>
      </c>
      <c r="F35" s="560">
        <f t="shared" si="2"/>
        <v>92677</v>
      </c>
      <c r="G35" s="560">
        <f t="shared" si="2"/>
        <v>84737</v>
      </c>
      <c r="H35" s="560">
        <f t="shared" si="2"/>
        <v>4599</v>
      </c>
      <c r="I35" s="560">
        <f t="shared" si="2"/>
        <v>89336</v>
      </c>
      <c r="J35" s="45"/>
    </row>
    <row r="36" spans="1:10" ht="30" customHeight="1">
      <c r="A36" s="294" t="s">
        <v>443</v>
      </c>
      <c r="B36" s="97"/>
      <c r="C36" s="529" t="s">
        <v>499</v>
      </c>
      <c r="D36" s="253">
        <f aca="true" t="shared" si="3" ref="D36:I36">SUM(D37:D41)</f>
        <v>14673</v>
      </c>
      <c r="E36" s="253">
        <f t="shared" si="3"/>
        <v>15527</v>
      </c>
      <c r="F36" s="245">
        <f t="shared" si="3"/>
        <v>15524</v>
      </c>
      <c r="G36" s="245">
        <f t="shared" si="3"/>
        <v>15904</v>
      </c>
      <c r="H36" s="245">
        <f t="shared" si="3"/>
        <v>0</v>
      </c>
      <c r="I36" s="245">
        <f t="shared" si="3"/>
        <v>15904</v>
      </c>
      <c r="J36" s="3"/>
    </row>
    <row r="37" spans="1:10" ht="21.75" customHeight="1">
      <c r="A37" s="294" t="s">
        <v>444</v>
      </c>
      <c r="B37" s="97"/>
      <c r="C37" s="630" t="s">
        <v>839</v>
      </c>
      <c r="D37" s="631">
        <v>14588</v>
      </c>
      <c r="E37" s="55">
        <v>14178</v>
      </c>
      <c r="F37" s="79">
        <v>14177</v>
      </c>
      <c r="G37" s="632">
        <f>'[8]VSZ - KIADÁSOK'!G24</f>
        <v>14905</v>
      </c>
      <c r="H37" s="632">
        <v>0</v>
      </c>
      <c r="I37" s="632">
        <f>SUM(G37:H37)</f>
        <v>14905</v>
      </c>
      <c r="J37" s="3"/>
    </row>
    <row r="38" spans="1:10" ht="25.5" customHeight="1">
      <c r="A38" s="294" t="s">
        <v>445</v>
      </c>
      <c r="B38" s="97"/>
      <c r="C38" s="630" t="s">
        <v>977</v>
      </c>
      <c r="D38" s="631">
        <v>48</v>
      </c>
      <c r="E38" s="55">
        <v>376</v>
      </c>
      <c r="F38" s="79">
        <v>376</v>
      </c>
      <c r="G38" s="632">
        <f>'[8]VSZ - KIADÁSOK'!G25</f>
        <v>154</v>
      </c>
      <c r="H38" s="632">
        <v>0</v>
      </c>
      <c r="I38" s="632">
        <f>SUM(G38:H38)</f>
        <v>154</v>
      </c>
      <c r="J38" s="3"/>
    </row>
    <row r="39" spans="1:10" ht="20.25" customHeight="1">
      <c r="A39" s="294" t="s">
        <v>446</v>
      </c>
      <c r="B39" s="97"/>
      <c r="C39" s="630" t="s">
        <v>840</v>
      </c>
      <c r="D39" s="631">
        <v>0</v>
      </c>
      <c r="E39" s="55">
        <v>577</v>
      </c>
      <c r="F39" s="79">
        <v>484</v>
      </c>
      <c r="G39" s="632">
        <f>'[8]VSZ - KIADÁSOK'!G26</f>
        <v>250</v>
      </c>
      <c r="H39" s="632">
        <v>0</v>
      </c>
      <c r="I39" s="632">
        <f>SUM(G39:H39)</f>
        <v>250</v>
      </c>
      <c r="J39" s="3"/>
    </row>
    <row r="40" spans="1:10" ht="21.75" customHeight="1">
      <c r="A40" s="294" t="s">
        <v>447</v>
      </c>
      <c r="B40" s="97"/>
      <c r="C40" s="630" t="s">
        <v>841</v>
      </c>
      <c r="D40" s="631">
        <v>0</v>
      </c>
      <c r="E40" s="55">
        <v>0</v>
      </c>
      <c r="F40" s="633">
        <v>0</v>
      </c>
      <c r="G40" s="632">
        <f>'[8]VSZ - KIADÁSOK'!G27</f>
        <v>453</v>
      </c>
      <c r="H40" s="632">
        <v>0</v>
      </c>
      <c r="I40" s="632">
        <f>SUM(G40:H40)</f>
        <v>453</v>
      </c>
      <c r="J40" s="3"/>
    </row>
    <row r="41" spans="1:10" ht="19.5" customHeight="1">
      <c r="A41" s="294" t="s">
        <v>484</v>
      </c>
      <c r="B41" s="97"/>
      <c r="C41" s="630" t="s">
        <v>978</v>
      </c>
      <c r="D41" s="631">
        <v>37</v>
      </c>
      <c r="E41" s="631">
        <v>396</v>
      </c>
      <c r="F41" s="633">
        <v>487</v>
      </c>
      <c r="G41" s="632">
        <f>'[8]VSZ - KIADÁSOK'!G28</f>
        <v>142</v>
      </c>
      <c r="H41" s="632">
        <v>0</v>
      </c>
      <c r="I41" s="632">
        <f>SUM(G41:H41)</f>
        <v>142</v>
      </c>
      <c r="J41" s="3"/>
    </row>
    <row r="42" spans="1:10" ht="15.75">
      <c r="A42" s="294" t="s">
        <v>448</v>
      </c>
      <c r="B42" s="97"/>
      <c r="C42" s="148"/>
      <c r="D42" s="55"/>
      <c r="E42" s="55"/>
      <c r="F42" s="55"/>
      <c r="G42" s="55"/>
      <c r="H42" s="55"/>
      <c r="I42" s="55"/>
      <c r="J42" s="3"/>
    </row>
    <row r="43" spans="1:10" ht="30" customHeight="1">
      <c r="A43" s="294" t="s">
        <v>449</v>
      </c>
      <c r="B43" s="97"/>
      <c r="C43" s="529" t="s">
        <v>321</v>
      </c>
      <c r="D43" s="253">
        <f aca="true" t="shared" si="4" ref="D43:I43">SUM(D44:D47)</f>
        <v>20514</v>
      </c>
      <c r="E43" s="253">
        <f t="shared" si="4"/>
        <v>20514</v>
      </c>
      <c r="F43" s="245">
        <f t="shared" si="4"/>
        <v>21116</v>
      </c>
      <c r="G43" s="245">
        <f t="shared" si="4"/>
        <v>22745</v>
      </c>
      <c r="H43" s="245">
        <f t="shared" si="4"/>
        <v>0</v>
      </c>
      <c r="I43" s="245">
        <f t="shared" si="4"/>
        <v>22745</v>
      </c>
      <c r="J43" s="3"/>
    </row>
    <row r="44" spans="1:10" ht="24" customHeight="1">
      <c r="A44" s="294" t="s">
        <v>450</v>
      </c>
      <c r="B44" s="97"/>
      <c r="C44" s="634" t="s">
        <v>839</v>
      </c>
      <c r="D44" s="635">
        <v>20401</v>
      </c>
      <c r="E44" s="635">
        <v>20046</v>
      </c>
      <c r="F44" s="636">
        <v>20104</v>
      </c>
      <c r="G44" s="637">
        <f>'[8]ESZESZ - KIADÁSOK'!G33</f>
        <v>22371</v>
      </c>
      <c r="H44" s="637">
        <v>0</v>
      </c>
      <c r="I44" s="637">
        <f>SUM(G44:H44)</f>
        <v>22371</v>
      </c>
      <c r="J44" s="3"/>
    </row>
    <row r="45" spans="1:10" ht="24" customHeight="1">
      <c r="A45" s="294" t="s">
        <v>451</v>
      </c>
      <c r="B45" s="97"/>
      <c r="C45" s="634" t="s">
        <v>979</v>
      </c>
      <c r="D45" s="635">
        <v>64</v>
      </c>
      <c r="E45" s="635">
        <v>215</v>
      </c>
      <c r="F45" s="636">
        <v>564</v>
      </c>
      <c r="G45" s="637">
        <f>'[8]ESZESZ - KIADÁSOK'!G34</f>
        <v>183</v>
      </c>
      <c r="H45" s="637">
        <v>0</v>
      </c>
      <c r="I45" s="637">
        <f>SUM(G45:H45)</f>
        <v>183</v>
      </c>
      <c r="J45" s="3"/>
    </row>
    <row r="46" spans="1:10" ht="24" customHeight="1">
      <c r="A46" s="294" t="s">
        <v>485</v>
      </c>
      <c r="B46" s="97"/>
      <c r="C46" s="64" t="s">
        <v>840</v>
      </c>
      <c r="D46" s="635">
        <v>0</v>
      </c>
      <c r="E46" s="635">
        <v>100</v>
      </c>
      <c r="F46" s="636">
        <v>71</v>
      </c>
      <c r="G46" s="637">
        <f>'[8]ESZESZ - KIADÁSOK'!G35</f>
        <v>50</v>
      </c>
      <c r="H46" s="637">
        <v>0</v>
      </c>
      <c r="I46" s="637">
        <f>SUM(G46:H46)</f>
        <v>50</v>
      </c>
      <c r="J46" s="3"/>
    </row>
    <row r="47" spans="1:10" ht="24" customHeight="1">
      <c r="A47" s="294" t="s">
        <v>459</v>
      </c>
      <c r="B47" s="97"/>
      <c r="C47" s="634" t="s">
        <v>980</v>
      </c>
      <c r="D47" s="635">
        <v>49</v>
      </c>
      <c r="E47" s="635">
        <v>153</v>
      </c>
      <c r="F47" s="636">
        <v>377</v>
      </c>
      <c r="G47" s="637">
        <f>'[8]ESZESZ - KIADÁSOK'!G36</f>
        <v>141</v>
      </c>
      <c r="H47" s="637">
        <v>0</v>
      </c>
      <c r="I47" s="637">
        <f>SUM(G47:H47)</f>
        <v>141</v>
      </c>
      <c r="J47" s="3"/>
    </row>
    <row r="48" spans="1:10" ht="15.75">
      <c r="A48" s="294" t="s">
        <v>460</v>
      </c>
      <c r="B48" s="97"/>
      <c r="C48" s="258"/>
      <c r="D48" s="55"/>
      <c r="E48" s="55"/>
      <c r="F48" s="55"/>
      <c r="G48" s="55"/>
      <c r="H48" s="55"/>
      <c r="I48" s="55"/>
      <c r="J48" s="3"/>
    </row>
    <row r="49" spans="1:10" ht="30" customHeight="1">
      <c r="A49" s="294" t="s">
        <v>461</v>
      </c>
      <c r="B49" s="97"/>
      <c r="C49" s="529" t="s">
        <v>177</v>
      </c>
      <c r="D49" s="253">
        <f aca="true" t="shared" si="5" ref="D49:I49">SUM(D50:D52)</f>
        <v>2576</v>
      </c>
      <c r="E49" s="253">
        <f t="shared" si="5"/>
        <v>2697</v>
      </c>
      <c r="F49" s="245">
        <f t="shared" si="5"/>
        <v>2403</v>
      </c>
      <c r="G49" s="245">
        <f t="shared" si="5"/>
        <v>2926</v>
      </c>
      <c r="H49" s="245">
        <f t="shared" si="5"/>
        <v>0</v>
      </c>
      <c r="I49" s="245">
        <f t="shared" si="5"/>
        <v>2926</v>
      </c>
      <c r="J49" s="3"/>
    </row>
    <row r="50" spans="1:10" ht="23.25" customHeight="1">
      <c r="A50" s="294" t="s">
        <v>462</v>
      </c>
      <c r="B50" s="97"/>
      <c r="C50" s="638" t="s">
        <v>839</v>
      </c>
      <c r="D50" s="530">
        <v>2530</v>
      </c>
      <c r="E50" s="530">
        <v>2590</v>
      </c>
      <c r="F50" s="531">
        <v>2296</v>
      </c>
      <c r="G50" s="639">
        <f>'[8]KÖNYVTÁR - KIADÁSOK'!G23</f>
        <v>2850</v>
      </c>
      <c r="H50" s="639">
        <v>0</v>
      </c>
      <c r="I50" s="639">
        <f>SUM(G50:H50)</f>
        <v>2850</v>
      </c>
      <c r="J50" s="3"/>
    </row>
    <row r="51" spans="1:10" ht="23.25" customHeight="1">
      <c r="A51" s="294" t="s">
        <v>463</v>
      </c>
      <c r="B51" s="97"/>
      <c r="C51" s="638" t="s">
        <v>977</v>
      </c>
      <c r="D51" s="530">
        <v>26</v>
      </c>
      <c r="E51" s="530">
        <v>61</v>
      </c>
      <c r="F51" s="531">
        <v>61</v>
      </c>
      <c r="G51" s="639">
        <f>'[8]KÖNYVTÁR - KIADÁSOK'!G24</f>
        <v>43</v>
      </c>
      <c r="H51" s="639">
        <v>0</v>
      </c>
      <c r="I51" s="639">
        <f>SUM(G51:H51)</f>
        <v>43</v>
      </c>
      <c r="J51" s="3"/>
    </row>
    <row r="52" spans="1:10" ht="23.25" customHeight="1">
      <c r="A52" s="294" t="s">
        <v>494</v>
      </c>
      <c r="B52" s="97"/>
      <c r="C52" s="638" t="s">
        <v>978</v>
      </c>
      <c r="D52" s="530">
        <v>20</v>
      </c>
      <c r="E52" s="530">
        <v>46</v>
      </c>
      <c r="F52" s="531">
        <v>46</v>
      </c>
      <c r="G52" s="639">
        <f>'[8]KÖNYVTÁR - KIADÁSOK'!G25</f>
        <v>33</v>
      </c>
      <c r="H52" s="639">
        <v>0</v>
      </c>
      <c r="I52" s="639">
        <f>SUM(G52:H52)</f>
        <v>33</v>
      </c>
      <c r="J52" s="3"/>
    </row>
    <row r="53" spans="1:10" ht="15.75">
      <c r="A53" s="294" t="s">
        <v>495</v>
      </c>
      <c r="B53" s="97"/>
      <c r="C53" s="148"/>
      <c r="D53" s="55"/>
      <c r="E53" s="55"/>
      <c r="F53" s="55"/>
      <c r="G53" s="55"/>
      <c r="H53" s="55"/>
      <c r="I53" s="55"/>
      <c r="J53" s="3"/>
    </row>
    <row r="54" spans="1:10" ht="30" customHeight="1">
      <c r="A54" s="294" t="s">
        <v>496</v>
      </c>
      <c r="B54" s="97"/>
      <c r="C54" s="529" t="s">
        <v>345</v>
      </c>
      <c r="D54" s="253">
        <f aca="true" t="shared" si="6" ref="D54:I54">SUM(D55:D58)</f>
        <v>18194</v>
      </c>
      <c r="E54" s="253">
        <f t="shared" si="6"/>
        <v>18998</v>
      </c>
      <c r="F54" s="245">
        <f t="shared" si="6"/>
        <v>17169</v>
      </c>
      <c r="G54" s="245">
        <f t="shared" si="6"/>
        <v>20452</v>
      </c>
      <c r="H54" s="245">
        <f t="shared" si="6"/>
        <v>0</v>
      </c>
      <c r="I54" s="245">
        <f t="shared" si="6"/>
        <v>20452</v>
      </c>
      <c r="J54" s="3"/>
    </row>
    <row r="55" spans="1:10" ht="21.75" customHeight="1">
      <c r="A55" s="294" t="s">
        <v>497</v>
      </c>
      <c r="B55" s="97"/>
      <c r="C55" s="640" t="s">
        <v>839</v>
      </c>
      <c r="D55" s="532">
        <v>16857</v>
      </c>
      <c r="E55" s="532">
        <v>17211</v>
      </c>
      <c r="F55" s="533">
        <v>15818</v>
      </c>
      <c r="G55" s="641">
        <f>'[8]PH - KIADÁSOK'!G26</f>
        <v>18975</v>
      </c>
      <c r="H55" s="641">
        <v>0</v>
      </c>
      <c r="I55" s="641">
        <f>SUM(G55:H55)</f>
        <v>18975</v>
      </c>
      <c r="J55" s="3"/>
    </row>
    <row r="56" spans="1:10" ht="21.75" customHeight="1">
      <c r="A56" s="294" t="s">
        <v>498</v>
      </c>
      <c r="B56" s="97"/>
      <c r="C56" s="640" t="s">
        <v>981</v>
      </c>
      <c r="D56" s="532">
        <v>663</v>
      </c>
      <c r="E56" s="532">
        <v>903</v>
      </c>
      <c r="F56" s="533">
        <v>680</v>
      </c>
      <c r="G56" s="641">
        <f>'[8]PH - KIADÁSOK'!G27</f>
        <v>835</v>
      </c>
      <c r="H56" s="641">
        <v>0</v>
      </c>
      <c r="I56" s="641">
        <f>SUM(G56:H56)</f>
        <v>835</v>
      </c>
      <c r="J56" s="3"/>
    </row>
    <row r="57" spans="1:10" ht="21.75" customHeight="1">
      <c r="A57" s="294" t="s">
        <v>199</v>
      </c>
      <c r="B57" s="97"/>
      <c r="C57" s="640" t="s">
        <v>840</v>
      </c>
      <c r="D57" s="532">
        <v>0</v>
      </c>
      <c r="E57" s="532">
        <v>0</v>
      </c>
      <c r="F57" s="533">
        <v>0</v>
      </c>
      <c r="G57" s="641">
        <f>'[8]PH - KIADÁSOK'!G28</f>
        <v>0</v>
      </c>
      <c r="H57" s="641">
        <v>0</v>
      </c>
      <c r="I57" s="641">
        <f>SUM(G57:H57)</f>
        <v>0</v>
      </c>
      <c r="J57" s="3"/>
    </row>
    <row r="58" spans="1:10" ht="21.75" customHeight="1">
      <c r="A58" s="294" t="s">
        <v>189</v>
      </c>
      <c r="B58" s="97"/>
      <c r="C58" s="642" t="s">
        <v>982</v>
      </c>
      <c r="D58" s="532">
        <v>674</v>
      </c>
      <c r="E58" s="532">
        <v>884</v>
      </c>
      <c r="F58" s="533">
        <v>671</v>
      </c>
      <c r="G58" s="641">
        <f>'[8]PH - KIADÁSOK'!G29</f>
        <v>642</v>
      </c>
      <c r="H58" s="641">
        <v>0</v>
      </c>
      <c r="I58" s="641">
        <f>SUM(G58:H58)</f>
        <v>642</v>
      </c>
      <c r="J58" s="3"/>
    </row>
    <row r="59" spans="1:10" ht="15.75">
      <c r="A59" s="294" t="s">
        <v>190</v>
      </c>
      <c r="B59" s="97"/>
      <c r="C59" s="148"/>
      <c r="D59" s="55"/>
      <c r="E59" s="55"/>
      <c r="F59" s="55"/>
      <c r="G59" s="55"/>
      <c r="H59" s="55"/>
      <c r="I59" s="55"/>
      <c r="J59" s="3"/>
    </row>
    <row r="60" spans="1:10" ht="30" customHeight="1">
      <c r="A60" s="294" t="s">
        <v>200</v>
      </c>
      <c r="B60" s="97"/>
      <c r="C60" s="529" t="s">
        <v>295</v>
      </c>
      <c r="D60" s="253">
        <f>D61+D69+D70+D71</f>
        <v>28236</v>
      </c>
      <c r="E60" s="253">
        <f>E61+E69+E70+E71</f>
        <v>43394</v>
      </c>
      <c r="F60" s="245">
        <f>F61+F69+F70+F71</f>
        <v>36465</v>
      </c>
      <c r="G60" s="245">
        <f>G61+G69+G70+G71</f>
        <v>22710</v>
      </c>
      <c r="H60" s="245">
        <f>H61</f>
        <v>4599</v>
      </c>
      <c r="I60" s="245">
        <f aca="true" t="shared" si="7" ref="I60:I71">SUM(G60:H60)</f>
        <v>27309</v>
      </c>
      <c r="J60" s="3"/>
    </row>
    <row r="61" spans="1:9" ht="21.75" customHeight="1">
      <c r="A61" s="294" t="s">
        <v>191</v>
      </c>
      <c r="B61" s="97"/>
      <c r="C61" s="534" t="s">
        <v>839</v>
      </c>
      <c r="D61" s="535">
        <f>SUM(D62:D63)</f>
        <v>27899</v>
      </c>
      <c r="E61" s="535">
        <f>SUM(E62:E63)</f>
        <v>42057</v>
      </c>
      <c r="F61" s="536">
        <f>SUM(F62:F63)</f>
        <v>34968</v>
      </c>
      <c r="G61" s="643">
        <f>SUM(G62:G63)</f>
        <v>21602</v>
      </c>
      <c r="H61" s="643">
        <f>H62+H63+H69+H70+H71</f>
        <v>4599</v>
      </c>
      <c r="I61" s="643">
        <f t="shared" si="7"/>
        <v>26201</v>
      </c>
    </row>
    <row r="62" spans="1:9" ht="21.75" customHeight="1">
      <c r="A62" s="294" t="s">
        <v>192</v>
      </c>
      <c r="B62" s="97"/>
      <c r="C62" s="537" t="s">
        <v>842</v>
      </c>
      <c r="D62" s="535">
        <v>27899</v>
      </c>
      <c r="E62" s="159">
        <v>31644</v>
      </c>
      <c r="F62" s="53">
        <v>32172</v>
      </c>
      <c r="G62" s="644">
        <f>'[8]ÖK - KIADÁSOK'!H58</f>
        <v>21602</v>
      </c>
      <c r="H62" s="556">
        <v>0</v>
      </c>
      <c r="I62" s="644">
        <f t="shared" si="7"/>
        <v>21602</v>
      </c>
    </row>
    <row r="63" spans="1:9" ht="21.75" customHeight="1">
      <c r="A63" s="294" t="s">
        <v>520</v>
      </c>
      <c r="B63" s="97"/>
      <c r="C63" s="537" t="s">
        <v>843</v>
      </c>
      <c r="D63" s="535">
        <v>0</v>
      </c>
      <c r="E63" s="55">
        <v>10413</v>
      </c>
      <c r="F63" s="536">
        <v>2796</v>
      </c>
      <c r="G63" s="644">
        <f>'[8]ÖK - KIADÁSOK'!H59</f>
        <v>0</v>
      </c>
      <c r="H63" s="556">
        <f>SUM(H64:H68)</f>
        <v>4599</v>
      </c>
      <c r="I63" s="644">
        <f t="shared" si="7"/>
        <v>4599</v>
      </c>
    </row>
    <row r="64" spans="1:9" ht="27.75" customHeight="1">
      <c r="A64" s="294" t="s">
        <v>521</v>
      </c>
      <c r="B64" s="97"/>
      <c r="C64" s="645" t="s">
        <v>675</v>
      </c>
      <c r="D64" s="646"/>
      <c r="E64" s="647"/>
      <c r="F64" s="646"/>
      <c r="G64" s="646">
        <v>0</v>
      </c>
      <c r="H64" s="646">
        <v>182</v>
      </c>
      <c r="I64" s="648">
        <f t="shared" si="7"/>
        <v>182</v>
      </c>
    </row>
    <row r="65" spans="1:9" ht="27" customHeight="1">
      <c r="A65" s="294" t="s">
        <v>522</v>
      </c>
      <c r="B65" s="97"/>
      <c r="C65" s="649" t="s">
        <v>677</v>
      </c>
      <c r="D65" s="646"/>
      <c r="E65" s="647"/>
      <c r="F65" s="646"/>
      <c r="G65" s="646">
        <v>0</v>
      </c>
      <c r="H65" s="646">
        <v>281</v>
      </c>
      <c r="I65" s="648">
        <f t="shared" si="7"/>
        <v>281</v>
      </c>
    </row>
    <row r="66" spans="1:11" ht="20.25" customHeight="1">
      <c r="A66" s="294" t="s">
        <v>256</v>
      </c>
      <c r="B66" s="97"/>
      <c r="C66" s="647" t="s">
        <v>740</v>
      </c>
      <c r="D66" s="646"/>
      <c r="E66" s="647"/>
      <c r="F66" s="646"/>
      <c r="G66" s="646">
        <v>0</v>
      </c>
      <c r="H66" s="647">
        <v>1193</v>
      </c>
      <c r="I66" s="648">
        <f t="shared" si="7"/>
        <v>1193</v>
      </c>
      <c r="K66" s="5"/>
    </row>
    <row r="67" spans="1:9" ht="21.75" customHeight="1">
      <c r="A67" s="294" t="s">
        <v>257</v>
      </c>
      <c r="B67" s="97"/>
      <c r="C67" s="647" t="s">
        <v>739</v>
      </c>
      <c r="D67" s="646"/>
      <c r="E67" s="647"/>
      <c r="F67" s="646"/>
      <c r="G67" s="646">
        <v>0</v>
      </c>
      <c r="H67" s="647">
        <f>1218+1518</f>
        <v>2736</v>
      </c>
      <c r="I67" s="648">
        <f t="shared" si="7"/>
        <v>2736</v>
      </c>
    </row>
    <row r="68" spans="1:9" ht="21.75" customHeight="1">
      <c r="A68" s="294" t="s">
        <v>258</v>
      </c>
      <c r="B68" s="97"/>
      <c r="C68" s="650" t="s">
        <v>803</v>
      </c>
      <c r="D68" s="646"/>
      <c r="E68" s="647"/>
      <c r="F68" s="646"/>
      <c r="G68" s="646">
        <v>0</v>
      </c>
      <c r="H68" s="647">
        <v>207</v>
      </c>
      <c r="I68" s="648">
        <f t="shared" si="7"/>
        <v>207</v>
      </c>
    </row>
    <row r="69" spans="1:9" ht="21.75" customHeight="1">
      <c r="A69" s="294" t="s">
        <v>52</v>
      </c>
      <c r="B69" s="97"/>
      <c r="C69" s="534" t="s">
        <v>844</v>
      </c>
      <c r="D69" s="535">
        <v>182</v>
      </c>
      <c r="E69" s="159">
        <v>182</v>
      </c>
      <c r="F69" s="53">
        <v>349</v>
      </c>
      <c r="G69" s="643">
        <f>'[8]ÖK - KIADÁSOK'!H60</f>
        <v>297</v>
      </c>
      <c r="H69" s="643">
        <v>0</v>
      </c>
      <c r="I69" s="643">
        <f t="shared" si="7"/>
        <v>297</v>
      </c>
    </row>
    <row r="70" spans="1:9" ht="21.75" customHeight="1">
      <c r="A70" s="294" t="s">
        <v>238</v>
      </c>
      <c r="B70" s="97"/>
      <c r="C70" s="534" t="s">
        <v>840</v>
      </c>
      <c r="D70" s="535">
        <v>0</v>
      </c>
      <c r="E70" s="159">
        <v>1000</v>
      </c>
      <c r="F70" s="53">
        <v>834</v>
      </c>
      <c r="G70" s="643">
        <f>'[8]ÖK - KIADÁSOK'!H61</f>
        <v>600</v>
      </c>
      <c r="H70" s="643">
        <v>0</v>
      </c>
      <c r="I70" s="643">
        <f t="shared" si="7"/>
        <v>600</v>
      </c>
    </row>
    <row r="71" spans="1:9" ht="21.75" customHeight="1">
      <c r="A71" s="294" t="s">
        <v>259</v>
      </c>
      <c r="B71" s="97"/>
      <c r="C71" s="538" t="s">
        <v>845</v>
      </c>
      <c r="D71" s="535">
        <v>155</v>
      </c>
      <c r="E71" s="159">
        <v>155</v>
      </c>
      <c r="F71" s="53">
        <v>314</v>
      </c>
      <c r="G71" s="643">
        <f>'[8]ÖK - KIADÁSOK'!H62</f>
        <v>211</v>
      </c>
      <c r="H71" s="643">
        <v>0</v>
      </c>
      <c r="I71" s="643">
        <f t="shared" si="7"/>
        <v>211</v>
      </c>
    </row>
    <row r="72" spans="1:10" ht="15.75">
      <c r="A72" s="294" t="s">
        <v>239</v>
      </c>
      <c r="B72" s="97"/>
      <c r="C72" s="148"/>
      <c r="D72" s="55"/>
      <c r="E72" s="55"/>
      <c r="F72" s="55"/>
      <c r="G72" s="55"/>
      <c r="H72" s="55"/>
      <c r="I72" s="55"/>
      <c r="J72" s="3"/>
    </row>
    <row r="73" spans="1:10" ht="15.75">
      <c r="A73" s="790" t="s">
        <v>838</v>
      </c>
      <c r="B73" s="790"/>
      <c r="C73" s="790"/>
      <c r="D73" s="790"/>
      <c r="E73" s="790"/>
      <c r="F73" s="790"/>
      <c r="G73" s="790"/>
      <c r="H73" s="790"/>
      <c r="I73" s="790"/>
      <c r="J73" s="3"/>
    </row>
    <row r="74" spans="1:10" ht="15">
      <c r="A74" s="791" t="s">
        <v>201</v>
      </c>
      <c r="B74" s="791"/>
      <c r="C74" s="791"/>
      <c r="D74" s="791"/>
      <c r="E74" s="791"/>
      <c r="F74" s="791"/>
      <c r="G74" s="791"/>
      <c r="H74" s="791"/>
      <c r="I74" s="791"/>
      <c r="J74" s="3"/>
    </row>
    <row r="75" spans="1:10" ht="15">
      <c r="A75" s="292"/>
      <c r="B75" s="56"/>
      <c r="C75" s="56"/>
      <c r="D75" s="62"/>
      <c r="E75" s="62"/>
      <c r="F75" s="62"/>
      <c r="G75" s="573"/>
      <c r="H75" s="573"/>
      <c r="I75" s="573" t="s">
        <v>523</v>
      </c>
      <c r="J75" s="3"/>
    </row>
    <row r="76" spans="1:10" s="524" customFormat="1" ht="15" customHeight="1">
      <c r="A76" s="792" t="s">
        <v>503</v>
      </c>
      <c r="B76" s="794" t="s">
        <v>502</v>
      </c>
      <c r="C76" s="796" t="s">
        <v>518</v>
      </c>
      <c r="D76" s="821" t="s">
        <v>664</v>
      </c>
      <c r="E76" s="822" t="s">
        <v>806</v>
      </c>
      <c r="F76" s="823" t="s">
        <v>834</v>
      </c>
      <c r="G76" s="782" t="s">
        <v>966</v>
      </c>
      <c r="H76" s="780" t="s">
        <v>969</v>
      </c>
      <c r="I76" s="784" t="s">
        <v>970</v>
      </c>
      <c r="J76" s="523"/>
    </row>
    <row r="77" spans="1:10" s="524" customFormat="1" ht="46.5" customHeight="1">
      <c r="A77" s="793"/>
      <c r="B77" s="795"/>
      <c r="C77" s="797"/>
      <c r="D77" s="821"/>
      <c r="E77" s="822"/>
      <c r="F77" s="823"/>
      <c r="G77" s="783"/>
      <c r="H77" s="781"/>
      <c r="I77" s="785"/>
      <c r="J77" s="523"/>
    </row>
    <row r="78" spans="1:10" s="526" customFormat="1" ht="12.75">
      <c r="A78" s="474" t="s">
        <v>270</v>
      </c>
      <c r="B78" s="474" t="s">
        <v>271</v>
      </c>
      <c r="C78" s="474" t="s">
        <v>452</v>
      </c>
      <c r="D78" s="476" t="s">
        <v>453</v>
      </c>
      <c r="E78" s="476" t="s">
        <v>208</v>
      </c>
      <c r="F78" s="476" t="s">
        <v>272</v>
      </c>
      <c r="G78" s="476" t="s">
        <v>453</v>
      </c>
      <c r="H78" s="476" t="s">
        <v>454</v>
      </c>
      <c r="I78" s="476" t="s">
        <v>272</v>
      </c>
      <c r="J78" s="525"/>
    </row>
    <row r="79" spans="1:10" ht="33.75" customHeight="1">
      <c r="A79" s="294" t="s">
        <v>53</v>
      </c>
      <c r="B79" s="563" t="s">
        <v>489</v>
      </c>
      <c r="C79" s="561" t="s">
        <v>323</v>
      </c>
      <c r="D79" s="562">
        <f aca="true" t="shared" si="8" ref="D79:I79">D80+D87+D94+D101+D109</f>
        <v>286713</v>
      </c>
      <c r="E79" s="562">
        <f t="shared" si="8"/>
        <v>452298</v>
      </c>
      <c r="F79" s="562">
        <f t="shared" si="8"/>
        <v>373054</v>
      </c>
      <c r="G79" s="560">
        <f t="shared" si="8"/>
        <v>342549</v>
      </c>
      <c r="H79" s="560">
        <f t="shared" si="8"/>
        <v>48117</v>
      </c>
      <c r="I79" s="560">
        <f t="shared" si="8"/>
        <v>390666</v>
      </c>
      <c r="J79" s="45"/>
    </row>
    <row r="80" spans="1:10" ht="30" customHeight="1">
      <c r="A80" s="294" t="s">
        <v>54</v>
      </c>
      <c r="B80" s="97"/>
      <c r="C80" s="259" t="s">
        <v>499</v>
      </c>
      <c r="D80" s="253">
        <f aca="true" t="shared" si="9" ref="D80:I80">SUM(D81:D85)</f>
        <v>134127</v>
      </c>
      <c r="E80" s="253">
        <f t="shared" si="9"/>
        <v>166238</v>
      </c>
      <c r="F80" s="245">
        <f t="shared" si="9"/>
        <v>161384</v>
      </c>
      <c r="G80" s="156">
        <f t="shared" si="9"/>
        <v>158430</v>
      </c>
      <c r="H80" s="156">
        <f t="shared" si="9"/>
        <v>0</v>
      </c>
      <c r="I80" s="156">
        <f t="shared" si="9"/>
        <v>158430</v>
      </c>
      <c r="J80" s="3"/>
    </row>
    <row r="81" spans="1:10" ht="42.75" customHeight="1">
      <c r="A81" s="294" t="s">
        <v>55</v>
      </c>
      <c r="B81" s="97"/>
      <c r="C81" s="263" t="s">
        <v>100</v>
      </c>
      <c r="D81" s="539">
        <f>SUM('[8]VSZ - KIADÁSOK'!D30:D39)</f>
        <v>57967</v>
      </c>
      <c r="E81" s="539">
        <f>SUM('[8]VSZ - KIADÁSOK'!E30:E39)</f>
        <v>78771</v>
      </c>
      <c r="F81" s="540">
        <f>SUM('[8]VSZ - KIADÁSOK'!F30:F39)</f>
        <v>75846</v>
      </c>
      <c r="G81" s="539">
        <f>SUM('[8]VSZ - KIADÁSOK'!G30:G39)</f>
        <v>75725</v>
      </c>
      <c r="H81" s="539">
        <v>0</v>
      </c>
      <c r="I81" s="539">
        <f>SUM(G81:H81)</f>
        <v>75725</v>
      </c>
      <c r="J81" s="3"/>
    </row>
    <row r="82" spans="1:10" ht="33" customHeight="1">
      <c r="A82" s="294" t="s">
        <v>261</v>
      </c>
      <c r="B82" s="97"/>
      <c r="C82" s="263" t="s">
        <v>101</v>
      </c>
      <c r="D82" s="539">
        <f>SUM('[8]VSZ - KIADÁSOK'!D40:D41)</f>
        <v>2120</v>
      </c>
      <c r="E82" s="539">
        <f>SUM('[8]VSZ - KIADÁSOK'!E40:E41)</f>
        <v>2489</v>
      </c>
      <c r="F82" s="540">
        <f>SUM('[8]VSZ - KIADÁSOK'!F40:F41)</f>
        <v>2488</v>
      </c>
      <c r="G82" s="539">
        <f>SUM('[8]VSZ - KIADÁSOK'!G40:G41)</f>
        <v>2490</v>
      </c>
      <c r="H82" s="539">
        <v>0</v>
      </c>
      <c r="I82" s="539">
        <f>SUM(G82:H82)</f>
        <v>2490</v>
      </c>
      <c r="J82" s="45"/>
    </row>
    <row r="83" spans="1:10" ht="41.25" customHeight="1">
      <c r="A83" s="294" t="s">
        <v>240</v>
      </c>
      <c r="B83" s="97"/>
      <c r="C83" s="263" t="s">
        <v>983</v>
      </c>
      <c r="D83" s="539">
        <f>SUM('[8]VSZ - KIADÁSOK'!D42:D53)</f>
        <v>42590</v>
      </c>
      <c r="E83" s="539">
        <f>SUM('[8]VSZ - KIADÁSOK'!E42:E53)</f>
        <v>48417</v>
      </c>
      <c r="F83" s="540">
        <f>SUM('[8]VSZ - KIADÁSOK'!F42:F53)</f>
        <v>47594</v>
      </c>
      <c r="G83" s="539">
        <f>SUM('[8]VSZ - KIADÁSOK'!G42:G53)</f>
        <v>47845</v>
      </c>
      <c r="H83" s="539">
        <v>0</v>
      </c>
      <c r="I83" s="539">
        <f>SUM(G83:H83)</f>
        <v>47845</v>
      </c>
      <c r="J83" s="3"/>
    </row>
    <row r="84" spans="1:10" ht="20.25" customHeight="1">
      <c r="A84" s="294" t="s">
        <v>241</v>
      </c>
      <c r="B84" s="97"/>
      <c r="C84" s="263" t="s">
        <v>99</v>
      </c>
      <c r="D84" s="539">
        <f>SUM('[8]VSZ - KIADÁSOK'!D54)</f>
        <v>50</v>
      </c>
      <c r="E84" s="539">
        <f>SUM('[8]VSZ - KIADÁSOK'!E54)</f>
        <v>6</v>
      </c>
      <c r="F84" s="540">
        <f>SUM('[8]VSZ - KIADÁSOK'!F54)</f>
        <v>5</v>
      </c>
      <c r="G84" s="539">
        <f>SUM('[8]VSZ - KIADÁSOK'!G54)</f>
        <v>20</v>
      </c>
      <c r="H84" s="539">
        <v>0</v>
      </c>
      <c r="I84" s="539">
        <f>SUM(G84:H84)</f>
        <v>20</v>
      </c>
      <c r="J84" s="3"/>
    </row>
    <row r="85" spans="1:10" ht="39" customHeight="1">
      <c r="A85" s="294" t="s">
        <v>56</v>
      </c>
      <c r="B85" s="97"/>
      <c r="C85" s="263" t="s">
        <v>104</v>
      </c>
      <c r="D85" s="539">
        <f>SUM('[8]VSZ - KIADÁSOK'!D55:D60)</f>
        <v>31400</v>
      </c>
      <c r="E85" s="539">
        <f>SUM('[8]VSZ - KIADÁSOK'!E55:E60)</f>
        <v>36555</v>
      </c>
      <c r="F85" s="540">
        <f>SUM('[8]VSZ - KIADÁSOK'!F55:F60)</f>
        <v>35451</v>
      </c>
      <c r="G85" s="539">
        <f>SUM('[8]VSZ - KIADÁSOK'!G55:G60)</f>
        <v>32350</v>
      </c>
      <c r="H85" s="539">
        <v>0</v>
      </c>
      <c r="I85" s="539">
        <f>SUM(G85:H85)</f>
        <v>32350</v>
      </c>
      <c r="J85" s="3"/>
    </row>
    <row r="86" spans="1:10" ht="15.75">
      <c r="A86" s="294" t="s">
        <v>57</v>
      </c>
      <c r="B86" s="97"/>
      <c r="C86" s="148"/>
      <c r="D86" s="55"/>
      <c r="E86" s="55"/>
      <c r="F86" s="55"/>
      <c r="G86" s="55"/>
      <c r="H86" s="55"/>
      <c r="I86" s="55"/>
      <c r="J86" s="3"/>
    </row>
    <row r="87" spans="1:10" ht="30" customHeight="1">
      <c r="A87" s="294" t="s">
        <v>242</v>
      </c>
      <c r="B87" s="97"/>
      <c r="C87" s="259" t="s">
        <v>321</v>
      </c>
      <c r="D87" s="253">
        <f aca="true" t="shared" si="10" ref="D87:I87">SUM(D88:D92)</f>
        <v>38075</v>
      </c>
      <c r="E87" s="253">
        <f t="shared" si="10"/>
        <v>51872</v>
      </c>
      <c r="F87" s="245">
        <f t="shared" si="10"/>
        <v>49253</v>
      </c>
      <c r="G87" s="156">
        <f t="shared" si="10"/>
        <v>47111</v>
      </c>
      <c r="H87" s="156">
        <f t="shared" si="10"/>
        <v>0</v>
      </c>
      <c r="I87" s="156">
        <f t="shared" si="10"/>
        <v>47111</v>
      </c>
      <c r="J87" s="3"/>
    </row>
    <row r="88" spans="1:10" ht="42.75" customHeight="1">
      <c r="A88" s="294" t="s">
        <v>262</v>
      </c>
      <c r="B88" s="97"/>
      <c r="C88" s="263" t="s">
        <v>846</v>
      </c>
      <c r="D88" s="539">
        <f>SUM('[8]ESZESZ - KIADÁSOK'!D38:D45)</f>
        <v>4810</v>
      </c>
      <c r="E88" s="539">
        <f>SUM('[8]ESZESZ - KIADÁSOK'!E38:E45)</f>
        <v>6261</v>
      </c>
      <c r="F88" s="540">
        <f>SUM('[8]ESZESZ - KIADÁSOK'!F38:F45)</f>
        <v>6173</v>
      </c>
      <c r="G88" s="539">
        <f>SUM('[8]ESZESZ - KIADÁSOK'!G38:G45)</f>
        <v>6185</v>
      </c>
      <c r="H88" s="539">
        <v>0</v>
      </c>
      <c r="I88" s="539">
        <f>SUM(G88:H88)</f>
        <v>6185</v>
      </c>
      <c r="J88" s="3"/>
    </row>
    <row r="89" spans="1:10" ht="30.75" customHeight="1">
      <c r="A89" s="294" t="s">
        <v>212</v>
      </c>
      <c r="B89" s="97"/>
      <c r="C89" s="263" t="s">
        <v>107</v>
      </c>
      <c r="D89" s="539">
        <f>SUM('[8]ESZESZ - KIADÁSOK'!D46:D47)</f>
        <v>1700</v>
      </c>
      <c r="E89" s="539">
        <f>SUM('[8]ESZESZ - KIADÁSOK'!E46:E47)</f>
        <v>2966</v>
      </c>
      <c r="F89" s="540">
        <f>SUM('[8]ESZESZ - KIADÁSOK'!F46:F47)</f>
        <v>2948</v>
      </c>
      <c r="G89" s="539">
        <f>SUM('[8]ESZESZ - KIADÁSOK'!G46:G47)</f>
        <v>2900</v>
      </c>
      <c r="H89" s="539">
        <v>0</v>
      </c>
      <c r="I89" s="539">
        <f>SUM(G89:H89)</f>
        <v>2900</v>
      </c>
      <c r="J89" s="45"/>
    </row>
    <row r="90" spans="1:10" ht="43.5" customHeight="1">
      <c r="A90" s="294" t="s">
        <v>213</v>
      </c>
      <c r="B90" s="97"/>
      <c r="C90" s="263" t="s">
        <v>983</v>
      </c>
      <c r="D90" s="539">
        <f>SUM('[8]ESZESZ - KIADÁSOK'!D48:D61)</f>
        <v>24680</v>
      </c>
      <c r="E90" s="539">
        <f>SUM('[8]ESZESZ - KIADÁSOK'!E48:E61)</f>
        <v>31477</v>
      </c>
      <c r="F90" s="540">
        <f>SUM('[8]ESZESZ - KIADÁSOK'!F48:F61)</f>
        <v>30503</v>
      </c>
      <c r="G90" s="539">
        <f>SUM('[8]ESZESZ - KIADÁSOK'!G48:G61)</f>
        <v>28741</v>
      </c>
      <c r="H90" s="539">
        <v>0</v>
      </c>
      <c r="I90" s="539">
        <f>SUM(G90:H90)</f>
        <v>28741</v>
      </c>
      <c r="J90" s="3"/>
    </row>
    <row r="91" spans="1:10" ht="23.25" customHeight="1">
      <c r="A91" s="294" t="s">
        <v>217</v>
      </c>
      <c r="B91" s="97"/>
      <c r="C91" s="263" t="s">
        <v>102</v>
      </c>
      <c r="D91" s="539">
        <f>SUM('[8]ESZESZ - KIADÁSOK'!D62:D63)</f>
        <v>1125</v>
      </c>
      <c r="E91" s="539">
        <f>SUM('[8]ESZESZ - KIADÁSOK'!E62:E63)</f>
        <v>2178</v>
      </c>
      <c r="F91" s="540">
        <f>SUM('[8]ESZESZ - KIADÁSOK'!F62:F63)</f>
        <v>2178</v>
      </c>
      <c r="G91" s="539">
        <f>SUM('[8]ESZESZ - KIADÁSOK'!G62:G63)</f>
        <v>2025</v>
      </c>
      <c r="H91" s="539">
        <v>0</v>
      </c>
      <c r="I91" s="539">
        <f>SUM(G91:H91)</f>
        <v>2025</v>
      </c>
      <c r="J91" s="3"/>
    </row>
    <row r="92" spans="1:10" ht="30.75" customHeight="1">
      <c r="A92" s="294" t="s">
        <v>218</v>
      </c>
      <c r="B92" s="97"/>
      <c r="C92" s="263" t="s">
        <v>103</v>
      </c>
      <c r="D92" s="539">
        <f>SUM('[8]ESZESZ - KIADÁSOK'!D64:D67)</f>
        <v>5760</v>
      </c>
      <c r="E92" s="539">
        <f>SUM('[8]ESZESZ - KIADÁSOK'!E64:E67)</f>
        <v>8990</v>
      </c>
      <c r="F92" s="540">
        <f>SUM('[8]ESZESZ - KIADÁSOK'!F64:F67)</f>
        <v>7451</v>
      </c>
      <c r="G92" s="539">
        <f>SUM('[8]ESZESZ - KIADÁSOK'!G64:G67)</f>
        <v>7260</v>
      </c>
      <c r="H92" s="539">
        <v>0</v>
      </c>
      <c r="I92" s="539">
        <f>SUM(G92:H92)</f>
        <v>7260</v>
      </c>
      <c r="J92" s="3"/>
    </row>
    <row r="93" spans="1:10" ht="17.25" customHeight="1">
      <c r="A93" s="294" t="s">
        <v>219</v>
      </c>
      <c r="B93" s="97"/>
      <c r="C93" s="258"/>
      <c r="D93" s="55"/>
      <c r="E93" s="55"/>
      <c r="F93" s="55"/>
      <c r="G93" s="55"/>
      <c r="H93" s="55"/>
      <c r="I93" s="55"/>
      <c r="J93" s="3"/>
    </row>
    <row r="94" spans="1:10" ht="30" customHeight="1">
      <c r="A94" s="294" t="s">
        <v>220</v>
      </c>
      <c r="B94" s="97"/>
      <c r="C94" s="259" t="s">
        <v>177</v>
      </c>
      <c r="D94" s="253">
        <f aca="true" t="shared" si="11" ref="D94:I94">SUM(D95:D99)</f>
        <v>8172</v>
      </c>
      <c r="E94" s="253">
        <f t="shared" si="11"/>
        <v>13413</v>
      </c>
      <c r="F94" s="245">
        <f t="shared" si="11"/>
        <v>11885</v>
      </c>
      <c r="G94" s="156">
        <f t="shared" si="11"/>
        <v>12932</v>
      </c>
      <c r="H94" s="156">
        <f t="shared" si="11"/>
        <v>-1</v>
      </c>
      <c r="I94" s="156">
        <f t="shared" si="11"/>
        <v>12931</v>
      </c>
      <c r="J94" s="3"/>
    </row>
    <row r="95" spans="1:10" ht="42" customHeight="1">
      <c r="A95" s="294" t="s">
        <v>221</v>
      </c>
      <c r="B95" s="97"/>
      <c r="C95" s="263" t="s">
        <v>105</v>
      </c>
      <c r="D95" s="539">
        <f>SUM('[8]KÖNYVTÁR - KIADÁSOK'!D27:D33)</f>
        <v>1860</v>
      </c>
      <c r="E95" s="539">
        <f>SUM('[8]KÖNYVTÁR - KIADÁSOK'!E27:E33)</f>
        <v>2309</v>
      </c>
      <c r="F95" s="540">
        <f>SUM('[8]KÖNYVTÁR - KIADÁSOK'!F27:F33)</f>
        <v>2228</v>
      </c>
      <c r="G95" s="539">
        <f>SUM('[8]KÖNYVTÁR - KIADÁSOK'!G27:G33)</f>
        <v>1977</v>
      </c>
      <c r="H95" s="539">
        <v>0</v>
      </c>
      <c r="I95" s="539">
        <f>SUM(G95:H95)</f>
        <v>1977</v>
      </c>
      <c r="J95" s="3"/>
    </row>
    <row r="96" spans="1:10" ht="27.75" customHeight="1">
      <c r="A96" s="294" t="s">
        <v>222</v>
      </c>
      <c r="B96" s="97"/>
      <c r="C96" s="263" t="s">
        <v>106</v>
      </c>
      <c r="D96" s="539">
        <f>SUM('[8]KÖNYVTÁR - KIADÁSOK'!D34:D36)</f>
        <v>370</v>
      </c>
      <c r="E96" s="539">
        <f>SUM('[8]KÖNYVTÁR - KIADÁSOK'!E34:E36)</f>
        <v>641</v>
      </c>
      <c r="F96" s="540">
        <f>SUM('[8]KÖNYVTÁR - KIADÁSOK'!F34:F36)</f>
        <v>610</v>
      </c>
      <c r="G96" s="539">
        <f>SUM('[8]KÖNYVTÁR - KIADÁSOK'!G34:G36)</f>
        <v>610</v>
      </c>
      <c r="H96" s="539">
        <v>0</v>
      </c>
      <c r="I96" s="539">
        <f>SUM(G96:H96)</f>
        <v>610</v>
      </c>
      <c r="J96" s="45"/>
    </row>
    <row r="97" spans="1:12" ht="39" customHeight="1">
      <c r="A97" s="294" t="s">
        <v>223</v>
      </c>
      <c r="B97" s="97"/>
      <c r="C97" s="263" t="s">
        <v>847</v>
      </c>
      <c r="D97" s="539">
        <f>SUM('[8]KÖNYVTÁR - KIADÁSOK'!D37:D47)</f>
        <v>4090</v>
      </c>
      <c r="E97" s="539">
        <f>SUM('[8]KÖNYVTÁR - KIADÁSOK'!E37:E47)</f>
        <v>6680</v>
      </c>
      <c r="F97" s="540">
        <f>SUM('[8]KÖNYVTÁR - KIADÁSOK'!F37:F47)</f>
        <v>6522</v>
      </c>
      <c r="G97" s="539">
        <f>SUM('[8]KÖNYVTÁR - KIADÁSOK'!G37:G47)</f>
        <v>6555</v>
      </c>
      <c r="H97" s="539">
        <v>0</v>
      </c>
      <c r="I97" s="539">
        <f>SUM(G97:H97)</f>
        <v>6555</v>
      </c>
      <c r="J97" s="3"/>
      <c r="K97" s="3"/>
      <c r="L97" s="3"/>
    </row>
    <row r="98" spans="1:12" ht="21.75" customHeight="1">
      <c r="A98" s="294" t="s">
        <v>224</v>
      </c>
      <c r="B98" s="97"/>
      <c r="C98" s="263" t="s">
        <v>99</v>
      </c>
      <c r="D98" s="539">
        <f>SUM('[8]KÖNYVTÁR - KIADÁSOK'!D48)</f>
        <v>70</v>
      </c>
      <c r="E98" s="539">
        <f>SUM('[8]KÖNYVTÁR - KIADÁSOK'!E48)</f>
        <v>27</v>
      </c>
      <c r="F98" s="540">
        <f>SUM('[8]KÖNYVTÁR - KIADÁSOK'!F48)</f>
        <v>27</v>
      </c>
      <c r="G98" s="539">
        <f>SUM('[8]KÖNYVTÁR - KIADÁSOK'!G48)</f>
        <v>25</v>
      </c>
      <c r="H98" s="539">
        <v>0</v>
      </c>
      <c r="I98" s="539">
        <f>SUM(G98:H98)</f>
        <v>25</v>
      </c>
      <c r="J98" s="3"/>
      <c r="K98" s="3"/>
      <c r="L98" s="3"/>
    </row>
    <row r="99" spans="1:12" ht="30.75" customHeight="1">
      <c r="A99" s="294" t="s">
        <v>225</v>
      </c>
      <c r="B99" s="97"/>
      <c r="C99" s="263" t="s">
        <v>109</v>
      </c>
      <c r="D99" s="539">
        <f>SUM('[8]KÖNYVTÁR - KIADÁSOK'!D49:D50)</f>
        <v>1782</v>
      </c>
      <c r="E99" s="539">
        <f>SUM('[8]KÖNYVTÁR - KIADÁSOK'!E49:E50)</f>
        <v>3756</v>
      </c>
      <c r="F99" s="540">
        <f>SUM('[8]KÖNYVTÁR - KIADÁSOK'!F49:F50)</f>
        <v>2498</v>
      </c>
      <c r="G99" s="539">
        <f>SUM('[8]KÖNYVTÁR - KIADÁSOK'!G49:G50)</f>
        <v>3765</v>
      </c>
      <c r="H99" s="539">
        <v>-1</v>
      </c>
      <c r="I99" s="539">
        <f>SUM(G99:H99)</f>
        <v>3764</v>
      </c>
      <c r="J99" s="3"/>
      <c r="K99" s="3"/>
      <c r="L99" s="3"/>
    </row>
    <row r="100" spans="1:12" ht="18.75" customHeight="1">
      <c r="A100" s="294" t="s">
        <v>226</v>
      </c>
      <c r="B100" s="97"/>
      <c r="C100" s="148"/>
      <c r="D100" s="55"/>
      <c r="E100" s="55"/>
      <c r="F100" s="55"/>
      <c r="G100" s="55"/>
      <c r="H100" s="55"/>
      <c r="I100" s="55"/>
      <c r="J100" s="3"/>
      <c r="K100" s="3"/>
      <c r="L100" s="3"/>
    </row>
    <row r="101" spans="1:12" ht="30" customHeight="1">
      <c r="A101" s="294" t="s">
        <v>227</v>
      </c>
      <c r="B101" s="97"/>
      <c r="C101" s="259" t="s">
        <v>345</v>
      </c>
      <c r="D101" s="156">
        <f>SUM(D102:D106)</f>
        <v>25304</v>
      </c>
      <c r="E101" s="156">
        <f>SUM(E102:E106)</f>
        <v>35736</v>
      </c>
      <c r="F101" s="156">
        <f>SUM(F102:F106)</f>
        <v>30238</v>
      </c>
      <c r="G101" s="156">
        <f>SUM(G102:G106)</f>
        <v>30418</v>
      </c>
      <c r="H101" s="156">
        <f>SUM(H102:H106)</f>
        <v>9</v>
      </c>
      <c r="I101" s="156">
        <f aca="true" t="shared" si="12" ref="I101:I107">SUM(G101:H101)</f>
        <v>30427</v>
      </c>
      <c r="J101" s="3"/>
      <c r="K101" s="3"/>
      <c r="L101" s="3"/>
    </row>
    <row r="102" spans="1:12" ht="43.5" customHeight="1">
      <c r="A102" s="294" t="s">
        <v>228</v>
      </c>
      <c r="B102" s="97"/>
      <c r="C102" s="263" t="s">
        <v>110</v>
      </c>
      <c r="D102" s="324">
        <f>SUM('[8]PH - KIADÁSOK'!D31:D37)</f>
        <v>3630</v>
      </c>
      <c r="E102" s="324">
        <f>SUM('[8]PH - KIADÁSOK'!E31:E37)</f>
        <v>3374</v>
      </c>
      <c r="F102" s="324">
        <f>SUM('[8]PH - KIADÁSOK'!F31:F37)</f>
        <v>3155</v>
      </c>
      <c r="G102" s="539">
        <f>SUM('[8]PH - KIADÁSOK'!G31:G37)</f>
        <v>3400</v>
      </c>
      <c r="H102" s="539">
        <v>0</v>
      </c>
      <c r="I102" s="539">
        <f t="shared" si="12"/>
        <v>3400</v>
      </c>
      <c r="J102" s="3"/>
      <c r="K102" s="3"/>
      <c r="L102" s="45"/>
    </row>
    <row r="103" spans="1:12" ht="36.75" customHeight="1">
      <c r="A103" s="294" t="s">
        <v>58</v>
      </c>
      <c r="B103" s="97"/>
      <c r="C103" s="263" t="s">
        <v>111</v>
      </c>
      <c r="D103" s="324">
        <f>SUM('[8]PH - KIADÁSOK'!D38:D39)</f>
        <v>2100</v>
      </c>
      <c r="E103" s="324">
        <f>SUM('[8]PH - KIADÁSOK'!E38:E39)</f>
        <v>2904</v>
      </c>
      <c r="F103" s="324">
        <f>SUM('[8]PH - KIADÁSOK'!F38:F39)</f>
        <v>2143</v>
      </c>
      <c r="G103" s="539">
        <f>SUM('[8]PH - KIADÁSOK'!G38:G39)</f>
        <v>2200</v>
      </c>
      <c r="H103" s="539">
        <v>0</v>
      </c>
      <c r="I103" s="539">
        <f t="shared" si="12"/>
        <v>2200</v>
      </c>
      <c r="J103" s="3"/>
      <c r="K103" s="3"/>
      <c r="L103" s="3"/>
    </row>
    <row r="104" spans="1:12" ht="42" customHeight="1">
      <c r="A104" s="294" t="s">
        <v>59</v>
      </c>
      <c r="B104" s="97"/>
      <c r="C104" s="263" t="s">
        <v>983</v>
      </c>
      <c r="D104" s="324">
        <f>SUM('[8]PH - KIADÁSOK'!D40:D53)</f>
        <v>14100</v>
      </c>
      <c r="E104" s="324">
        <f>SUM('[8]PH - KIADÁSOK'!E40:E53)</f>
        <v>21676</v>
      </c>
      <c r="F104" s="324">
        <f>SUM('[8]PH - KIADÁSOK'!F40:F53)</f>
        <v>18529</v>
      </c>
      <c r="G104" s="539">
        <f>SUM('[8]PH - KIADÁSOK'!G40:G53)</f>
        <v>18480</v>
      </c>
      <c r="H104" s="539">
        <v>0</v>
      </c>
      <c r="I104" s="539">
        <f t="shared" si="12"/>
        <v>18480</v>
      </c>
      <c r="J104" s="45"/>
      <c r="K104" s="3"/>
      <c r="L104" s="3"/>
    </row>
    <row r="105" spans="1:12" ht="22.5" customHeight="1">
      <c r="A105" s="294" t="s">
        <v>60</v>
      </c>
      <c r="B105" s="97"/>
      <c r="C105" s="263" t="s">
        <v>99</v>
      </c>
      <c r="D105" s="324">
        <f>SUM('[8]PH - KIADÁSOK'!D54:D55)</f>
        <v>350</v>
      </c>
      <c r="E105" s="324">
        <f>SUM('[8]PH - KIADÁSOK'!E54:E55)</f>
        <v>324</v>
      </c>
      <c r="F105" s="324">
        <f>SUM('[8]PH - KIADÁSOK'!F54:F55)</f>
        <v>247</v>
      </c>
      <c r="G105" s="539">
        <f>SUM('[8]PH - KIADÁSOK'!G54:G55)</f>
        <v>200</v>
      </c>
      <c r="H105" s="539">
        <v>0</v>
      </c>
      <c r="I105" s="539">
        <f t="shared" si="12"/>
        <v>200</v>
      </c>
      <c r="J105" s="3"/>
      <c r="K105" s="3"/>
      <c r="L105" s="3"/>
    </row>
    <row r="106" spans="1:12" ht="35.25" customHeight="1">
      <c r="A106" s="294" t="s">
        <v>61</v>
      </c>
      <c r="B106" s="97"/>
      <c r="C106" s="263" t="s">
        <v>112</v>
      </c>
      <c r="D106" s="324">
        <f>SUM('[8]PH - KIADÁSOK'!D56:D60)</f>
        <v>5124</v>
      </c>
      <c r="E106" s="324">
        <f>SUM('[8]PH - KIADÁSOK'!E56:E60)</f>
        <v>7458</v>
      </c>
      <c r="F106" s="324">
        <f>SUM('[8]PH - KIADÁSOK'!F56:F60)</f>
        <v>6164</v>
      </c>
      <c r="G106" s="539">
        <f>SUM('[8]PH - KIADÁSOK'!G56:G60)</f>
        <v>6138</v>
      </c>
      <c r="H106" s="539">
        <v>9</v>
      </c>
      <c r="I106" s="539">
        <f t="shared" si="12"/>
        <v>6147</v>
      </c>
      <c r="J106" s="3"/>
      <c r="K106" s="3"/>
      <c r="L106" s="3"/>
    </row>
    <row r="107" spans="1:12" ht="23.25" customHeight="1">
      <c r="A107" s="294" t="s">
        <v>62</v>
      </c>
      <c r="B107" s="97"/>
      <c r="C107" s="651" t="s">
        <v>984</v>
      </c>
      <c r="D107" s="324"/>
      <c r="E107" s="324"/>
      <c r="F107" s="324"/>
      <c r="G107" s="623">
        <v>0</v>
      </c>
      <c r="H107" s="623">
        <v>9</v>
      </c>
      <c r="I107" s="539">
        <f t="shared" si="12"/>
        <v>9</v>
      </c>
      <c r="J107" s="3"/>
      <c r="K107" s="3"/>
      <c r="L107" s="3"/>
    </row>
    <row r="108" spans="1:12" ht="18.75" customHeight="1">
      <c r="A108" s="294" t="s">
        <v>63</v>
      </c>
      <c r="B108" s="97"/>
      <c r="C108" s="148"/>
      <c r="D108" s="55"/>
      <c r="E108" s="55"/>
      <c r="F108" s="55"/>
      <c r="G108" s="55"/>
      <c r="H108" s="55"/>
      <c r="I108" s="55"/>
      <c r="J108" s="3"/>
      <c r="K108" s="3"/>
      <c r="L108" s="3"/>
    </row>
    <row r="109" spans="1:12" ht="30" customHeight="1">
      <c r="A109" s="294" t="s">
        <v>64</v>
      </c>
      <c r="B109" s="97"/>
      <c r="C109" s="259" t="s">
        <v>295</v>
      </c>
      <c r="D109" s="156">
        <v>81035</v>
      </c>
      <c r="E109" s="117">
        <v>185039</v>
      </c>
      <c r="F109" s="117">
        <v>120294</v>
      </c>
      <c r="G109" s="156">
        <f>SUM(G110:G114)</f>
        <v>93658</v>
      </c>
      <c r="H109" s="156">
        <f>SUM(H110:H114)</f>
        <v>48109</v>
      </c>
      <c r="I109" s="156">
        <f>SUM(G109:H109)</f>
        <v>141767</v>
      </c>
      <c r="J109" s="3"/>
      <c r="K109" s="3"/>
      <c r="L109" s="3"/>
    </row>
    <row r="110" spans="1:12" ht="55.5" customHeight="1">
      <c r="A110" s="294" t="s">
        <v>65</v>
      </c>
      <c r="B110" s="97"/>
      <c r="C110" s="263" t="s">
        <v>848</v>
      </c>
      <c r="D110" s="324">
        <v>4100</v>
      </c>
      <c r="E110" s="117"/>
      <c r="F110" s="117"/>
      <c r="G110" s="539">
        <f>'[8]ÖK - KIADÁSOK'!H65+'[8]ÖK - KIADÁSOK'!H70+'[8]ÖK - KIADÁSOK'!H76+'[8]ÖK - KIADÁSOK'!H80+'[8]ÖK - KIADÁSOK'!H83</f>
        <v>3950</v>
      </c>
      <c r="H110" s="539">
        <v>0</v>
      </c>
      <c r="I110" s="539">
        <f aca="true" t="shared" si="13" ref="I110:I122">SUM(G110:H110)</f>
        <v>3950</v>
      </c>
      <c r="J110" s="45"/>
      <c r="K110" s="3"/>
      <c r="L110" s="3"/>
    </row>
    <row r="111" spans="1:12" ht="33.75" customHeight="1">
      <c r="A111" s="294" t="s">
        <v>66</v>
      </c>
      <c r="B111" s="97"/>
      <c r="C111" s="263" t="s">
        <v>113</v>
      </c>
      <c r="D111" s="324">
        <v>1572</v>
      </c>
      <c r="E111" s="117"/>
      <c r="F111" s="117"/>
      <c r="G111" s="539">
        <f>'[8]ÖK - KIADÁSOK'!H88+'[8]ÖK - KIADÁSOK'!H93</f>
        <v>2068</v>
      </c>
      <c r="H111" s="539">
        <v>0</v>
      </c>
      <c r="I111" s="539">
        <f t="shared" si="13"/>
        <v>2068</v>
      </c>
      <c r="J111" s="45"/>
      <c r="K111" s="3"/>
      <c r="L111" s="3"/>
    </row>
    <row r="112" spans="1:12" ht="48" customHeight="1">
      <c r="A112" s="294" t="s">
        <v>67</v>
      </c>
      <c r="B112" s="97"/>
      <c r="C112" s="263" t="s">
        <v>983</v>
      </c>
      <c r="D112" s="324">
        <v>7830</v>
      </c>
      <c r="E112" s="117"/>
      <c r="F112" s="117"/>
      <c r="G112" s="539">
        <f>'[8]ÖK - KIADÁSOK'!H99+'[8]ÖK - KIADÁSOK'!H100+'[8]ÖK - KIADÁSOK'!H101+'[8]ÖK - KIADÁSOK'!H102+'[8]ÖK - KIADÁSOK'!H103+'[8]ÖK - KIADÁSOK'!H104+'[8]ÖK - KIADÁSOK'!H107+'[8]ÖK - KIADÁSOK'!H108+'[8]ÖK - KIADÁSOK'!H121+'[8]ÖK - KIADÁSOK'!H122+'[8]ÖK - KIADÁSOK'!H126+'[8]ÖK - KIADÁSOK'!H127+'[8]ÖK - KIADÁSOK'!H128</f>
        <v>18150</v>
      </c>
      <c r="H112" s="539">
        <v>0</v>
      </c>
      <c r="I112" s="539">
        <f t="shared" si="13"/>
        <v>18150</v>
      </c>
      <c r="J112" s="3"/>
      <c r="K112" s="3"/>
      <c r="L112" s="3"/>
    </row>
    <row r="113" spans="1:12" ht="34.5" customHeight="1">
      <c r="A113" s="294" t="s">
        <v>68</v>
      </c>
      <c r="B113" s="97"/>
      <c r="C113" s="263" t="s">
        <v>99</v>
      </c>
      <c r="D113" s="324">
        <v>0</v>
      </c>
      <c r="E113" s="117"/>
      <c r="F113" s="117"/>
      <c r="G113" s="539">
        <f>'[8]ÖK - KIADÁSOK'!H132+'[8]ÖK - KIADÁSOK'!H136</f>
        <v>50</v>
      </c>
      <c r="H113" s="539">
        <v>0</v>
      </c>
      <c r="I113" s="539">
        <f t="shared" si="13"/>
        <v>50</v>
      </c>
      <c r="J113" s="3"/>
      <c r="K113" s="3"/>
      <c r="L113" s="3"/>
    </row>
    <row r="114" spans="1:9" ht="49.5">
      <c r="A114" s="294" t="s">
        <v>69</v>
      </c>
      <c r="B114" s="97"/>
      <c r="C114" s="263" t="s">
        <v>849</v>
      </c>
      <c r="D114" s="324">
        <v>67533</v>
      </c>
      <c r="E114" s="117"/>
      <c r="F114" s="117"/>
      <c r="G114" s="539">
        <f>'[8]ÖK - KIADÁSOK'!H137+'[8]ÖK - KIADÁSOK'!H138+'[8]ÖK - KIADÁSOK'!H139+'[8]ÖK - KIADÁSOK'!H140+'[8]ÖK - KIADÁSOK'!H141+'[8]ÖK - KIADÁSOK'!H142+'[8]ÖK - KIADÁSOK'!H143+'[8]ÖK - KIADÁSOK'!H144+'[8]ÖK - KIADÁSOK'!H145</f>
        <v>69440</v>
      </c>
      <c r="H114" s="539">
        <v>48109</v>
      </c>
      <c r="I114" s="539">
        <f t="shared" si="13"/>
        <v>117549</v>
      </c>
    </row>
    <row r="115" spans="1:9" ht="15.75">
      <c r="A115" s="294" t="s">
        <v>70</v>
      </c>
      <c r="B115" s="97"/>
      <c r="C115" s="554" t="s">
        <v>985</v>
      </c>
      <c r="D115" s="324"/>
      <c r="E115" s="117"/>
      <c r="F115" s="117"/>
      <c r="G115" s="116">
        <v>0</v>
      </c>
      <c r="H115" s="116">
        <v>1476</v>
      </c>
      <c r="I115" s="116">
        <f t="shared" si="13"/>
        <v>1476</v>
      </c>
    </row>
    <row r="116" spans="1:9" ht="15.75">
      <c r="A116" s="294" t="s">
        <v>71</v>
      </c>
      <c r="B116" s="97"/>
      <c r="C116" s="554" t="s">
        <v>986</v>
      </c>
      <c r="D116" s="324"/>
      <c r="E116" s="117"/>
      <c r="F116" s="117"/>
      <c r="G116" s="116">
        <v>0</v>
      </c>
      <c r="H116" s="116">
        <v>3859</v>
      </c>
      <c r="I116" s="116">
        <f t="shared" si="13"/>
        <v>3859</v>
      </c>
    </row>
    <row r="117" spans="1:9" ht="27.75" customHeight="1">
      <c r="A117" s="294" t="s">
        <v>72</v>
      </c>
      <c r="B117" s="97"/>
      <c r="C117" s="652" t="s">
        <v>987</v>
      </c>
      <c r="D117" s="324"/>
      <c r="E117" s="117"/>
      <c r="F117" s="117"/>
      <c r="G117" s="116">
        <v>0</v>
      </c>
      <c r="H117" s="116">
        <v>17265</v>
      </c>
      <c r="I117" s="116">
        <f t="shared" si="13"/>
        <v>17265</v>
      </c>
    </row>
    <row r="118" spans="1:9" ht="20.25" customHeight="1">
      <c r="A118" s="294" t="s">
        <v>73</v>
      </c>
      <c r="B118" s="97"/>
      <c r="C118" s="653" t="s">
        <v>988</v>
      </c>
      <c r="D118" s="324"/>
      <c r="E118" s="117"/>
      <c r="F118" s="117"/>
      <c r="G118" s="116">
        <v>0</v>
      </c>
      <c r="H118" s="116">
        <v>2807</v>
      </c>
      <c r="I118" s="116">
        <f t="shared" si="13"/>
        <v>2807</v>
      </c>
    </row>
    <row r="119" spans="1:12" ht="28.5" customHeight="1">
      <c r="A119" s="294" t="s">
        <v>74</v>
      </c>
      <c r="B119" s="97"/>
      <c r="C119" s="653" t="s">
        <v>872</v>
      </c>
      <c r="D119" s="324"/>
      <c r="E119" s="117"/>
      <c r="F119" s="117"/>
      <c r="G119" s="116">
        <v>0</v>
      </c>
      <c r="H119" s="116">
        <v>56</v>
      </c>
      <c r="I119" s="116">
        <f t="shared" si="13"/>
        <v>56</v>
      </c>
      <c r="K119" s="5"/>
      <c r="L119" s="5"/>
    </row>
    <row r="120" spans="1:9" ht="29.25" customHeight="1">
      <c r="A120" s="294" t="s">
        <v>75</v>
      </c>
      <c r="B120" s="97"/>
      <c r="C120" s="654" t="s">
        <v>989</v>
      </c>
      <c r="D120" s="324"/>
      <c r="E120" s="117"/>
      <c r="F120" s="117"/>
      <c r="G120" s="116">
        <v>0</v>
      </c>
      <c r="H120" s="116">
        <v>16383</v>
      </c>
      <c r="I120" s="116">
        <f t="shared" si="13"/>
        <v>16383</v>
      </c>
    </row>
    <row r="121" spans="1:9" ht="18.75" customHeight="1">
      <c r="A121" s="294" t="s">
        <v>76</v>
      </c>
      <c r="B121" s="97"/>
      <c r="C121" s="655" t="s">
        <v>694</v>
      </c>
      <c r="D121" s="324"/>
      <c r="E121" s="117"/>
      <c r="F121" s="117"/>
      <c r="G121" s="116">
        <v>0</v>
      </c>
      <c r="H121" s="116">
        <v>3584</v>
      </c>
      <c r="I121" s="116">
        <f t="shared" si="13"/>
        <v>3584</v>
      </c>
    </row>
    <row r="122" spans="1:9" ht="21.75" customHeight="1">
      <c r="A122" s="294" t="s">
        <v>77</v>
      </c>
      <c r="B122" s="97"/>
      <c r="C122" s="656" t="s">
        <v>800</v>
      </c>
      <c r="D122" s="324"/>
      <c r="E122" s="117"/>
      <c r="F122" s="117"/>
      <c r="G122" s="116">
        <v>0</v>
      </c>
      <c r="H122" s="116">
        <v>2679</v>
      </c>
      <c r="I122" s="116">
        <f t="shared" si="13"/>
        <v>2679</v>
      </c>
    </row>
    <row r="123" spans="1:10" ht="15.75">
      <c r="A123" s="790" t="s">
        <v>838</v>
      </c>
      <c r="B123" s="790"/>
      <c r="C123" s="790"/>
      <c r="D123" s="790"/>
      <c r="E123" s="790"/>
      <c r="F123" s="790"/>
      <c r="G123" s="790"/>
      <c r="H123" s="790"/>
      <c r="I123" s="790"/>
      <c r="J123" s="3"/>
    </row>
    <row r="124" spans="1:10" ht="15">
      <c r="A124" s="791" t="s">
        <v>98</v>
      </c>
      <c r="B124" s="791"/>
      <c r="C124" s="791"/>
      <c r="D124" s="791"/>
      <c r="E124" s="791"/>
      <c r="F124" s="791"/>
      <c r="G124" s="791"/>
      <c r="H124" s="791"/>
      <c r="I124" s="791"/>
      <c r="J124" s="3"/>
    </row>
    <row r="125" spans="1:10" ht="15">
      <c r="A125" s="292"/>
      <c r="B125" s="56"/>
      <c r="C125" s="56"/>
      <c r="D125" s="62"/>
      <c r="E125" s="62"/>
      <c r="F125" s="62"/>
      <c r="G125" s="573"/>
      <c r="H125" s="573"/>
      <c r="I125" s="573" t="s">
        <v>523</v>
      </c>
      <c r="J125" s="3"/>
    </row>
    <row r="126" spans="1:10" s="524" customFormat="1" ht="15" customHeight="1">
      <c r="A126" s="792" t="s">
        <v>503</v>
      </c>
      <c r="B126" s="794" t="s">
        <v>502</v>
      </c>
      <c r="C126" s="796" t="s">
        <v>518</v>
      </c>
      <c r="D126" s="821" t="s">
        <v>664</v>
      </c>
      <c r="E126" s="822" t="s">
        <v>806</v>
      </c>
      <c r="F126" s="823" t="s">
        <v>834</v>
      </c>
      <c r="G126" s="782" t="s">
        <v>966</v>
      </c>
      <c r="H126" s="780" t="s">
        <v>969</v>
      </c>
      <c r="I126" s="784" t="s">
        <v>970</v>
      </c>
      <c r="J126" s="523"/>
    </row>
    <row r="127" spans="1:10" s="524" customFormat="1" ht="46.5" customHeight="1">
      <c r="A127" s="793"/>
      <c r="B127" s="795"/>
      <c r="C127" s="797"/>
      <c r="D127" s="821"/>
      <c r="E127" s="822"/>
      <c r="F127" s="823"/>
      <c r="G127" s="783"/>
      <c r="H127" s="781"/>
      <c r="I127" s="785"/>
      <c r="J127" s="523"/>
    </row>
    <row r="128" spans="1:10" s="526" customFormat="1" ht="12.75">
      <c r="A128" s="474" t="s">
        <v>270</v>
      </c>
      <c r="B128" s="474" t="s">
        <v>271</v>
      </c>
      <c r="C128" s="474" t="s">
        <v>452</v>
      </c>
      <c r="D128" s="476" t="s">
        <v>453</v>
      </c>
      <c r="E128" s="476" t="s">
        <v>208</v>
      </c>
      <c r="F128" s="476" t="s">
        <v>272</v>
      </c>
      <c r="G128" s="476" t="s">
        <v>453</v>
      </c>
      <c r="H128" s="476" t="s">
        <v>454</v>
      </c>
      <c r="I128" s="476" t="s">
        <v>272</v>
      </c>
      <c r="J128" s="525"/>
    </row>
    <row r="129" spans="1:10" ht="35.25" customHeight="1">
      <c r="A129" s="294" t="s">
        <v>78</v>
      </c>
      <c r="B129" s="563" t="s">
        <v>476</v>
      </c>
      <c r="C129" s="564" t="s">
        <v>477</v>
      </c>
      <c r="D129" s="562">
        <f aca="true" t="shared" si="14" ref="D129:I129">SUM(D130:D133)</f>
        <v>17200</v>
      </c>
      <c r="E129" s="562">
        <f t="shared" si="14"/>
        <v>17200</v>
      </c>
      <c r="F129" s="560">
        <f t="shared" si="14"/>
        <v>13045</v>
      </c>
      <c r="G129" s="560">
        <f t="shared" si="14"/>
        <v>15200</v>
      </c>
      <c r="H129" s="560">
        <f t="shared" si="14"/>
        <v>0</v>
      </c>
      <c r="I129" s="560">
        <f t="shared" si="14"/>
        <v>15200</v>
      </c>
      <c r="J129" s="5"/>
    </row>
    <row r="130" spans="1:9" ht="18.75" customHeight="1">
      <c r="A130" s="294" t="s">
        <v>79</v>
      </c>
      <c r="B130" s="97"/>
      <c r="C130" s="72" t="s">
        <v>135</v>
      </c>
      <c r="D130" s="535">
        <v>5000</v>
      </c>
      <c r="E130" s="535">
        <v>5000</v>
      </c>
      <c r="F130" s="536">
        <v>4390</v>
      </c>
      <c r="G130" s="643">
        <f>'[8]ÖK - KIADÁSOK'!H155</f>
        <v>4500</v>
      </c>
      <c r="H130" s="643">
        <v>0</v>
      </c>
      <c r="I130" s="643">
        <f>SUM(G130:H130)</f>
        <v>4500</v>
      </c>
    </row>
    <row r="131" spans="1:9" ht="18.75" customHeight="1">
      <c r="A131" s="294" t="s">
        <v>80</v>
      </c>
      <c r="B131" s="97"/>
      <c r="C131" s="64" t="s">
        <v>136</v>
      </c>
      <c r="D131" s="535">
        <v>3000</v>
      </c>
      <c r="E131" s="535">
        <v>3000</v>
      </c>
      <c r="F131" s="536">
        <v>2635</v>
      </c>
      <c r="G131" s="643">
        <f>'[8]ÖK - KIADÁSOK'!H156</f>
        <v>3000</v>
      </c>
      <c r="H131" s="643">
        <v>0</v>
      </c>
      <c r="I131" s="643">
        <f>SUM(G131:H131)</f>
        <v>3000</v>
      </c>
    </row>
    <row r="132" spans="1:9" ht="18.75" customHeight="1">
      <c r="A132" s="294" t="s">
        <v>81</v>
      </c>
      <c r="B132" s="97"/>
      <c r="C132" s="64" t="s">
        <v>137</v>
      </c>
      <c r="D132" s="535">
        <v>700</v>
      </c>
      <c r="E132" s="535">
        <v>700</v>
      </c>
      <c r="F132" s="536">
        <v>553</v>
      </c>
      <c r="G132" s="643">
        <f>'[8]ÖK - KIADÁSOK'!H157</f>
        <v>700</v>
      </c>
      <c r="H132" s="643">
        <v>0</v>
      </c>
      <c r="I132" s="643">
        <f>SUM(G132:H132)</f>
        <v>700</v>
      </c>
    </row>
    <row r="133" spans="1:9" ht="18.75" customHeight="1">
      <c r="A133" s="294" t="s">
        <v>82</v>
      </c>
      <c r="B133" s="97"/>
      <c r="C133" s="64" t="s">
        <v>138</v>
      </c>
      <c r="D133" s="535">
        <v>8500</v>
      </c>
      <c r="E133" s="535">
        <v>8500</v>
      </c>
      <c r="F133" s="536">
        <v>5467</v>
      </c>
      <c r="G133" s="643">
        <f>'[8]ÖK - KIADÁSOK'!H158</f>
        <v>7000</v>
      </c>
      <c r="H133" s="643">
        <v>0</v>
      </c>
      <c r="I133" s="643">
        <f>SUM(G133:H133)</f>
        <v>7000</v>
      </c>
    </row>
    <row r="134" spans="1:10" ht="33.75" customHeight="1">
      <c r="A134" s="294" t="s">
        <v>83</v>
      </c>
      <c r="B134" s="563" t="s">
        <v>478</v>
      </c>
      <c r="C134" s="565" t="s">
        <v>491</v>
      </c>
      <c r="D134" s="562" t="e">
        <f>D135+D136+#REF!+#REF!+D137+D141+D146+D147+D149+#REF!+D150+D151+D152+#REF!+#REF!+D153+D154+D155</f>
        <v>#REF!</v>
      </c>
      <c r="E134" s="562" t="e">
        <f>E135+E136+#REF!+#REF!+E137+E141+E146+E147+E149+#REF!+E150+E151+E152+#REF!+#REF!+E153+E154+E155</f>
        <v>#REF!</v>
      </c>
      <c r="F134" s="560" t="e">
        <f>F135+F136+#REF!+#REF!+F137+F141+F146+F147+F149+#REF!+F150+F151+F152+#REF!+#REF!+F153+F154+F155</f>
        <v>#REF!</v>
      </c>
      <c r="G134" s="560">
        <f>G135+G136+G137+G141+G146+G147+G149+G150+G151+G152+G153+G154+G155+G148</f>
        <v>48223</v>
      </c>
      <c r="H134" s="560">
        <f>H135+H136+H137+H141+H146+H147+H149+H150+H151+H152+H153+H154+H155+H148</f>
        <v>0</v>
      </c>
      <c r="I134" s="560">
        <f>I135+I136+I137+I141+I146+I147+I149+I150+I151+I152+I153+I154+I155+I148</f>
        <v>48223</v>
      </c>
      <c r="J134" s="5"/>
    </row>
    <row r="135" spans="1:14" ht="33" customHeight="1">
      <c r="A135" s="294" t="s">
        <v>84</v>
      </c>
      <c r="B135" s="152"/>
      <c r="C135" s="541" t="s">
        <v>850</v>
      </c>
      <c r="D135" s="55">
        <v>0</v>
      </c>
      <c r="E135" s="55">
        <v>1226</v>
      </c>
      <c r="F135" s="79">
        <v>1225</v>
      </c>
      <c r="G135" s="63">
        <f>'[8]ÖK - KIADÁSOK'!H162</f>
        <v>1700</v>
      </c>
      <c r="H135" s="63">
        <v>0</v>
      </c>
      <c r="I135" s="63">
        <f aca="true" t="shared" si="15" ref="I135:I146">SUM(G135:H135)</f>
        <v>1700</v>
      </c>
      <c r="J135" s="26"/>
      <c r="K135" s="542"/>
      <c r="L135" s="151"/>
      <c r="M135" s="151"/>
      <c r="N135" s="151"/>
    </row>
    <row r="136" spans="1:14" ht="18.75" customHeight="1">
      <c r="A136" s="294" t="s">
        <v>85</v>
      </c>
      <c r="B136" s="152"/>
      <c r="C136" s="543" t="s">
        <v>851</v>
      </c>
      <c r="D136" s="55">
        <v>0</v>
      </c>
      <c r="E136" s="55">
        <v>17195</v>
      </c>
      <c r="F136" s="79">
        <v>17194</v>
      </c>
      <c r="G136" s="63">
        <f>'[8]ÖK - KIADÁSOK'!H163</f>
        <v>14699</v>
      </c>
      <c r="H136" s="63">
        <v>0</v>
      </c>
      <c r="I136" s="63">
        <f t="shared" si="15"/>
        <v>14699</v>
      </c>
      <c r="J136" s="544"/>
      <c r="K136" s="45"/>
      <c r="L136" s="151"/>
      <c r="M136" s="151"/>
      <c r="N136" s="151"/>
    </row>
    <row r="137" spans="1:14" ht="24" customHeight="1">
      <c r="A137" s="294" t="s">
        <v>86</v>
      </c>
      <c r="B137" s="152"/>
      <c r="C137" s="546" t="s">
        <v>852</v>
      </c>
      <c r="D137" s="55">
        <v>0</v>
      </c>
      <c r="E137" s="55">
        <v>9345</v>
      </c>
      <c r="F137" s="79">
        <v>9057</v>
      </c>
      <c r="G137" s="63">
        <f>'[8]ÖK - KIADÁSOK'!H164</f>
        <v>10797</v>
      </c>
      <c r="H137" s="63">
        <f>SUM(H138:H140)</f>
        <v>0</v>
      </c>
      <c r="I137" s="63">
        <f t="shared" si="15"/>
        <v>10797</v>
      </c>
      <c r="J137" s="26"/>
      <c r="K137" s="45"/>
      <c r="L137" s="151"/>
      <c r="M137" s="151"/>
      <c r="N137" s="151"/>
    </row>
    <row r="138" spans="1:14" ht="34.5" customHeight="1">
      <c r="A138" s="294" t="s">
        <v>87</v>
      </c>
      <c r="B138" s="152"/>
      <c r="C138" s="547" t="s">
        <v>853</v>
      </c>
      <c r="D138" s="79"/>
      <c r="E138" s="79"/>
      <c r="F138" s="79"/>
      <c r="G138" s="175">
        <f>'[8]ÖK - KIADÁSOK'!H165</f>
        <v>88</v>
      </c>
      <c r="H138" s="175">
        <v>0</v>
      </c>
      <c r="I138" s="175">
        <f t="shared" si="15"/>
        <v>88</v>
      </c>
      <c r="J138" s="26"/>
      <c r="K138" s="45"/>
      <c r="L138" s="151"/>
      <c r="M138" s="151"/>
      <c r="N138" s="151"/>
    </row>
    <row r="139" spans="1:14" ht="27" customHeight="1">
      <c r="A139" s="294" t="s">
        <v>88</v>
      </c>
      <c r="B139" s="152"/>
      <c r="C139" s="547" t="s">
        <v>854</v>
      </c>
      <c r="D139" s="79"/>
      <c r="E139" s="79"/>
      <c r="F139" s="79"/>
      <c r="G139" s="175">
        <f>'[8]ÖK - KIADÁSOK'!H166</f>
        <v>700</v>
      </c>
      <c r="H139" s="175">
        <v>0</v>
      </c>
      <c r="I139" s="175">
        <f t="shared" si="15"/>
        <v>700</v>
      </c>
      <c r="J139" s="26"/>
      <c r="K139" s="45"/>
      <c r="L139" s="151"/>
      <c r="M139" s="151"/>
      <c r="N139" s="151"/>
    </row>
    <row r="140" spans="1:14" ht="33.75" customHeight="1">
      <c r="A140" s="294" t="s">
        <v>89</v>
      </c>
      <c r="B140" s="152"/>
      <c r="C140" s="547" t="s">
        <v>855</v>
      </c>
      <c r="D140" s="79"/>
      <c r="E140" s="79"/>
      <c r="F140" s="79"/>
      <c r="G140" s="175">
        <f>'[8]ÖK - KIADÁSOK'!H167</f>
        <v>10009</v>
      </c>
      <c r="H140" s="175">
        <v>0</v>
      </c>
      <c r="I140" s="175">
        <f t="shared" si="15"/>
        <v>10009</v>
      </c>
      <c r="J140" s="26"/>
      <c r="K140" s="45"/>
      <c r="L140" s="151"/>
      <c r="M140" s="151"/>
      <c r="N140" s="151"/>
    </row>
    <row r="141" spans="1:14" ht="29.25" customHeight="1">
      <c r="A141" s="294" t="s">
        <v>90</v>
      </c>
      <c r="B141" s="152"/>
      <c r="C141" s="548" t="s">
        <v>114</v>
      </c>
      <c r="D141" s="55">
        <v>4000</v>
      </c>
      <c r="E141" s="55">
        <f>4000</f>
        <v>4000</v>
      </c>
      <c r="F141" s="79">
        <v>3681</v>
      </c>
      <c r="G141" s="63">
        <f>'[8]ÖK - KIADÁSOK'!H168</f>
        <v>4392</v>
      </c>
      <c r="H141" s="63">
        <f>SUM(H142:H145)</f>
        <v>0</v>
      </c>
      <c r="I141" s="63">
        <f t="shared" si="15"/>
        <v>4392</v>
      </c>
      <c r="J141" s="26"/>
      <c r="K141" s="45"/>
      <c r="L141" s="151"/>
      <c r="M141" s="151"/>
      <c r="N141" s="151"/>
    </row>
    <row r="142" spans="1:14" ht="30" customHeight="1">
      <c r="A142" s="294" t="s">
        <v>91</v>
      </c>
      <c r="B142" s="152"/>
      <c r="C142" s="549" t="s">
        <v>856</v>
      </c>
      <c r="D142" s="79"/>
      <c r="E142" s="79"/>
      <c r="F142" s="79"/>
      <c r="G142" s="175">
        <f>'[8]ÖK - KIADÁSOK'!H169</f>
        <v>3280</v>
      </c>
      <c r="H142" s="175">
        <v>0</v>
      </c>
      <c r="I142" s="175">
        <f t="shared" si="15"/>
        <v>3280</v>
      </c>
      <c r="J142" s="26"/>
      <c r="K142" s="45"/>
      <c r="L142" s="151"/>
      <c r="M142" s="151"/>
      <c r="N142" s="151"/>
    </row>
    <row r="143" spans="1:14" ht="22.5" customHeight="1">
      <c r="A143" s="294" t="s">
        <v>92</v>
      </c>
      <c r="B143" s="152"/>
      <c r="C143" s="550" t="s">
        <v>857</v>
      </c>
      <c r="D143" s="79"/>
      <c r="E143" s="79"/>
      <c r="F143" s="79"/>
      <c r="G143" s="175">
        <f>'[8]ÖK - KIADÁSOK'!H170</f>
        <v>113</v>
      </c>
      <c r="H143" s="175">
        <v>0</v>
      </c>
      <c r="I143" s="175">
        <f t="shared" si="15"/>
        <v>113</v>
      </c>
      <c r="J143" s="26"/>
      <c r="K143" s="45"/>
      <c r="L143" s="151"/>
      <c r="M143" s="151"/>
      <c r="N143" s="151"/>
    </row>
    <row r="144" spans="1:14" ht="30.75" customHeight="1">
      <c r="A144" s="294" t="s">
        <v>93</v>
      </c>
      <c r="B144" s="152"/>
      <c r="C144" s="547" t="s">
        <v>858</v>
      </c>
      <c r="D144" s="79"/>
      <c r="E144" s="79"/>
      <c r="F144" s="79"/>
      <c r="G144" s="175">
        <f>'[8]ÖK - KIADÁSOK'!H171</f>
        <v>403</v>
      </c>
      <c r="H144" s="175">
        <v>0</v>
      </c>
      <c r="I144" s="175">
        <f t="shared" si="15"/>
        <v>403</v>
      </c>
      <c r="J144" s="26"/>
      <c r="K144" s="45"/>
      <c r="L144" s="151"/>
      <c r="M144" s="151"/>
      <c r="N144" s="151"/>
    </row>
    <row r="145" spans="1:14" ht="24" customHeight="1">
      <c r="A145" s="294" t="s">
        <v>94</v>
      </c>
      <c r="B145" s="152"/>
      <c r="C145" s="547" t="s">
        <v>859</v>
      </c>
      <c r="D145" s="79"/>
      <c r="E145" s="79"/>
      <c r="F145" s="79"/>
      <c r="G145" s="175">
        <f>'[8]ÖK - KIADÁSOK'!H172</f>
        <v>596</v>
      </c>
      <c r="H145" s="175">
        <v>0</v>
      </c>
      <c r="I145" s="175">
        <f t="shared" si="15"/>
        <v>596</v>
      </c>
      <c r="J145" s="26"/>
      <c r="K145" s="45"/>
      <c r="L145" s="151"/>
      <c r="M145" s="151"/>
      <c r="N145" s="151"/>
    </row>
    <row r="146" spans="1:14" ht="19.5" customHeight="1">
      <c r="A146" s="294" t="s">
        <v>95</v>
      </c>
      <c r="B146" s="152"/>
      <c r="C146" s="64" t="s">
        <v>877</v>
      </c>
      <c r="D146" s="55">
        <v>0</v>
      </c>
      <c r="E146" s="55">
        <v>0</v>
      </c>
      <c r="F146" s="79">
        <v>0</v>
      </c>
      <c r="G146" s="63">
        <f>'[8]ÖK - KIADÁSOK'!H173</f>
        <v>1000</v>
      </c>
      <c r="H146" s="63">
        <v>0</v>
      </c>
      <c r="I146" s="63">
        <f t="shared" si="15"/>
        <v>1000</v>
      </c>
      <c r="J146" s="544"/>
      <c r="K146" s="542"/>
      <c r="L146" s="151"/>
      <c r="M146" s="151"/>
      <c r="N146" s="151"/>
    </row>
    <row r="147" spans="1:14" ht="19.5" customHeight="1">
      <c r="A147" s="294" t="s">
        <v>96</v>
      </c>
      <c r="B147" s="152"/>
      <c r="C147" s="58" t="s">
        <v>115</v>
      </c>
      <c r="D147" s="55">
        <v>5500</v>
      </c>
      <c r="E147" s="55">
        <v>5500</v>
      </c>
      <c r="F147" s="79">
        <v>5500</v>
      </c>
      <c r="G147" s="63">
        <f>'[8]ÖK - KIADÁSOK'!H174</f>
        <v>5500</v>
      </c>
      <c r="H147" s="63">
        <v>0</v>
      </c>
      <c r="I147" s="63">
        <f aca="true" t="shared" si="16" ref="I147:I155">SUM(G147:H147)</f>
        <v>5500</v>
      </c>
      <c r="J147" s="544"/>
      <c r="K147" s="542"/>
      <c r="L147" s="151"/>
      <c r="M147" s="151"/>
      <c r="N147" s="151"/>
    </row>
    <row r="148" spans="1:14" ht="19.5" customHeight="1">
      <c r="A148" s="294" t="s">
        <v>97</v>
      </c>
      <c r="B148" s="152"/>
      <c r="C148" s="58" t="s">
        <v>879</v>
      </c>
      <c r="D148" s="55"/>
      <c r="E148" s="55"/>
      <c r="F148" s="79"/>
      <c r="G148" s="63">
        <f>1500+1500+2000</f>
        <v>5000</v>
      </c>
      <c r="H148" s="63">
        <v>0</v>
      </c>
      <c r="I148" s="63">
        <f t="shared" si="16"/>
        <v>5000</v>
      </c>
      <c r="J148" s="544"/>
      <c r="K148" s="542"/>
      <c r="L148" s="151"/>
      <c r="M148" s="151"/>
      <c r="N148" s="151"/>
    </row>
    <row r="149" spans="1:14" ht="19.5" customHeight="1">
      <c r="A149" s="294" t="s">
        <v>620</v>
      </c>
      <c r="B149" s="152"/>
      <c r="C149" s="81" t="s">
        <v>116</v>
      </c>
      <c r="D149" s="55">
        <v>4000</v>
      </c>
      <c r="E149" s="55">
        <v>4450</v>
      </c>
      <c r="F149" s="79">
        <v>4450</v>
      </c>
      <c r="G149" s="63">
        <f>'[8]ÖK - KIADÁSOK'!H176</f>
        <v>4000</v>
      </c>
      <c r="H149" s="63">
        <v>0</v>
      </c>
      <c r="I149" s="63">
        <f t="shared" si="16"/>
        <v>4000</v>
      </c>
      <c r="J149" s="151"/>
      <c r="K149" s="150"/>
      <c r="L149" s="151"/>
      <c r="M149" s="151"/>
      <c r="N149" s="151"/>
    </row>
    <row r="150" spans="1:14" ht="19.5" customHeight="1">
      <c r="A150" s="294" t="s">
        <v>621</v>
      </c>
      <c r="B150" s="152"/>
      <c r="C150" s="551" t="s">
        <v>860</v>
      </c>
      <c r="D150" s="55">
        <v>5000</v>
      </c>
      <c r="E150" s="55">
        <v>5000</v>
      </c>
      <c r="F150" s="79">
        <v>0</v>
      </c>
      <c r="G150" s="63">
        <f>'[8]ÖK - KIADÁSOK'!H178</f>
        <v>0</v>
      </c>
      <c r="H150" s="63">
        <v>0</v>
      </c>
      <c r="I150" s="63">
        <f t="shared" si="16"/>
        <v>0</v>
      </c>
      <c r="J150" s="151"/>
      <c r="K150" s="150"/>
      <c r="L150" s="151"/>
      <c r="M150" s="151"/>
      <c r="N150" s="151"/>
    </row>
    <row r="151" spans="1:14" ht="30.75" customHeight="1">
      <c r="A151" s="294" t="s">
        <v>622</v>
      </c>
      <c r="B151" s="152"/>
      <c r="C151" s="81" t="s">
        <v>861</v>
      </c>
      <c r="D151" s="55">
        <v>100</v>
      </c>
      <c r="E151" s="55">
        <v>150</v>
      </c>
      <c r="F151" s="79">
        <v>150</v>
      </c>
      <c r="G151" s="63">
        <f>'[8]ÖK - KIADÁSOK'!H183</f>
        <v>150</v>
      </c>
      <c r="H151" s="63">
        <v>0</v>
      </c>
      <c r="I151" s="63">
        <f t="shared" si="16"/>
        <v>150</v>
      </c>
      <c r="J151" s="151"/>
      <c r="K151" s="150"/>
      <c r="L151" s="151"/>
      <c r="M151" s="151"/>
      <c r="N151" s="151"/>
    </row>
    <row r="152" spans="1:14" ht="34.5" customHeight="1">
      <c r="A152" s="294" t="s">
        <v>623</v>
      </c>
      <c r="B152" s="152"/>
      <c r="C152" s="72" t="s">
        <v>128</v>
      </c>
      <c r="D152" s="55">
        <v>960</v>
      </c>
      <c r="E152" s="55">
        <v>960</v>
      </c>
      <c r="F152" s="79">
        <v>960</v>
      </c>
      <c r="G152" s="63">
        <f>'[8]ÖK - KIADÁSOK'!H184</f>
        <v>960</v>
      </c>
      <c r="H152" s="63">
        <v>0</v>
      </c>
      <c r="I152" s="63">
        <f t="shared" si="16"/>
        <v>960</v>
      </c>
      <c r="J152" s="151"/>
      <c r="K152" s="150"/>
      <c r="L152" s="151"/>
      <c r="M152" s="151"/>
      <c r="N152" s="151"/>
    </row>
    <row r="153" spans="1:14" ht="22.5" customHeight="1">
      <c r="A153" s="294" t="s">
        <v>624</v>
      </c>
      <c r="B153" s="152"/>
      <c r="C153" s="64" t="s">
        <v>862</v>
      </c>
      <c r="D153" s="552">
        <v>0</v>
      </c>
      <c r="E153" s="552">
        <v>17</v>
      </c>
      <c r="F153" s="553">
        <v>17</v>
      </c>
      <c r="G153" s="63">
        <v>0</v>
      </c>
      <c r="H153" s="63">
        <v>0</v>
      </c>
      <c r="I153" s="63">
        <f t="shared" si="16"/>
        <v>0</v>
      </c>
      <c r="J153" s="151"/>
      <c r="K153" s="150"/>
      <c r="L153" s="151"/>
      <c r="M153" s="151"/>
      <c r="N153" s="151"/>
    </row>
    <row r="154" spans="1:14" ht="34.5" customHeight="1">
      <c r="A154" s="294" t="s">
        <v>625</v>
      </c>
      <c r="B154" s="152"/>
      <c r="C154" s="72" t="s">
        <v>863</v>
      </c>
      <c r="D154" s="552">
        <v>0</v>
      </c>
      <c r="E154" s="552">
        <v>80</v>
      </c>
      <c r="F154" s="553">
        <v>79</v>
      </c>
      <c r="G154" s="63">
        <v>0</v>
      </c>
      <c r="H154" s="63">
        <v>0</v>
      </c>
      <c r="I154" s="63">
        <f t="shared" si="16"/>
        <v>0</v>
      </c>
      <c r="J154" s="151"/>
      <c r="K154" s="150"/>
      <c r="L154" s="151"/>
      <c r="M154" s="151"/>
      <c r="N154" s="151"/>
    </row>
    <row r="155" spans="1:14" ht="63" customHeight="1">
      <c r="A155" s="294" t="s">
        <v>626</v>
      </c>
      <c r="B155" s="152"/>
      <c r="C155" s="72" t="s">
        <v>864</v>
      </c>
      <c r="D155" s="55">
        <v>0</v>
      </c>
      <c r="E155" s="55">
        <v>0</v>
      </c>
      <c r="F155" s="79">
        <v>0</v>
      </c>
      <c r="G155" s="63">
        <f>'[8]ÖK - KIADÁSOK'!H185</f>
        <v>25</v>
      </c>
      <c r="H155" s="63">
        <v>0</v>
      </c>
      <c r="I155" s="63">
        <f t="shared" si="16"/>
        <v>25</v>
      </c>
      <c r="J155" s="151"/>
      <c r="K155" s="150"/>
      <c r="L155" s="151"/>
      <c r="M155" s="151"/>
      <c r="N155" s="151"/>
    </row>
    <row r="156" spans="1:10" ht="15.75">
      <c r="A156" s="790" t="s">
        <v>838</v>
      </c>
      <c r="B156" s="790"/>
      <c r="C156" s="790"/>
      <c r="D156" s="790"/>
      <c r="E156" s="790"/>
      <c r="F156" s="790"/>
      <c r="G156" s="790"/>
      <c r="H156" s="790"/>
      <c r="I156" s="790"/>
      <c r="J156" s="3"/>
    </row>
    <row r="157" spans="1:10" ht="15">
      <c r="A157" s="791" t="s">
        <v>118</v>
      </c>
      <c r="B157" s="791"/>
      <c r="C157" s="791"/>
      <c r="D157" s="791"/>
      <c r="E157" s="791"/>
      <c r="F157" s="791"/>
      <c r="G157" s="791"/>
      <c r="H157" s="791"/>
      <c r="I157" s="791"/>
      <c r="J157" s="3"/>
    </row>
    <row r="158" spans="1:10" ht="15">
      <c r="A158" s="292"/>
      <c r="B158" s="56"/>
      <c r="C158" s="56"/>
      <c r="D158" s="62"/>
      <c r="E158" s="62"/>
      <c r="F158" s="62"/>
      <c r="G158" s="573"/>
      <c r="H158" s="573"/>
      <c r="I158" s="573" t="s">
        <v>523</v>
      </c>
      <c r="J158" s="3"/>
    </row>
    <row r="159" spans="1:10" s="524" customFormat="1" ht="15" customHeight="1">
      <c r="A159" s="792" t="s">
        <v>503</v>
      </c>
      <c r="B159" s="794" t="s">
        <v>502</v>
      </c>
      <c r="C159" s="796" t="s">
        <v>518</v>
      </c>
      <c r="D159" s="821" t="s">
        <v>664</v>
      </c>
      <c r="E159" s="822" t="s">
        <v>806</v>
      </c>
      <c r="F159" s="823" t="s">
        <v>834</v>
      </c>
      <c r="G159" s="782" t="s">
        <v>966</v>
      </c>
      <c r="H159" s="780" t="s">
        <v>969</v>
      </c>
      <c r="I159" s="784" t="s">
        <v>970</v>
      </c>
      <c r="J159" s="523"/>
    </row>
    <row r="160" spans="1:10" s="524" customFormat="1" ht="46.5" customHeight="1">
      <c r="A160" s="793"/>
      <c r="B160" s="795"/>
      <c r="C160" s="797"/>
      <c r="D160" s="821"/>
      <c r="E160" s="822"/>
      <c r="F160" s="823"/>
      <c r="G160" s="783"/>
      <c r="H160" s="781"/>
      <c r="I160" s="785"/>
      <c r="J160" s="523"/>
    </row>
    <row r="161" spans="1:10" s="526" customFormat="1" ht="12.75">
      <c r="A161" s="474" t="s">
        <v>270</v>
      </c>
      <c r="B161" s="474" t="s">
        <v>271</v>
      </c>
      <c r="C161" s="474" t="s">
        <v>452</v>
      </c>
      <c r="D161" s="476" t="s">
        <v>453</v>
      </c>
      <c r="E161" s="476" t="s">
        <v>208</v>
      </c>
      <c r="F161" s="476" t="s">
        <v>272</v>
      </c>
      <c r="G161" s="476" t="s">
        <v>453</v>
      </c>
      <c r="H161" s="476" t="s">
        <v>454</v>
      </c>
      <c r="I161" s="476" t="s">
        <v>272</v>
      </c>
      <c r="J161" s="525"/>
    </row>
    <row r="162" spans="1:14" ht="34.5" customHeight="1">
      <c r="A162" s="294" t="s">
        <v>627</v>
      </c>
      <c r="B162" s="563" t="s">
        <v>490</v>
      </c>
      <c r="C162" s="564" t="s">
        <v>402</v>
      </c>
      <c r="D162" s="562">
        <f aca="true" t="shared" si="17" ref="D162:I162">D163+D167+D171+D177+D181</f>
        <v>7366</v>
      </c>
      <c r="E162" s="562">
        <f t="shared" si="17"/>
        <v>1928139.17</v>
      </c>
      <c r="F162" s="560">
        <f t="shared" si="17"/>
        <v>636671.64</v>
      </c>
      <c r="G162" s="560">
        <f t="shared" si="17"/>
        <v>81156</v>
      </c>
      <c r="H162" s="560">
        <f t="shared" si="17"/>
        <v>1299153</v>
      </c>
      <c r="I162" s="560">
        <f t="shared" si="17"/>
        <v>1380309</v>
      </c>
      <c r="J162" s="45"/>
      <c r="K162" s="3"/>
      <c r="L162" s="3"/>
      <c r="M162" s="3"/>
      <c r="N162" s="3"/>
    </row>
    <row r="163" spans="1:14" ht="30" customHeight="1">
      <c r="A163" s="294" t="s">
        <v>628</v>
      </c>
      <c r="B163" s="68"/>
      <c r="C163" s="74" t="s">
        <v>326</v>
      </c>
      <c r="D163" s="180">
        <f>SUM(D164:D165)</f>
        <v>1000</v>
      </c>
      <c r="E163" s="180">
        <f>SUM(E164:E165)</f>
        <v>1368</v>
      </c>
      <c r="F163" s="93">
        <f>SUM(F164:F165)</f>
        <v>1298</v>
      </c>
      <c r="G163" s="93">
        <f>SUM(G164:G165)</f>
        <v>1200</v>
      </c>
      <c r="H163" s="93">
        <f>SUM(H164:H165)</f>
        <v>0</v>
      </c>
      <c r="I163" s="93">
        <f>SUM(G163:H163)</f>
        <v>1200</v>
      </c>
      <c r="J163" s="34"/>
      <c r="K163" s="34"/>
      <c r="L163" s="34"/>
      <c r="M163" s="34"/>
      <c r="N163" s="34"/>
    </row>
    <row r="164" spans="1:14" ht="19.5" customHeight="1">
      <c r="A164" s="294" t="s">
        <v>629</v>
      </c>
      <c r="B164" s="68"/>
      <c r="C164" s="302" t="s">
        <v>549</v>
      </c>
      <c r="D164" s="175">
        <v>1000</v>
      </c>
      <c r="E164" s="175">
        <f>'[8]VSZ - KIADÁSOK'!E62+'[8]VSZ - KIADÁSOK'!E64+'[8]VSZ - KIADÁSOK'!E66+'[8]VSZ - KIADÁSOK'!E67</f>
        <v>1368</v>
      </c>
      <c r="F164" s="176">
        <f>'[8]VSZ - KIADÁSOK'!F62+'[8]VSZ - KIADÁSOK'!F64+'[8]VSZ - KIADÁSOK'!F66+'[8]VSZ - KIADÁSOK'!F67</f>
        <v>1298</v>
      </c>
      <c r="G164" s="313">
        <f>'[8]VSZ - KIADÁSOK'!G62+'[8]VSZ - KIADÁSOK'!G64+130</f>
        <v>630</v>
      </c>
      <c r="H164" s="313">
        <v>0</v>
      </c>
      <c r="I164" s="313">
        <f>SUM(G164:H164)</f>
        <v>630</v>
      </c>
      <c r="J164" s="34"/>
      <c r="K164" s="34"/>
      <c r="L164" s="34"/>
      <c r="M164" s="34"/>
      <c r="N164" s="34"/>
    </row>
    <row r="165" spans="1:14" ht="19.5" customHeight="1">
      <c r="A165" s="294" t="s">
        <v>630</v>
      </c>
      <c r="B165" s="68"/>
      <c r="C165" s="302" t="s">
        <v>865</v>
      </c>
      <c r="D165" s="175">
        <v>0</v>
      </c>
      <c r="E165" s="175">
        <v>0</v>
      </c>
      <c r="F165" s="176">
        <v>0</v>
      </c>
      <c r="G165" s="313">
        <f>'[8]VSZ - KIADÁSOK'!G63+120</f>
        <v>570</v>
      </c>
      <c r="H165" s="313">
        <v>0</v>
      </c>
      <c r="I165" s="313">
        <f>SUM(G165:H165)</f>
        <v>570</v>
      </c>
      <c r="J165" s="34"/>
      <c r="K165" s="34"/>
      <c r="L165" s="34"/>
      <c r="M165" s="34"/>
      <c r="N165" s="34"/>
    </row>
    <row r="166" spans="1:14" ht="12.75" customHeight="1">
      <c r="A166" s="294" t="s">
        <v>631</v>
      </c>
      <c r="B166" s="68"/>
      <c r="C166" s="77"/>
      <c r="D166" s="55"/>
      <c r="E166" s="55"/>
      <c r="F166" s="79"/>
      <c r="G166" s="79"/>
      <c r="H166" s="79"/>
      <c r="I166" s="79"/>
      <c r="J166" s="34"/>
      <c r="K166" s="34"/>
      <c r="L166" s="34"/>
      <c r="M166" s="34"/>
      <c r="N166" s="34"/>
    </row>
    <row r="167" spans="1:14" ht="30" customHeight="1">
      <c r="A167" s="294" t="s">
        <v>632</v>
      </c>
      <c r="B167" s="68"/>
      <c r="C167" s="74" t="s">
        <v>321</v>
      </c>
      <c r="D167" s="180">
        <f aca="true" t="shared" si="18" ref="D167:I167">SUM(D168:D169)</f>
        <v>600</v>
      </c>
      <c r="E167" s="180">
        <f t="shared" si="18"/>
        <v>7130.45</v>
      </c>
      <c r="F167" s="93">
        <f t="shared" si="18"/>
        <v>6104.82</v>
      </c>
      <c r="G167" s="93">
        <f t="shared" si="18"/>
        <v>1000</v>
      </c>
      <c r="H167" s="93">
        <f t="shared" si="18"/>
        <v>0</v>
      </c>
      <c r="I167" s="93">
        <f t="shared" si="18"/>
        <v>1000</v>
      </c>
      <c r="J167" s="34"/>
      <c r="K167" s="34"/>
      <c r="L167" s="34"/>
      <c r="M167" s="34"/>
      <c r="N167" s="34"/>
    </row>
    <row r="168" spans="1:14" ht="18.75" customHeight="1">
      <c r="A168" s="294" t="s">
        <v>633</v>
      </c>
      <c r="B168" s="68"/>
      <c r="C168" s="302" t="s">
        <v>550</v>
      </c>
      <c r="D168" s="175">
        <v>600</v>
      </c>
      <c r="E168" s="175">
        <f>('[8]ESZESZ - KIADÁSOK'!E74+'[8]ESZESZ - KIADÁSOK'!E76)+382</f>
        <v>2133</v>
      </c>
      <c r="F168" s="176">
        <f>'[8]ESZESZ - KIADÁSOK'!F74+'[8]ESZESZ - KIADÁSOK'!F76+285</f>
        <v>1576</v>
      </c>
      <c r="G168" s="313">
        <f>'[8]ESZESZ - KIADÁSOK'!G74+'[8]ESZESZ - KIADÁSOK'!G76+105</f>
        <v>555</v>
      </c>
      <c r="H168" s="313">
        <v>0</v>
      </c>
      <c r="I168" s="313">
        <f>SUM(G168:H168)</f>
        <v>555</v>
      </c>
      <c r="J168" s="34"/>
      <c r="K168" s="34"/>
      <c r="L168" s="34"/>
      <c r="M168" s="34"/>
      <c r="N168" s="34"/>
    </row>
    <row r="169" spans="1:14" ht="18.75" customHeight="1">
      <c r="A169" s="294" t="s">
        <v>634</v>
      </c>
      <c r="B169" s="68"/>
      <c r="C169" s="302" t="s">
        <v>865</v>
      </c>
      <c r="D169" s="175">
        <v>0</v>
      </c>
      <c r="E169" s="175">
        <f>('[8]ESZESZ - KIADÁSOK'!E73+'[8]ESZESZ - KIADÁSOK'!E75)*1.27</f>
        <v>4997.45</v>
      </c>
      <c r="F169" s="176">
        <f>('[8]ESZESZ - KIADÁSOK'!F73+'[8]ESZESZ - KIADÁSOK'!F75)*1.27</f>
        <v>4528.82</v>
      </c>
      <c r="G169" s="313">
        <f>'[8]ESZESZ - KIADÁSOK'!G75+95</f>
        <v>445</v>
      </c>
      <c r="H169" s="313">
        <v>0</v>
      </c>
      <c r="I169" s="313">
        <f>SUM(G169:H169)</f>
        <v>445</v>
      </c>
      <c r="J169" s="34"/>
      <c r="K169" s="34"/>
      <c r="L169" s="34"/>
      <c r="M169" s="34"/>
      <c r="N169" s="34"/>
    </row>
    <row r="170" spans="1:14" ht="14.25" customHeight="1">
      <c r="A170" s="294" t="s">
        <v>635</v>
      </c>
      <c r="B170" s="68"/>
      <c r="C170" s="302"/>
      <c r="D170" s="176"/>
      <c r="E170" s="175"/>
      <c r="F170" s="175"/>
      <c r="G170" s="176"/>
      <c r="H170" s="176"/>
      <c r="I170" s="176"/>
      <c r="J170" s="34"/>
      <c r="K170" s="34"/>
      <c r="L170" s="34"/>
      <c r="M170" s="34"/>
      <c r="N170" s="34"/>
    </row>
    <row r="171" spans="1:14" ht="30.75" customHeight="1">
      <c r="A171" s="294" t="s">
        <v>636</v>
      </c>
      <c r="B171" s="68"/>
      <c r="C171" s="74" t="s">
        <v>177</v>
      </c>
      <c r="D171" s="180">
        <f aca="true" t="shared" si="19" ref="D171:I171">SUM(D172:D173)</f>
        <v>318</v>
      </c>
      <c r="E171" s="180">
        <f t="shared" si="19"/>
        <v>595</v>
      </c>
      <c r="F171" s="93">
        <f t="shared" si="19"/>
        <v>301</v>
      </c>
      <c r="G171" s="93">
        <f t="shared" si="19"/>
        <v>600</v>
      </c>
      <c r="H171" s="93">
        <f t="shared" si="19"/>
        <v>0</v>
      </c>
      <c r="I171" s="93">
        <f t="shared" si="19"/>
        <v>600</v>
      </c>
      <c r="J171" s="34"/>
      <c r="K171" s="34"/>
      <c r="L171" s="34"/>
      <c r="M171" s="34"/>
      <c r="N171" s="34"/>
    </row>
    <row r="172" spans="1:14" ht="19.5" customHeight="1">
      <c r="A172" s="294" t="s">
        <v>637</v>
      </c>
      <c r="B172" s="68"/>
      <c r="C172" s="302" t="s">
        <v>551</v>
      </c>
      <c r="D172" s="175">
        <v>318</v>
      </c>
      <c r="E172" s="175">
        <f>'[8]KÖNYVTÁR - KIADÁSOK'!E57+'[8]KÖNYVTÁR - KIADÁSOK'!E59+'[8]KÖNYVTÁR - KIADÁSOK'!E60</f>
        <v>595</v>
      </c>
      <c r="F172" s="176">
        <f>'[8]KÖNYVTÁR - KIADÁSOK'!F59+'[8]KÖNYVTÁR - KIADÁSOK'!F60</f>
        <v>301</v>
      </c>
      <c r="G172" s="313">
        <f>'[8]KÖNYVTÁR - KIADÁSOK'!G57+'[8]KÖNYVTÁR - KIADÁSOK'!G59+72</f>
        <v>338</v>
      </c>
      <c r="H172" s="313">
        <v>0</v>
      </c>
      <c r="I172" s="313">
        <f>SUM(G172:H172)</f>
        <v>338</v>
      </c>
      <c r="J172" s="34"/>
      <c r="K172" s="34"/>
      <c r="L172" s="34"/>
      <c r="M172" s="34"/>
      <c r="N172" s="34"/>
    </row>
    <row r="173" spans="1:14" ht="19.5" customHeight="1">
      <c r="A173" s="294" t="s">
        <v>638</v>
      </c>
      <c r="B173" s="68"/>
      <c r="C173" s="302" t="s">
        <v>865</v>
      </c>
      <c r="D173" s="175">
        <v>0</v>
      </c>
      <c r="E173" s="175">
        <v>0</v>
      </c>
      <c r="F173" s="176">
        <v>0</v>
      </c>
      <c r="G173" s="313">
        <f>'[8]KÖNYVTÁR - KIADÁSOK'!G58+56</f>
        <v>262</v>
      </c>
      <c r="H173" s="313">
        <v>0</v>
      </c>
      <c r="I173" s="313">
        <f>SUM(G173:H173)</f>
        <v>262</v>
      </c>
      <c r="J173" s="34"/>
      <c r="K173" s="34"/>
      <c r="L173" s="34"/>
      <c r="M173" s="34"/>
      <c r="N173" s="34"/>
    </row>
    <row r="174" spans="1:14" ht="21" customHeight="1">
      <c r="A174" s="294" t="s">
        <v>639</v>
      </c>
      <c r="B174" s="68"/>
      <c r="C174" s="657" t="s">
        <v>990</v>
      </c>
      <c r="D174" s="658"/>
      <c r="E174" s="658"/>
      <c r="F174" s="658"/>
      <c r="G174" s="658"/>
      <c r="H174" s="658"/>
      <c r="I174" s="658"/>
      <c r="J174" s="34"/>
      <c r="K174" s="34"/>
      <c r="L174" s="34"/>
      <c r="M174" s="34"/>
      <c r="N174" s="34"/>
    </row>
    <row r="175" spans="1:14" ht="19.5" customHeight="1">
      <c r="A175" s="294" t="s">
        <v>640</v>
      </c>
      <c r="B175" s="68"/>
      <c r="C175" s="657" t="s">
        <v>991</v>
      </c>
      <c r="D175" s="658"/>
      <c r="E175" s="658"/>
      <c r="F175" s="658"/>
      <c r="G175" s="658"/>
      <c r="H175" s="658"/>
      <c r="I175" s="658"/>
      <c r="J175" s="34"/>
      <c r="K175" s="34"/>
      <c r="L175" s="34"/>
      <c r="M175" s="34"/>
      <c r="N175" s="34"/>
    </row>
    <row r="176" spans="1:14" ht="15">
      <c r="A176" s="294" t="s">
        <v>641</v>
      </c>
      <c r="B176" s="68"/>
      <c r="C176" s="554"/>
      <c r="D176" s="79"/>
      <c r="E176" s="55"/>
      <c r="F176" s="55"/>
      <c r="G176" s="79"/>
      <c r="H176" s="79"/>
      <c r="I176" s="79"/>
      <c r="J176" s="34"/>
      <c r="K176" s="34"/>
      <c r="L176" s="34"/>
      <c r="M176" s="34"/>
      <c r="N176" s="34"/>
    </row>
    <row r="177" spans="1:14" ht="30.75" customHeight="1">
      <c r="A177" s="294" t="s">
        <v>681</v>
      </c>
      <c r="B177" s="68"/>
      <c r="C177" s="74" t="s">
        <v>345</v>
      </c>
      <c r="D177" s="153">
        <f aca="true" t="shared" si="20" ref="D177:I177">SUM(D178:D179)</f>
        <v>3048</v>
      </c>
      <c r="E177" s="153">
        <f t="shared" si="20"/>
        <v>3399.7200000000003</v>
      </c>
      <c r="F177" s="103">
        <f t="shared" si="20"/>
        <v>1862.82</v>
      </c>
      <c r="G177" s="103">
        <f t="shared" si="20"/>
        <v>3556</v>
      </c>
      <c r="H177" s="103">
        <f t="shared" si="20"/>
        <v>0</v>
      </c>
      <c r="I177" s="103">
        <f t="shared" si="20"/>
        <v>3556</v>
      </c>
      <c r="J177" s="34"/>
      <c r="K177" s="34"/>
      <c r="L177" s="34"/>
      <c r="M177" s="34"/>
      <c r="N177" s="34"/>
    </row>
    <row r="178" spans="1:14" ht="18.75" customHeight="1">
      <c r="A178" s="294" t="s">
        <v>682</v>
      </c>
      <c r="B178" s="68"/>
      <c r="C178" s="302" t="s">
        <v>561</v>
      </c>
      <c r="D178" s="175">
        <v>3048</v>
      </c>
      <c r="E178" s="175">
        <f>('[8]PH - KIADÁSOK'!E69+'[8]PH - KIADÁSOK'!E71)*1.27</f>
        <v>3093.7200000000003</v>
      </c>
      <c r="F178" s="176">
        <f>('[8]PH - KIADÁSOK'!F69+'[8]PH - KIADÁSOK'!F71)*1.27</f>
        <v>1607.82</v>
      </c>
      <c r="G178" s="313">
        <f>'[8]PH - KIADÁSOK'!G69+'[8]PH - KIADÁSOK'!G71+675</f>
        <v>3175</v>
      </c>
      <c r="H178" s="313">
        <v>0</v>
      </c>
      <c r="I178" s="313">
        <f>SUM(G178:H178)</f>
        <v>3175</v>
      </c>
      <c r="J178" s="34"/>
      <c r="K178" s="34"/>
      <c r="L178" s="34"/>
      <c r="M178" s="34"/>
      <c r="N178" s="34"/>
    </row>
    <row r="179" spans="1:14" ht="21.75" customHeight="1">
      <c r="A179" s="294" t="s">
        <v>695</v>
      </c>
      <c r="B179" s="68"/>
      <c r="C179" s="302" t="s">
        <v>866</v>
      </c>
      <c r="D179" s="175"/>
      <c r="E179" s="175">
        <f>'[8]PH - KIADÁSOK'!E67+65</f>
        <v>306</v>
      </c>
      <c r="F179" s="176">
        <f>'[8]PH - KIADÁSOK'!F67+54</f>
        <v>255</v>
      </c>
      <c r="G179" s="313">
        <f>'[8]PH - KIADÁSOK'!G67+81</f>
        <v>381</v>
      </c>
      <c r="H179" s="313">
        <v>0</v>
      </c>
      <c r="I179" s="313">
        <f>SUM(G179:H179)</f>
        <v>381</v>
      </c>
      <c r="J179" s="34"/>
      <c r="K179" s="34"/>
      <c r="L179" s="34"/>
      <c r="M179" s="34"/>
      <c r="N179" s="34"/>
    </row>
    <row r="180" spans="1:14" ht="15">
      <c r="A180" s="294" t="s">
        <v>696</v>
      </c>
      <c r="B180" s="68"/>
      <c r="C180" s="77"/>
      <c r="D180" s="55"/>
      <c r="E180" s="55"/>
      <c r="F180" s="79"/>
      <c r="G180" s="79"/>
      <c r="H180" s="79"/>
      <c r="I180" s="79"/>
      <c r="J180" s="34"/>
      <c r="K180" s="34"/>
      <c r="L180" s="34"/>
      <c r="M180" s="34"/>
      <c r="N180" s="34"/>
    </row>
    <row r="181" spans="1:14" ht="30.75" customHeight="1">
      <c r="A181" s="294" t="s">
        <v>697</v>
      </c>
      <c r="B181" s="70"/>
      <c r="C181" s="74" t="s">
        <v>295</v>
      </c>
      <c r="D181" s="153">
        <f>SUM(D182:D192)</f>
        <v>2400</v>
      </c>
      <c r="E181" s="153">
        <f>SUM(E182:E192)</f>
        <v>1915646</v>
      </c>
      <c r="F181" s="103">
        <f>SUM(F182:F192)</f>
        <v>627105</v>
      </c>
      <c r="G181" s="103">
        <f>SUM(G182:G193)</f>
        <v>74800</v>
      </c>
      <c r="H181" s="103">
        <f>SUM(H182:H193)</f>
        <v>1299153</v>
      </c>
      <c r="I181" s="103">
        <f aca="true" t="shared" si="21" ref="I181:I193">SUM(G181:H181)</f>
        <v>1373953</v>
      </c>
      <c r="J181" s="34"/>
      <c r="K181" s="34"/>
      <c r="L181" s="34"/>
      <c r="M181" s="34"/>
      <c r="N181" s="34"/>
    </row>
    <row r="182" spans="1:14" ht="19.5" customHeight="1">
      <c r="A182" s="294" t="s">
        <v>698</v>
      </c>
      <c r="B182" s="70"/>
      <c r="C182" s="302" t="s">
        <v>129</v>
      </c>
      <c r="D182" s="535">
        <v>200</v>
      </c>
      <c r="E182" s="55">
        <v>200</v>
      </c>
      <c r="F182" s="536">
        <v>200</v>
      </c>
      <c r="G182" s="313">
        <f>'[8]ÖK - KIADÁSOK'!H188</f>
        <v>200</v>
      </c>
      <c r="H182" s="313">
        <v>0</v>
      </c>
      <c r="I182" s="313">
        <f t="shared" si="21"/>
        <v>200</v>
      </c>
      <c r="J182" s="34"/>
      <c r="K182" s="34"/>
      <c r="L182" s="34"/>
      <c r="M182" s="34"/>
      <c r="N182" s="4"/>
    </row>
    <row r="183" spans="1:14" ht="19.5" customHeight="1">
      <c r="A183" s="294" t="s">
        <v>699</v>
      </c>
      <c r="B183" s="70"/>
      <c r="C183" s="302" t="s">
        <v>867</v>
      </c>
      <c r="D183" s="535"/>
      <c r="E183" s="55"/>
      <c r="F183" s="536">
        <f>1639-1341</f>
        <v>298</v>
      </c>
      <c r="G183" s="313">
        <f>'[8]ÖK - KIADÁSOK'!H189</f>
        <v>200</v>
      </c>
      <c r="H183" s="313">
        <v>0</v>
      </c>
      <c r="I183" s="313">
        <f t="shared" si="21"/>
        <v>200</v>
      </c>
      <c r="J183" s="34"/>
      <c r="K183" s="34"/>
      <c r="L183" s="34"/>
      <c r="M183" s="34"/>
      <c r="N183" s="4"/>
    </row>
    <row r="184" spans="1:14" ht="18.75" customHeight="1">
      <c r="A184" s="294" t="s">
        <v>700</v>
      </c>
      <c r="B184" s="70"/>
      <c r="C184" s="302" t="s">
        <v>868</v>
      </c>
      <c r="D184" s="535">
        <v>2000</v>
      </c>
      <c r="E184" s="55">
        <v>9805</v>
      </c>
      <c r="F184" s="536">
        <v>9805</v>
      </c>
      <c r="G184" s="313">
        <f>'[8]ÖK - KIADÁSOK'!H190</f>
        <v>3000</v>
      </c>
      <c r="H184" s="313">
        <v>0</v>
      </c>
      <c r="I184" s="313">
        <f t="shared" si="21"/>
        <v>3000</v>
      </c>
      <c r="J184" s="34"/>
      <c r="K184" s="34"/>
      <c r="L184" s="34"/>
      <c r="M184" s="34"/>
      <c r="N184" s="4"/>
    </row>
    <row r="185" spans="1:14" ht="33.75" customHeight="1">
      <c r="A185" s="294" t="s">
        <v>701</v>
      </c>
      <c r="B185" s="70"/>
      <c r="C185" s="302" t="s">
        <v>592</v>
      </c>
      <c r="D185" s="535">
        <v>200</v>
      </c>
      <c r="E185" s="55">
        <v>200</v>
      </c>
      <c r="F185" s="536">
        <v>0</v>
      </c>
      <c r="G185" s="659">
        <f>'[8]ÖK - KIADÁSOK'!H191</f>
        <v>200</v>
      </c>
      <c r="H185" s="659">
        <v>0</v>
      </c>
      <c r="I185" s="313">
        <f t="shared" si="21"/>
        <v>200</v>
      </c>
      <c r="J185" s="34"/>
      <c r="K185" s="34"/>
      <c r="L185" s="34"/>
      <c r="M185" s="34"/>
      <c r="N185" s="4"/>
    </row>
    <row r="186" spans="1:14" ht="45.75" customHeight="1">
      <c r="A186" s="294" t="s">
        <v>702</v>
      </c>
      <c r="B186" s="70"/>
      <c r="C186" s="302" t="s">
        <v>869</v>
      </c>
      <c r="D186" s="535">
        <v>0</v>
      </c>
      <c r="E186" s="55">
        <v>0</v>
      </c>
      <c r="F186" s="536">
        <v>0</v>
      </c>
      <c r="G186" s="659">
        <f>'[8]ÖK - KIADÁSOK'!H192</f>
        <v>200</v>
      </c>
      <c r="H186" s="659">
        <v>0</v>
      </c>
      <c r="I186" s="313">
        <f t="shared" si="21"/>
        <v>200</v>
      </c>
      <c r="J186" s="34"/>
      <c r="K186" s="34"/>
      <c r="L186" s="34"/>
      <c r="M186" s="34"/>
      <c r="N186" s="4"/>
    </row>
    <row r="187" spans="1:14" ht="33.75" customHeight="1">
      <c r="A187" s="294" t="s">
        <v>703</v>
      </c>
      <c r="B187" s="70"/>
      <c r="C187" s="660" t="s">
        <v>992</v>
      </c>
      <c r="D187" s="661">
        <v>0</v>
      </c>
      <c r="E187" s="655">
        <v>1567772</v>
      </c>
      <c r="F187" s="662">
        <v>614200</v>
      </c>
      <c r="G187" s="659">
        <f>'[8]ÖK - KIADÁSOK'!H194</f>
        <v>0</v>
      </c>
      <c r="H187" s="659">
        <v>947369</v>
      </c>
      <c r="I187" s="659">
        <f t="shared" si="21"/>
        <v>947369</v>
      </c>
      <c r="J187" s="34"/>
      <c r="K187" s="34"/>
      <c r="L187" s="34"/>
      <c r="M187" s="34"/>
      <c r="N187" s="4"/>
    </row>
    <row r="188" spans="1:14" ht="19.5" customHeight="1">
      <c r="A188" s="294" t="s">
        <v>704</v>
      </c>
      <c r="B188" s="70"/>
      <c r="C188" s="663" t="s">
        <v>131</v>
      </c>
      <c r="D188" s="661">
        <v>0</v>
      </c>
      <c r="E188" s="655">
        <v>208468</v>
      </c>
      <c r="F188" s="662">
        <v>0</v>
      </c>
      <c r="G188" s="659">
        <f>'[8]ÖK - KIADÁSOK'!H198</f>
        <v>0</v>
      </c>
      <c r="H188" s="659">
        <v>205168</v>
      </c>
      <c r="I188" s="659">
        <f t="shared" si="21"/>
        <v>205168</v>
      </c>
      <c r="J188" s="34"/>
      <c r="K188" s="34"/>
      <c r="L188" s="34"/>
      <c r="M188" s="34"/>
      <c r="N188" s="4"/>
    </row>
    <row r="189" spans="1:14" ht="18.75" customHeight="1">
      <c r="A189" s="294" t="s">
        <v>705</v>
      </c>
      <c r="B189" s="70"/>
      <c r="C189" s="663" t="s">
        <v>132</v>
      </c>
      <c r="D189" s="661">
        <v>0</v>
      </c>
      <c r="E189" s="655">
        <v>128724</v>
      </c>
      <c r="F189" s="662">
        <v>700</v>
      </c>
      <c r="G189" s="659">
        <f>'[8]ÖK - KIADÁSOK'!H199</f>
        <v>0</v>
      </c>
      <c r="H189" s="659">
        <v>128724</v>
      </c>
      <c r="I189" s="659">
        <f t="shared" si="21"/>
        <v>128724</v>
      </c>
      <c r="J189" s="34"/>
      <c r="K189" s="34"/>
      <c r="L189" s="34"/>
      <c r="M189" s="34"/>
      <c r="N189" s="4"/>
    </row>
    <row r="190" spans="1:14" ht="43.5" customHeight="1">
      <c r="A190" s="294" t="s">
        <v>706</v>
      </c>
      <c r="B190" s="70"/>
      <c r="C190" s="664" t="s">
        <v>993</v>
      </c>
      <c r="D190" s="661">
        <v>0</v>
      </c>
      <c r="E190" s="655">
        <v>477</v>
      </c>
      <c r="F190" s="662">
        <v>561</v>
      </c>
      <c r="G190" s="659">
        <f>'[8]ÖK - KIADÁSOK'!H200</f>
        <v>0</v>
      </c>
      <c r="H190" s="659">
        <v>17892</v>
      </c>
      <c r="I190" s="659">
        <f t="shared" si="21"/>
        <v>17892</v>
      </c>
      <c r="J190" s="34"/>
      <c r="K190" s="34"/>
      <c r="L190" s="34"/>
      <c r="M190" s="34"/>
      <c r="N190" s="4"/>
    </row>
    <row r="191" spans="1:14" ht="18.75" customHeight="1">
      <c r="A191" s="294" t="s">
        <v>707</v>
      </c>
      <c r="B191" s="70"/>
      <c r="C191" s="557" t="s">
        <v>994</v>
      </c>
      <c r="D191" s="535">
        <v>0</v>
      </c>
      <c r="E191" s="118">
        <v>0</v>
      </c>
      <c r="F191" s="536">
        <v>1341</v>
      </c>
      <c r="G191" s="313">
        <f>'[8]ÖK - KIADÁSOK'!H205</f>
        <v>0</v>
      </c>
      <c r="H191" s="313">
        <v>0</v>
      </c>
      <c r="I191" s="313">
        <f t="shared" si="21"/>
        <v>0</v>
      </c>
      <c r="J191" s="34"/>
      <c r="K191" s="34"/>
      <c r="L191" s="34"/>
      <c r="M191" s="34"/>
      <c r="N191" s="4"/>
    </row>
    <row r="192" spans="1:14" ht="21" customHeight="1">
      <c r="A192" s="294" t="s">
        <v>708</v>
      </c>
      <c r="B192" s="70"/>
      <c r="C192" s="545" t="s">
        <v>870</v>
      </c>
      <c r="D192" s="535">
        <v>0</v>
      </c>
      <c r="E192" s="118">
        <v>0</v>
      </c>
      <c r="F192" s="536">
        <v>0</v>
      </c>
      <c r="G192" s="313">
        <f>'[8]ÖK - KIADÁSOK'!H206</f>
        <v>31000</v>
      </c>
      <c r="H192" s="313">
        <v>0</v>
      </c>
      <c r="I192" s="313">
        <f t="shared" si="21"/>
        <v>31000</v>
      </c>
      <c r="J192" s="34"/>
      <c r="K192" s="34"/>
      <c r="L192" s="34"/>
      <c r="M192" s="34"/>
      <c r="N192" s="4"/>
    </row>
    <row r="193" spans="1:14" ht="45" customHeight="1">
      <c r="A193" s="294" t="s">
        <v>709</v>
      </c>
      <c r="B193" s="70"/>
      <c r="C193" s="557" t="s">
        <v>871</v>
      </c>
      <c r="D193" s="535"/>
      <c r="E193" s="118"/>
      <c r="F193" s="536"/>
      <c r="G193" s="313">
        <v>40000</v>
      </c>
      <c r="H193" s="313">
        <v>0</v>
      </c>
      <c r="I193" s="313">
        <f t="shared" si="21"/>
        <v>40000</v>
      </c>
      <c r="J193" s="34"/>
      <c r="K193" s="34"/>
      <c r="L193" s="34"/>
      <c r="M193" s="34"/>
      <c r="N193" s="4"/>
    </row>
    <row r="194" spans="1:10" ht="15.75">
      <c r="A194" s="790" t="s">
        <v>838</v>
      </c>
      <c r="B194" s="790"/>
      <c r="C194" s="790"/>
      <c r="D194" s="790"/>
      <c r="E194" s="790"/>
      <c r="F194" s="790"/>
      <c r="G194" s="790"/>
      <c r="H194" s="790"/>
      <c r="I194" s="790"/>
      <c r="J194" s="3"/>
    </row>
    <row r="195" spans="1:10" ht="15">
      <c r="A195" s="791" t="s">
        <v>642</v>
      </c>
      <c r="B195" s="791"/>
      <c r="C195" s="791"/>
      <c r="D195" s="791"/>
      <c r="E195" s="791"/>
      <c r="F195" s="791"/>
      <c r="G195" s="791"/>
      <c r="H195" s="791"/>
      <c r="I195" s="791"/>
      <c r="J195" s="3"/>
    </row>
    <row r="196" spans="1:10" ht="15">
      <c r="A196" s="292"/>
      <c r="B196" s="56"/>
      <c r="C196" s="56"/>
      <c r="D196" s="62"/>
      <c r="E196" s="62"/>
      <c r="F196" s="62"/>
      <c r="G196" s="573"/>
      <c r="H196" s="573"/>
      <c r="I196" s="573" t="s">
        <v>523</v>
      </c>
      <c r="J196" s="3"/>
    </row>
    <row r="197" spans="1:10" s="524" customFormat="1" ht="15" customHeight="1">
      <c r="A197" s="811" t="s">
        <v>503</v>
      </c>
      <c r="B197" s="813" t="s">
        <v>502</v>
      </c>
      <c r="C197" s="815" t="s">
        <v>518</v>
      </c>
      <c r="D197" s="817" t="s">
        <v>664</v>
      </c>
      <c r="E197" s="819" t="s">
        <v>806</v>
      </c>
      <c r="F197" s="780" t="s">
        <v>834</v>
      </c>
      <c r="G197" s="782" t="s">
        <v>966</v>
      </c>
      <c r="H197" s="780" t="s">
        <v>969</v>
      </c>
      <c r="I197" s="784" t="s">
        <v>970</v>
      </c>
      <c r="J197" s="523"/>
    </row>
    <row r="198" spans="1:10" s="524" customFormat="1" ht="46.5" customHeight="1">
      <c r="A198" s="812"/>
      <c r="B198" s="814"/>
      <c r="C198" s="816"/>
      <c r="D198" s="818"/>
      <c r="E198" s="820"/>
      <c r="F198" s="781"/>
      <c r="G198" s="783"/>
      <c r="H198" s="781"/>
      <c r="I198" s="785"/>
      <c r="J198" s="523"/>
    </row>
    <row r="199" spans="1:10" s="526" customFormat="1" ht="12.75">
      <c r="A199" s="474" t="s">
        <v>270</v>
      </c>
      <c r="B199" s="474" t="s">
        <v>271</v>
      </c>
      <c r="C199" s="474" t="s">
        <v>452</v>
      </c>
      <c r="D199" s="476" t="s">
        <v>453</v>
      </c>
      <c r="E199" s="476" t="s">
        <v>208</v>
      </c>
      <c r="F199" s="476" t="s">
        <v>272</v>
      </c>
      <c r="G199" s="476" t="s">
        <v>453</v>
      </c>
      <c r="H199" s="476" t="s">
        <v>454</v>
      </c>
      <c r="I199" s="476" t="s">
        <v>272</v>
      </c>
      <c r="J199" s="525"/>
    </row>
    <row r="200" spans="1:14" ht="33.75" customHeight="1">
      <c r="A200" s="294" t="s">
        <v>710</v>
      </c>
      <c r="B200" s="563" t="s">
        <v>492</v>
      </c>
      <c r="C200" s="564" t="s">
        <v>403</v>
      </c>
      <c r="D200" s="562" t="e">
        <f aca="true" t="shared" si="22" ref="D200:I200">D201++D204+D206+D208</f>
        <v>#REF!</v>
      </c>
      <c r="E200" s="562" t="e">
        <f t="shared" si="22"/>
        <v>#REF!</v>
      </c>
      <c r="F200" s="560" t="e">
        <f t="shared" si="22"/>
        <v>#REF!</v>
      </c>
      <c r="G200" s="560">
        <f t="shared" si="22"/>
        <v>32516</v>
      </c>
      <c r="H200" s="560">
        <f t="shared" si="22"/>
        <v>170597</v>
      </c>
      <c r="I200" s="560">
        <f t="shared" si="22"/>
        <v>203113</v>
      </c>
      <c r="J200" s="105"/>
      <c r="K200" s="1"/>
      <c r="L200" s="1"/>
      <c r="M200" s="1"/>
      <c r="N200" s="1"/>
    </row>
    <row r="201" spans="1:14" ht="27" customHeight="1">
      <c r="A201" s="294" t="s">
        <v>711</v>
      </c>
      <c r="B201" s="97"/>
      <c r="C201" s="74" t="s">
        <v>326</v>
      </c>
      <c r="D201" s="153">
        <v>0</v>
      </c>
      <c r="E201" s="153">
        <v>0</v>
      </c>
      <c r="F201" s="103">
        <v>0</v>
      </c>
      <c r="G201" s="103">
        <v>0</v>
      </c>
      <c r="H201" s="103">
        <v>0</v>
      </c>
      <c r="I201" s="103">
        <v>0</v>
      </c>
      <c r="J201" s="34"/>
      <c r="K201" s="34"/>
      <c r="L201" s="34"/>
      <c r="M201" s="34"/>
      <c r="N201" s="34"/>
    </row>
    <row r="202" spans="1:14" ht="18.75" customHeight="1">
      <c r="A202" s="294" t="s">
        <v>712</v>
      </c>
      <c r="B202" s="97"/>
      <c r="C202" s="302"/>
      <c r="D202" s="313">
        <v>0</v>
      </c>
      <c r="E202" s="313">
        <v>0</v>
      </c>
      <c r="F202" s="313">
        <v>0</v>
      </c>
      <c r="G202" s="313"/>
      <c r="H202" s="313"/>
      <c r="I202" s="313"/>
      <c r="J202" s="34"/>
      <c r="K202" s="34"/>
      <c r="L202" s="34"/>
      <c r="M202" s="34"/>
      <c r="N202" s="34"/>
    </row>
    <row r="203" spans="1:14" ht="18.75" customHeight="1">
      <c r="A203" s="294" t="s">
        <v>713</v>
      </c>
      <c r="B203" s="97"/>
      <c r="C203" s="302"/>
      <c r="D203" s="55"/>
      <c r="E203" s="55"/>
      <c r="F203" s="79"/>
      <c r="G203" s="79"/>
      <c r="H203" s="79"/>
      <c r="I203" s="79"/>
      <c r="J203" s="34"/>
      <c r="K203" s="34"/>
      <c r="L203" s="34"/>
      <c r="M203" s="34"/>
      <c r="N203" s="34"/>
    </row>
    <row r="204" spans="1:14" ht="27" customHeight="1">
      <c r="A204" s="294" t="s">
        <v>714</v>
      </c>
      <c r="B204" s="97"/>
      <c r="C204" s="74" t="s">
        <v>321</v>
      </c>
      <c r="D204" s="153">
        <f>D205</f>
        <v>0</v>
      </c>
      <c r="E204" s="153">
        <f>E205</f>
        <v>0</v>
      </c>
      <c r="F204" s="103">
        <f>F205</f>
        <v>0</v>
      </c>
      <c r="G204" s="103">
        <f>G205</f>
        <v>0</v>
      </c>
      <c r="H204" s="103">
        <v>0</v>
      </c>
      <c r="I204" s="103">
        <v>0</v>
      </c>
      <c r="J204" s="34"/>
      <c r="K204" s="34"/>
      <c r="L204" s="34"/>
      <c r="M204" s="34"/>
      <c r="N204" s="34"/>
    </row>
    <row r="205" spans="1:14" ht="17.25" customHeight="1">
      <c r="A205" s="294" t="s">
        <v>715</v>
      </c>
      <c r="B205" s="97"/>
      <c r="C205" s="73"/>
      <c r="D205" s="55"/>
      <c r="E205" s="55"/>
      <c r="F205" s="79"/>
      <c r="G205" s="79"/>
      <c r="H205" s="79"/>
      <c r="I205" s="79"/>
      <c r="J205" s="34"/>
      <c r="K205" s="34"/>
      <c r="L205" s="34"/>
      <c r="M205" s="34"/>
      <c r="N205" s="34"/>
    </row>
    <row r="206" spans="1:14" ht="29.25" customHeight="1">
      <c r="A206" s="294" t="s">
        <v>716</v>
      </c>
      <c r="B206" s="97"/>
      <c r="C206" s="74" t="s">
        <v>177</v>
      </c>
      <c r="D206" s="153" t="e">
        <f>#REF!</f>
        <v>#REF!</v>
      </c>
      <c r="E206" s="153" t="e">
        <f>#REF!</f>
        <v>#REF!</v>
      </c>
      <c r="F206" s="103" t="e">
        <f>#REF!</f>
        <v>#REF!</v>
      </c>
      <c r="G206" s="103">
        <v>0</v>
      </c>
      <c r="H206" s="103">
        <v>0</v>
      </c>
      <c r="I206" s="103">
        <v>0</v>
      </c>
      <c r="J206" s="34"/>
      <c r="K206" s="34"/>
      <c r="L206" s="34"/>
      <c r="M206" s="34"/>
      <c r="N206" s="34"/>
    </row>
    <row r="207" spans="1:14" ht="15.75" customHeight="1">
      <c r="A207" s="294" t="s">
        <v>717</v>
      </c>
      <c r="B207" s="97"/>
      <c r="C207" s="302"/>
      <c r="D207" s="55"/>
      <c r="E207" s="55"/>
      <c r="F207" s="79"/>
      <c r="G207" s="79"/>
      <c r="H207" s="79"/>
      <c r="I207" s="79"/>
      <c r="J207" s="34"/>
      <c r="K207" s="34"/>
      <c r="L207" s="34"/>
      <c r="M207" s="34"/>
      <c r="N207" s="34"/>
    </row>
    <row r="208" spans="1:14" ht="30" customHeight="1">
      <c r="A208" s="294" t="s">
        <v>718</v>
      </c>
      <c r="B208" s="97"/>
      <c r="C208" s="74" t="s">
        <v>295</v>
      </c>
      <c r="D208" s="153">
        <f>SUM(D209:D214)</f>
        <v>26900</v>
      </c>
      <c r="E208" s="153">
        <f>SUM(E209:E214)</f>
        <v>207990</v>
      </c>
      <c r="F208" s="103">
        <f>SUM(F209:F214)</f>
        <v>68353</v>
      </c>
      <c r="G208" s="103">
        <f>SUM(G209:G214)</f>
        <v>32516</v>
      </c>
      <c r="H208" s="103">
        <f>SUM(H209:H214)</f>
        <v>170597</v>
      </c>
      <c r="I208" s="103">
        <f aca="true" t="shared" si="23" ref="I208:I214">SUM(G208:H208)</f>
        <v>203113</v>
      </c>
      <c r="J208" s="206"/>
      <c r="K208" s="206"/>
      <c r="L208" s="206"/>
      <c r="M208" s="206"/>
      <c r="N208" s="206"/>
    </row>
    <row r="209" spans="1:14" ht="19.5" customHeight="1">
      <c r="A209" s="294" t="s">
        <v>719</v>
      </c>
      <c r="B209" s="301"/>
      <c r="C209" s="665" t="s">
        <v>133</v>
      </c>
      <c r="D209" s="666">
        <v>3000</v>
      </c>
      <c r="E209" s="666">
        <v>3000</v>
      </c>
      <c r="F209" s="666">
        <v>0</v>
      </c>
      <c r="G209" s="313">
        <f>'[8]ÖK - KIADÁSOK'!H209</f>
        <v>3000</v>
      </c>
      <c r="H209" s="313">
        <v>0</v>
      </c>
      <c r="I209" s="313">
        <f t="shared" si="23"/>
        <v>3000</v>
      </c>
      <c r="J209" s="34"/>
      <c r="K209" s="34"/>
      <c r="L209" s="34"/>
      <c r="M209" s="34"/>
      <c r="N209" s="4"/>
    </row>
    <row r="210" spans="1:14" ht="18.75" customHeight="1">
      <c r="A210" s="294" t="s">
        <v>720</v>
      </c>
      <c r="B210" s="97"/>
      <c r="C210" s="555" t="s">
        <v>263</v>
      </c>
      <c r="D210" s="666">
        <v>22900</v>
      </c>
      <c r="E210" s="666">
        <v>27802</v>
      </c>
      <c r="F210" s="666">
        <v>23634</v>
      </c>
      <c r="G210" s="313">
        <f>'[8]ÖK - KIADÁSOK'!H210</f>
        <v>28516</v>
      </c>
      <c r="H210" s="313">
        <v>0</v>
      </c>
      <c r="I210" s="313">
        <f t="shared" si="23"/>
        <v>28516</v>
      </c>
      <c r="J210" s="34"/>
      <c r="K210" s="34"/>
      <c r="L210" s="34"/>
      <c r="M210" s="34"/>
      <c r="N210" s="4"/>
    </row>
    <row r="211" spans="1:14" ht="18.75" customHeight="1">
      <c r="A211" s="294" t="s">
        <v>721</v>
      </c>
      <c r="B211" s="97"/>
      <c r="C211" s="557" t="s">
        <v>591</v>
      </c>
      <c r="D211" s="666">
        <v>1000</v>
      </c>
      <c r="E211" s="666">
        <v>1000</v>
      </c>
      <c r="F211" s="666">
        <v>0</v>
      </c>
      <c r="G211" s="313">
        <f>'[8]ÖK - KIADÁSOK'!H211</f>
        <v>1000</v>
      </c>
      <c r="H211" s="313">
        <v>0</v>
      </c>
      <c r="I211" s="313">
        <f t="shared" si="23"/>
        <v>1000</v>
      </c>
      <c r="J211" s="34"/>
      <c r="K211" s="34"/>
      <c r="L211" s="34"/>
      <c r="M211" s="34"/>
      <c r="N211" s="4"/>
    </row>
    <row r="212" spans="1:14" ht="34.5" customHeight="1">
      <c r="A212" s="294" t="s">
        <v>722</v>
      </c>
      <c r="B212" s="97"/>
      <c r="C212" s="667" t="s">
        <v>130</v>
      </c>
      <c r="D212" s="666">
        <v>0</v>
      </c>
      <c r="E212" s="666">
        <v>0</v>
      </c>
      <c r="F212" s="666">
        <v>18021</v>
      </c>
      <c r="G212" s="313">
        <f>'[8]ÖK - KIADÁSOK'!H213</f>
        <v>0</v>
      </c>
      <c r="H212" s="313">
        <v>22058</v>
      </c>
      <c r="I212" s="313">
        <f t="shared" si="23"/>
        <v>22058</v>
      </c>
      <c r="J212" s="34"/>
      <c r="K212" s="34"/>
      <c r="L212" s="34"/>
      <c r="M212" s="34"/>
      <c r="N212" s="4"/>
    </row>
    <row r="213" spans="1:14" ht="34.5" customHeight="1">
      <c r="A213" s="294" t="s">
        <v>723</v>
      </c>
      <c r="B213" s="97"/>
      <c r="C213" s="555" t="s">
        <v>134</v>
      </c>
      <c r="D213" s="666">
        <v>0</v>
      </c>
      <c r="E213" s="666">
        <v>52915</v>
      </c>
      <c r="F213" s="666">
        <v>21578</v>
      </c>
      <c r="G213" s="313">
        <f>'[8]ÖK - KIADÁSOK'!H214</f>
        <v>0</v>
      </c>
      <c r="H213" s="313">
        <v>31666</v>
      </c>
      <c r="I213" s="313">
        <f t="shared" si="23"/>
        <v>31666</v>
      </c>
      <c r="J213" s="34"/>
      <c r="K213" s="34"/>
      <c r="L213" s="34"/>
      <c r="M213" s="34"/>
      <c r="N213" s="4"/>
    </row>
    <row r="214" spans="1:14" ht="32.25" customHeight="1">
      <c r="A214" s="294" t="s">
        <v>724</v>
      </c>
      <c r="B214" s="301"/>
      <c r="C214" s="302" t="s">
        <v>746</v>
      </c>
      <c r="D214" s="666">
        <v>0</v>
      </c>
      <c r="E214" s="668">
        <v>123273</v>
      </c>
      <c r="F214" s="666">
        <v>5120</v>
      </c>
      <c r="G214" s="313">
        <f>'[8]ÖK - KIADÁSOK'!H216</f>
        <v>0</v>
      </c>
      <c r="H214" s="313">
        <v>116873</v>
      </c>
      <c r="I214" s="313">
        <f t="shared" si="23"/>
        <v>116873</v>
      </c>
      <c r="J214" s="206"/>
      <c r="K214" s="206"/>
      <c r="L214" s="206"/>
      <c r="M214" s="206"/>
      <c r="N214" s="206"/>
    </row>
    <row r="215" spans="1:14" ht="33.75" customHeight="1">
      <c r="A215" s="294" t="s">
        <v>725</v>
      </c>
      <c r="B215" s="563" t="s">
        <v>479</v>
      </c>
      <c r="C215" s="566" t="s">
        <v>480</v>
      </c>
      <c r="D215" s="562">
        <f aca="true" t="shared" si="24" ref="D215:I215">D216+D219</f>
        <v>1000</v>
      </c>
      <c r="E215" s="562">
        <f t="shared" si="24"/>
        <v>1116</v>
      </c>
      <c r="F215" s="560">
        <f t="shared" si="24"/>
        <v>1016</v>
      </c>
      <c r="G215" s="560">
        <f t="shared" si="24"/>
        <v>1361</v>
      </c>
      <c r="H215" s="560">
        <f t="shared" si="24"/>
        <v>0</v>
      </c>
      <c r="I215" s="560">
        <f t="shared" si="24"/>
        <v>1361</v>
      </c>
      <c r="J215" s="45"/>
      <c r="K215" s="3"/>
      <c r="L215" s="3"/>
      <c r="M215" s="3"/>
      <c r="N215" s="3"/>
    </row>
    <row r="216" spans="1:14" ht="29.25" customHeight="1">
      <c r="A216" s="294" t="s">
        <v>726</v>
      </c>
      <c r="B216" s="97"/>
      <c r="C216" s="74" t="s">
        <v>345</v>
      </c>
      <c r="D216" s="153">
        <f>D217</f>
        <v>1000</v>
      </c>
      <c r="E216" s="153">
        <f>E217</f>
        <v>1000</v>
      </c>
      <c r="F216" s="103">
        <f>F217</f>
        <v>900</v>
      </c>
      <c r="G216" s="103">
        <f>G217</f>
        <v>1200</v>
      </c>
      <c r="H216" s="103">
        <f>SUM(H217)</f>
        <v>0</v>
      </c>
      <c r="I216" s="103">
        <f>SUM(G216:H216)</f>
        <v>1200</v>
      </c>
      <c r="J216" s="34"/>
      <c r="K216" s="34"/>
      <c r="L216" s="34"/>
      <c r="M216" s="34"/>
      <c r="N216" s="34"/>
    </row>
    <row r="217" spans="1:14" ht="22.5" customHeight="1">
      <c r="A217" s="294" t="s">
        <v>727</v>
      </c>
      <c r="B217" s="97"/>
      <c r="C217" s="302" t="s">
        <v>873</v>
      </c>
      <c r="D217" s="175">
        <f>'[8]PH - KIADÁSOK'!D76</f>
        <v>1000</v>
      </c>
      <c r="E217" s="175">
        <f>'[8]PH - KIADÁSOK'!E76</f>
        <v>1000</v>
      </c>
      <c r="F217" s="176">
        <f>'[8]PH - KIADÁSOK'!F76</f>
        <v>900</v>
      </c>
      <c r="G217" s="313">
        <f>'[8]PH - KIADÁSOK'!G76</f>
        <v>1200</v>
      </c>
      <c r="H217" s="313">
        <v>0</v>
      </c>
      <c r="I217" s="313">
        <f>SUM(G217:H217)</f>
        <v>1200</v>
      </c>
      <c r="J217" s="34"/>
      <c r="K217" s="34"/>
      <c r="L217" s="34"/>
      <c r="M217" s="34"/>
      <c r="N217" s="34"/>
    </row>
    <row r="218" spans="1:14" ht="17.25" customHeight="1">
      <c r="A218" s="294" t="s">
        <v>728</v>
      </c>
      <c r="B218" s="97"/>
      <c r="C218" s="77"/>
      <c r="D218" s="55"/>
      <c r="E218" s="55"/>
      <c r="F218" s="53"/>
      <c r="G218" s="79"/>
      <c r="H218" s="79"/>
      <c r="I218" s="79"/>
      <c r="J218" s="34"/>
      <c r="K218" s="34"/>
      <c r="L218" s="34"/>
      <c r="M218" s="34"/>
      <c r="N218" s="34"/>
    </row>
    <row r="219" spans="1:14" ht="20.25" customHeight="1">
      <c r="A219" s="294" t="s">
        <v>729</v>
      </c>
      <c r="B219" s="97"/>
      <c r="C219" s="74" t="s">
        <v>295</v>
      </c>
      <c r="D219" s="153">
        <f>SUM(D220:D220)</f>
        <v>0</v>
      </c>
      <c r="E219" s="153">
        <f>SUM(E220:E220)</f>
        <v>116</v>
      </c>
      <c r="F219" s="103">
        <f>SUM(F220:F220)</f>
        <v>116</v>
      </c>
      <c r="G219" s="103">
        <f>SUM(G220:G220)</f>
        <v>161</v>
      </c>
      <c r="H219" s="103">
        <f>SUM(H220:H220)</f>
        <v>0</v>
      </c>
      <c r="I219" s="103">
        <f>SUM(G219:H219)</f>
        <v>161</v>
      </c>
      <c r="J219" s="34"/>
      <c r="K219" s="34"/>
      <c r="L219" s="34"/>
      <c r="M219" s="34"/>
      <c r="N219" s="34"/>
    </row>
    <row r="220" spans="1:14" ht="31.5" customHeight="1">
      <c r="A220" s="294" t="s">
        <v>730</v>
      </c>
      <c r="B220" s="97"/>
      <c r="C220" s="558" t="s">
        <v>874</v>
      </c>
      <c r="D220" s="175">
        <f>'[8]ÖK - KIADÁSOK'!E221</f>
        <v>0</v>
      </c>
      <c r="E220" s="175">
        <f>'[8]ÖK - KIADÁSOK'!F221</f>
        <v>116</v>
      </c>
      <c r="F220" s="176">
        <f>'[8]ÖK - KIADÁSOK'!G221</f>
        <v>116</v>
      </c>
      <c r="G220" s="313">
        <f>'[8]ÖK - KIADÁSOK'!H221</f>
        <v>161</v>
      </c>
      <c r="H220" s="313">
        <v>0</v>
      </c>
      <c r="I220" s="313">
        <v>161</v>
      </c>
      <c r="J220" s="34"/>
      <c r="K220" s="34"/>
      <c r="L220" s="34"/>
      <c r="M220" s="34"/>
      <c r="N220" s="4"/>
    </row>
    <row r="221" spans="1:14" ht="33.75" customHeight="1">
      <c r="A221" s="294" t="s">
        <v>731</v>
      </c>
      <c r="B221" s="563" t="s">
        <v>481</v>
      </c>
      <c r="C221" s="559" t="s">
        <v>482</v>
      </c>
      <c r="D221" s="562">
        <f>SUM(D222:D224)</f>
        <v>12827</v>
      </c>
      <c r="E221" s="562">
        <f>SUM(E222:E224)</f>
        <v>12827</v>
      </c>
      <c r="F221" s="560">
        <f>SUM(F222:F224)</f>
        <v>12826</v>
      </c>
      <c r="G221" s="560">
        <f>SUM(G222:G224)</f>
        <v>52365</v>
      </c>
      <c r="H221" s="560">
        <f>SUM(H222:H224)</f>
        <v>0</v>
      </c>
      <c r="I221" s="560">
        <f>SUM(G221:H221)</f>
        <v>52365</v>
      </c>
      <c r="J221" s="45"/>
      <c r="K221" s="3"/>
      <c r="L221" s="3"/>
      <c r="M221" s="3"/>
      <c r="N221" s="3"/>
    </row>
    <row r="222" spans="1:14" ht="19.5" customHeight="1">
      <c r="A222" s="294" t="s">
        <v>732</v>
      </c>
      <c r="B222" s="97"/>
      <c r="C222" s="64" t="s">
        <v>875</v>
      </c>
      <c r="D222" s="55"/>
      <c r="E222" s="55"/>
      <c r="F222" s="79"/>
      <c r="G222" s="63">
        <v>40000</v>
      </c>
      <c r="H222" s="63">
        <v>0</v>
      </c>
      <c r="I222" s="63">
        <f>SUM(G222:H222)</f>
        <v>40000</v>
      </c>
      <c r="J222" s="3"/>
      <c r="K222" s="3"/>
      <c r="L222" s="3"/>
      <c r="M222" s="3"/>
      <c r="N222" s="3"/>
    </row>
    <row r="223" spans="1:14" ht="29.25" customHeight="1">
      <c r="A223" s="294" t="s">
        <v>733</v>
      </c>
      <c r="B223" s="97"/>
      <c r="C223" s="72" t="s">
        <v>876</v>
      </c>
      <c r="D223" s="55">
        <v>0</v>
      </c>
      <c r="E223" s="55">
        <v>0</v>
      </c>
      <c r="F223" s="79">
        <v>0</v>
      </c>
      <c r="G223" s="63">
        <v>0</v>
      </c>
      <c r="H223" s="63">
        <v>0</v>
      </c>
      <c r="I223" s="63">
        <f>SUM(G223:H223)</f>
        <v>0</v>
      </c>
      <c r="J223" s="3"/>
      <c r="K223" s="3"/>
      <c r="L223" s="3"/>
      <c r="M223" s="3"/>
      <c r="N223" s="3"/>
    </row>
    <row r="224" spans="1:14" ht="18.75" customHeight="1">
      <c r="A224" s="294" t="s">
        <v>734</v>
      </c>
      <c r="B224" s="97"/>
      <c r="C224" s="64" t="s">
        <v>519</v>
      </c>
      <c r="D224" s="55">
        <f>'[8]ÖK - KIADÁSOK'!E225</f>
        <v>12827</v>
      </c>
      <c r="E224" s="55">
        <f>'[8]ÖK - KIADÁSOK'!F225</f>
        <v>12827</v>
      </c>
      <c r="F224" s="79">
        <f>'[8]ÖK - KIADÁSOK'!G225</f>
        <v>12826</v>
      </c>
      <c r="G224" s="63">
        <f>'[8]ÖK - KIADÁSOK'!H225</f>
        <v>12365</v>
      </c>
      <c r="H224" s="63">
        <v>0</v>
      </c>
      <c r="I224" s="63">
        <f>SUM(G224:H224)</f>
        <v>12365</v>
      </c>
      <c r="J224" s="3"/>
      <c r="K224" s="3"/>
      <c r="L224" s="3"/>
      <c r="M224" s="3"/>
      <c r="N224" s="3"/>
    </row>
    <row r="225" spans="1:14" ht="37.5" customHeight="1">
      <c r="A225" s="294" t="s">
        <v>735</v>
      </c>
      <c r="B225" s="809" t="s">
        <v>309</v>
      </c>
      <c r="C225" s="810"/>
      <c r="D225" s="365" t="e">
        <f aca="true" t="shared" si="25" ref="D225:I225">D7+D35+D79+D129+D134+D162+D200+D215+D221</f>
        <v>#REF!</v>
      </c>
      <c r="E225" s="365" t="e">
        <f t="shared" si="25"/>
        <v>#REF!</v>
      </c>
      <c r="F225" s="353" t="e">
        <f t="shared" si="25"/>
        <v>#REF!</v>
      </c>
      <c r="G225" s="353">
        <f t="shared" si="25"/>
        <v>1158740.7</v>
      </c>
      <c r="H225" s="353">
        <f t="shared" si="25"/>
        <v>1538640</v>
      </c>
      <c r="I225" s="353">
        <f t="shared" si="25"/>
        <v>2697380.7</v>
      </c>
      <c r="J225" s="45"/>
      <c r="K225" s="3"/>
      <c r="L225" s="3"/>
      <c r="M225" s="3"/>
      <c r="N225" s="3"/>
    </row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</sheetData>
  <sheetProtection password="CD92" sheet="1"/>
  <mergeCells count="56">
    <mergeCell ref="B4:B5"/>
    <mergeCell ref="C4:C5"/>
    <mergeCell ref="G4:G5"/>
    <mergeCell ref="A1:I1"/>
    <mergeCell ref="A2:I2"/>
    <mergeCell ref="H4:H5"/>
    <mergeCell ref="I4:I5"/>
    <mergeCell ref="A73:I73"/>
    <mergeCell ref="A74:I74"/>
    <mergeCell ref="A4:A5"/>
    <mergeCell ref="D4:D5"/>
    <mergeCell ref="E4:E5"/>
    <mergeCell ref="F4:F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123:I123"/>
    <mergeCell ref="A124:I124"/>
    <mergeCell ref="A126:A127"/>
    <mergeCell ref="B126:B127"/>
    <mergeCell ref="C126:C127"/>
    <mergeCell ref="D126:D127"/>
    <mergeCell ref="E126:E127"/>
    <mergeCell ref="F159:F160"/>
    <mergeCell ref="F126:F127"/>
    <mergeCell ref="G126:G127"/>
    <mergeCell ref="H126:H127"/>
    <mergeCell ref="I126:I127"/>
    <mergeCell ref="A156:I156"/>
    <mergeCell ref="A157:I157"/>
    <mergeCell ref="A197:A198"/>
    <mergeCell ref="B197:B198"/>
    <mergeCell ref="C197:C198"/>
    <mergeCell ref="D197:D198"/>
    <mergeCell ref="E197:E198"/>
    <mergeCell ref="A159:A160"/>
    <mergeCell ref="B159:B160"/>
    <mergeCell ref="C159:C160"/>
    <mergeCell ref="D159:D160"/>
    <mergeCell ref="E159:E160"/>
    <mergeCell ref="F197:F198"/>
    <mergeCell ref="G197:G198"/>
    <mergeCell ref="H197:H198"/>
    <mergeCell ref="I197:I198"/>
    <mergeCell ref="B225:C225"/>
    <mergeCell ref="G159:G160"/>
    <mergeCell ref="H159:H160"/>
    <mergeCell ref="I159:I160"/>
    <mergeCell ref="A194:I194"/>
    <mergeCell ref="A195:I195"/>
  </mergeCells>
  <printOptions/>
  <pageMargins left="0.5905511811023623" right="0.2362204724409449" top="0.31496062992125984" bottom="0.31496062992125984" header="0.1968503937007874" footer="0.1968503937007874"/>
  <pageSetup horizontalDpi="600" verticalDpi="600" orientation="portrait" paperSize="9" scale="48" r:id="rId1"/>
  <headerFooter alignWithMargins="0">
    <oddHeader>&amp;L2.melléklet&amp;X1&amp;R2/2019.(II.15.) ÖK rendelethez</oddHeader>
    <oddFooter>&amp;L&amp;X1&amp;XMód: 7/2019.(V.31.) ÖK rendelet</oddFooter>
  </headerFooter>
  <rowBreaks count="5" manualBreakCount="5">
    <brk id="72" max="8" man="1"/>
    <brk id="122" max="8" man="1"/>
    <brk id="155" max="8" man="1"/>
    <brk id="193" max="8" man="1"/>
    <brk id="26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SheetLayoutView="100" workbookViewId="0" topLeftCell="A1">
      <selection activeCell="H8" sqref="H8"/>
    </sheetView>
  </sheetViews>
  <sheetFormatPr defaultColWidth="9.140625" defaultRowHeight="12.75"/>
  <cols>
    <col min="1" max="1" width="42.8515625" style="44" customWidth="1"/>
    <col min="2" max="7" width="7.00390625" style="44" customWidth="1"/>
    <col min="8" max="8" width="7.00390625" style="399" customWidth="1"/>
    <col min="9" max="12" width="7.00390625" style="44" customWidth="1"/>
    <col min="13" max="13" width="10.421875" style="44" customWidth="1"/>
    <col min="14" max="16384" width="9.140625" style="44" customWidth="1"/>
  </cols>
  <sheetData>
    <row r="1" spans="1:13" ht="30" customHeight="1">
      <c r="A1" s="1035" t="s">
        <v>264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</row>
    <row r="2" spans="1:13" ht="21.75" customHeight="1">
      <c r="A2" s="1036" t="s">
        <v>785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</row>
    <row r="3" spans="1:13" ht="21.75" customHeight="1">
      <c r="A3" s="1037" t="s">
        <v>927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</row>
    <row r="4" spans="1:13" ht="21.75" customHeight="1">
      <c r="A4" s="593" t="s">
        <v>920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1:13" ht="51.75" customHeight="1">
      <c r="A5" s="439" t="s">
        <v>789</v>
      </c>
      <c r="B5" s="394">
        <v>2018</v>
      </c>
      <c r="C5" s="394">
        <v>2019</v>
      </c>
      <c r="D5" s="394">
        <v>2020</v>
      </c>
      <c r="E5" s="394">
        <v>2021</v>
      </c>
      <c r="F5" s="394">
        <v>2022</v>
      </c>
      <c r="G5" s="394">
        <v>2023</v>
      </c>
      <c r="H5" s="394">
        <v>2024</v>
      </c>
      <c r="I5" s="394">
        <v>2025</v>
      </c>
      <c r="J5" s="394">
        <v>2026</v>
      </c>
      <c r="K5" s="394">
        <v>2027</v>
      </c>
      <c r="L5" s="394">
        <v>2028</v>
      </c>
      <c r="M5" s="394" t="s">
        <v>269</v>
      </c>
    </row>
    <row r="6" spans="1:13" ht="26.25" customHeight="1">
      <c r="A6" s="395" t="s">
        <v>786</v>
      </c>
      <c r="B6" s="396">
        <v>0</v>
      </c>
      <c r="C6" s="396">
        <v>0</v>
      </c>
      <c r="D6" s="396">
        <f>4000+560</f>
        <v>4560</v>
      </c>
      <c r="E6" s="396">
        <f>4300+260</f>
        <v>4560</v>
      </c>
      <c r="F6" s="396">
        <f aca="true" t="shared" si="0" ref="F6:K6">4300+260</f>
        <v>4560</v>
      </c>
      <c r="G6" s="396">
        <f t="shared" si="0"/>
        <v>4560</v>
      </c>
      <c r="H6" s="396">
        <f t="shared" si="0"/>
        <v>4560</v>
      </c>
      <c r="I6" s="396">
        <f t="shared" si="0"/>
        <v>4560</v>
      </c>
      <c r="J6" s="396">
        <f t="shared" si="0"/>
        <v>4560</v>
      </c>
      <c r="K6" s="396">
        <f t="shared" si="0"/>
        <v>4560</v>
      </c>
      <c r="L6" s="396">
        <v>3520</v>
      </c>
      <c r="M6" s="396">
        <f>SUM(B6:L6)</f>
        <v>40000</v>
      </c>
    </row>
    <row r="7" spans="1:13" ht="27" customHeight="1">
      <c r="A7" s="395" t="s">
        <v>787</v>
      </c>
      <c r="B7" s="396">
        <f>0+63</f>
        <v>63</v>
      </c>
      <c r="C7" s="396">
        <f>0+1000</f>
        <v>1000</v>
      </c>
      <c r="D7" s="396">
        <f>1485-85</f>
        <v>1400</v>
      </c>
      <c r="E7" s="396">
        <f>1185+15</f>
        <v>1200</v>
      </c>
      <c r="F7" s="396">
        <v>1100</v>
      </c>
      <c r="G7" s="396">
        <v>950</v>
      </c>
      <c r="H7" s="396">
        <v>750</v>
      </c>
      <c r="I7" s="396">
        <v>600</v>
      </c>
      <c r="J7" s="396">
        <v>400</v>
      </c>
      <c r="K7" s="396">
        <v>250</v>
      </c>
      <c r="L7" s="396">
        <v>70</v>
      </c>
      <c r="M7" s="396">
        <f>SUM(B7:L7)</f>
        <v>7783</v>
      </c>
    </row>
    <row r="8" spans="1:13" ht="36.75" customHeight="1">
      <c r="A8" s="397" t="s">
        <v>318</v>
      </c>
      <c r="B8" s="398">
        <f>SUM(B6:B7)</f>
        <v>63</v>
      </c>
      <c r="C8" s="398">
        <f>SUM(C6:C7)</f>
        <v>1000</v>
      </c>
      <c r="D8" s="398">
        <f>SUM(D6:D7)</f>
        <v>5960</v>
      </c>
      <c r="E8" s="398">
        <f>SUM(E6:E7)</f>
        <v>5760</v>
      </c>
      <c r="F8" s="398">
        <f aca="true" t="shared" si="1" ref="F8:M8">SUM(F6:F7)</f>
        <v>5660</v>
      </c>
      <c r="G8" s="398">
        <f t="shared" si="1"/>
        <v>5510</v>
      </c>
      <c r="H8" s="398">
        <f t="shared" si="1"/>
        <v>5310</v>
      </c>
      <c r="I8" s="398">
        <f t="shared" si="1"/>
        <v>5160</v>
      </c>
      <c r="J8" s="398">
        <f t="shared" si="1"/>
        <v>4960</v>
      </c>
      <c r="K8" s="398">
        <f t="shared" si="1"/>
        <v>4810</v>
      </c>
      <c r="L8" s="398">
        <f t="shared" si="1"/>
        <v>3590</v>
      </c>
      <c r="M8" s="398">
        <f t="shared" si="1"/>
        <v>47783</v>
      </c>
    </row>
    <row r="9" spans="1:13" ht="20.25">
      <c r="A9" s="440" t="s">
        <v>788</v>
      </c>
      <c r="B9" s="441"/>
      <c r="C9" s="442"/>
      <c r="D9" s="442"/>
      <c r="E9" s="443"/>
      <c r="F9" s="443"/>
      <c r="G9" s="443"/>
      <c r="H9" s="444"/>
      <c r="I9" s="443"/>
      <c r="J9" s="443"/>
      <c r="K9" s="443"/>
      <c r="L9" s="441"/>
      <c r="M9" s="445"/>
    </row>
  </sheetData>
  <sheetProtection password="CD92" sheet="1"/>
  <mergeCells count="3">
    <mergeCell ref="A1:M1"/>
    <mergeCell ref="A2:M2"/>
    <mergeCell ref="A3:M3"/>
  </mergeCells>
  <printOptions/>
  <pageMargins left="0.5905511811023623" right="0.1968503937007874" top="0.6299212598425197" bottom="1.2598425196850394" header="0.2755905511811024" footer="0.5905511811023623"/>
  <pageSetup horizontalDpi="600" verticalDpi="600" orientation="landscape" paperSize="9" scale="85" r:id="rId1"/>
  <headerFooter alignWithMargins="0">
    <oddHeader>&amp;L20.melléklet&amp;R2/2019.(II.15.) ÖK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.7109375" style="437" customWidth="1"/>
    <col min="2" max="2" width="49.7109375" style="49" customWidth="1"/>
    <col min="3" max="3" width="11.140625" style="50" customWidth="1"/>
    <col min="4" max="4" width="10.7109375" style="49" customWidth="1"/>
    <col min="5" max="5" width="11.421875" style="49" customWidth="1"/>
    <col min="6" max="6" width="12.7109375" style="49" customWidth="1"/>
    <col min="7" max="8" width="17.8515625" style="49" bestFit="1" customWidth="1"/>
    <col min="9" max="14" width="19.140625" style="49" customWidth="1"/>
    <col min="15" max="15" width="14.421875" style="49" bestFit="1" customWidth="1"/>
    <col min="16" max="16" width="22.28125" style="48" customWidth="1"/>
    <col min="17" max="17" width="19.00390625" style="48" customWidth="1"/>
    <col min="18" max="19" width="10.57421875" style="48" customWidth="1"/>
    <col min="20" max="27" width="14.421875" style="48" customWidth="1"/>
    <col min="28" max="28" width="14.421875" style="27" customWidth="1"/>
    <col min="29" max="29" width="14.57421875" style="27" customWidth="1"/>
    <col min="30" max="31" width="14.421875" style="27" customWidth="1"/>
    <col min="32" max="32" width="9.140625" style="27" customWidth="1"/>
    <col min="33" max="33" width="14.140625" style="27" customWidth="1"/>
    <col min="34" max="16384" width="9.140625" style="27" customWidth="1"/>
  </cols>
  <sheetData>
    <row r="1" spans="1:6" ht="26.25" customHeight="1">
      <c r="A1" s="1035" t="s">
        <v>264</v>
      </c>
      <c r="B1" s="1035"/>
      <c r="C1" s="1035"/>
      <c r="D1" s="1035"/>
      <c r="E1" s="1035"/>
      <c r="F1" s="1035"/>
    </row>
    <row r="2" spans="1:6" ht="33.75" customHeight="1">
      <c r="A2" s="1038" t="s">
        <v>902</v>
      </c>
      <c r="B2" s="1038"/>
      <c r="C2" s="1038"/>
      <c r="D2" s="1038"/>
      <c r="E2" s="1038"/>
      <c r="F2" s="1038"/>
    </row>
    <row r="3" spans="1:6" ht="12.75" customHeight="1">
      <c r="A3" s="1047" t="s">
        <v>523</v>
      </c>
      <c r="B3" s="1047"/>
      <c r="C3" s="1047"/>
      <c r="D3" s="1047"/>
      <c r="E3" s="1047"/>
      <c r="F3" s="1047"/>
    </row>
    <row r="4" spans="1:6" ht="28.5" customHeight="1">
      <c r="A4" s="1052" t="s">
        <v>303</v>
      </c>
      <c r="B4" s="1053"/>
      <c r="C4" s="400" t="s">
        <v>903</v>
      </c>
      <c r="D4" s="400" t="s">
        <v>904</v>
      </c>
      <c r="E4" s="400" t="s">
        <v>905</v>
      </c>
      <c r="F4" s="400" t="s">
        <v>918</v>
      </c>
    </row>
    <row r="5" spans="1:27" s="430" customFormat="1" ht="24.75" customHeight="1">
      <c r="A5" s="1048" t="s">
        <v>906</v>
      </c>
      <c r="B5" s="1049"/>
      <c r="C5" s="588">
        <f>'19.mell. saját bevétel'!D4</f>
        <v>8000</v>
      </c>
      <c r="D5" s="588">
        <f>'19.mell. saját bevétel'!E4</f>
        <v>144000</v>
      </c>
      <c r="E5" s="588">
        <f>'19.mell. saját bevétel'!F4</f>
        <v>144000</v>
      </c>
      <c r="F5" s="588">
        <f>'19.mell. saját bevétel'!G4</f>
        <v>144000</v>
      </c>
      <c r="G5" s="428"/>
      <c r="H5" s="428"/>
      <c r="I5" s="428"/>
      <c r="J5" s="428"/>
      <c r="K5" s="428"/>
      <c r="L5" s="428"/>
      <c r="M5" s="428"/>
      <c r="N5" s="428"/>
      <c r="O5" s="428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</row>
    <row r="6" spans="1:6" ht="24" customHeight="1">
      <c r="A6" s="1048" t="s">
        <v>907</v>
      </c>
      <c r="B6" s="1049"/>
      <c r="C6" s="588">
        <f>'19.mell. saját bevétel'!D5</f>
        <v>0</v>
      </c>
      <c r="D6" s="588">
        <f>'19.mell. saját bevétel'!E5</f>
        <v>17500</v>
      </c>
      <c r="E6" s="588">
        <f>'19.mell. saját bevétel'!F5</f>
        <v>17500</v>
      </c>
      <c r="F6" s="588">
        <f>'19.mell. saját bevétel'!G5</f>
        <v>17500</v>
      </c>
    </row>
    <row r="7" spans="1:27" s="430" customFormat="1" ht="32.25" customHeight="1">
      <c r="A7" s="1048" t="s">
        <v>908</v>
      </c>
      <c r="B7" s="1049"/>
      <c r="C7" s="588">
        <f>'19.mell. saját bevétel'!D8</f>
        <v>175480</v>
      </c>
      <c r="D7" s="588">
        <f>'19.mell. saját bevétel'!E8</f>
        <v>9650</v>
      </c>
      <c r="E7" s="588">
        <f>'19.mell. saját bevétel'!F8</f>
        <v>9650</v>
      </c>
      <c r="F7" s="588">
        <f>'19.mell. saját bevétel'!G8</f>
        <v>9650</v>
      </c>
      <c r="G7" s="428"/>
      <c r="H7" s="428"/>
      <c r="I7" s="428"/>
      <c r="J7" s="428"/>
      <c r="K7" s="428"/>
      <c r="L7" s="428"/>
      <c r="M7" s="428"/>
      <c r="N7" s="428"/>
      <c r="O7" s="428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</row>
    <row r="8" spans="1:6" ht="34.5" customHeight="1">
      <c r="A8" s="1050" t="s">
        <v>909</v>
      </c>
      <c r="B8" s="1051"/>
      <c r="C8" s="588">
        <f>'19.mell. saját bevétel'!D7</f>
        <v>1260</v>
      </c>
      <c r="D8" s="588">
        <f>'19.mell. saját bevétel'!E7</f>
        <v>3000</v>
      </c>
      <c r="E8" s="588">
        <f>'19.mell. saját bevétel'!F7</f>
        <v>3000</v>
      </c>
      <c r="F8" s="588">
        <f>'19.mell. saját bevétel'!G7</f>
        <v>2000</v>
      </c>
    </row>
    <row r="9" spans="1:6" ht="38.25" customHeight="1">
      <c r="A9" s="1050" t="s">
        <v>910</v>
      </c>
      <c r="B9" s="1051"/>
      <c r="C9" s="588">
        <v>0</v>
      </c>
      <c r="D9" s="588">
        <v>0</v>
      </c>
      <c r="E9" s="588">
        <v>0</v>
      </c>
      <c r="F9" s="592">
        <v>0</v>
      </c>
    </row>
    <row r="10" spans="1:6" ht="24" customHeight="1">
      <c r="A10" s="1050" t="s">
        <v>911</v>
      </c>
      <c r="B10" s="1051"/>
      <c r="C10" s="588">
        <v>0</v>
      </c>
      <c r="D10" s="588">
        <v>0</v>
      </c>
      <c r="E10" s="588">
        <v>0</v>
      </c>
      <c r="F10" s="592">
        <v>0</v>
      </c>
    </row>
    <row r="11" spans="1:6" ht="31.5" customHeight="1">
      <c r="A11" s="1050" t="s">
        <v>912</v>
      </c>
      <c r="B11" s="1051"/>
      <c r="C11" s="588">
        <v>0</v>
      </c>
      <c r="D11" s="588">
        <v>0</v>
      </c>
      <c r="E11" s="588">
        <v>0</v>
      </c>
      <c r="F11" s="592">
        <v>0</v>
      </c>
    </row>
    <row r="12" spans="1:6" ht="21.75" customHeight="1">
      <c r="A12" s="1045" t="s">
        <v>913</v>
      </c>
      <c r="B12" s="1046"/>
      <c r="C12" s="398">
        <f>SUM(C5:C11)</f>
        <v>184740</v>
      </c>
      <c r="D12" s="398">
        <f>SUM(D5:D11)</f>
        <v>174150</v>
      </c>
      <c r="E12" s="398">
        <f>SUM(E5:E11)</f>
        <v>174150</v>
      </c>
      <c r="F12" s="398">
        <f>SUM(F5:F11)</f>
        <v>173150</v>
      </c>
    </row>
    <row r="13" spans="1:6" ht="28.5" customHeight="1">
      <c r="A13" s="1039" t="s">
        <v>749</v>
      </c>
      <c r="B13" s="1040"/>
      <c r="C13" s="398">
        <f>C12*50%</f>
        <v>92370</v>
      </c>
      <c r="D13" s="398">
        <f>D12*50%</f>
        <v>87075</v>
      </c>
      <c r="E13" s="398">
        <f>E12*50%</f>
        <v>87075</v>
      </c>
      <c r="F13" s="398">
        <f>F12*50%</f>
        <v>86575</v>
      </c>
    </row>
    <row r="14" spans="1:6" ht="27.75" customHeight="1">
      <c r="A14" s="589" t="s">
        <v>919</v>
      </c>
      <c r="B14" s="590"/>
      <c r="C14" s="209">
        <v>1000</v>
      </c>
      <c r="D14" s="209">
        <v>5960</v>
      </c>
      <c r="E14" s="209">
        <v>5760</v>
      </c>
      <c r="F14" s="209">
        <v>5660</v>
      </c>
    </row>
    <row r="15" spans="1:6" ht="26.25" customHeight="1">
      <c r="A15" s="1043" t="s">
        <v>915</v>
      </c>
      <c r="B15" s="1044"/>
      <c r="C15" s="208">
        <v>1000</v>
      </c>
      <c r="D15" s="208">
        <v>5960</v>
      </c>
      <c r="E15" s="208">
        <v>5760</v>
      </c>
      <c r="F15" s="208">
        <v>5660</v>
      </c>
    </row>
    <row r="16" spans="1:6" ht="32.25" customHeight="1">
      <c r="A16" s="1041" t="s">
        <v>914</v>
      </c>
      <c r="B16" s="1042"/>
      <c r="C16" s="209">
        <f>C17</f>
        <v>63</v>
      </c>
      <c r="D16" s="209">
        <f>D17</f>
        <v>1000</v>
      </c>
      <c r="E16" s="209">
        <f>E17</f>
        <v>5960</v>
      </c>
      <c r="F16" s="209">
        <f>F17</f>
        <v>5760</v>
      </c>
    </row>
    <row r="17" spans="1:15" s="435" customFormat="1" ht="27" customHeight="1">
      <c r="A17" s="1043" t="s">
        <v>915</v>
      </c>
      <c r="B17" s="1044"/>
      <c r="C17" s="432">
        <v>63</v>
      </c>
      <c r="D17" s="432">
        <v>1000</v>
      </c>
      <c r="E17" s="432">
        <v>5960</v>
      </c>
      <c r="F17" s="432">
        <v>5760</v>
      </c>
      <c r="G17" s="434"/>
      <c r="H17" s="434"/>
      <c r="I17" s="434"/>
      <c r="J17" s="434"/>
      <c r="K17" s="434"/>
      <c r="L17" s="434"/>
      <c r="M17" s="434"/>
      <c r="N17" s="434"/>
      <c r="O17" s="434"/>
    </row>
    <row r="18" spans="1:15" s="435" customFormat="1" ht="29.25" customHeight="1">
      <c r="A18" s="1045" t="s">
        <v>916</v>
      </c>
      <c r="B18" s="1046"/>
      <c r="C18" s="591">
        <f>C14+C16</f>
        <v>1063</v>
      </c>
      <c r="D18" s="591">
        <f>D14+D16</f>
        <v>6960</v>
      </c>
      <c r="E18" s="591">
        <f>E14+E16</f>
        <v>11720</v>
      </c>
      <c r="F18" s="591">
        <f>F14+F16</f>
        <v>11420</v>
      </c>
      <c r="G18" s="434"/>
      <c r="H18" s="434"/>
      <c r="I18" s="434"/>
      <c r="J18" s="434"/>
      <c r="K18" s="434"/>
      <c r="L18" s="434"/>
      <c r="M18" s="434"/>
      <c r="N18" s="434"/>
      <c r="O18" s="434"/>
    </row>
    <row r="19" spans="1:15" s="435" customFormat="1" ht="29.25" customHeight="1">
      <c r="A19" s="1045" t="s">
        <v>917</v>
      </c>
      <c r="B19" s="1046"/>
      <c r="C19" s="591">
        <f>C13-C18</f>
        <v>91307</v>
      </c>
      <c r="D19" s="591">
        <f>D13-D18</f>
        <v>80115</v>
      </c>
      <c r="E19" s="591">
        <f>E13-E18</f>
        <v>75355</v>
      </c>
      <c r="F19" s="591">
        <f>F13-F18</f>
        <v>75155</v>
      </c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6" ht="45" customHeight="1">
      <c r="A20" s="1038" t="s">
        <v>926</v>
      </c>
      <c r="B20" s="1038"/>
      <c r="C20" s="1038"/>
      <c r="D20" s="1038"/>
      <c r="E20" s="1038"/>
      <c r="F20" s="1038"/>
    </row>
  </sheetData>
  <sheetProtection password="CD92" sheet="1"/>
  <mergeCells count="19">
    <mergeCell ref="A2:F2"/>
    <mergeCell ref="A8:B8"/>
    <mergeCell ref="A9:B9"/>
    <mergeCell ref="A10:B10"/>
    <mergeCell ref="A11:B11"/>
    <mergeCell ref="A12:B12"/>
    <mergeCell ref="A4:B4"/>
    <mergeCell ref="A5:B5"/>
    <mergeCell ref="A6:B6"/>
    <mergeCell ref="A20:F20"/>
    <mergeCell ref="A1:F1"/>
    <mergeCell ref="A13:B13"/>
    <mergeCell ref="A16:B16"/>
    <mergeCell ref="A17:B17"/>
    <mergeCell ref="A18:B18"/>
    <mergeCell ref="A19:B19"/>
    <mergeCell ref="A3:F3"/>
    <mergeCell ref="A15:B1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&amp;L21.melléklet&amp;R2/2019.(II.15.) ÖK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SheetLayoutView="100" workbookViewId="0" topLeftCell="A1">
      <selection activeCell="K47" sqref="K47"/>
    </sheetView>
  </sheetViews>
  <sheetFormatPr defaultColWidth="9.140625" defaultRowHeight="12.75"/>
  <cols>
    <col min="1" max="1" width="5.57421875" style="145" customWidth="1"/>
    <col min="2" max="2" width="8.8515625" style="53" customWidth="1"/>
    <col min="3" max="3" width="74.00390625" style="53" customWidth="1"/>
    <col min="4" max="4" width="14.421875" style="53" customWidth="1"/>
    <col min="5" max="5" width="7.140625" style="3" customWidth="1"/>
    <col min="6" max="6" width="14.7109375" style="3" customWidth="1"/>
    <col min="7" max="7" width="20.00390625" style="3" customWidth="1"/>
    <col min="8" max="8" width="14.7109375" style="3" customWidth="1"/>
    <col min="9" max="10" width="10.28125" style="3" bestFit="1" customWidth="1"/>
    <col min="11" max="12" width="9.140625" style="3" customWidth="1"/>
    <col min="13" max="13" width="10.421875" style="3" bestFit="1" customWidth="1"/>
    <col min="14" max="14" width="9.140625" style="3" customWidth="1"/>
    <col min="15" max="17" width="10.140625" style="3" bestFit="1" customWidth="1"/>
    <col min="18" max="16384" width="9.140625" style="3" customWidth="1"/>
  </cols>
  <sheetData>
    <row r="1" spans="1:7" ht="23.25" customHeight="1">
      <c r="A1" s="1061" t="s">
        <v>321</v>
      </c>
      <c r="B1" s="1061"/>
      <c r="C1" s="1061"/>
      <c r="D1" s="1061"/>
      <c r="E1" s="1061"/>
      <c r="F1" s="307"/>
      <c r="G1" s="307"/>
    </row>
    <row r="2" spans="1:9" ht="23.25" customHeight="1">
      <c r="A2" s="1061" t="s">
        <v>889</v>
      </c>
      <c r="B2" s="1061"/>
      <c r="C2" s="1061"/>
      <c r="D2" s="1061"/>
      <c r="E2" s="1061"/>
      <c r="F2" s="307"/>
      <c r="G2" s="307"/>
      <c r="H2" s="307"/>
      <c r="I2" s="307"/>
    </row>
    <row r="3" spans="1:5" ht="15" customHeight="1">
      <c r="A3" s="59"/>
      <c r="B3" s="59"/>
      <c r="C3" s="1064" t="s">
        <v>406</v>
      </c>
      <c r="D3" s="59"/>
      <c r="E3" s="59"/>
    </row>
    <row r="4" spans="1:5" ht="23.25" customHeight="1">
      <c r="A4" s="59"/>
      <c r="B4" s="59"/>
      <c r="C4" s="1065"/>
      <c r="D4" s="62" t="s">
        <v>523</v>
      </c>
      <c r="E4" s="62"/>
    </row>
    <row r="5" spans="1:5" ht="24.75" customHeight="1">
      <c r="A5" s="1066" t="s">
        <v>32</v>
      </c>
      <c r="B5" s="1067"/>
      <c r="C5" s="1067"/>
      <c r="D5" s="1067"/>
      <c r="E5" s="185"/>
    </row>
    <row r="6" spans="1:5" ht="18" customHeight="1">
      <c r="A6" s="69" t="s">
        <v>276</v>
      </c>
      <c r="B6" s="186" t="s">
        <v>29</v>
      </c>
      <c r="C6" s="187"/>
      <c r="D6" s="188">
        <f>SUM(D7:D8)</f>
        <v>9400</v>
      </c>
      <c r="E6" s="189"/>
    </row>
    <row r="7" spans="1:5" ht="18" customHeight="1">
      <c r="A7" s="69" t="s">
        <v>277</v>
      </c>
      <c r="B7" s="190" t="s">
        <v>30</v>
      </c>
      <c r="C7" s="187"/>
      <c r="D7" s="125">
        <v>3400</v>
      </c>
      <c r="E7" s="191"/>
    </row>
    <row r="8" spans="1:5" ht="18" customHeight="1">
      <c r="A8" s="69" t="s">
        <v>278</v>
      </c>
      <c r="B8" s="190" t="s">
        <v>31</v>
      </c>
      <c r="C8" s="187"/>
      <c r="D8" s="125">
        <v>6000</v>
      </c>
      <c r="E8" s="191"/>
    </row>
    <row r="9" spans="1:5" ht="18" customHeight="1">
      <c r="A9" s="69" t="s">
        <v>279</v>
      </c>
      <c r="B9" s="190" t="s">
        <v>890</v>
      </c>
      <c r="C9" s="187"/>
      <c r="D9" s="192">
        <v>1037</v>
      </c>
      <c r="E9" s="193"/>
    </row>
    <row r="10" spans="1:5" ht="18" customHeight="1">
      <c r="A10" s="69" t="s">
        <v>280</v>
      </c>
      <c r="B10" s="190" t="s">
        <v>901</v>
      </c>
      <c r="C10" s="187"/>
      <c r="D10" s="192">
        <f>D46-10437</f>
        <v>586</v>
      </c>
      <c r="E10" s="193"/>
    </row>
    <row r="11" spans="1:5" ht="20.25" customHeight="1">
      <c r="A11" s="69" t="s">
        <v>281</v>
      </c>
      <c r="B11" s="1068" t="s">
        <v>308</v>
      </c>
      <c r="C11" s="1069"/>
      <c r="D11" s="65">
        <f>D6+D9+D10</f>
        <v>11023</v>
      </c>
      <c r="E11" s="36"/>
    </row>
    <row r="12" spans="1:5" ht="16.5" customHeight="1">
      <c r="A12" s="598"/>
      <c r="B12" s="142"/>
      <c r="C12" s="4"/>
      <c r="D12" s="36"/>
      <c r="E12" s="36"/>
    </row>
    <row r="13" spans="1:5" ht="15" customHeight="1">
      <c r="A13" s="1055" t="s">
        <v>503</v>
      </c>
      <c r="B13" s="1057" t="s">
        <v>502</v>
      </c>
      <c r="C13" s="1059" t="s">
        <v>501</v>
      </c>
      <c r="D13" s="1062" t="s">
        <v>664</v>
      </c>
      <c r="E13" s="194"/>
    </row>
    <row r="14" spans="1:6" ht="32.25" customHeight="1">
      <c r="A14" s="1056"/>
      <c r="B14" s="1058"/>
      <c r="C14" s="1060"/>
      <c r="D14" s="1063"/>
      <c r="E14" s="195"/>
      <c r="F14" s="45"/>
    </row>
    <row r="15" spans="1:11" ht="15.75" customHeight="1">
      <c r="A15" s="83" t="s">
        <v>270</v>
      </c>
      <c r="B15" s="83" t="s">
        <v>271</v>
      </c>
      <c r="C15" s="83" t="s">
        <v>452</v>
      </c>
      <c r="D15" s="83" t="s">
        <v>453</v>
      </c>
      <c r="E15" s="98"/>
      <c r="G15" s="45"/>
      <c r="H15" s="196" t="s">
        <v>407</v>
      </c>
      <c r="I15" s="33"/>
      <c r="J15" s="33"/>
      <c r="K15" s="33"/>
    </row>
    <row r="16" spans="1:11" ht="18" customHeight="1">
      <c r="A16" s="145" t="s">
        <v>276</v>
      </c>
      <c r="B16" s="97" t="s">
        <v>486</v>
      </c>
      <c r="C16" s="97" t="s">
        <v>320</v>
      </c>
      <c r="D16" s="103">
        <f>SUM(D17:D22)</f>
        <v>6923</v>
      </c>
      <c r="E16" s="105"/>
      <c r="F16" s="45"/>
      <c r="G16" s="45"/>
      <c r="H16" s="197" t="s">
        <v>356</v>
      </c>
      <c r="I16" s="33"/>
      <c r="J16" s="33"/>
      <c r="K16" s="33"/>
    </row>
    <row r="17" spans="1:11" ht="18.75" customHeight="1">
      <c r="A17" s="145" t="s">
        <v>277</v>
      </c>
      <c r="B17" s="159" t="s">
        <v>892</v>
      </c>
      <c r="C17" s="595" t="s">
        <v>354</v>
      </c>
      <c r="D17" s="79">
        <v>4651</v>
      </c>
      <c r="E17" s="45"/>
      <c r="G17" s="45"/>
      <c r="H17" s="33"/>
      <c r="I17" s="33"/>
      <c r="J17" s="33"/>
      <c r="K17" s="33"/>
    </row>
    <row r="18" spans="1:11" ht="17.25" customHeight="1">
      <c r="A18" s="145" t="s">
        <v>278</v>
      </c>
      <c r="B18" s="159" t="s">
        <v>893</v>
      </c>
      <c r="C18" s="198" t="s">
        <v>25</v>
      </c>
      <c r="D18" s="199">
        <v>868</v>
      </c>
      <c r="E18" s="38">
        <f>SUM(D18:D18)</f>
        <v>868</v>
      </c>
      <c r="F18" s="200"/>
      <c r="G18" s="201"/>
      <c r="H18" s="200"/>
      <c r="I18" s="200"/>
      <c r="J18" s="200"/>
      <c r="K18" s="200"/>
    </row>
    <row r="19" spans="1:11" ht="17.25" customHeight="1">
      <c r="A19" s="145" t="s">
        <v>279</v>
      </c>
      <c r="B19" s="159" t="s">
        <v>891</v>
      </c>
      <c r="C19" s="159" t="s">
        <v>896</v>
      </c>
      <c r="D19" s="199">
        <v>30</v>
      </c>
      <c r="E19" s="38"/>
      <c r="F19" s="200"/>
      <c r="G19" s="201"/>
      <c r="H19" s="200"/>
      <c r="I19" s="200"/>
      <c r="J19" s="200"/>
      <c r="K19" s="200"/>
    </row>
    <row r="20" spans="1:7" ht="17.25" customHeight="1">
      <c r="A20" s="145" t="s">
        <v>280</v>
      </c>
      <c r="B20" s="159" t="s">
        <v>408</v>
      </c>
      <c r="C20" s="143" t="s">
        <v>409</v>
      </c>
      <c r="D20" s="79">
        <v>150</v>
      </c>
      <c r="E20" s="26"/>
      <c r="F20" s="45"/>
      <c r="G20" s="45"/>
    </row>
    <row r="21" spans="1:7" ht="16.5" customHeight="1">
      <c r="A21" s="145" t="s">
        <v>281</v>
      </c>
      <c r="B21" s="159" t="s">
        <v>410</v>
      </c>
      <c r="C21" s="143" t="s">
        <v>411</v>
      </c>
      <c r="D21" s="79">
        <f>2*12</f>
        <v>24</v>
      </c>
      <c r="E21" s="26"/>
      <c r="F21" s="45">
        <f>(D17+D21)*19.5%</f>
        <v>911.625</v>
      </c>
      <c r="G21" s="45"/>
    </row>
    <row r="22" spans="1:8" ht="15">
      <c r="A22" s="145" t="s">
        <v>282</v>
      </c>
      <c r="B22" s="159" t="s">
        <v>894</v>
      </c>
      <c r="C22" s="144" t="s">
        <v>148</v>
      </c>
      <c r="D22" s="79">
        <v>1200</v>
      </c>
      <c r="E22" s="26"/>
      <c r="F22" s="32">
        <f>D22*90%*19.5%</f>
        <v>210.6</v>
      </c>
      <c r="G22" s="45"/>
      <c r="H22" s="202"/>
    </row>
    <row r="23" spans="1:7" ht="20.25" customHeight="1">
      <c r="A23" s="145" t="s">
        <v>283</v>
      </c>
      <c r="B23" s="97" t="s">
        <v>487</v>
      </c>
      <c r="C23" s="596" t="s">
        <v>488</v>
      </c>
      <c r="D23" s="103">
        <f>SUM(D24:D27)</f>
        <v>1303</v>
      </c>
      <c r="E23" s="38"/>
      <c r="F23" s="45"/>
      <c r="G23" s="45"/>
    </row>
    <row r="24" spans="1:7" ht="15.75" customHeight="1">
      <c r="A24" s="145" t="s">
        <v>284</v>
      </c>
      <c r="B24" s="159" t="s">
        <v>898</v>
      </c>
      <c r="C24" s="143" t="s">
        <v>27</v>
      </c>
      <c r="D24" s="79">
        <v>1122</v>
      </c>
      <c r="E24" s="26"/>
      <c r="F24" s="45">
        <f>SUM(F21:F22)</f>
        <v>1122.225</v>
      </c>
      <c r="G24" s="45"/>
    </row>
    <row r="25" spans="1:7" ht="21" customHeight="1">
      <c r="A25" s="145" t="s">
        <v>285</v>
      </c>
      <c r="B25" s="159" t="s">
        <v>898</v>
      </c>
      <c r="C25" s="306" t="s">
        <v>26</v>
      </c>
      <c r="D25" s="597">
        <v>169</v>
      </c>
      <c r="E25" s="38">
        <f>SUM(D25:D25)</f>
        <v>169</v>
      </c>
      <c r="F25" s="45"/>
      <c r="G25" s="45"/>
    </row>
    <row r="26" spans="1:7" ht="21" customHeight="1">
      <c r="A26" s="145" t="s">
        <v>286</v>
      </c>
      <c r="B26" s="159" t="s">
        <v>899</v>
      </c>
      <c r="C26" s="143" t="s">
        <v>895</v>
      </c>
      <c r="D26" s="79">
        <v>7</v>
      </c>
      <c r="E26" s="38"/>
      <c r="F26" s="45">
        <f>D19*1.18*19.5%</f>
        <v>6.903</v>
      </c>
      <c r="G26" s="45"/>
    </row>
    <row r="27" spans="1:7" ht="21" customHeight="1">
      <c r="A27" s="145" t="s">
        <v>287</v>
      </c>
      <c r="B27" s="159" t="s">
        <v>900</v>
      </c>
      <c r="C27" s="143" t="s">
        <v>897</v>
      </c>
      <c r="D27" s="79">
        <v>5</v>
      </c>
      <c r="E27" s="38"/>
      <c r="F27" s="45">
        <f>D19*1.18*15%</f>
        <v>5.31</v>
      </c>
      <c r="G27" s="45"/>
    </row>
    <row r="28" spans="1:7" ht="19.5" customHeight="1">
      <c r="A28" s="145" t="s">
        <v>288</v>
      </c>
      <c r="B28" s="97" t="s">
        <v>489</v>
      </c>
      <c r="C28" s="596" t="s">
        <v>323</v>
      </c>
      <c r="D28" s="103">
        <f>SUM(D29:D45)</f>
        <v>2797</v>
      </c>
      <c r="E28" s="105"/>
      <c r="F28" s="45"/>
      <c r="G28" s="45"/>
    </row>
    <row r="29" spans="1:7" ht="30" customHeight="1">
      <c r="A29" s="145" t="s">
        <v>289</v>
      </c>
      <c r="B29" s="159" t="s">
        <v>412</v>
      </c>
      <c r="C29" s="154" t="s">
        <v>413</v>
      </c>
      <c r="D29" s="79">
        <v>25</v>
      </c>
      <c r="E29" s="45"/>
      <c r="F29" s="45">
        <f>G29*5%</f>
        <v>1.25</v>
      </c>
      <c r="G29" s="45">
        <f>SUM(D29:D29)</f>
        <v>25</v>
      </c>
    </row>
    <row r="30" spans="1:7" ht="28.5" customHeight="1">
      <c r="A30" s="145" t="s">
        <v>290</v>
      </c>
      <c r="B30" s="159" t="s">
        <v>414</v>
      </c>
      <c r="C30" s="144" t="s">
        <v>415</v>
      </c>
      <c r="D30" s="79">
        <v>30</v>
      </c>
      <c r="E30" s="45"/>
      <c r="F30" s="45">
        <f>D30+D31+D32+D33+D34+D35+D36+D37+D38+D39+D40+D42</f>
        <v>860</v>
      </c>
      <c r="G30" s="45">
        <f>F30*27%</f>
        <v>232.20000000000002</v>
      </c>
    </row>
    <row r="31" spans="1:7" ht="30" customHeight="1">
      <c r="A31" s="145" t="s">
        <v>291</v>
      </c>
      <c r="B31" s="159" t="s">
        <v>416</v>
      </c>
      <c r="C31" s="144" t="s">
        <v>417</v>
      </c>
      <c r="D31" s="79">
        <v>40</v>
      </c>
      <c r="E31" s="45"/>
      <c r="F31" s="45"/>
      <c r="G31" s="45">
        <f>SUM(G29:G30)</f>
        <v>257.20000000000005</v>
      </c>
    </row>
    <row r="32" spans="1:7" ht="15.75" customHeight="1">
      <c r="A32" s="145" t="s">
        <v>292</v>
      </c>
      <c r="B32" s="159" t="s">
        <v>418</v>
      </c>
      <c r="C32" s="203" t="s">
        <v>357</v>
      </c>
      <c r="D32" s="79">
        <v>30</v>
      </c>
      <c r="E32" s="45"/>
      <c r="F32" s="45"/>
      <c r="G32" s="45"/>
    </row>
    <row r="33" spans="1:7" ht="44.25" customHeight="1">
      <c r="A33" s="145" t="s">
        <v>293</v>
      </c>
      <c r="B33" s="159" t="s">
        <v>419</v>
      </c>
      <c r="C33" s="144" t="s">
        <v>420</v>
      </c>
      <c r="D33" s="79">
        <v>50</v>
      </c>
      <c r="E33" s="45"/>
      <c r="F33" s="45"/>
      <c r="G33" s="45"/>
    </row>
    <row r="34" spans="1:7" ht="30" customHeight="1">
      <c r="A34" s="145" t="s">
        <v>294</v>
      </c>
      <c r="B34" s="159" t="s">
        <v>421</v>
      </c>
      <c r="C34" s="154" t="s">
        <v>250</v>
      </c>
      <c r="D34" s="79">
        <v>140</v>
      </c>
      <c r="E34" s="45"/>
      <c r="F34" s="45"/>
      <c r="G34" s="45"/>
    </row>
    <row r="35" spans="1:7" ht="15.75" customHeight="1">
      <c r="A35" s="145" t="s">
        <v>296</v>
      </c>
      <c r="B35" s="159" t="s">
        <v>422</v>
      </c>
      <c r="C35" s="143" t="s">
        <v>423</v>
      </c>
      <c r="D35" s="79">
        <v>180</v>
      </c>
      <c r="E35" s="45"/>
      <c r="F35" s="45"/>
      <c r="G35" s="45"/>
    </row>
    <row r="36" spans="1:7" ht="15.75" customHeight="1">
      <c r="A36" s="145" t="s">
        <v>297</v>
      </c>
      <c r="B36" s="159" t="s">
        <v>424</v>
      </c>
      <c r="C36" s="203" t="s">
        <v>425</v>
      </c>
      <c r="D36" s="79">
        <v>60</v>
      </c>
      <c r="E36" s="45"/>
      <c r="F36" s="45"/>
      <c r="G36" s="45"/>
    </row>
    <row r="37" spans="1:7" ht="15.75" customHeight="1">
      <c r="A37" s="145" t="s">
        <v>298</v>
      </c>
      <c r="B37" s="159" t="s">
        <v>426</v>
      </c>
      <c r="C37" s="203" t="s">
        <v>427</v>
      </c>
      <c r="D37" s="79">
        <v>200</v>
      </c>
      <c r="E37" s="45"/>
      <c r="F37" s="45"/>
      <c r="G37" s="45"/>
    </row>
    <row r="38" spans="1:7" ht="15.75" customHeight="1">
      <c r="A38" s="145" t="s">
        <v>299</v>
      </c>
      <c r="B38" s="159" t="s">
        <v>428</v>
      </c>
      <c r="C38" s="203" t="s">
        <v>358</v>
      </c>
      <c r="D38" s="79">
        <v>35</v>
      </c>
      <c r="E38" s="45"/>
      <c r="F38" s="45"/>
      <c r="G38" s="45"/>
    </row>
    <row r="39" spans="1:5" ht="19.5" customHeight="1">
      <c r="A39" s="145" t="s">
        <v>300</v>
      </c>
      <c r="B39" s="159" t="s">
        <v>429</v>
      </c>
      <c r="C39" s="143" t="s">
        <v>430</v>
      </c>
      <c r="D39" s="79">
        <v>0</v>
      </c>
      <c r="E39" s="45"/>
    </row>
    <row r="40" spans="1:5" ht="17.25" customHeight="1">
      <c r="A40" s="145" t="s">
        <v>301</v>
      </c>
      <c r="B40" s="159" t="s">
        <v>431</v>
      </c>
      <c r="C40" s="144" t="s">
        <v>432</v>
      </c>
      <c r="D40" s="79">
        <v>40</v>
      </c>
      <c r="E40" s="45"/>
    </row>
    <row r="41" spans="1:5" ht="33" customHeight="1">
      <c r="A41" s="145" t="s">
        <v>440</v>
      </c>
      <c r="B41" s="159" t="s">
        <v>433</v>
      </c>
      <c r="C41" s="144" t="s">
        <v>28</v>
      </c>
      <c r="D41" s="79">
        <v>550</v>
      </c>
      <c r="E41" s="45"/>
    </row>
    <row r="42" spans="1:5" ht="30.75" customHeight="1">
      <c r="A42" s="145" t="s">
        <v>441</v>
      </c>
      <c r="B42" s="159" t="s">
        <v>434</v>
      </c>
      <c r="C42" s="144" t="s">
        <v>435</v>
      </c>
      <c r="D42" s="79">
        <v>55</v>
      </c>
      <c r="E42" s="45"/>
    </row>
    <row r="43" spans="1:9" ht="29.25" customHeight="1">
      <c r="A43" s="145" t="s">
        <v>442</v>
      </c>
      <c r="B43" s="159" t="s">
        <v>436</v>
      </c>
      <c r="C43" s="154" t="s">
        <v>249</v>
      </c>
      <c r="D43" s="79">
        <v>1100</v>
      </c>
      <c r="E43" s="45"/>
      <c r="I43" s="45"/>
    </row>
    <row r="44" spans="1:7" ht="15.75" customHeight="1">
      <c r="A44" s="145" t="s">
        <v>483</v>
      </c>
      <c r="B44" s="159" t="s">
        <v>437</v>
      </c>
      <c r="C44" s="143" t="s">
        <v>359</v>
      </c>
      <c r="D44" s="79">
        <v>257</v>
      </c>
      <c r="E44" s="45"/>
      <c r="G44" s="45"/>
    </row>
    <row r="45" spans="1:7" ht="30.75" customHeight="1">
      <c r="A45" s="145" t="s">
        <v>443</v>
      </c>
      <c r="B45" s="159" t="s">
        <v>438</v>
      </c>
      <c r="C45" s="144" t="s">
        <v>439</v>
      </c>
      <c r="D45" s="79">
        <v>5</v>
      </c>
      <c r="E45" s="45"/>
      <c r="G45" s="45"/>
    </row>
    <row r="46" spans="1:5" ht="27" customHeight="1">
      <c r="A46" s="145" t="s">
        <v>444</v>
      </c>
      <c r="B46" s="1054" t="s">
        <v>309</v>
      </c>
      <c r="C46" s="918"/>
      <c r="D46" s="103">
        <f>D16+D23+D28</f>
        <v>11023</v>
      </c>
      <c r="E46" s="105"/>
    </row>
    <row r="47" spans="1:4" ht="21.75" customHeight="1">
      <c r="A47" s="43"/>
      <c r="B47" s="3"/>
      <c r="C47" s="3"/>
      <c r="D47" s="3"/>
    </row>
    <row r="48" spans="1:4" ht="21.75" customHeight="1">
      <c r="A48" s="43"/>
      <c r="B48" s="3"/>
      <c r="C48" s="6"/>
      <c r="D48" s="3"/>
    </row>
    <row r="49" spans="1:4" ht="21.75" customHeight="1">
      <c r="A49" s="43"/>
      <c r="B49" s="3"/>
      <c r="C49" s="3"/>
      <c r="D49" s="3"/>
    </row>
    <row r="50" spans="1:4" ht="21.75" customHeight="1">
      <c r="A50" s="43"/>
      <c r="B50" s="3"/>
      <c r="C50" s="3"/>
      <c r="D50" s="3"/>
    </row>
    <row r="51" spans="1:4" ht="21.75" customHeight="1">
      <c r="A51" s="43"/>
      <c r="B51" s="3"/>
      <c r="C51" s="3"/>
      <c r="D51" s="3"/>
    </row>
    <row r="52" spans="1:4" ht="21.75" customHeight="1">
      <c r="A52" s="43"/>
      <c r="B52" s="3"/>
      <c r="C52" s="3"/>
      <c r="D52" s="3"/>
    </row>
    <row r="53" spans="1:4" ht="21.75" customHeight="1">
      <c r="A53" s="43"/>
      <c r="B53" s="3"/>
      <c r="C53" s="3"/>
      <c r="D53" s="3"/>
    </row>
    <row r="54" spans="1:4" ht="21.75" customHeight="1">
      <c r="A54" s="43"/>
      <c r="B54" s="3"/>
      <c r="C54" s="3"/>
      <c r="D54" s="3"/>
    </row>
    <row r="55" spans="1:4" ht="21.75" customHeight="1">
      <c r="A55" s="43"/>
      <c r="B55" s="3"/>
      <c r="C55" s="3"/>
      <c r="D55" s="3"/>
    </row>
    <row r="56" spans="1:4" ht="21.75" customHeight="1">
      <c r="A56" s="43"/>
      <c r="B56" s="3"/>
      <c r="C56" s="3"/>
      <c r="D56" s="3"/>
    </row>
    <row r="57" spans="1:4" ht="21.75" customHeight="1">
      <c r="A57" s="43"/>
      <c r="B57" s="3"/>
      <c r="C57" s="3"/>
      <c r="D57" s="3"/>
    </row>
    <row r="58" spans="1:4" ht="21.75" customHeight="1">
      <c r="A58" s="43"/>
      <c r="B58" s="3"/>
      <c r="C58" s="3"/>
      <c r="D58" s="3"/>
    </row>
    <row r="59" spans="1:4" ht="21.75" customHeight="1">
      <c r="A59" s="43"/>
      <c r="B59" s="3"/>
      <c r="C59" s="3"/>
      <c r="D59" s="3"/>
    </row>
    <row r="60" spans="1:4" ht="21.75" customHeight="1">
      <c r="A60" s="43"/>
      <c r="B60" s="3"/>
      <c r="C60" s="3"/>
      <c r="D60" s="3"/>
    </row>
    <row r="61" spans="1:4" ht="21.75" customHeight="1">
      <c r="A61" s="43"/>
      <c r="B61" s="3"/>
      <c r="C61" s="3"/>
      <c r="D61" s="3"/>
    </row>
    <row r="62" spans="1:4" ht="21.75" customHeight="1">
      <c r="A62" s="43"/>
      <c r="B62" s="3"/>
      <c r="C62" s="3"/>
      <c r="D62" s="3"/>
    </row>
    <row r="63" spans="1:4" ht="21.75" customHeight="1">
      <c r="A63" s="43"/>
      <c r="B63" s="3"/>
      <c r="C63" s="3"/>
      <c r="D63" s="3"/>
    </row>
    <row r="64" spans="1:4" ht="21.75" customHeight="1">
      <c r="A64" s="43"/>
      <c r="B64" s="3"/>
      <c r="C64" s="3"/>
      <c r="D64" s="3"/>
    </row>
    <row r="65" spans="1:4" ht="21.75" customHeight="1">
      <c r="A65" s="43"/>
      <c r="B65" s="3"/>
      <c r="C65" s="3"/>
      <c r="D65" s="3"/>
    </row>
    <row r="66" spans="1:4" ht="21.75" customHeight="1">
      <c r="A66" s="43"/>
      <c r="B66" s="3"/>
      <c r="C66" s="3"/>
      <c r="D66" s="3"/>
    </row>
    <row r="67" spans="1:4" ht="21.75" customHeight="1">
      <c r="A67" s="43"/>
      <c r="B67" s="3"/>
      <c r="C67" s="3"/>
      <c r="D67" s="3"/>
    </row>
    <row r="68" spans="1:4" ht="21.75" customHeight="1">
      <c r="A68" s="43"/>
      <c r="B68" s="3"/>
      <c r="C68" s="3"/>
      <c r="D68" s="3"/>
    </row>
    <row r="69" spans="1:4" ht="21.75" customHeight="1">
      <c r="A69" s="43"/>
      <c r="B69" s="3"/>
      <c r="C69" s="3"/>
      <c r="D69" s="3"/>
    </row>
    <row r="70" spans="1:4" ht="21.75" customHeight="1">
      <c r="A70" s="43"/>
      <c r="B70" s="3"/>
      <c r="C70" s="3"/>
      <c r="D70" s="3"/>
    </row>
    <row r="71" spans="1:4" ht="21.75" customHeight="1">
      <c r="A71" s="43"/>
      <c r="B71" s="3"/>
      <c r="C71" s="3"/>
      <c r="D71" s="3"/>
    </row>
    <row r="72" spans="1:4" ht="21.75" customHeight="1">
      <c r="A72" s="43"/>
      <c r="B72" s="3"/>
      <c r="C72" s="3"/>
      <c r="D72" s="3"/>
    </row>
    <row r="73" spans="1:4" ht="21.75" customHeight="1">
      <c r="A73" s="43"/>
      <c r="B73" s="3"/>
      <c r="C73" s="3"/>
      <c r="D73" s="3"/>
    </row>
    <row r="74" spans="1:4" ht="21.75" customHeight="1">
      <c r="A74" s="43"/>
      <c r="B74" s="3"/>
      <c r="C74" s="3"/>
      <c r="D74" s="3"/>
    </row>
    <row r="75" spans="1:4" ht="21.75" customHeight="1">
      <c r="A75" s="43"/>
      <c r="B75" s="3"/>
      <c r="C75" s="3"/>
      <c r="D75" s="3"/>
    </row>
    <row r="76" spans="1:4" ht="21.75" customHeight="1">
      <c r="A76" s="43"/>
      <c r="B76" s="3"/>
      <c r="C76" s="3"/>
      <c r="D76" s="3"/>
    </row>
    <row r="77" spans="1:4" ht="21.75" customHeight="1">
      <c r="A77" s="43"/>
      <c r="B77" s="3"/>
      <c r="C77" s="3"/>
      <c r="D77" s="3"/>
    </row>
    <row r="78" spans="1:4" ht="21.75" customHeight="1">
      <c r="A78" s="43"/>
      <c r="B78" s="3"/>
      <c r="C78" s="3"/>
      <c r="D78" s="3"/>
    </row>
    <row r="79" spans="1:4" ht="21.75" customHeight="1">
      <c r="A79" s="43"/>
      <c r="B79" s="3"/>
      <c r="C79" s="3"/>
      <c r="D79" s="3"/>
    </row>
    <row r="80" spans="1:4" ht="21.75" customHeight="1">
      <c r="A80" s="43"/>
      <c r="B80" s="3"/>
      <c r="C80" s="3"/>
      <c r="D80" s="3"/>
    </row>
    <row r="81" spans="1:4" ht="21.75" customHeight="1">
      <c r="A81" s="43"/>
      <c r="B81" s="3"/>
      <c r="C81" s="3"/>
      <c r="D81" s="3"/>
    </row>
    <row r="82" spans="1:4" ht="21.75" customHeight="1">
      <c r="A82" s="43"/>
      <c r="B82" s="3"/>
      <c r="C82" s="3"/>
      <c r="D82" s="3"/>
    </row>
    <row r="83" spans="1:4" ht="21.75" customHeight="1">
      <c r="A83" s="43"/>
      <c r="B83" s="3"/>
      <c r="C83" s="3"/>
      <c r="D83" s="3"/>
    </row>
    <row r="84" spans="1:4" ht="21.75" customHeight="1">
      <c r="A84" s="43"/>
      <c r="B84" s="3"/>
      <c r="C84" s="3"/>
      <c r="D84" s="3"/>
    </row>
    <row r="85" spans="1:4" ht="21.75" customHeight="1">
      <c r="A85" s="43"/>
      <c r="B85" s="3"/>
      <c r="C85" s="3"/>
      <c r="D85" s="3"/>
    </row>
    <row r="86" spans="1:4" ht="21.75" customHeight="1">
      <c r="A86" s="43"/>
      <c r="B86" s="3"/>
      <c r="C86" s="3"/>
      <c r="D86" s="3"/>
    </row>
    <row r="87" spans="1:4" ht="21.75" customHeight="1">
      <c r="A87" s="205"/>
      <c r="B87" s="54"/>
      <c r="C87" s="54"/>
      <c r="D87" s="54"/>
    </row>
  </sheetData>
  <sheetProtection password="CD92" sheet="1"/>
  <mergeCells count="10">
    <mergeCell ref="B46:C46"/>
    <mergeCell ref="A13:A14"/>
    <mergeCell ref="B13:B14"/>
    <mergeCell ref="C13:C14"/>
    <mergeCell ref="A1:E1"/>
    <mergeCell ref="A2:E2"/>
    <mergeCell ref="D13:D14"/>
    <mergeCell ref="C3:C4"/>
    <mergeCell ref="A5:D5"/>
    <mergeCell ref="B11:C11"/>
  </mergeCells>
  <printOptions/>
  <pageMargins left="0.9448818897637796" right="0.7086614173228347" top="0.7480314960629921" bottom="0.41" header="0.31496062992125984" footer="0.25"/>
  <pageSetup horizontalDpi="600" verticalDpi="600" orientation="portrait" paperSize="9" scale="77" r:id="rId1"/>
  <headerFooter>
    <oddHeader>&amp;L22.melléklet&amp;R2/2019.(II.15.) ÖK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40.7109375" style="370" customWidth="1"/>
    <col min="2" max="2" width="5.8515625" style="370" customWidth="1"/>
    <col min="3" max="3" width="13.421875" style="370" customWidth="1"/>
    <col min="4" max="4" width="6.8515625" style="370" customWidth="1"/>
    <col min="5" max="5" width="12.8515625" style="370" customWidth="1"/>
    <col min="6" max="6" width="12.00390625" style="370" customWidth="1"/>
    <col min="7" max="7" width="11.421875" style="370" customWidth="1"/>
    <col min="8" max="16384" width="9.140625" style="370" customWidth="1"/>
  </cols>
  <sheetData>
    <row r="1" spans="1:8" ht="15.75">
      <c r="A1" s="1077" t="s">
        <v>264</v>
      </c>
      <c r="B1" s="1077"/>
      <c r="C1" s="1077"/>
      <c r="D1" s="1077"/>
      <c r="E1" s="1077"/>
      <c r="F1" s="1077"/>
      <c r="G1" s="1077"/>
      <c r="H1" s="51"/>
    </row>
    <row r="2" spans="1:8" ht="12.75">
      <c r="A2" s="1078" t="s">
        <v>828</v>
      </c>
      <c r="B2" s="1078"/>
      <c r="C2" s="1078"/>
      <c r="D2" s="1078"/>
      <c r="E2" s="1078"/>
      <c r="F2" s="1078"/>
      <c r="G2" s="1078"/>
      <c r="H2" s="371"/>
    </row>
    <row r="3" spans="1:7" ht="12.75">
      <c r="A3" s="1079" t="s">
        <v>378</v>
      </c>
      <c r="B3" s="1079"/>
      <c r="C3" s="1079"/>
      <c r="D3" s="1079"/>
      <c r="E3" s="1079"/>
      <c r="F3" s="1079"/>
      <c r="G3" s="1079"/>
    </row>
    <row r="6" ht="13.5">
      <c r="G6" s="372" t="s">
        <v>523</v>
      </c>
    </row>
    <row r="7" spans="1:7" ht="25.5" customHeight="1">
      <c r="A7" s="1075" t="s">
        <v>303</v>
      </c>
      <c r="B7" s="1082" t="s">
        <v>764</v>
      </c>
      <c r="C7" s="1083"/>
      <c r="D7" s="1083"/>
      <c r="E7" s="1083"/>
      <c r="F7" s="1071"/>
      <c r="G7" s="1080" t="s">
        <v>269</v>
      </c>
    </row>
    <row r="8" spans="1:7" ht="28.5" customHeight="1">
      <c r="A8" s="1076"/>
      <c r="B8" s="1084" t="s">
        <v>573</v>
      </c>
      <c r="C8" s="1085"/>
      <c r="D8" s="1070" t="s">
        <v>562</v>
      </c>
      <c r="E8" s="1071"/>
      <c r="F8" s="373" t="s">
        <v>563</v>
      </c>
      <c r="G8" s="1081" t="s">
        <v>269</v>
      </c>
    </row>
    <row r="9" spans="1:7" ht="28.5" customHeight="1">
      <c r="A9" s="374"/>
      <c r="B9" s="375" t="s">
        <v>311</v>
      </c>
      <c r="C9" s="376" t="s">
        <v>530</v>
      </c>
      <c r="D9" s="375" t="s">
        <v>311</v>
      </c>
      <c r="E9" s="376" t="s">
        <v>531</v>
      </c>
      <c r="F9" s="377"/>
      <c r="G9" s="378"/>
    </row>
    <row r="10" spans="1:7" ht="21" customHeight="1">
      <c r="A10" s="379" t="s">
        <v>186</v>
      </c>
      <c r="B10" s="380">
        <v>7</v>
      </c>
      <c r="C10" s="381">
        <v>1524</v>
      </c>
      <c r="D10" s="381">
        <v>10</v>
      </c>
      <c r="E10" s="380">
        <v>2138</v>
      </c>
      <c r="F10" s="381">
        <v>0</v>
      </c>
      <c r="G10" s="382">
        <f aca="true" t="shared" si="0" ref="G10:G15">C10+E10</f>
        <v>3662</v>
      </c>
    </row>
    <row r="11" spans="1:7" ht="18.75" customHeight="1">
      <c r="A11" s="379" t="s">
        <v>564</v>
      </c>
      <c r="B11" s="383"/>
      <c r="C11" s="384"/>
      <c r="D11" s="384"/>
      <c r="E11" s="384"/>
      <c r="F11" s="381">
        <v>0</v>
      </c>
      <c r="G11" s="382">
        <f t="shared" si="0"/>
        <v>0</v>
      </c>
    </row>
    <row r="12" spans="1:7" ht="18.75" customHeight="1">
      <c r="A12" s="379" t="s">
        <v>565</v>
      </c>
      <c r="B12" s="383"/>
      <c r="C12" s="384"/>
      <c r="D12" s="384"/>
      <c r="E12" s="384"/>
      <c r="F12" s="381">
        <v>0</v>
      </c>
      <c r="G12" s="382">
        <f t="shared" si="0"/>
        <v>0</v>
      </c>
    </row>
    <row r="13" spans="1:7" ht="18.75" customHeight="1">
      <c r="A13" s="379" t="s">
        <v>566</v>
      </c>
      <c r="B13" s="380">
        <v>514</v>
      </c>
      <c r="C13" s="381">
        <v>1688</v>
      </c>
      <c r="D13" s="381">
        <v>40</v>
      </c>
      <c r="E13" s="381">
        <v>266</v>
      </c>
      <c r="F13" s="381">
        <v>0</v>
      </c>
      <c r="G13" s="382">
        <f t="shared" si="0"/>
        <v>1954</v>
      </c>
    </row>
    <row r="14" spans="1:7" ht="19.5" customHeight="1">
      <c r="A14" s="379" t="s">
        <v>567</v>
      </c>
      <c r="B14" s="383"/>
      <c r="C14" s="384"/>
      <c r="D14" s="381">
        <v>15</v>
      </c>
      <c r="E14" s="381">
        <v>138</v>
      </c>
      <c r="F14" s="381">
        <v>0</v>
      </c>
      <c r="G14" s="382">
        <f t="shared" si="0"/>
        <v>138</v>
      </c>
    </row>
    <row r="15" spans="1:7" ht="18.75" customHeight="1">
      <c r="A15" s="379" t="s">
        <v>568</v>
      </c>
      <c r="B15" s="383"/>
      <c r="C15" s="384"/>
      <c r="D15" s="381">
        <v>3</v>
      </c>
      <c r="E15" s="381">
        <v>999</v>
      </c>
      <c r="F15" s="381">
        <v>0</v>
      </c>
      <c r="G15" s="382">
        <f t="shared" si="0"/>
        <v>999</v>
      </c>
    </row>
    <row r="16" spans="1:7" ht="18.75" customHeight="1">
      <c r="A16" s="379" t="s">
        <v>569</v>
      </c>
      <c r="B16" s="383"/>
      <c r="C16" s="384"/>
      <c r="D16" s="384"/>
      <c r="E16" s="384"/>
      <c r="F16" s="381">
        <v>0</v>
      </c>
      <c r="G16" s="382">
        <v>0</v>
      </c>
    </row>
    <row r="17" spans="1:7" ht="18.75" customHeight="1">
      <c r="A17" s="379" t="s">
        <v>570</v>
      </c>
      <c r="B17" s="383"/>
      <c r="C17" s="384"/>
      <c r="D17" s="384"/>
      <c r="E17" s="384"/>
      <c r="F17" s="381">
        <v>0</v>
      </c>
      <c r="G17" s="382">
        <v>0</v>
      </c>
    </row>
    <row r="18" spans="1:7" ht="18.75" customHeight="1">
      <c r="A18" s="379" t="s">
        <v>571</v>
      </c>
      <c r="B18" s="383"/>
      <c r="C18" s="384"/>
      <c r="D18" s="384"/>
      <c r="E18" s="384"/>
      <c r="F18" s="381">
        <v>0</v>
      </c>
      <c r="G18" s="382">
        <v>0</v>
      </c>
    </row>
    <row r="19" spans="1:7" ht="18.75" customHeight="1">
      <c r="A19" s="379" t="s">
        <v>572</v>
      </c>
      <c r="B19" s="383"/>
      <c r="C19" s="384"/>
      <c r="D19" s="384"/>
      <c r="E19" s="384"/>
      <c r="F19" s="381">
        <v>0</v>
      </c>
      <c r="G19" s="382">
        <v>0</v>
      </c>
    </row>
    <row r="20" spans="1:7" ht="30" customHeight="1">
      <c r="A20" s="385" t="s">
        <v>765</v>
      </c>
      <c r="B20" s="386"/>
      <c r="C20" s="387">
        <f>SUM(C10:C19)</f>
        <v>3212</v>
      </c>
      <c r="D20" s="387">
        <f>SUM(D10:D19)</f>
        <v>68</v>
      </c>
      <c r="E20" s="387">
        <f>SUM(E10:E19)</f>
        <v>3541</v>
      </c>
      <c r="F20" s="387" t="s">
        <v>766</v>
      </c>
      <c r="G20" s="387">
        <f>C20+E20</f>
        <v>6753</v>
      </c>
    </row>
    <row r="21" spans="1:7" ht="28.5" customHeight="1">
      <c r="A21" s="1072" t="s">
        <v>767</v>
      </c>
      <c r="B21" s="1073"/>
      <c r="C21" s="1073"/>
      <c r="D21" s="1074"/>
      <c r="E21" s="388"/>
      <c r="F21" s="388"/>
      <c r="G21" s="387" t="s">
        <v>766</v>
      </c>
    </row>
    <row r="22" spans="1:7" ht="27" customHeight="1">
      <c r="A22" s="1072" t="s">
        <v>768</v>
      </c>
      <c r="B22" s="1073"/>
      <c r="C22" s="1073"/>
      <c r="D22" s="1073"/>
      <c r="E22" s="1073"/>
      <c r="F22" s="1074"/>
      <c r="G22" s="387" t="s">
        <v>766</v>
      </c>
    </row>
    <row r="23" spans="1:7" ht="25.5" customHeight="1">
      <c r="A23" s="1072" t="s">
        <v>769</v>
      </c>
      <c r="B23" s="1073"/>
      <c r="C23" s="1074"/>
      <c r="D23" s="388"/>
      <c r="E23" s="388"/>
      <c r="F23" s="388"/>
      <c r="G23" s="387" t="s">
        <v>766</v>
      </c>
    </row>
    <row r="24" spans="1:7" ht="26.25" customHeight="1">
      <c r="A24" s="385" t="s">
        <v>770</v>
      </c>
      <c r="B24" s="385"/>
      <c r="C24" s="387">
        <f>C20</f>
        <v>3212</v>
      </c>
      <c r="D24" s="387">
        <f>D20</f>
        <v>68</v>
      </c>
      <c r="E24" s="387">
        <f>E20</f>
        <v>3541</v>
      </c>
      <c r="F24" s="387" t="str">
        <f>F20</f>
        <v>0</v>
      </c>
      <c r="G24" s="387">
        <f>G20</f>
        <v>6753</v>
      </c>
    </row>
  </sheetData>
  <sheetProtection password="CD92" sheet="1"/>
  <mergeCells count="11">
    <mergeCell ref="B8:C8"/>
    <mergeCell ref="D8:E8"/>
    <mergeCell ref="A21:D21"/>
    <mergeCell ref="A22:F22"/>
    <mergeCell ref="A23:C23"/>
    <mergeCell ref="A7:A8"/>
    <mergeCell ref="A1:G1"/>
    <mergeCell ref="A2:G2"/>
    <mergeCell ref="A3:G3"/>
    <mergeCell ref="G7:G8"/>
    <mergeCell ref="B7:F7"/>
  </mergeCells>
  <printOptions/>
  <pageMargins left="0.5118110236220472" right="0.5" top="0.7480314960629921" bottom="0.7480314960629921" header="0.31496062992125984" footer="0.31496062992125984"/>
  <pageSetup horizontalDpi="600" verticalDpi="600" orientation="portrait" paperSize="9" scale="80" r:id="rId1"/>
  <headerFooter>
    <oddHeader>&amp;L23.melléklet&amp;R2/2019.(II.15.) ÖK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7">
      <selection activeCell="E18" sqref="E18"/>
    </sheetView>
  </sheetViews>
  <sheetFormatPr defaultColWidth="9.140625" defaultRowHeight="12.75"/>
  <cols>
    <col min="1" max="1" width="4.7109375" style="437" customWidth="1"/>
    <col min="2" max="2" width="37.8515625" style="49" customWidth="1"/>
    <col min="3" max="3" width="0.13671875" style="49" hidden="1" customWidth="1"/>
    <col min="4" max="4" width="15.8515625" style="50" hidden="1" customWidth="1"/>
    <col min="5" max="7" width="15.28125" style="49" customWidth="1"/>
    <col min="8" max="9" width="17.8515625" style="49" bestFit="1" customWidth="1"/>
    <col min="10" max="15" width="19.140625" style="49" customWidth="1"/>
    <col min="16" max="16" width="14.421875" style="49" bestFit="1" customWidth="1"/>
    <col min="17" max="17" width="22.28125" style="48" customWidth="1"/>
    <col min="18" max="18" width="19.00390625" style="48" customWidth="1"/>
    <col min="19" max="20" width="10.57421875" style="48" customWidth="1"/>
    <col min="21" max="28" width="14.421875" style="48" customWidth="1"/>
    <col min="29" max="29" width="14.421875" style="27" customWidth="1"/>
    <col min="30" max="30" width="14.57421875" style="27" customWidth="1"/>
    <col min="31" max="32" width="14.421875" style="27" customWidth="1"/>
    <col min="33" max="33" width="9.140625" style="27" customWidth="1"/>
    <col min="34" max="34" width="14.140625" style="27" customWidth="1"/>
    <col min="35" max="16384" width="9.140625" style="27" customWidth="1"/>
  </cols>
  <sheetData>
    <row r="1" spans="1:6" ht="26.25" customHeight="1">
      <c r="A1" s="1035" t="s">
        <v>264</v>
      </c>
      <c r="B1" s="1035"/>
      <c r="C1" s="1035"/>
      <c r="D1" s="1035"/>
      <c r="E1" s="1035"/>
      <c r="F1" s="1035"/>
    </row>
    <row r="2" spans="1:6" ht="32.25" customHeight="1">
      <c r="A2" s="1035" t="s">
        <v>388</v>
      </c>
      <c r="B2" s="1035"/>
      <c r="C2" s="1035"/>
      <c r="D2" s="1035"/>
      <c r="E2" s="1035"/>
      <c r="F2" s="1035"/>
    </row>
    <row r="3" spans="1:6" ht="12.75" customHeight="1">
      <c r="A3" s="1047" t="s">
        <v>523</v>
      </c>
      <c r="B3" s="1047"/>
      <c r="C3" s="1047"/>
      <c r="D3" s="1047"/>
      <c r="E3" s="1047"/>
      <c r="F3" s="1047"/>
    </row>
    <row r="4" spans="1:7" ht="45" customHeight="1">
      <c r="A4" s="1052" t="s">
        <v>306</v>
      </c>
      <c r="B4" s="1053"/>
      <c r="C4" s="400" t="s">
        <v>794</v>
      </c>
      <c r="D4" s="400" t="s">
        <v>771</v>
      </c>
      <c r="E4" s="400" t="s">
        <v>772</v>
      </c>
      <c r="F4" s="400" t="s">
        <v>773</v>
      </c>
      <c r="G4" s="400" t="s">
        <v>921</v>
      </c>
    </row>
    <row r="5" spans="1:7" ht="32.25" customHeight="1">
      <c r="A5" s="418" t="s">
        <v>750</v>
      </c>
      <c r="B5" s="419" t="s">
        <v>456</v>
      </c>
      <c r="C5" s="420">
        <f>'[4]1.mell. BEVÉTEL'!I7</f>
        <v>802662</v>
      </c>
      <c r="D5" s="404">
        <f>'1.mell. BEVÉTEL'!G7</f>
        <v>725961</v>
      </c>
      <c r="E5" s="404">
        <v>613332</v>
      </c>
      <c r="F5" s="404">
        <v>615935</v>
      </c>
      <c r="G5" s="404">
        <v>615935</v>
      </c>
    </row>
    <row r="6" spans="1:7" ht="33.75" customHeight="1">
      <c r="A6" s="421" t="s">
        <v>464</v>
      </c>
      <c r="B6" s="422" t="s">
        <v>465</v>
      </c>
      <c r="C6" s="423">
        <f>'[4]1.mell. BEVÉTEL'!I91</f>
        <v>147077</v>
      </c>
      <c r="D6" s="404">
        <f>'1.mell. BEVÉTEL'!G93</f>
        <v>161</v>
      </c>
      <c r="E6" s="404">
        <v>0</v>
      </c>
      <c r="F6" s="404">
        <v>0</v>
      </c>
      <c r="G6" s="404">
        <v>0</v>
      </c>
    </row>
    <row r="7" spans="1:7" ht="30" customHeight="1">
      <c r="A7" s="424" t="s">
        <v>466</v>
      </c>
      <c r="B7" s="425" t="s">
        <v>337</v>
      </c>
      <c r="C7" s="426">
        <f>'[4]1.mell. BEVÉTEL'!I97</f>
        <v>165452</v>
      </c>
      <c r="D7" s="404">
        <f>'1.mell. BEVÉTEL'!G107</f>
        <v>0</v>
      </c>
      <c r="E7" s="404">
        <v>162250</v>
      </c>
      <c r="F7" s="404">
        <v>162250</v>
      </c>
      <c r="G7" s="404">
        <v>162250</v>
      </c>
    </row>
    <row r="8" spans="1:28" s="430" customFormat="1" ht="32.25" customHeight="1">
      <c r="A8" s="1088" t="s">
        <v>774</v>
      </c>
      <c r="B8" s="1089"/>
      <c r="C8" s="427">
        <f>'[4]1.mell. BEVÉTEL'!I99+'[4]1.mell. BEVÉTEL'!I100</f>
        <v>144000</v>
      </c>
      <c r="D8" s="408">
        <f>'19.mell. saját bevétel'!D4</f>
        <v>8000</v>
      </c>
      <c r="E8" s="408">
        <f>'19.mell. saját bevétel'!E4</f>
        <v>144000</v>
      </c>
      <c r="F8" s="408">
        <f>'19.mell. saját bevétel'!F4</f>
        <v>144000</v>
      </c>
      <c r="G8" s="408">
        <f>'19.mell. saját bevétel'!G4</f>
        <v>144000</v>
      </c>
      <c r="H8" s="428"/>
      <c r="I8" s="428"/>
      <c r="J8" s="428"/>
      <c r="K8" s="428"/>
      <c r="L8" s="428"/>
      <c r="M8" s="428"/>
      <c r="N8" s="428"/>
      <c r="O8" s="428"/>
      <c r="P8" s="428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</row>
    <row r="9" spans="1:28" s="430" customFormat="1" ht="32.25" customHeight="1">
      <c r="A9" s="1088" t="s">
        <v>775</v>
      </c>
      <c r="B9" s="1089"/>
      <c r="C9" s="427">
        <v>10650</v>
      </c>
      <c r="D9" s="408">
        <f>'19.mell. saját bevétel'!D8</f>
        <v>175480</v>
      </c>
      <c r="E9" s="408">
        <f>'19.mell. saját bevétel'!E8</f>
        <v>9650</v>
      </c>
      <c r="F9" s="408">
        <f>'19.mell. saját bevétel'!F8</f>
        <v>9650</v>
      </c>
      <c r="G9" s="408">
        <f>'19.mell. saját bevétel'!G8</f>
        <v>9650</v>
      </c>
      <c r="H9" s="428"/>
      <c r="I9" s="428"/>
      <c r="J9" s="428"/>
      <c r="K9" s="428"/>
      <c r="L9" s="428"/>
      <c r="M9" s="428"/>
      <c r="N9" s="428"/>
      <c r="O9" s="428"/>
      <c r="P9" s="428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</row>
    <row r="10" spans="1:7" ht="32.25" customHeight="1">
      <c r="A10" s="421" t="s">
        <v>751</v>
      </c>
      <c r="B10" s="422" t="s">
        <v>355</v>
      </c>
      <c r="C10" s="423">
        <f>'[4]1.mell. BEVÉTEL'!I107</f>
        <v>144204</v>
      </c>
      <c r="D10" s="404">
        <f>'1.mell. BEVÉTEL'!G118</f>
        <v>12235</v>
      </c>
      <c r="E10" s="404">
        <f>129080+1485-1485</f>
        <v>129080</v>
      </c>
      <c r="F10" s="404">
        <f>132950+1185+15-1185-15</f>
        <v>132950</v>
      </c>
      <c r="G10" s="404">
        <f>132950+1185+15-1185-15</f>
        <v>132950</v>
      </c>
    </row>
    <row r="11" spans="1:7" ht="32.25" customHeight="1">
      <c r="A11" s="1088" t="s">
        <v>776</v>
      </c>
      <c r="B11" s="1089"/>
      <c r="C11" s="431">
        <v>18410</v>
      </c>
      <c r="D11" s="408">
        <f>'19.mell. saját bevétel'!D5</f>
        <v>0</v>
      </c>
      <c r="E11" s="408">
        <f>'19.mell. saját bevétel'!E5</f>
        <v>17500</v>
      </c>
      <c r="F11" s="408">
        <f>'19.mell. saját bevétel'!F5</f>
        <v>17500</v>
      </c>
      <c r="G11" s="408">
        <f>'19.mell. saját bevétel'!G5</f>
        <v>17500</v>
      </c>
    </row>
    <row r="12" spans="1:7" ht="32.25" customHeight="1">
      <c r="A12" s="424" t="s">
        <v>752</v>
      </c>
      <c r="B12" s="425" t="s">
        <v>317</v>
      </c>
      <c r="C12" s="426">
        <f>'[4]1.mell. BEVÉTEL'!I162</f>
        <v>7400</v>
      </c>
      <c r="D12" s="404">
        <f>'1.mell. BEVÉTEL'!G167</f>
        <v>1260</v>
      </c>
      <c r="E12" s="404">
        <v>3000</v>
      </c>
      <c r="F12" s="404">
        <v>3000</v>
      </c>
      <c r="G12" s="404">
        <v>3000</v>
      </c>
    </row>
    <row r="13" spans="1:7" ht="51" customHeight="1">
      <c r="A13" s="1090" t="s">
        <v>777</v>
      </c>
      <c r="B13" s="1091"/>
      <c r="C13" s="427">
        <v>4000</v>
      </c>
      <c r="D13" s="408">
        <f>'19.mell. saját bevétel'!D7</f>
        <v>1260</v>
      </c>
      <c r="E13" s="408">
        <f>'19.mell. saját bevétel'!E7</f>
        <v>3000</v>
      </c>
      <c r="F13" s="408">
        <f>'19.mell. saját bevétel'!F7</f>
        <v>3000</v>
      </c>
      <c r="G13" s="408">
        <f>'19.mell. saját bevétel'!G7</f>
        <v>2000</v>
      </c>
    </row>
    <row r="14" spans="1:7" ht="32.25" customHeight="1">
      <c r="A14" s="424" t="s">
        <v>753</v>
      </c>
      <c r="B14" s="425" t="s">
        <v>260</v>
      </c>
      <c r="C14" s="426">
        <f>'[4]1.mell. BEVÉTEL'!I172</f>
        <v>208</v>
      </c>
      <c r="D14" s="432">
        <f>'1.mell. BEVÉTEL'!G171</f>
        <v>40000</v>
      </c>
      <c r="E14" s="432">
        <v>90</v>
      </c>
      <c r="F14" s="432">
        <v>80</v>
      </c>
      <c r="G14" s="432">
        <v>80</v>
      </c>
    </row>
    <row r="15" spans="1:7" ht="32.25" customHeight="1">
      <c r="A15" s="424" t="s">
        <v>754</v>
      </c>
      <c r="B15" s="425" t="s">
        <v>472</v>
      </c>
      <c r="C15" s="426">
        <f>'[4]1.mell. BEVÉTEL'!I177</f>
        <v>1354</v>
      </c>
      <c r="D15" s="432">
        <f>'1.mell. BEVÉTEL'!G176</f>
        <v>0</v>
      </c>
      <c r="E15" s="432">
        <v>1000</v>
      </c>
      <c r="F15" s="432">
        <v>500</v>
      </c>
      <c r="G15" s="432">
        <v>500</v>
      </c>
    </row>
    <row r="16" spans="1:7" ht="28.5" customHeight="1">
      <c r="A16" s="424" t="s">
        <v>473</v>
      </c>
      <c r="B16" s="425" t="s">
        <v>474</v>
      </c>
      <c r="C16" s="426">
        <f>'[4]1.mell. BEVÉTEL'!I182</f>
        <v>2204502</v>
      </c>
      <c r="D16" s="432">
        <f>'1.mell. BEVÉTEL'!G181</f>
        <v>1158741</v>
      </c>
      <c r="E16" s="432">
        <f>5400+40000</f>
        <v>45400</v>
      </c>
      <c r="F16" s="432">
        <f>5500+40000</f>
        <v>45500</v>
      </c>
      <c r="G16" s="432">
        <f>5500+40000</f>
        <v>45500</v>
      </c>
    </row>
    <row r="17" spans="1:7" ht="23.25" customHeight="1">
      <c r="A17" s="1092" t="s">
        <v>790</v>
      </c>
      <c r="B17" s="1093"/>
      <c r="C17" s="416">
        <f>'[4]1.mell. BEVÉTEL'!I184</f>
        <v>8829</v>
      </c>
      <c r="D17" s="433">
        <f>31171+8829+40000</f>
        <v>80000</v>
      </c>
      <c r="E17" s="433">
        <v>0</v>
      </c>
      <c r="F17" s="433">
        <v>0</v>
      </c>
      <c r="G17" s="433">
        <v>0</v>
      </c>
    </row>
    <row r="18" spans="1:7" ht="32.25" customHeight="1">
      <c r="A18" s="1045" t="s">
        <v>308</v>
      </c>
      <c r="B18" s="1046"/>
      <c r="C18" s="398">
        <f>C5+C6+C7+C10+C12+C14+C15+C16</f>
        <v>3472859</v>
      </c>
      <c r="D18" s="398">
        <f>D5+D6+D7+D10+D12+D14+D15+D16</f>
        <v>1938358</v>
      </c>
      <c r="E18" s="398">
        <f>E5+E6+E7+E10+E12+E14+E15+E16</f>
        <v>954152</v>
      </c>
      <c r="F18" s="398">
        <f>F5+F6+F7+F10+F12+F14+F15+F16</f>
        <v>960215</v>
      </c>
      <c r="G18" s="398">
        <f>G5+G6+G7+G10+G12+G14+G15+G16</f>
        <v>960215</v>
      </c>
    </row>
    <row r="19" spans="1:16" s="435" customFormat="1" ht="24" customHeight="1">
      <c r="A19" s="1086" t="s">
        <v>778</v>
      </c>
      <c r="B19" s="1087"/>
      <c r="C19" s="433">
        <f>C13+C9+C8+C11</f>
        <v>177060</v>
      </c>
      <c r="D19" s="433">
        <f>D13+D9+D8+D11</f>
        <v>184740</v>
      </c>
      <c r="E19" s="433">
        <f>E13+E9+E8+E11</f>
        <v>174150</v>
      </c>
      <c r="F19" s="433">
        <f>F13+F9+F8+F11</f>
        <v>174150</v>
      </c>
      <c r="G19" s="433">
        <f>G13+G9+G8+G11</f>
        <v>173150</v>
      </c>
      <c r="H19" s="434"/>
      <c r="I19" s="434"/>
      <c r="J19" s="434"/>
      <c r="K19" s="434"/>
      <c r="L19" s="434"/>
      <c r="M19" s="434"/>
      <c r="N19" s="434"/>
      <c r="O19" s="434"/>
      <c r="P19" s="434"/>
    </row>
    <row r="20" spans="1:16" s="435" customFormat="1" ht="24" customHeight="1">
      <c r="A20" s="1094" t="s">
        <v>779</v>
      </c>
      <c r="B20" s="1095"/>
      <c r="C20" s="436">
        <f>C19/2</f>
        <v>88530</v>
      </c>
      <c r="D20" s="436">
        <f>D19/2</f>
        <v>92370</v>
      </c>
      <c r="E20" s="436">
        <f>E19/2</f>
        <v>87075</v>
      </c>
      <c r="F20" s="436">
        <f>F19/2</f>
        <v>87075</v>
      </c>
      <c r="G20" s="436">
        <f>G19/2</f>
        <v>86575</v>
      </c>
      <c r="H20" s="434"/>
      <c r="I20" s="434"/>
      <c r="J20" s="434"/>
      <c r="K20" s="434"/>
      <c r="L20" s="434"/>
      <c r="M20" s="434"/>
      <c r="N20" s="434"/>
      <c r="O20" s="434"/>
      <c r="P20" s="434"/>
    </row>
    <row r="21" spans="1:16" s="435" customFormat="1" ht="24" customHeight="1">
      <c r="A21" s="1086" t="s">
        <v>791</v>
      </c>
      <c r="B21" s="1087"/>
      <c r="C21" s="433">
        <f>C17</f>
        <v>8829</v>
      </c>
      <c r="D21" s="433">
        <f>D17</f>
        <v>80000</v>
      </c>
      <c r="E21" s="433">
        <f>E17</f>
        <v>0</v>
      </c>
      <c r="F21" s="433">
        <f>F17</f>
        <v>0</v>
      </c>
      <c r="G21" s="433">
        <f>G17</f>
        <v>0</v>
      </c>
      <c r="H21" s="434"/>
      <c r="I21" s="434"/>
      <c r="J21" s="434"/>
      <c r="K21" s="434"/>
      <c r="L21" s="434"/>
      <c r="M21" s="434"/>
      <c r="N21" s="434"/>
      <c r="O21" s="434"/>
      <c r="P21" s="434"/>
    </row>
    <row r="23" spans="5:7" ht="15.75">
      <c r="E23" s="50"/>
      <c r="F23" s="50"/>
      <c r="G23" s="50"/>
    </row>
  </sheetData>
  <sheetProtection password="CD92" sheet="1"/>
  <mergeCells count="13">
    <mergeCell ref="A1:F1"/>
    <mergeCell ref="A2:F2"/>
    <mergeCell ref="A3:F3"/>
    <mergeCell ref="A4:B4"/>
    <mergeCell ref="A8:B8"/>
    <mergeCell ref="A9:B9"/>
    <mergeCell ref="A21:B21"/>
    <mergeCell ref="A11:B11"/>
    <mergeCell ref="A13:B13"/>
    <mergeCell ref="A17:B17"/>
    <mergeCell ref="A18:B18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&amp;L24.melléklet&amp;R2/2019.(II.15.) ÖK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06" zoomScaleSheetLayoutView="106" zoomScalePageLayoutView="0" workbookViewId="0" topLeftCell="A1">
      <selection activeCell="M18" sqref="M18"/>
    </sheetView>
  </sheetViews>
  <sheetFormatPr defaultColWidth="9.140625" defaultRowHeight="12" customHeight="1"/>
  <cols>
    <col min="1" max="1" width="4.421875" style="417" customWidth="1"/>
    <col min="2" max="2" width="34.00390625" style="27" customWidth="1"/>
    <col min="3" max="4" width="0.13671875" style="27" hidden="1" customWidth="1"/>
    <col min="5" max="7" width="13.7109375" style="27" customWidth="1"/>
    <col min="8" max="16384" width="9.140625" style="27" customWidth="1"/>
  </cols>
  <sheetData>
    <row r="1" spans="1:7" ht="21" customHeight="1">
      <c r="A1" s="1035" t="s">
        <v>264</v>
      </c>
      <c r="B1" s="1035"/>
      <c r="C1" s="1035"/>
      <c r="D1" s="1035"/>
      <c r="E1" s="1035"/>
      <c r="F1" s="1035"/>
      <c r="G1" s="1035"/>
    </row>
    <row r="2" spans="1:7" ht="30.75" customHeight="1">
      <c r="A2" s="1035" t="s">
        <v>389</v>
      </c>
      <c r="B2" s="1035"/>
      <c r="C2" s="1035"/>
      <c r="D2" s="1035"/>
      <c r="E2" s="1035"/>
      <c r="F2" s="1035"/>
      <c r="G2" s="1035"/>
    </row>
    <row r="3" spans="1:7" ht="15.75" customHeight="1">
      <c r="A3" s="1047" t="s">
        <v>523</v>
      </c>
      <c r="B3" s="1047"/>
      <c r="C3" s="1047"/>
      <c r="D3" s="1047"/>
      <c r="E3" s="1047"/>
      <c r="F3" s="1047"/>
      <c r="G3" s="1047"/>
    </row>
    <row r="4" spans="1:7" ht="12" customHeight="1">
      <c r="A4" s="1100" t="s">
        <v>310</v>
      </c>
      <c r="B4" s="1101"/>
      <c r="C4" s="1104" t="s">
        <v>792</v>
      </c>
      <c r="D4" s="1104" t="s">
        <v>771</v>
      </c>
      <c r="E4" s="1098" t="s">
        <v>772</v>
      </c>
      <c r="F4" s="1098" t="s">
        <v>773</v>
      </c>
      <c r="G4" s="1098" t="s">
        <v>921</v>
      </c>
    </row>
    <row r="5" spans="1:7" ht="36.75" customHeight="1">
      <c r="A5" s="1102"/>
      <c r="B5" s="1103"/>
      <c r="C5" s="1105"/>
      <c r="D5" s="1105"/>
      <c r="E5" s="1099"/>
      <c r="F5" s="1099"/>
      <c r="G5" s="1099"/>
    </row>
    <row r="6" spans="1:7" s="51" customFormat="1" ht="25.5" customHeight="1">
      <c r="A6" s="401" t="s">
        <v>755</v>
      </c>
      <c r="B6" s="402" t="s">
        <v>320</v>
      </c>
      <c r="C6" s="403">
        <f>'[4]2.mell. KIADÁS'!I7</f>
        <v>618528.7</v>
      </c>
      <c r="D6" s="404">
        <f>'2.mell. KIADÁS'!G7</f>
        <v>500633.7</v>
      </c>
      <c r="E6" s="404">
        <f aca="true" t="shared" si="0" ref="E6:G7">D6*1.003</f>
        <v>502135.60109999997</v>
      </c>
      <c r="F6" s="404">
        <f t="shared" si="0"/>
        <v>503642.00790329993</v>
      </c>
      <c r="G6" s="404">
        <f t="shared" si="0"/>
        <v>505152.93392700976</v>
      </c>
    </row>
    <row r="7" spans="1:7" ht="35.25" customHeight="1">
      <c r="A7" s="405" t="s">
        <v>756</v>
      </c>
      <c r="B7" s="406" t="s">
        <v>488</v>
      </c>
      <c r="C7" s="407">
        <f>'[4]2.mell. KIADÁS'!I38</f>
        <v>99560</v>
      </c>
      <c r="D7" s="404">
        <f>'2.mell. KIADÁS'!G28</f>
        <v>0</v>
      </c>
      <c r="E7" s="404">
        <v>84991</v>
      </c>
      <c r="F7" s="404">
        <f t="shared" si="0"/>
        <v>85245.97299999998</v>
      </c>
      <c r="G7" s="404">
        <f t="shared" si="0"/>
        <v>85501.71091899998</v>
      </c>
    </row>
    <row r="8" spans="1:7" ht="25.5" customHeight="1">
      <c r="A8" s="405" t="s">
        <v>757</v>
      </c>
      <c r="B8" s="406" t="s">
        <v>323</v>
      </c>
      <c r="C8" s="407">
        <f>'[4]2.mell. KIADÁS'!I63</f>
        <v>406217</v>
      </c>
      <c r="D8" s="404">
        <f>'2.mell. KIADÁS'!G67</f>
        <v>0</v>
      </c>
      <c r="E8" s="404">
        <f>236578+1400+9047</f>
        <v>247025</v>
      </c>
      <c r="F8" s="404">
        <f>241752+1200+9075</f>
        <v>252027</v>
      </c>
      <c r="G8" s="404">
        <f>241752+1200+7308</f>
        <v>250260</v>
      </c>
    </row>
    <row r="9" spans="1:7" ht="29.25" customHeight="1">
      <c r="A9" s="1096" t="s">
        <v>922</v>
      </c>
      <c r="B9" s="1097"/>
      <c r="C9" s="446">
        <v>63</v>
      </c>
      <c r="D9" s="408">
        <v>1000</v>
      </c>
      <c r="E9" s="408">
        <v>1400</v>
      </c>
      <c r="F9" s="408">
        <v>1200</v>
      </c>
      <c r="G9" s="408">
        <v>1100</v>
      </c>
    </row>
    <row r="10" spans="1:7" ht="35.25" customHeight="1">
      <c r="A10" s="1096" t="s">
        <v>924</v>
      </c>
      <c r="B10" s="1097"/>
      <c r="C10" s="594">
        <v>0</v>
      </c>
      <c r="D10" s="408">
        <v>63</v>
      </c>
      <c r="E10" s="408">
        <v>1000</v>
      </c>
      <c r="F10" s="408">
        <v>1400</v>
      </c>
      <c r="G10" s="408">
        <v>1200</v>
      </c>
    </row>
    <row r="11" spans="1:7" ht="25.5" customHeight="1">
      <c r="A11" s="401" t="s">
        <v>758</v>
      </c>
      <c r="B11" s="402" t="s">
        <v>477</v>
      </c>
      <c r="C11" s="403">
        <f>'[4]2.mell. KIADÁS'!I164</f>
        <v>17500</v>
      </c>
      <c r="D11" s="404">
        <f>'2.mell. KIADÁS'!G108</f>
        <v>0</v>
      </c>
      <c r="E11" s="404">
        <v>17000</v>
      </c>
      <c r="F11" s="404">
        <v>17000</v>
      </c>
      <c r="G11" s="404">
        <v>17000</v>
      </c>
    </row>
    <row r="12" spans="1:7" ht="25.5" customHeight="1">
      <c r="A12" s="409" t="s">
        <v>759</v>
      </c>
      <c r="B12" s="410" t="s">
        <v>491</v>
      </c>
      <c r="C12" s="411">
        <f>'[4]2.mell. KIADÁS'!I170</f>
        <v>47222</v>
      </c>
      <c r="D12" s="404">
        <f>'2.mell. KIADÁS'!G115</f>
        <v>0</v>
      </c>
      <c r="E12" s="404">
        <v>23000</v>
      </c>
      <c r="F12" s="404">
        <v>21000</v>
      </c>
      <c r="G12" s="404">
        <v>21000</v>
      </c>
    </row>
    <row r="13" spans="1:7" ht="25.5" customHeight="1">
      <c r="A13" s="401" t="s">
        <v>760</v>
      </c>
      <c r="B13" s="402" t="s">
        <v>402</v>
      </c>
      <c r="C13" s="403">
        <f>'[4]2.mell. KIADÁS'!I197</f>
        <v>2015320</v>
      </c>
      <c r="D13" s="404">
        <f>'2.mell. KIADÁS'!G148</f>
        <v>5000</v>
      </c>
      <c r="E13" s="404">
        <v>8000</v>
      </c>
      <c r="F13" s="404">
        <v>9000</v>
      </c>
      <c r="G13" s="404">
        <v>9000</v>
      </c>
    </row>
    <row r="14" spans="1:9" ht="25.5" customHeight="1">
      <c r="A14" s="401" t="s">
        <v>761</v>
      </c>
      <c r="B14" s="402" t="s">
        <v>403</v>
      </c>
      <c r="C14" s="403">
        <f>'[4]2.mell. KIADÁS'!I239</f>
        <v>254568</v>
      </c>
      <c r="D14" s="404">
        <f>'2.mell. KIADÁS'!G198</f>
        <v>0</v>
      </c>
      <c r="E14" s="404">
        <v>15000</v>
      </c>
      <c r="F14" s="404">
        <v>15000</v>
      </c>
      <c r="G14" s="404">
        <v>15000</v>
      </c>
      <c r="H14" s="412"/>
      <c r="I14" s="412"/>
    </row>
    <row r="15" spans="1:7" ht="31.5" customHeight="1">
      <c r="A15" s="413" t="s">
        <v>762</v>
      </c>
      <c r="B15" s="414" t="s">
        <v>480</v>
      </c>
      <c r="C15" s="415">
        <f>'[4]2.mell. KIADÁS'!I258</f>
        <v>1116</v>
      </c>
      <c r="D15" s="404">
        <f>'2.mell. KIADÁS'!G220</f>
        <v>161</v>
      </c>
      <c r="E15" s="404">
        <v>1000</v>
      </c>
      <c r="F15" s="404">
        <v>1000</v>
      </c>
      <c r="G15" s="404">
        <v>1000</v>
      </c>
    </row>
    <row r="16" spans="1:7" ht="25.5" customHeight="1">
      <c r="A16" s="401" t="s">
        <v>763</v>
      </c>
      <c r="B16" s="402" t="s">
        <v>482</v>
      </c>
      <c r="C16" s="403">
        <f>'[4]2.mell. KIADÁS'!I265</f>
        <v>12827</v>
      </c>
      <c r="D16" s="404">
        <f>'2.mell. KIADÁS'!G227</f>
        <v>0</v>
      </c>
      <c r="E16" s="404">
        <f>12000+4000+40000</f>
        <v>56000</v>
      </c>
      <c r="F16" s="404">
        <f>12000+4300+40000</f>
        <v>56300</v>
      </c>
      <c r="G16" s="404">
        <f>12000+4300+40000</f>
        <v>56300</v>
      </c>
    </row>
    <row r="17" spans="1:7" ht="30.75" customHeight="1">
      <c r="A17" s="1096" t="s">
        <v>923</v>
      </c>
      <c r="B17" s="1097"/>
      <c r="C17" s="416">
        <v>0</v>
      </c>
      <c r="D17" s="408">
        <v>0</v>
      </c>
      <c r="E17" s="408">
        <v>4560</v>
      </c>
      <c r="F17" s="408">
        <v>4560</v>
      </c>
      <c r="G17" s="408">
        <v>4560</v>
      </c>
    </row>
    <row r="18" spans="1:7" ht="29.25" customHeight="1">
      <c r="A18" s="1096" t="s">
        <v>925</v>
      </c>
      <c r="B18" s="1097"/>
      <c r="C18" s="416">
        <v>0</v>
      </c>
      <c r="D18" s="408">
        <v>0</v>
      </c>
      <c r="E18" s="408">
        <v>0</v>
      </c>
      <c r="F18" s="408">
        <v>4560</v>
      </c>
      <c r="G18" s="408">
        <v>4560</v>
      </c>
    </row>
    <row r="19" spans="1:7" ht="25.5" customHeight="1">
      <c r="A19" s="1045" t="s">
        <v>309</v>
      </c>
      <c r="B19" s="1046"/>
      <c r="C19" s="398">
        <f>C6+C7+C8+C11+C12+C13+C14+C15+C16</f>
        <v>3472858.7</v>
      </c>
      <c r="D19" s="398">
        <f>D6+D7+D8+D11+D12+D13+D14+D15+D16</f>
        <v>505794.7</v>
      </c>
      <c r="E19" s="398">
        <f>E6+E7+E8+E11+E12+E13+E14+E15+E16</f>
        <v>954151.6011</v>
      </c>
      <c r="F19" s="398">
        <f>F6+F7+F8+F11+F12+F13+F14+F15+F16</f>
        <v>960214.9809032999</v>
      </c>
      <c r="G19" s="398">
        <f>G6+G7+G8+G11+G12+G13+G14+G15+G16</f>
        <v>960214.6448460098</v>
      </c>
    </row>
    <row r="20" spans="1:7" ht="32.25" customHeight="1">
      <c r="A20" s="1096" t="s">
        <v>793</v>
      </c>
      <c r="B20" s="1097"/>
      <c r="C20" s="408">
        <f>C9+C17</f>
        <v>63</v>
      </c>
      <c r="D20" s="408">
        <f>D9+D17+D10+D18</f>
        <v>1063</v>
      </c>
      <c r="E20" s="408">
        <f>E9+E17+E10+E18</f>
        <v>6960</v>
      </c>
      <c r="F20" s="408">
        <f>F9+F17+F10+F18</f>
        <v>11720</v>
      </c>
      <c r="G20" s="408">
        <f>G9+G17+G10+G18</f>
        <v>11420</v>
      </c>
    </row>
    <row r="21" spans="4:7" ht="17.25" customHeight="1">
      <c r="D21" s="412">
        <f>SUM(D6:D18)</f>
        <v>506857.7</v>
      </c>
      <c r="E21" s="412"/>
      <c r="F21" s="412"/>
      <c r="G21" s="412"/>
    </row>
    <row r="22" spans="4:7" ht="21" customHeight="1">
      <c r="D22" s="412">
        <f>D21-D19</f>
        <v>1063</v>
      </c>
      <c r="E22" s="412"/>
      <c r="F22" s="412"/>
      <c r="G22" s="412"/>
    </row>
    <row r="24" ht="16.5" customHeight="1"/>
    <row r="26" ht="18.75" customHeight="1"/>
    <row r="28" ht="15" customHeight="1"/>
    <row r="29" ht="15.75"/>
  </sheetData>
  <sheetProtection password="CD92" sheet="1"/>
  <mergeCells count="15">
    <mergeCell ref="A1:G1"/>
    <mergeCell ref="A2:G2"/>
    <mergeCell ref="A9:B9"/>
    <mergeCell ref="A17:B17"/>
    <mergeCell ref="A19:B19"/>
    <mergeCell ref="A20:B20"/>
    <mergeCell ref="G4:G5"/>
    <mergeCell ref="A3:G3"/>
    <mergeCell ref="A10:B10"/>
    <mergeCell ref="A18:B18"/>
    <mergeCell ref="A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&amp;L25.melléklet&amp;R2/2019.(II.15.) ÖK rendelethez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4"/>
  <sheetViews>
    <sheetView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4.421875" style="200" customWidth="1"/>
    <col min="2" max="2" width="6.421875" style="0" customWidth="1"/>
    <col min="3" max="3" width="37.8515625" style="0" customWidth="1"/>
    <col min="4" max="4" width="0.2890625" style="3" hidden="1" customWidth="1"/>
    <col min="5" max="5" width="15.7109375" style="3" hidden="1" customWidth="1"/>
    <col min="6" max="6" width="12.421875" style="3" hidden="1" customWidth="1"/>
    <col min="7" max="8" width="15.8515625" style="515" customWidth="1"/>
    <col min="9" max="9" width="15.7109375" style="515" customWidth="1"/>
    <col min="10" max="10" width="0.13671875" style="3" hidden="1" customWidth="1"/>
    <col min="11" max="11" width="15.7109375" style="3" hidden="1" customWidth="1"/>
    <col min="12" max="12" width="11.7109375" style="3" hidden="1" customWidth="1"/>
    <col min="13" max="14" width="15.28125" style="515" customWidth="1"/>
    <col min="15" max="15" width="16.28125" style="515" customWidth="1"/>
    <col min="16" max="16" width="0.13671875" style="3" hidden="1" customWidth="1"/>
    <col min="17" max="17" width="16.140625" style="3" hidden="1" customWidth="1"/>
    <col min="18" max="18" width="12.140625" style="3" hidden="1" customWidth="1"/>
    <col min="19" max="21" width="16.7109375" style="515" customWidth="1"/>
    <col min="22" max="22" width="4.421875" style="200" customWidth="1"/>
    <col min="23" max="23" width="6.421875" style="0" customWidth="1"/>
    <col min="24" max="24" width="38.421875" style="0" customWidth="1"/>
    <col min="25" max="25" width="0.2890625" style="3" hidden="1" customWidth="1"/>
    <col min="26" max="26" width="15.421875" style="3" hidden="1" customWidth="1"/>
    <col min="27" max="27" width="11.7109375" style="3" hidden="1" customWidth="1"/>
    <col min="28" max="29" width="15.140625" style="515" customWidth="1"/>
    <col min="30" max="30" width="16.57421875" style="515" customWidth="1"/>
    <col min="31" max="31" width="0.2890625" style="3" hidden="1" customWidth="1"/>
    <col min="32" max="32" width="17.421875" style="3" hidden="1" customWidth="1"/>
    <col min="33" max="33" width="15.421875" style="3" hidden="1" customWidth="1"/>
    <col min="34" max="34" width="18.28125" style="515" customWidth="1"/>
    <col min="35" max="35" width="15.28125" style="515" customWidth="1"/>
    <col min="36" max="36" width="16.421875" style="515" customWidth="1"/>
    <col min="37" max="37" width="6.421875" style="0" customWidth="1"/>
    <col min="38" max="38" width="38.8515625" style="0" customWidth="1"/>
    <col min="39" max="39" width="0.2890625" style="0" customWidth="1"/>
    <col min="40" max="40" width="16.57421875" style="0" hidden="1" customWidth="1"/>
    <col min="41" max="41" width="13.28125" style="0" hidden="1" customWidth="1"/>
    <col min="42" max="42" width="16.140625" style="0" customWidth="1"/>
    <col min="43" max="43" width="16.57421875" style="0" customWidth="1"/>
    <col min="44" max="44" width="19.28125" style="0" customWidth="1"/>
    <col min="45" max="45" width="11.421875" style="0" bestFit="1" customWidth="1"/>
  </cols>
  <sheetData>
    <row r="1" spans="1:51" ht="18" customHeight="1">
      <c r="A1" s="841" t="s">
        <v>830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 t="s">
        <v>830</v>
      </c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2" t="s">
        <v>995</v>
      </c>
      <c r="AL1" s="842"/>
      <c r="AM1" s="842"/>
      <c r="AN1" s="842"/>
      <c r="AO1" s="842"/>
      <c r="AP1" s="842"/>
      <c r="AQ1" s="842"/>
      <c r="AR1" s="842"/>
      <c r="AS1" s="669"/>
      <c r="AT1" s="669"/>
      <c r="AU1" s="669"/>
      <c r="AV1" s="669"/>
      <c r="AW1" s="669"/>
      <c r="AX1" s="669"/>
      <c r="AY1" s="669"/>
    </row>
    <row r="2" spans="1:44" ht="18" customHeight="1">
      <c r="A2" s="512"/>
      <c r="B2" s="511"/>
      <c r="C2" s="511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75"/>
      <c r="T2" s="575"/>
      <c r="U2" s="575" t="s">
        <v>523</v>
      </c>
      <c r="V2" s="512"/>
      <c r="W2" s="511"/>
      <c r="X2" s="511"/>
      <c r="Y2" s="513"/>
      <c r="Z2" s="513"/>
      <c r="AA2" s="513"/>
      <c r="AB2" s="513"/>
      <c r="AC2" s="513"/>
      <c r="AD2" s="513"/>
      <c r="AE2" s="513"/>
      <c r="AF2" s="513"/>
      <c r="AG2" s="513"/>
      <c r="AH2" s="575"/>
      <c r="AI2" s="575"/>
      <c r="AJ2" s="575" t="s">
        <v>523</v>
      </c>
      <c r="AK2" s="670"/>
      <c r="AL2" s="670"/>
      <c r="AM2" s="670"/>
      <c r="AN2" s="670"/>
      <c r="AO2" s="670"/>
      <c r="AP2" s="670"/>
      <c r="AQ2" s="670"/>
      <c r="AR2" s="671" t="s">
        <v>523</v>
      </c>
    </row>
    <row r="3" spans="1:44" ht="44.25" customHeight="1">
      <c r="A3" s="848"/>
      <c r="B3" s="849"/>
      <c r="C3" s="260" t="s">
        <v>243</v>
      </c>
      <c r="D3" s="843" t="s">
        <v>499</v>
      </c>
      <c r="E3" s="844"/>
      <c r="F3" s="844"/>
      <c r="G3" s="844"/>
      <c r="H3" s="844"/>
      <c r="I3" s="845"/>
      <c r="J3" s="843" t="s">
        <v>321</v>
      </c>
      <c r="K3" s="844"/>
      <c r="L3" s="844"/>
      <c r="M3" s="844"/>
      <c r="N3" s="844"/>
      <c r="O3" s="845"/>
      <c r="P3" s="843" t="s">
        <v>177</v>
      </c>
      <c r="Q3" s="844"/>
      <c r="R3" s="844"/>
      <c r="S3" s="844"/>
      <c r="T3" s="844"/>
      <c r="U3" s="845"/>
      <c r="V3" s="846"/>
      <c r="W3" s="846"/>
      <c r="X3" s="260" t="s">
        <v>243</v>
      </c>
      <c r="Y3" s="843" t="s">
        <v>345</v>
      </c>
      <c r="Z3" s="844"/>
      <c r="AA3" s="844"/>
      <c r="AB3" s="844"/>
      <c r="AC3" s="844"/>
      <c r="AD3" s="845"/>
      <c r="AE3" s="843" t="s">
        <v>295</v>
      </c>
      <c r="AF3" s="844"/>
      <c r="AG3" s="844"/>
      <c r="AH3" s="844"/>
      <c r="AI3" s="844"/>
      <c r="AJ3" s="845"/>
      <c r="AK3" s="847" t="s">
        <v>269</v>
      </c>
      <c r="AL3" s="847"/>
      <c r="AM3" s="847"/>
      <c r="AN3" s="847"/>
      <c r="AO3" s="847"/>
      <c r="AP3" s="847"/>
      <c r="AQ3" s="847"/>
      <c r="AR3" s="847"/>
    </row>
    <row r="4" spans="1:44" ht="49.5" customHeight="1">
      <c r="A4" s="850" t="s">
        <v>503</v>
      </c>
      <c r="B4" s="850" t="s">
        <v>502</v>
      </c>
      <c r="C4" s="840" t="s">
        <v>505</v>
      </c>
      <c r="D4" s="833" t="s">
        <v>805</v>
      </c>
      <c r="E4" s="823" t="s">
        <v>806</v>
      </c>
      <c r="F4" s="823" t="s">
        <v>831</v>
      </c>
      <c r="G4" s="835" t="s">
        <v>966</v>
      </c>
      <c r="H4" s="780" t="s">
        <v>969</v>
      </c>
      <c r="I4" s="852" t="s">
        <v>996</v>
      </c>
      <c r="J4" s="833" t="s">
        <v>805</v>
      </c>
      <c r="K4" s="823" t="s">
        <v>806</v>
      </c>
      <c r="L4" s="823" t="s">
        <v>831</v>
      </c>
      <c r="M4" s="835" t="s">
        <v>966</v>
      </c>
      <c r="N4" s="780" t="s">
        <v>969</v>
      </c>
      <c r="O4" s="837" t="s">
        <v>996</v>
      </c>
      <c r="P4" s="833" t="s">
        <v>805</v>
      </c>
      <c r="Q4" s="823" t="s">
        <v>806</v>
      </c>
      <c r="R4" s="823" t="s">
        <v>831</v>
      </c>
      <c r="S4" s="835" t="s">
        <v>966</v>
      </c>
      <c r="T4" s="780" t="s">
        <v>969</v>
      </c>
      <c r="U4" s="837" t="s">
        <v>996</v>
      </c>
      <c r="V4" s="839" t="s">
        <v>503</v>
      </c>
      <c r="W4" s="839" t="s">
        <v>502</v>
      </c>
      <c r="X4" s="840" t="s">
        <v>505</v>
      </c>
      <c r="Y4" s="833" t="s">
        <v>805</v>
      </c>
      <c r="Z4" s="823" t="s">
        <v>806</v>
      </c>
      <c r="AA4" s="823" t="s">
        <v>831</v>
      </c>
      <c r="AB4" s="835" t="s">
        <v>966</v>
      </c>
      <c r="AC4" s="780" t="s">
        <v>969</v>
      </c>
      <c r="AD4" s="837" t="s">
        <v>996</v>
      </c>
      <c r="AE4" s="833" t="s">
        <v>805</v>
      </c>
      <c r="AF4" s="823" t="s">
        <v>806</v>
      </c>
      <c r="AG4" s="823" t="s">
        <v>831</v>
      </c>
      <c r="AH4" s="835" t="s">
        <v>966</v>
      </c>
      <c r="AI4" s="780" t="s">
        <v>969</v>
      </c>
      <c r="AJ4" s="837" t="s">
        <v>996</v>
      </c>
      <c r="AK4" s="839" t="s">
        <v>502</v>
      </c>
      <c r="AL4" s="840" t="s">
        <v>505</v>
      </c>
      <c r="AM4" s="833" t="s">
        <v>805</v>
      </c>
      <c r="AN4" s="823" t="s">
        <v>806</v>
      </c>
      <c r="AO4" s="823" t="s">
        <v>831</v>
      </c>
      <c r="AP4" s="835" t="s">
        <v>966</v>
      </c>
      <c r="AQ4" s="780" t="s">
        <v>969</v>
      </c>
      <c r="AR4" s="837" t="s">
        <v>996</v>
      </c>
    </row>
    <row r="5" spans="1:44" ht="15.75" customHeight="1">
      <c r="A5" s="851"/>
      <c r="B5" s="851"/>
      <c r="C5" s="840"/>
      <c r="D5" s="834"/>
      <c r="E5" s="823"/>
      <c r="F5" s="823"/>
      <c r="G5" s="836"/>
      <c r="H5" s="781"/>
      <c r="I5" s="852"/>
      <c r="J5" s="834"/>
      <c r="K5" s="823"/>
      <c r="L5" s="823"/>
      <c r="M5" s="836"/>
      <c r="N5" s="781"/>
      <c r="O5" s="838"/>
      <c r="P5" s="834"/>
      <c r="Q5" s="823"/>
      <c r="R5" s="823"/>
      <c r="S5" s="836"/>
      <c r="T5" s="781"/>
      <c r="U5" s="838"/>
      <c r="V5" s="839"/>
      <c r="W5" s="839"/>
      <c r="X5" s="840"/>
      <c r="Y5" s="834"/>
      <c r="Z5" s="823"/>
      <c r="AA5" s="823"/>
      <c r="AB5" s="836"/>
      <c r="AC5" s="781"/>
      <c r="AD5" s="838"/>
      <c r="AE5" s="834"/>
      <c r="AF5" s="823"/>
      <c r="AG5" s="823"/>
      <c r="AH5" s="836"/>
      <c r="AI5" s="781"/>
      <c r="AJ5" s="838"/>
      <c r="AK5" s="839"/>
      <c r="AL5" s="840"/>
      <c r="AM5" s="834"/>
      <c r="AN5" s="823"/>
      <c r="AO5" s="823"/>
      <c r="AP5" s="836"/>
      <c r="AQ5" s="781"/>
      <c r="AR5" s="838"/>
    </row>
    <row r="6" spans="1:45" s="526" customFormat="1" ht="39" customHeight="1">
      <c r="A6" s="672" t="s">
        <v>276</v>
      </c>
      <c r="B6" s="260" t="s">
        <v>455</v>
      </c>
      <c r="C6" s="242" t="s">
        <v>456</v>
      </c>
      <c r="D6" s="673">
        <f>'[9]VSZ - BEVÉTELEK'!$D$8</f>
        <v>0</v>
      </c>
      <c r="E6" s="673">
        <f>'[9]VSZ - BEVÉTELEK'!$E$8</f>
        <v>14654</v>
      </c>
      <c r="F6" s="673">
        <f>'[9]VSZ - BEVÉTELEK'!$F$8</f>
        <v>14653</v>
      </c>
      <c r="G6" s="674">
        <f>'[9]VSZ - BEVÉTELEK'!$G$8</f>
        <v>14326</v>
      </c>
      <c r="H6" s="673">
        <f>-1558+12768-12768</f>
        <v>-1558</v>
      </c>
      <c r="I6" s="674">
        <f>SUM(G6:H6)</f>
        <v>12768</v>
      </c>
      <c r="J6" s="673">
        <f>'[9]ESZESZ - BEVÉTELEK'!$D$8</f>
        <v>46000</v>
      </c>
      <c r="K6" s="673">
        <f>'[9]ESZESZ - BEVÉTELEK'!$E$8</f>
        <v>55717</v>
      </c>
      <c r="L6" s="673">
        <f>'[9]ESZESZ - BEVÉTELEK'!$F$8</f>
        <v>55716</v>
      </c>
      <c r="M6" s="674">
        <f>'[9]ESZESZ - BEVÉTELEK'!$G$8</f>
        <v>50057</v>
      </c>
      <c r="N6" s="673">
        <f>-397+1660-1660</f>
        <v>-397</v>
      </c>
      <c r="O6" s="674">
        <f>SUM(M6:N6)</f>
        <v>49660</v>
      </c>
      <c r="P6" s="673">
        <f>'[9]KÖNYVTÁR - BEVÉTELEK'!$D$8</f>
        <v>0</v>
      </c>
      <c r="Q6" s="673">
        <f>'[9]KÖNYVTÁR - BEVÉTELEK'!$E$8</f>
        <v>1350</v>
      </c>
      <c r="R6" s="673">
        <f>'[9]KÖNYVTÁR - BEVÉTELEK'!$F$8</f>
        <v>1350</v>
      </c>
      <c r="S6" s="674">
        <f>'[9]KÖNYVTÁR - BEVÉTELEK'!$G$8</f>
        <v>1667</v>
      </c>
      <c r="T6" s="673">
        <f>-1395+271-271-1</f>
        <v>-1396</v>
      </c>
      <c r="U6" s="674">
        <f>SUM(S6:T6)</f>
        <v>271</v>
      </c>
      <c r="V6" s="675" t="s">
        <v>276</v>
      </c>
      <c r="W6" s="676" t="s">
        <v>455</v>
      </c>
      <c r="X6" s="242" t="s">
        <v>456</v>
      </c>
      <c r="Y6" s="673">
        <f>'[9]PH - BEVÉTELEK'!$D$8</f>
        <v>0</v>
      </c>
      <c r="Z6" s="673">
        <f>'[9]PH - BEVÉTELEK'!$E$8</f>
        <v>1955</v>
      </c>
      <c r="AA6" s="673">
        <f>'[9]PH - BEVÉTELEK'!$F$8</f>
        <v>1954</v>
      </c>
      <c r="AB6" s="674">
        <f>'[9]PH - BEVÉTELEK'!$G$8</f>
        <v>1180</v>
      </c>
      <c r="AC6" s="673">
        <f>-1180</f>
        <v>-1180</v>
      </c>
      <c r="AD6" s="674">
        <f>SUM(AB6:AC6)</f>
        <v>0</v>
      </c>
      <c r="AE6" s="673">
        <f>'[9]ÖK - BEVÉTELEK'!$D$10</f>
        <v>638935</v>
      </c>
      <c r="AF6" s="673">
        <f>'[9]ÖK - BEVÉTELEK'!$E$10</f>
        <v>752482</v>
      </c>
      <c r="AG6" s="673">
        <f>'[9]ÖK - BEVÉTELEK'!$F$10</f>
        <v>727615</v>
      </c>
      <c r="AH6" s="674">
        <f>'[5]ÖK - BEVÉTELEK'!$G$10</f>
        <v>658731</v>
      </c>
      <c r="AI6" s="674">
        <f>-64505</f>
        <v>-64505</v>
      </c>
      <c r="AJ6" s="674">
        <f>SUM(AH6:AI6)</f>
        <v>594226</v>
      </c>
      <c r="AK6" s="676" t="s">
        <v>455</v>
      </c>
      <c r="AL6" s="242" t="s">
        <v>456</v>
      </c>
      <c r="AM6" s="677">
        <f aca="true" t="shared" si="0" ref="AM6:AR9">D6+J6+P6+Y6+AE6</f>
        <v>684935</v>
      </c>
      <c r="AN6" s="677">
        <f t="shared" si="0"/>
        <v>826158</v>
      </c>
      <c r="AO6" s="677">
        <f t="shared" si="0"/>
        <v>801288</v>
      </c>
      <c r="AP6" s="677">
        <f t="shared" si="0"/>
        <v>725961</v>
      </c>
      <c r="AQ6" s="677">
        <f t="shared" si="0"/>
        <v>-69036</v>
      </c>
      <c r="AR6" s="677">
        <f t="shared" si="0"/>
        <v>656925</v>
      </c>
      <c r="AS6" s="568"/>
    </row>
    <row r="7" spans="1:45" s="526" customFormat="1" ht="24.75" customHeight="1">
      <c r="A7" s="672" t="s">
        <v>277</v>
      </c>
      <c r="B7" s="260" t="s">
        <v>504</v>
      </c>
      <c r="C7" s="678" t="s">
        <v>337</v>
      </c>
      <c r="D7" s="673">
        <f>'[3]2018 bevétel rész.VSZ'!$G$12</f>
        <v>0</v>
      </c>
      <c r="E7" s="673">
        <v>0</v>
      </c>
      <c r="F7" s="673">
        <v>0</v>
      </c>
      <c r="G7" s="674">
        <f>D7+F7</f>
        <v>0</v>
      </c>
      <c r="H7" s="673">
        <v>0</v>
      </c>
      <c r="I7" s="674">
        <f>SUM(G7:H7)</f>
        <v>0</v>
      </c>
      <c r="J7" s="673">
        <v>0</v>
      </c>
      <c r="K7" s="673">
        <v>0</v>
      </c>
      <c r="L7" s="673">
        <v>0</v>
      </c>
      <c r="M7" s="674">
        <f>J7+L7</f>
        <v>0</v>
      </c>
      <c r="N7" s="673">
        <v>0</v>
      </c>
      <c r="O7" s="674">
        <f>SUM(M7:N7)</f>
        <v>0</v>
      </c>
      <c r="P7" s="673">
        <v>0</v>
      </c>
      <c r="Q7" s="673">
        <v>0</v>
      </c>
      <c r="R7" s="673">
        <v>0</v>
      </c>
      <c r="S7" s="674">
        <f>SUM(P7:R7)</f>
        <v>0</v>
      </c>
      <c r="T7" s="673">
        <v>0</v>
      </c>
      <c r="U7" s="674">
        <f>SUM(S7:T7)</f>
        <v>0</v>
      </c>
      <c r="V7" s="675" t="s">
        <v>277</v>
      </c>
      <c r="W7" s="676" t="s">
        <v>504</v>
      </c>
      <c r="X7" s="678" t="s">
        <v>337</v>
      </c>
      <c r="Y7" s="673">
        <f>'[9]PH - BEVÉTELEK'!$D$14</f>
        <v>100</v>
      </c>
      <c r="Z7" s="673">
        <f>'[9]PH - BEVÉTELEK'!$E$14</f>
        <v>100</v>
      </c>
      <c r="AA7" s="673">
        <f>'[9]PH - BEVÉTELEK'!$F$14</f>
        <v>61</v>
      </c>
      <c r="AB7" s="674">
        <f>'[9]PH - BEVÉTELEK'!$G$14</f>
        <v>100</v>
      </c>
      <c r="AC7" s="673">
        <v>0</v>
      </c>
      <c r="AD7" s="674">
        <f>SUM(AB7:AC7)</f>
        <v>100</v>
      </c>
      <c r="AE7" s="673">
        <f>'[9]ÖK - BEVÉTELEK'!$D$106</f>
        <v>164650</v>
      </c>
      <c r="AF7" s="673">
        <f>'[9]ÖK - BEVÉTELEK'!$E$106</f>
        <v>188352</v>
      </c>
      <c r="AG7" s="673">
        <f>'[9]ÖK - BEVÉTELEK'!$F$106</f>
        <v>250023</v>
      </c>
      <c r="AH7" s="674">
        <f>'[9]ÖK - BEVÉTELEK'!$G$106</f>
        <v>178100</v>
      </c>
      <c r="AI7" s="674">
        <v>0</v>
      </c>
      <c r="AJ7" s="674">
        <f>SUM(AH7:AI7)</f>
        <v>178100</v>
      </c>
      <c r="AK7" s="676" t="s">
        <v>504</v>
      </c>
      <c r="AL7" s="678" t="s">
        <v>337</v>
      </c>
      <c r="AM7" s="677">
        <f t="shared" si="0"/>
        <v>164750</v>
      </c>
      <c r="AN7" s="677">
        <f t="shared" si="0"/>
        <v>188452</v>
      </c>
      <c r="AO7" s="677">
        <f t="shared" si="0"/>
        <v>250084</v>
      </c>
      <c r="AP7" s="677">
        <f t="shared" si="0"/>
        <v>178200</v>
      </c>
      <c r="AQ7" s="677">
        <f t="shared" si="0"/>
        <v>0</v>
      </c>
      <c r="AR7" s="677">
        <f t="shared" si="0"/>
        <v>178200</v>
      </c>
      <c r="AS7" s="568"/>
    </row>
    <row r="8" spans="1:45" s="526" customFormat="1" ht="25.5" customHeight="1">
      <c r="A8" s="672" t="s">
        <v>278</v>
      </c>
      <c r="B8" s="260" t="s">
        <v>467</v>
      </c>
      <c r="C8" s="678" t="s">
        <v>355</v>
      </c>
      <c r="D8" s="673">
        <f>'[9]VSZ - BEVÉTELEK'!$D$15</f>
        <v>68433</v>
      </c>
      <c r="E8" s="673">
        <f>'[9]VSZ - BEVÉTELEK'!$E$15</f>
        <v>68433</v>
      </c>
      <c r="F8" s="673">
        <f>'[9]VSZ - BEVÉTELEK'!$F$15</f>
        <v>64985</v>
      </c>
      <c r="G8" s="674">
        <v>62971</v>
      </c>
      <c r="H8" s="673">
        <v>0</v>
      </c>
      <c r="I8" s="674">
        <f>SUM(G8:H8)</f>
        <v>62971</v>
      </c>
      <c r="J8" s="673">
        <f>'[9]ESZESZ - BEVÉTELEK'!$D$24</f>
        <v>14082</v>
      </c>
      <c r="K8" s="673">
        <f>'[9]ESZESZ - BEVÉTELEK'!$E$24</f>
        <v>15633</v>
      </c>
      <c r="L8" s="673">
        <f>'[9]ESZESZ - BEVÉTELEK'!$F$24</f>
        <v>13417</v>
      </c>
      <c r="M8" s="674">
        <f>'[9]ESZESZ - BEVÉTELEK'!$G$24</f>
        <v>13073</v>
      </c>
      <c r="N8" s="673">
        <v>1</v>
      </c>
      <c r="O8" s="674">
        <f>SUM(M8:N8)</f>
        <v>13074</v>
      </c>
      <c r="P8" s="673">
        <f>'[9]KÖNYVTÁR - BEVÉTELEK'!$D$20</f>
        <v>2201</v>
      </c>
      <c r="Q8" s="673">
        <f>'[9]KÖNYVTÁR - BEVÉTELEK'!$E$20</f>
        <v>1679</v>
      </c>
      <c r="R8" s="673">
        <f>'[9]KÖNYVTÁR - BEVÉTELEK'!$F$20</f>
        <v>1383</v>
      </c>
      <c r="S8" s="674">
        <f>'[9]KÖNYVTÁR - BEVÉTELEK'!$G$20</f>
        <v>2001</v>
      </c>
      <c r="T8" s="673">
        <v>0</v>
      </c>
      <c r="U8" s="674">
        <f>SUM(S8:T8)</f>
        <v>2001</v>
      </c>
      <c r="V8" s="675" t="s">
        <v>278</v>
      </c>
      <c r="W8" s="676" t="s">
        <v>467</v>
      </c>
      <c r="X8" s="678" t="s">
        <v>355</v>
      </c>
      <c r="Y8" s="673">
        <f>'[9]PH - BEVÉTELEK'!$D$16</f>
        <v>12073</v>
      </c>
      <c r="Z8" s="673">
        <f>'[9]PH - BEVÉTELEK'!$E$16</f>
        <v>12897</v>
      </c>
      <c r="AA8" s="673">
        <f>'[9]PH - BEVÉTELEK'!$F$16</f>
        <v>11685</v>
      </c>
      <c r="AB8" s="674">
        <f>'[9]PH - BEVÉTELEK'!$G$16</f>
        <v>12339</v>
      </c>
      <c r="AC8" s="673">
        <v>0</v>
      </c>
      <c r="AD8" s="674">
        <f>SUM(AB8:AC8)</f>
        <v>12339</v>
      </c>
      <c r="AE8" s="673">
        <f>'[9]ÖK - BEVÉTELEK'!$D$117</f>
        <v>36076</v>
      </c>
      <c r="AF8" s="673">
        <f>'[9]ÖK - BEVÉTELEK'!$E$117</f>
        <v>48056</v>
      </c>
      <c r="AG8" s="673">
        <f>'[9]ÖK - BEVÉTELEK'!$F$117</f>
        <v>37161</v>
      </c>
      <c r="AH8" s="674">
        <f>'[9]ÖK - BEVÉTELEK'!$G$117</f>
        <v>36947</v>
      </c>
      <c r="AI8" s="674">
        <v>0</v>
      </c>
      <c r="AJ8" s="674">
        <f>SUM(AH8:AI8)</f>
        <v>36947</v>
      </c>
      <c r="AK8" s="676" t="s">
        <v>467</v>
      </c>
      <c r="AL8" s="678" t="s">
        <v>355</v>
      </c>
      <c r="AM8" s="677">
        <f t="shared" si="0"/>
        <v>132865</v>
      </c>
      <c r="AN8" s="677">
        <f t="shared" si="0"/>
        <v>146698</v>
      </c>
      <c r="AO8" s="677">
        <f t="shared" si="0"/>
        <v>128631</v>
      </c>
      <c r="AP8" s="677">
        <f t="shared" si="0"/>
        <v>127331</v>
      </c>
      <c r="AQ8" s="677">
        <f t="shared" si="0"/>
        <v>1</v>
      </c>
      <c r="AR8" s="677">
        <f t="shared" si="0"/>
        <v>127332</v>
      </c>
      <c r="AS8" s="568"/>
    </row>
    <row r="9" spans="1:45" s="526" customFormat="1" ht="30" customHeight="1">
      <c r="A9" s="672" t="s">
        <v>279</v>
      </c>
      <c r="B9" s="260" t="s">
        <v>469</v>
      </c>
      <c r="C9" s="678" t="s">
        <v>470</v>
      </c>
      <c r="D9" s="673">
        <f>'[3]2018 bevétel rész.VSZ'!$G$51</f>
        <v>0</v>
      </c>
      <c r="E9" s="673">
        <v>0</v>
      </c>
      <c r="F9" s="673">
        <v>0</v>
      </c>
      <c r="G9" s="674">
        <f>D9+F9</f>
        <v>0</v>
      </c>
      <c r="H9" s="673">
        <v>0</v>
      </c>
      <c r="I9" s="674">
        <f>SUM(G9:H9)</f>
        <v>0</v>
      </c>
      <c r="J9" s="673">
        <v>0</v>
      </c>
      <c r="K9" s="673">
        <v>0</v>
      </c>
      <c r="L9" s="673">
        <v>0</v>
      </c>
      <c r="M9" s="674">
        <v>0</v>
      </c>
      <c r="N9" s="673">
        <v>0</v>
      </c>
      <c r="O9" s="674">
        <f>SUM(M9:N9)</f>
        <v>0</v>
      </c>
      <c r="P9" s="673">
        <v>0</v>
      </c>
      <c r="Q9" s="673">
        <v>0</v>
      </c>
      <c r="R9" s="673">
        <v>0</v>
      </c>
      <c r="S9" s="674">
        <f>SUM(P9:R9)</f>
        <v>0</v>
      </c>
      <c r="T9" s="673">
        <v>0</v>
      </c>
      <c r="U9" s="674">
        <f>SUM(S9:T9)</f>
        <v>0</v>
      </c>
      <c r="V9" s="675" t="s">
        <v>279</v>
      </c>
      <c r="W9" s="676" t="s">
        <v>469</v>
      </c>
      <c r="X9" s="678" t="s">
        <v>470</v>
      </c>
      <c r="Y9" s="673">
        <v>0</v>
      </c>
      <c r="Z9" s="673">
        <v>0</v>
      </c>
      <c r="AA9" s="673">
        <v>0</v>
      </c>
      <c r="AB9" s="674">
        <v>0</v>
      </c>
      <c r="AC9" s="673">
        <v>0</v>
      </c>
      <c r="AD9" s="674">
        <f>SUM(AB9:AC9)</f>
        <v>0</v>
      </c>
      <c r="AE9" s="673">
        <f>'[9]ÖK - BEVÉTELEK'!$D$139</f>
        <v>208</v>
      </c>
      <c r="AF9" s="673">
        <f>'[9]ÖK - BEVÉTELEK'!$E$139</f>
        <v>208</v>
      </c>
      <c r="AG9" s="673">
        <f>'[9]ÖK - BEVÉTELEK'!$F$139</f>
        <v>78</v>
      </c>
      <c r="AH9" s="674">
        <f>'[9]ÖK - BEVÉTELEK'!$G$139</f>
        <v>78</v>
      </c>
      <c r="AI9" s="674">
        <v>0</v>
      </c>
      <c r="AJ9" s="674">
        <f>SUM(AH9:AI9)</f>
        <v>78</v>
      </c>
      <c r="AK9" s="676" t="s">
        <v>469</v>
      </c>
      <c r="AL9" s="678" t="s">
        <v>470</v>
      </c>
      <c r="AM9" s="677">
        <f t="shared" si="0"/>
        <v>208</v>
      </c>
      <c r="AN9" s="677">
        <f t="shared" si="0"/>
        <v>208</v>
      </c>
      <c r="AO9" s="677">
        <f t="shared" si="0"/>
        <v>78</v>
      </c>
      <c r="AP9" s="677">
        <f t="shared" si="0"/>
        <v>78</v>
      </c>
      <c r="AQ9" s="677">
        <f t="shared" si="0"/>
        <v>0</v>
      </c>
      <c r="AR9" s="677">
        <f t="shared" si="0"/>
        <v>78</v>
      </c>
      <c r="AS9" s="568"/>
    </row>
    <row r="10" spans="1:44" s="682" customFormat="1" ht="20.25" customHeight="1">
      <c r="A10" s="679" t="s">
        <v>280</v>
      </c>
      <c r="B10" s="831" t="s">
        <v>355</v>
      </c>
      <c r="C10" s="832"/>
      <c r="D10" s="680">
        <f aca="true" t="shared" si="1" ref="D10:U10">SUM(D6:D9)</f>
        <v>68433</v>
      </c>
      <c r="E10" s="680">
        <f t="shared" si="1"/>
        <v>83087</v>
      </c>
      <c r="F10" s="680">
        <f t="shared" si="1"/>
        <v>79638</v>
      </c>
      <c r="G10" s="680">
        <f t="shared" si="1"/>
        <v>77297</v>
      </c>
      <c r="H10" s="680">
        <f t="shared" si="1"/>
        <v>-1558</v>
      </c>
      <c r="I10" s="680">
        <f t="shared" si="1"/>
        <v>75739</v>
      </c>
      <c r="J10" s="680">
        <f t="shared" si="1"/>
        <v>60082</v>
      </c>
      <c r="K10" s="680">
        <f t="shared" si="1"/>
        <v>71350</v>
      </c>
      <c r="L10" s="680">
        <f t="shared" si="1"/>
        <v>69133</v>
      </c>
      <c r="M10" s="680">
        <f t="shared" si="1"/>
        <v>63130</v>
      </c>
      <c r="N10" s="680">
        <f t="shared" si="1"/>
        <v>-396</v>
      </c>
      <c r="O10" s="680">
        <f t="shared" si="1"/>
        <v>62734</v>
      </c>
      <c r="P10" s="680">
        <f t="shared" si="1"/>
        <v>2201</v>
      </c>
      <c r="Q10" s="680">
        <f t="shared" si="1"/>
        <v>3029</v>
      </c>
      <c r="R10" s="680">
        <f t="shared" si="1"/>
        <v>2733</v>
      </c>
      <c r="S10" s="680">
        <f t="shared" si="1"/>
        <v>3668</v>
      </c>
      <c r="T10" s="680">
        <f t="shared" si="1"/>
        <v>-1396</v>
      </c>
      <c r="U10" s="680">
        <f t="shared" si="1"/>
        <v>2272</v>
      </c>
      <c r="V10" s="681" t="s">
        <v>280</v>
      </c>
      <c r="W10" s="831" t="s">
        <v>355</v>
      </c>
      <c r="X10" s="832"/>
      <c r="Y10" s="680">
        <f aca="true" t="shared" si="2" ref="Y10:AJ10">SUM(Y6:Y9)</f>
        <v>12173</v>
      </c>
      <c r="Z10" s="680">
        <f t="shared" si="2"/>
        <v>14952</v>
      </c>
      <c r="AA10" s="680">
        <f t="shared" si="2"/>
        <v>13700</v>
      </c>
      <c r="AB10" s="680">
        <f t="shared" si="2"/>
        <v>13619</v>
      </c>
      <c r="AC10" s="680">
        <f t="shared" si="2"/>
        <v>-1180</v>
      </c>
      <c r="AD10" s="680">
        <f t="shared" si="2"/>
        <v>12439</v>
      </c>
      <c r="AE10" s="680">
        <f t="shared" si="2"/>
        <v>839869</v>
      </c>
      <c r="AF10" s="680">
        <f t="shared" si="2"/>
        <v>989098</v>
      </c>
      <c r="AG10" s="680">
        <f t="shared" si="2"/>
        <v>1014877</v>
      </c>
      <c r="AH10" s="680">
        <f t="shared" si="2"/>
        <v>873856</v>
      </c>
      <c r="AI10" s="680">
        <f t="shared" si="2"/>
        <v>-64505</v>
      </c>
      <c r="AJ10" s="680">
        <f t="shared" si="2"/>
        <v>809351</v>
      </c>
      <c r="AK10" s="831" t="s">
        <v>355</v>
      </c>
      <c r="AL10" s="832"/>
      <c r="AM10" s="680">
        <f aca="true" t="shared" si="3" ref="AM10:AR10">SUM(AM6:AM9)</f>
        <v>982758</v>
      </c>
      <c r="AN10" s="680">
        <f t="shared" si="3"/>
        <v>1161516</v>
      </c>
      <c r="AO10" s="680">
        <f t="shared" si="3"/>
        <v>1180081</v>
      </c>
      <c r="AP10" s="680">
        <f t="shared" si="3"/>
        <v>1031570</v>
      </c>
      <c r="AQ10" s="680">
        <f t="shared" si="3"/>
        <v>-69035</v>
      </c>
      <c r="AR10" s="680">
        <f t="shared" si="3"/>
        <v>962535</v>
      </c>
    </row>
    <row r="11" spans="1:45" s="526" customFormat="1" ht="42" customHeight="1">
      <c r="A11" s="672" t="s">
        <v>281</v>
      </c>
      <c r="B11" s="260" t="s">
        <v>464</v>
      </c>
      <c r="C11" s="678" t="s">
        <v>465</v>
      </c>
      <c r="D11" s="673">
        <f>'[3]2018 bevétel rész.VSZ'!$G$10</f>
        <v>0</v>
      </c>
      <c r="E11" s="673">
        <v>0</v>
      </c>
      <c r="F11" s="673">
        <v>0</v>
      </c>
      <c r="G11" s="674">
        <v>0</v>
      </c>
      <c r="H11" s="673">
        <v>0</v>
      </c>
      <c r="I11" s="674">
        <f>SUM(G11:H11)</f>
        <v>0</v>
      </c>
      <c r="J11" s="673">
        <v>0</v>
      </c>
      <c r="K11" s="673">
        <v>0</v>
      </c>
      <c r="L11" s="673">
        <v>0</v>
      </c>
      <c r="M11" s="674">
        <v>0</v>
      </c>
      <c r="N11" s="673">
        <v>0</v>
      </c>
      <c r="O11" s="674">
        <f>SUM(M11:N11)</f>
        <v>0</v>
      </c>
      <c r="P11" s="673">
        <f>'[9]KÖNYVTÁR - BEVÉTELEK'!$D$14</f>
        <v>0</v>
      </c>
      <c r="Q11" s="673">
        <f>'[9]KÖNYVTÁR - BEVÉTELEK'!$E$14</f>
        <v>2116</v>
      </c>
      <c r="R11" s="673">
        <f>'[9]KÖNYVTÁR - BEVÉTELEK'!$F$14</f>
        <v>2116</v>
      </c>
      <c r="S11" s="674">
        <f>'[9]KÖNYVTÁR - BEVÉTELEK'!$G$14</f>
        <v>161</v>
      </c>
      <c r="T11" s="673">
        <f>161-161</f>
        <v>0</v>
      </c>
      <c r="U11" s="674">
        <f>SUM(S11:T11)</f>
        <v>161</v>
      </c>
      <c r="V11" s="675" t="s">
        <v>281</v>
      </c>
      <c r="W11" s="676" t="s">
        <v>464</v>
      </c>
      <c r="X11" s="678" t="s">
        <v>465</v>
      </c>
      <c r="Y11" s="673">
        <v>0</v>
      </c>
      <c r="Z11" s="673">
        <v>0</v>
      </c>
      <c r="AA11" s="673">
        <v>0</v>
      </c>
      <c r="AB11" s="674">
        <v>0</v>
      </c>
      <c r="AC11" s="673">
        <v>0</v>
      </c>
      <c r="AD11" s="674">
        <f>SUM(AB11:AC11)</f>
        <v>0</v>
      </c>
      <c r="AE11" s="673">
        <f>'[9]ÖK - BEVÉTELEK'!$D$92</f>
        <v>0</v>
      </c>
      <c r="AF11" s="673">
        <f>'[9]ÖK - BEVÉTELEK'!$E$92</f>
        <v>148896</v>
      </c>
      <c r="AG11" s="673">
        <f>'[9]ÖK - BEVÉTELEK'!$F$92</f>
        <v>148895</v>
      </c>
      <c r="AH11" s="674">
        <f>'[9]ÖK - BEVÉTELEK'!$G$92</f>
        <v>0</v>
      </c>
      <c r="AI11" s="674">
        <v>0</v>
      </c>
      <c r="AJ11" s="674">
        <f>SUM(AH11:AI11)</f>
        <v>0</v>
      </c>
      <c r="AK11" s="676" t="s">
        <v>464</v>
      </c>
      <c r="AL11" s="678" t="s">
        <v>465</v>
      </c>
      <c r="AM11" s="677">
        <f aca="true" t="shared" si="4" ref="AM11:AR13">D11+J11+P11+Y11+AE11</f>
        <v>0</v>
      </c>
      <c r="AN11" s="677">
        <f t="shared" si="4"/>
        <v>151012</v>
      </c>
      <c r="AO11" s="677">
        <f t="shared" si="4"/>
        <v>151011</v>
      </c>
      <c r="AP11" s="677">
        <f t="shared" si="4"/>
        <v>161</v>
      </c>
      <c r="AQ11" s="677">
        <f t="shared" si="4"/>
        <v>0</v>
      </c>
      <c r="AR11" s="677">
        <f t="shared" si="4"/>
        <v>161</v>
      </c>
      <c r="AS11" s="568"/>
    </row>
    <row r="12" spans="1:45" s="526" customFormat="1" ht="15.75">
      <c r="A12" s="672" t="s">
        <v>282</v>
      </c>
      <c r="B12" s="260" t="s">
        <v>468</v>
      </c>
      <c r="C12" s="683" t="s">
        <v>317</v>
      </c>
      <c r="D12" s="673">
        <f>'[3]2018 bevétel rész.VSZ'!$G$49</f>
        <v>0</v>
      </c>
      <c r="E12" s="673">
        <v>0</v>
      </c>
      <c r="F12" s="673"/>
      <c r="G12" s="674">
        <v>0</v>
      </c>
      <c r="H12" s="673">
        <v>0</v>
      </c>
      <c r="I12" s="674">
        <f>SUM(G12:H12)</f>
        <v>0</v>
      </c>
      <c r="J12" s="673">
        <v>0</v>
      </c>
      <c r="K12" s="673">
        <v>0</v>
      </c>
      <c r="L12" s="673">
        <v>0</v>
      </c>
      <c r="M12" s="674">
        <v>0</v>
      </c>
      <c r="N12" s="673">
        <v>0</v>
      </c>
      <c r="O12" s="674">
        <f>SUM(M12:N12)</f>
        <v>0</v>
      </c>
      <c r="P12" s="673">
        <v>0</v>
      </c>
      <c r="Q12" s="673">
        <v>0</v>
      </c>
      <c r="R12" s="673">
        <v>0</v>
      </c>
      <c r="S12" s="674">
        <v>0</v>
      </c>
      <c r="T12" s="673">
        <v>0</v>
      </c>
      <c r="U12" s="674">
        <f>SUM(S12:T12)</f>
        <v>0</v>
      </c>
      <c r="V12" s="675" t="s">
        <v>282</v>
      </c>
      <c r="W12" s="676" t="s">
        <v>468</v>
      </c>
      <c r="X12" s="683" t="s">
        <v>317</v>
      </c>
      <c r="Y12" s="673">
        <f>R12+S12</f>
        <v>0</v>
      </c>
      <c r="Z12" s="673">
        <v>0</v>
      </c>
      <c r="AA12" s="673">
        <v>0</v>
      </c>
      <c r="AB12" s="674">
        <v>0</v>
      </c>
      <c r="AC12" s="673">
        <v>0</v>
      </c>
      <c r="AD12" s="674">
        <f>SUM(AB12:AC12)</f>
        <v>0</v>
      </c>
      <c r="AE12" s="673">
        <f>'[9]ÖK - BEVÉTELEK'!$D$129</f>
        <v>4000</v>
      </c>
      <c r="AF12" s="673">
        <f>'[9]ÖK - BEVÉTELEK'!$E$129</f>
        <v>9855</v>
      </c>
      <c r="AG12" s="673">
        <f>'[9]ÖK - BEVÉTELEK'!$F$129</f>
        <v>9854</v>
      </c>
      <c r="AH12" s="674">
        <f>'[9]ÖK - BEVÉTELEK'!$G$129</f>
        <v>5750</v>
      </c>
      <c r="AI12" s="674">
        <v>0</v>
      </c>
      <c r="AJ12" s="674">
        <f>SUM(AH12:AI12)</f>
        <v>5750</v>
      </c>
      <c r="AK12" s="676" t="s">
        <v>468</v>
      </c>
      <c r="AL12" s="683" t="s">
        <v>317</v>
      </c>
      <c r="AM12" s="677">
        <f t="shared" si="4"/>
        <v>4000</v>
      </c>
      <c r="AN12" s="677">
        <f t="shared" si="4"/>
        <v>9855</v>
      </c>
      <c r="AO12" s="677">
        <f t="shared" si="4"/>
        <v>9854</v>
      </c>
      <c r="AP12" s="677">
        <f t="shared" si="4"/>
        <v>5750</v>
      </c>
      <c r="AQ12" s="677">
        <f t="shared" si="4"/>
        <v>0</v>
      </c>
      <c r="AR12" s="677">
        <f t="shared" si="4"/>
        <v>5750</v>
      </c>
      <c r="AS12" s="568"/>
    </row>
    <row r="13" spans="1:45" s="526" customFormat="1" ht="35.25" customHeight="1">
      <c r="A13" s="672" t="s">
        <v>283</v>
      </c>
      <c r="B13" s="260" t="s">
        <v>471</v>
      </c>
      <c r="C13" s="678" t="s">
        <v>472</v>
      </c>
      <c r="D13" s="673">
        <f>'[3]2018 bevétel rész.VSZ'!$G$53</f>
        <v>0</v>
      </c>
      <c r="E13" s="673">
        <v>0</v>
      </c>
      <c r="F13" s="673">
        <v>0</v>
      </c>
      <c r="G13" s="674">
        <v>0</v>
      </c>
      <c r="H13" s="673">
        <v>0</v>
      </c>
      <c r="I13" s="674">
        <f>SUM(G13:H13)</f>
        <v>0</v>
      </c>
      <c r="J13" s="673">
        <v>0</v>
      </c>
      <c r="K13" s="673">
        <v>0</v>
      </c>
      <c r="L13" s="673">
        <v>0</v>
      </c>
      <c r="M13" s="674">
        <v>0</v>
      </c>
      <c r="N13" s="673">
        <v>0</v>
      </c>
      <c r="O13" s="674">
        <f>SUM(M13:N13)</f>
        <v>0</v>
      </c>
      <c r="P13" s="673">
        <v>0</v>
      </c>
      <c r="Q13" s="673">
        <v>0</v>
      </c>
      <c r="R13" s="673">
        <v>0</v>
      </c>
      <c r="S13" s="674">
        <v>0</v>
      </c>
      <c r="T13" s="673">
        <v>0</v>
      </c>
      <c r="U13" s="674">
        <f>SUM(S13:T13)</f>
        <v>0</v>
      </c>
      <c r="V13" s="675" t="s">
        <v>283</v>
      </c>
      <c r="W13" s="676" t="s">
        <v>471</v>
      </c>
      <c r="X13" s="678" t="s">
        <v>472</v>
      </c>
      <c r="Y13" s="673">
        <f>'[9]PH - BEVÉTELEK'!$D$31</f>
        <v>300</v>
      </c>
      <c r="Z13" s="673">
        <f>'[9]PH - BEVÉTELEK'!$E$31</f>
        <v>502</v>
      </c>
      <c r="AA13" s="673">
        <f>'[9]PH - BEVÉTELEK'!$F$31</f>
        <v>410</v>
      </c>
      <c r="AB13" s="674">
        <f>'[9]PH - BEVÉTELEK'!$G$31</f>
        <v>750</v>
      </c>
      <c r="AC13" s="673">
        <v>0</v>
      </c>
      <c r="AD13" s="674">
        <f>SUM(AB13:AC13)</f>
        <v>750</v>
      </c>
      <c r="AE13" s="673">
        <f>'[9]ÖK - BEVÉTELEK'!$D$144</f>
        <v>942</v>
      </c>
      <c r="AF13" s="673">
        <f>'[9]ÖK - BEVÉTELEK'!$E$144</f>
        <v>1137</v>
      </c>
      <c r="AG13" s="673">
        <f>'[9]ÖK - BEVÉTELEK'!$F$144</f>
        <v>915</v>
      </c>
      <c r="AH13" s="674">
        <f>'[9]ÖK - BEVÉTELEK'!$G$144</f>
        <v>510</v>
      </c>
      <c r="AI13" s="674">
        <v>0</v>
      </c>
      <c r="AJ13" s="674">
        <f>SUM(AH13:AI13)</f>
        <v>510</v>
      </c>
      <c r="AK13" s="676" t="s">
        <v>471</v>
      </c>
      <c r="AL13" s="678" t="s">
        <v>472</v>
      </c>
      <c r="AM13" s="677">
        <f t="shared" si="4"/>
        <v>1242</v>
      </c>
      <c r="AN13" s="677">
        <f t="shared" si="4"/>
        <v>1639</v>
      </c>
      <c r="AO13" s="677">
        <f t="shared" si="4"/>
        <v>1325</v>
      </c>
      <c r="AP13" s="677">
        <f t="shared" si="4"/>
        <v>1260</v>
      </c>
      <c r="AQ13" s="677">
        <f t="shared" si="4"/>
        <v>0</v>
      </c>
      <c r="AR13" s="677">
        <f t="shared" si="4"/>
        <v>1260</v>
      </c>
      <c r="AS13" s="568"/>
    </row>
    <row r="14" spans="1:44" s="682" customFormat="1" ht="19.5" customHeight="1">
      <c r="A14" s="679" t="s">
        <v>284</v>
      </c>
      <c r="B14" s="831" t="s">
        <v>317</v>
      </c>
      <c r="C14" s="832"/>
      <c r="D14" s="680">
        <f aca="true" t="shared" si="5" ref="D14:U14">SUM(D11:D13)</f>
        <v>0</v>
      </c>
      <c r="E14" s="680">
        <f t="shared" si="5"/>
        <v>0</v>
      </c>
      <c r="F14" s="680">
        <f t="shared" si="5"/>
        <v>0</v>
      </c>
      <c r="G14" s="680">
        <f t="shared" si="5"/>
        <v>0</v>
      </c>
      <c r="H14" s="680">
        <f t="shared" si="5"/>
        <v>0</v>
      </c>
      <c r="I14" s="680">
        <f t="shared" si="5"/>
        <v>0</v>
      </c>
      <c r="J14" s="680">
        <f t="shared" si="5"/>
        <v>0</v>
      </c>
      <c r="K14" s="680">
        <f t="shared" si="5"/>
        <v>0</v>
      </c>
      <c r="L14" s="680">
        <f t="shared" si="5"/>
        <v>0</v>
      </c>
      <c r="M14" s="680">
        <f t="shared" si="5"/>
        <v>0</v>
      </c>
      <c r="N14" s="680">
        <f t="shared" si="5"/>
        <v>0</v>
      </c>
      <c r="O14" s="680">
        <f t="shared" si="5"/>
        <v>0</v>
      </c>
      <c r="P14" s="680">
        <f t="shared" si="5"/>
        <v>0</v>
      </c>
      <c r="Q14" s="680">
        <f t="shared" si="5"/>
        <v>2116</v>
      </c>
      <c r="R14" s="680">
        <f t="shared" si="5"/>
        <v>2116</v>
      </c>
      <c r="S14" s="680">
        <f t="shared" si="5"/>
        <v>161</v>
      </c>
      <c r="T14" s="680">
        <f t="shared" si="5"/>
        <v>0</v>
      </c>
      <c r="U14" s="680">
        <f t="shared" si="5"/>
        <v>161</v>
      </c>
      <c r="V14" s="681" t="s">
        <v>284</v>
      </c>
      <c r="W14" s="831" t="s">
        <v>317</v>
      </c>
      <c r="X14" s="832"/>
      <c r="Y14" s="680">
        <f aca="true" t="shared" si="6" ref="Y14:AJ14">SUM(Y11:Y13)</f>
        <v>300</v>
      </c>
      <c r="Z14" s="680">
        <f t="shared" si="6"/>
        <v>502</v>
      </c>
      <c r="AA14" s="680">
        <f t="shared" si="6"/>
        <v>410</v>
      </c>
      <c r="AB14" s="680">
        <f t="shared" si="6"/>
        <v>750</v>
      </c>
      <c r="AC14" s="680">
        <f t="shared" si="6"/>
        <v>0</v>
      </c>
      <c r="AD14" s="680">
        <f t="shared" si="6"/>
        <v>750</v>
      </c>
      <c r="AE14" s="680">
        <f t="shared" si="6"/>
        <v>4942</v>
      </c>
      <c r="AF14" s="680">
        <f t="shared" si="6"/>
        <v>159888</v>
      </c>
      <c r="AG14" s="680">
        <f t="shared" si="6"/>
        <v>159664</v>
      </c>
      <c r="AH14" s="680">
        <f t="shared" si="6"/>
        <v>6260</v>
      </c>
      <c r="AI14" s="680">
        <f t="shared" si="6"/>
        <v>0</v>
      </c>
      <c r="AJ14" s="680">
        <f t="shared" si="6"/>
        <v>6260</v>
      </c>
      <c r="AK14" s="831" t="s">
        <v>317</v>
      </c>
      <c r="AL14" s="832"/>
      <c r="AM14" s="680">
        <f aca="true" t="shared" si="7" ref="AM14:AR14">SUM(AM11:AM13)</f>
        <v>5242</v>
      </c>
      <c r="AN14" s="680">
        <f t="shared" si="7"/>
        <v>162506</v>
      </c>
      <c r="AO14" s="680">
        <f t="shared" si="7"/>
        <v>162190</v>
      </c>
      <c r="AP14" s="680">
        <f t="shared" si="7"/>
        <v>7171</v>
      </c>
      <c r="AQ14" s="680">
        <f t="shared" si="7"/>
        <v>0</v>
      </c>
      <c r="AR14" s="680">
        <f t="shared" si="7"/>
        <v>7171</v>
      </c>
    </row>
    <row r="15" spans="1:44" s="685" customFormat="1" ht="27" customHeight="1">
      <c r="A15" s="679" t="s">
        <v>285</v>
      </c>
      <c r="B15" s="826" t="s">
        <v>307</v>
      </c>
      <c r="C15" s="827"/>
      <c r="D15" s="684">
        <f aca="true" t="shared" si="8" ref="D15:I15">D10+D14</f>
        <v>68433</v>
      </c>
      <c r="E15" s="684">
        <f t="shared" si="8"/>
        <v>83087</v>
      </c>
      <c r="F15" s="684">
        <f t="shared" si="8"/>
        <v>79638</v>
      </c>
      <c r="G15" s="684">
        <f t="shared" si="8"/>
        <v>77297</v>
      </c>
      <c r="H15" s="684">
        <f t="shared" si="8"/>
        <v>-1558</v>
      </c>
      <c r="I15" s="684">
        <f t="shared" si="8"/>
        <v>75739</v>
      </c>
      <c r="J15" s="684">
        <f aca="true" t="shared" si="9" ref="J15:O15">J14+J10</f>
        <v>60082</v>
      </c>
      <c r="K15" s="684">
        <f t="shared" si="9"/>
        <v>71350</v>
      </c>
      <c r="L15" s="684">
        <f t="shared" si="9"/>
        <v>69133</v>
      </c>
      <c r="M15" s="684">
        <f t="shared" si="9"/>
        <v>63130</v>
      </c>
      <c r="N15" s="684">
        <f t="shared" si="9"/>
        <v>-396</v>
      </c>
      <c r="O15" s="684">
        <f t="shared" si="9"/>
        <v>62734</v>
      </c>
      <c r="P15" s="684">
        <f aca="true" t="shared" si="10" ref="P15:AG15">P10+P14</f>
        <v>2201</v>
      </c>
      <c r="Q15" s="684">
        <f t="shared" si="10"/>
        <v>5145</v>
      </c>
      <c r="R15" s="684">
        <f t="shared" si="10"/>
        <v>4849</v>
      </c>
      <c r="S15" s="684">
        <f t="shared" si="10"/>
        <v>3829</v>
      </c>
      <c r="T15" s="684">
        <f t="shared" si="10"/>
        <v>-1396</v>
      </c>
      <c r="U15" s="684">
        <f t="shared" si="10"/>
        <v>2433</v>
      </c>
      <c r="V15" s="675" t="s">
        <v>285</v>
      </c>
      <c r="W15" s="826" t="s">
        <v>307</v>
      </c>
      <c r="X15" s="827"/>
      <c r="Y15" s="684">
        <f t="shared" si="10"/>
        <v>12473</v>
      </c>
      <c r="Z15" s="684">
        <f t="shared" si="10"/>
        <v>15454</v>
      </c>
      <c r="AA15" s="684">
        <f t="shared" si="10"/>
        <v>14110</v>
      </c>
      <c r="AB15" s="684">
        <f>AB10+AB14</f>
        <v>14369</v>
      </c>
      <c r="AC15" s="684">
        <f>AC10+AC14</f>
        <v>-1180</v>
      </c>
      <c r="AD15" s="684">
        <f>AD10+AD14</f>
        <v>13189</v>
      </c>
      <c r="AE15" s="684">
        <f>AE10+AE14</f>
        <v>844811</v>
      </c>
      <c r="AF15" s="684">
        <f t="shared" si="10"/>
        <v>1148986</v>
      </c>
      <c r="AG15" s="684">
        <f t="shared" si="10"/>
        <v>1174541</v>
      </c>
      <c r="AH15" s="684">
        <f>AH10+AH14</f>
        <v>880116</v>
      </c>
      <c r="AI15" s="684">
        <f>AI10+AI14</f>
        <v>-64505</v>
      </c>
      <c r="AJ15" s="684">
        <f>AJ10+AJ14</f>
        <v>815611</v>
      </c>
      <c r="AK15" s="826" t="s">
        <v>307</v>
      </c>
      <c r="AL15" s="827"/>
      <c r="AM15" s="684">
        <f aca="true" t="shared" si="11" ref="AM15:AR15">AM14+AM10</f>
        <v>988000</v>
      </c>
      <c r="AN15" s="684">
        <f t="shared" si="11"/>
        <v>1324022</v>
      </c>
      <c r="AO15" s="684">
        <f t="shared" si="11"/>
        <v>1342271</v>
      </c>
      <c r="AP15" s="684">
        <f t="shared" si="11"/>
        <v>1038741</v>
      </c>
      <c r="AQ15" s="684">
        <f t="shared" si="11"/>
        <v>-69035</v>
      </c>
      <c r="AR15" s="684">
        <f t="shared" si="11"/>
        <v>969706</v>
      </c>
    </row>
    <row r="16" spans="1:45" s="689" customFormat="1" ht="44.25" customHeight="1">
      <c r="A16" s="672" t="s">
        <v>286</v>
      </c>
      <c r="B16" s="260" t="s">
        <v>473</v>
      </c>
      <c r="C16" s="678" t="s">
        <v>997</v>
      </c>
      <c r="D16" s="673">
        <v>0</v>
      </c>
      <c r="E16" s="673">
        <f>SUM(E17:E20)</f>
        <v>1194</v>
      </c>
      <c r="F16" s="673">
        <f>SUM(F17:F20)</f>
        <v>1194</v>
      </c>
      <c r="G16" s="674">
        <f>SUM(G17:G20)</f>
        <v>0</v>
      </c>
      <c r="H16" s="673">
        <f>SUM(H17:H20)</f>
        <v>1558</v>
      </c>
      <c r="I16" s="674">
        <f>SUM(I17:I20)</f>
        <v>1558</v>
      </c>
      <c r="J16" s="673">
        <v>0</v>
      </c>
      <c r="K16" s="673">
        <f>SUM(K17:K20)</f>
        <v>803</v>
      </c>
      <c r="L16" s="673">
        <f>SUM(L17:L20)</f>
        <v>802</v>
      </c>
      <c r="M16" s="674">
        <f>SUM(M17:M20)</f>
        <v>0</v>
      </c>
      <c r="N16" s="673">
        <f>SUM(N17:N20)</f>
        <v>396</v>
      </c>
      <c r="O16" s="674">
        <f>SUM(O17:O20)</f>
        <v>396</v>
      </c>
      <c r="P16" s="673">
        <v>0</v>
      </c>
      <c r="Q16" s="673">
        <f>SUM(Q17:Q20)</f>
        <v>1518</v>
      </c>
      <c r="R16" s="673">
        <f>SUM(R17:R20)</f>
        <v>1518</v>
      </c>
      <c r="S16" s="674">
        <f>SUM(S17:S20)</f>
        <v>0</v>
      </c>
      <c r="T16" s="673">
        <f>SUM(T17:T20)</f>
        <v>1395</v>
      </c>
      <c r="U16" s="674">
        <f>SUM(U17:U20)</f>
        <v>1395</v>
      </c>
      <c r="V16" s="675" t="s">
        <v>286</v>
      </c>
      <c r="W16" s="676" t="s">
        <v>473</v>
      </c>
      <c r="X16" s="678" t="s">
        <v>997</v>
      </c>
      <c r="Y16" s="673">
        <v>0</v>
      </c>
      <c r="Z16" s="673">
        <f>'[9]PH - BEVÉTELEK'!$E$34</f>
        <v>1194</v>
      </c>
      <c r="AA16" s="673">
        <f>'[9]PH - BEVÉTELEK'!$F$34</f>
        <v>1193</v>
      </c>
      <c r="AB16" s="674">
        <f>SUM(AB17:AB20)</f>
        <v>0</v>
      </c>
      <c r="AC16" s="673">
        <f>SUM(AC17:AC20)</f>
        <v>1189</v>
      </c>
      <c r="AD16" s="674">
        <f>SUM(AD17:AD20)</f>
        <v>1189</v>
      </c>
      <c r="AE16" s="673">
        <f>'[9]ÖK - BEVÉTELEK'!$D$148</f>
        <v>0</v>
      </c>
      <c r="AF16" s="673">
        <f>'[9]ÖK - BEVÉTELEK'!$E$148</f>
        <v>2212158</v>
      </c>
      <c r="AG16" s="673">
        <f>'[9]ÖK - BEVÉTELEK'!$F$148</f>
        <v>2203328</v>
      </c>
      <c r="AH16" s="674">
        <f>'[5]ÖK - BEVÉTELEK'!$G$148</f>
        <v>120000</v>
      </c>
      <c r="AI16" s="674">
        <f>SUM(AI17:AI20)</f>
        <v>1603137</v>
      </c>
      <c r="AJ16" s="674">
        <f>SUM(AJ17:AJ20)</f>
        <v>1723137</v>
      </c>
      <c r="AK16" s="686" t="s">
        <v>473</v>
      </c>
      <c r="AL16" s="687" t="s">
        <v>474</v>
      </c>
      <c r="AM16" s="674">
        <f aca="true" t="shared" si="12" ref="AM16:AR21">D16+J16+P16+Y16+AE16</f>
        <v>0</v>
      </c>
      <c r="AN16" s="674">
        <f t="shared" si="12"/>
        <v>2216867</v>
      </c>
      <c r="AO16" s="674">
        <f t="shared" si="12"/>
        <v>2208035</v>
      </c>
      <c r="AP16" s="674">
        <f t="shared" si="12"/>
        <v>120000</v>
      </c>
      <c r="AQ16" s="674">
        <f t="shared" si="12"/>
        <v>1607675</v>
      </c>
      <c r="AR16" s="674">
        <f t="shared" si="12"/>
        <v>1727675</v>
      </c>
      <c r="AS16" s="688"/>
    </row>
    <row r="17" spans="1:45" s="526" customFormat="1" ht="35.25" customHeight="1">
      <c r="A17" s="675" t="s">
        <v>287</v>
      </c>
      <c r="B17" s="676"/>
      <c r="C17" s="690" t="s">
        <v>231</v>
      </c>
      <c r="D17" s="673">
        <v>0</v>
      </c>
      <c r="E17" s="673">
        <v>0</v>
      </c>
      <c r="F17" s="673">
        <v>0</v>
      </c>
      <c r="G17" s="674">
        <v>0</v>
      </c>
      <c r="H17" s="673">
        <v>0</v>
      </c>
      <c r="I17" s="674">
        <f>SUM(G17:H17)</f>
        <v>0</v>
      </c>
      <c r="J17" s="673">
        <v>0</v>
      </c>
      <c r="K17" s="673">
        <v>0</v>
      </c>
      <c r="L17" s="673">
        <v>0</v>
      </c>
      <c r="M17" s="674">
        <v>0</v>
      </c>
      <c r="N17" s="673">
        <v>0</v>
      </c>
      <c r="O17" s="674">
        <f>SUM(M17:N17)</f>
        <v>0</v>
      </c>
      <c r="P17" s="673">
        <v>0</v>
      </c>
      <c r="Q17" s="673">
        <v>0</v>
      </c>
      <c r="R17" s="673">
        <v>0</v>
      </c>
      <c r="S17" s="674">
        <v>0</v>
      </c>
      <c r="T17" s="673">
        <v>0</v>
      </c>
      <c r="U17" s="674">
        <f>SUM(S17:T17)</f>
        <v>0</v>
      </c>
      <c r="V17" s="675" t="s">
        <v>287</v>
      </c>
      <c r="W17" s="676"/>
      <c r="X17" s="690" t="s">
        <v>231</v>
      </c>
      <c r="Y17" s="673">
        <v>0</v>
      </c>
      <c r="Z17" s="673">
        <v>0</v>
      </c>
      <c r="AA17" s="673">
        <v>0</v>
      </c>
      <c r="AB17" s="674">
        <v>0</v>
      </c>
      <c r="AC17" s="673">
        <v>0</v>
      </c>
      <c r="AD17" s="674">
        <f>SUM(AB17:AC17)</f>
        <v>0</v>
      </c>
      <c r="AE17" s="673">
        <v>0</v>
      </c>
      <c r="AF17" s="673">
        <v>0</v>
      </c>
      <c r="AG17" s="673">
        <v>0</v>
      </c>
      <c r="AH17" s="674">
        <v>40000</v>
      </c>
      <c r="AI17" s="674">
        <v>0</v>
      </c>
      <c r="AJ17" s="674">
        <f>SUM(AH17:AI17)</f>
        <v>40000</v>
      </c>
      <c r="AK17" s="676"/>
      <c r="AL17" s="690" t="s">
        <v>231</v>
      </c>
      <c r="AM17" s="691">
        <f t="shared" si="12"/>
        <v>0</v>
      </c>
      <c r="AN17" s="691">
        <f t="shared" si="12"/>
        <v>0</v>
      </c>
      <c r="AO17" s="691">
        <f t="shared" si="12"/>
        <v>0</v>
      </c>
      <c r="AP17" s="691">
        <f t="shared" si="12"/>
        <v>40000</v>
      </c>
      <c r="AQ17" s="691">
        <f t="shared" si="12"/>
        <v>0</v>
      </c>
      <c r="AR17" s="691">
        <f t="shared" si="12"/>
        <v>40000</v>
      </c>
      <c r="AS17" s="568"/>
    </row>
    <row r="18" spans="1:44" s="526" customFormat="1" ht="32.25" customHeight="1">
      <c r="A18" s="675" t="s">
        <v>288</v>
      </c>
      <c r="B18" s="676"/>
      <c r="C18" s="690" t="s">
        <v>232</v>
      </c>
      <c r="D18" s="673">
        <v>0</v>
      </c>
      <c r="E18" s="673">
        <v>0</v>
      </c>
      <c r="F18" s="673">
        <v>0</v>
      </c>
      <c r="G18" s="674">
        <v>0</v>
      </c>
      <c r="H18" s="673">
        <v>0</v>
      </c>
      <c r="I18" s="674">
        <f>SUM(G18:H18)</f>
        <v>0</v>
      </c>
      <c r="J18" s="673">
        <v>0</v>
      </c>
      <c r="K18" s="673">
        <v>0</v>
      </c>
      <c r="L18" s="673">
        <v>0</v>
      </c>
      <c r="M18" s="674">
        <v>0</v>
      </c>
      <c r="N18" s="673">
        <v>0</v>
      </c>
      <c r="O18" s="674">
        <f>SUM(M18:N18)</f>
        <v>0</v>
      </c>
      <c r="P18" s="673">
        <v>0</v>
      </c>
      <c r="Q18" s="673">
        <v>0</v>
      </c>
      <c r="R18" s="673">
        <v>0</v>
      </c>
      <c r="S18" s="674">
        <v>0</v>
      </c>
      <c r="T18" s="673">
        <v>0</v>
      </c>
      <c r="U18" s="674">
        <f>SUM(S18:T18)</f>
        <v>0</v>
      </c>
      <c r="V18" s="675" t="s">
        <v>288</v>
      </c>
      <c r="W18" s="676"/>
      <c r="X18" s="690" t="s">
        <v>232</v>
      </c>
      <c r="Y18" s="673">
        <v>0</v>
      </c>
      <c r="Z18" s="673">
        <v>0</v>
      </c>
      <c r="AA18" s="673">
        <v>0</v>
      </c>
      <c r="AB18" s="674">
        <v>0</v>
      </c>
      <c r="AC18" s="673">
        <v>0</v>
      </c>
      <c r="AD18" s="674">
        <f>SUM(AB18:AC18)</f>
        <v>0</v>
      </c>
      <c r="AE18" s="673">
        <v>0</v>
      </c>
      <c r="AF18" s="673">
        <v>0</v>
      </c>
      <c r="AG18" s="673">
        <v>0</v>
      </c>
      <c r="AH18" s="674">
        <v>0</v>
      </c>
      <c r="AI18" s="674">
        <v>0</v>
      </c>
      <c r="AJ18" s="674">
        <f>SUM(AH18:AI18)</f>
        <v>0</v>
      </c>
      <c r="AK18" s="676"/>
      <c r="AL18" s="690" t="s">
        <v>232</v>
      </c>
      <c r="AM18" s="691">
        <f t="shared" si="12"/>
        <v>0</v>
      </c>
      <c r="AN18" s="691">
        <f t="shared" si="12"/>
        <v>0</v>
      </c>
      <c r="AO18" s="691">
        <f t="shared" si="12"/>
        <v>0</v>
      </c>
      <c r="AP18" s="691">
        <f t="shared" si="12"/>
        <v>0</v>
      </c>
      <c r="AQ18" s="691">
        <f t="shared" si="12"/>
        <v>0</v>
      </c>
      <c r="AR18" s="691">
        <f t="shared" si="12"/>
        <v>0</v>
      </c>
    </row>
    <row r="19" spans="1:45" s="526" customFormat="1" ht="15.75">
      <c r="A19" s="675" t="s">
        <v>289</v>
      </c>
      <c r="B19" s="676"/>
      <c r="C19" s="692" t="s">
        <v>780</v>
      </c>
      <c r="D19" s="673">
        <v>0</v>
      </c>
      <c r="E19" s="673">
        <v>0</v>
      </c>
      <c r="F19" s="673">
        <v>0</v>
      </c>
      <c r="G19" s="674">
        <v>0</v>
      </c>
      <c r="H19" s="673">
        <v>0</v>
      </c>
      <c r="I19" s="674">
        <f>SUM(G19:H19)</f>
        <v>0</v>
      </c>
      <c r="J19" s="673">
        <v>0</v>
      </c>
      <c r="K19" s="673">
        <v>0</v>
      </c>
      <c r="L19" s="673">
        <v>0</v>
      </c>
      <c r="M19" s="674">
        <v>0</v>
      </c>
      <c r="N19" s="673">
        <v>0</v>
      </c>
      <c r="O19" s="674">
        <f>SUM(M19:N19)</f>
        <v>0</v>
      </c>
      <c r="P19" s="673">
        <v>0</v>
      </c>
      <c r="Q19" s="673">
        <v>0</v>
      </c>
      <c r="R19" s="673">
        <v>0</v>
      </c>
      <c r="S19" s="674">
        <v>0</v>
      </c>
      <c r="T19" s="673">
        <v>0</v>
      </c>
      <c r="U19" s="674">
        <f>SUM(S19:T19)</f>
        <v>0</v>
      </c>
      <c r="V19" s="675" t="s">
        <v>289</v>
      </c>
      <c r="W19" s="676"/>
      <c r="X19" s="692" t="s">
        <v>780</v>
      </c>
      <c r="Y19" s="673">
        <v>0</v>
      </c>
      <c r="Z19" s="673">
        <v>0</v>
      </c>
      <c r="AA19" s="673">
        <v>0</v>
      </c>
      <c r="AB19" s="674">
        <v>0</v>
      </c>
      <c r="AC19" s="673">
        <v>0</v>
      </c>
      <c r="AD19" s="674">
        <f>SUM(AB19:AC19)</f>
        <v>0</v>
      </c>
      <c r="AE19" s="673">
        <v>0</v>
      </c>
      <c r="AF19" s="673">
        <v>8829</v>
      </c>
      <c r="AG19" s="673">
        <v>0</v>
      </c>
      <c r="AH19" s="674">
        <f>40000+40000</f>
        <v>80000</v>
      </c>
      <c r="AI19" s="674">
        <v>0</v>
      </c>
      <c r="AJ19" s="674">
        <f>SUM(AH19:AI19)</f>
        <v>80000</v>
      </c>
      <c r="AK19" s="676"/>
      <c r="AL19" s="692" t="s">
        <v>500</v>
      </c>
      <c r="AM19" s="691">
        <f t="shared" si="12"/>
        <v>0</v>
      </c>
      <c r="AN19" s="691">
        <f t="shared" si="12"/>
        <v>8829</v>
      </c>
      <c r="AO19" s="691">
        <f t="shared" si="12"/>
        <v>0</v>
      </c>
      <c r="AP19" s="691">
        <f t="shared" si="12"/>
        <v>80000</v>
      </c>
      <c r="AQ19" s="691">
        <f t="shared" si="12"/>
        <v>0</v>
      </c>
      <c r="AR19" s="691">
        <f t="shared" si="12"/>
        <v>80000</v>
      </c>
      <c r="AS19" s="568"/>
    </row>
    <row r="20" spans="1:45" s="526" customFormat="1" ht="15.75">
      <c r="A20" s="675" t="s">
        <v>290</v>
      </c>
      <c r="B20" s="676"/>
      <c r="C20" s="693" t="s">
        <v>475</v>
      </c>
      <c r="D20" s="673">
        <v>0</v>
      </c>
      <c r="E20" s="673">
        <f>'[9]VSZ - BEVÉTELEK'!$E$35</f>
        <v>1194</v>
      </c>
      <c r="F20" s="673">
        <f>'[9]VSZ - BEVÉTELEK'!$F$35</f>
        <v>1194</v>
      </c>
      <c r="G20" s="674">
        <v>0</v>
      </c>
      <c r="H20" s="673">
        <v>1558</v>
      </c>
      <c r="I20" s="674">
        <f>SUM(G20:H20)</f>
        <v>1558</v>
      </c>
      <c r="J20" s="673">
        <v>0</v>
      </c>
      <c r="K20" s="673">
        <f>'[9]ESZESZ - BEVÉTELEK'!$E$39</f>
        <v>803</v>
      </c>
      <c r="L20" s="673">
        <f>'[9]ESZESZ - BEVÉTELEK'!$F$39</f>
        <v>802</v>
      </c>
      <c r="M20" s="674">
        <v>0</v>
      </c>
      <c r="N20" s="673">
        <v>396</v>
      </c>
      <c r="O20" s="674">
        <f>SUM(M20:N20)</f>
        <v>396</v>
      </c>
      <c r="P20" s="673">
        <v>0</v>
      </c>
      <c r="Q20" s="673">
        <f>'[9]KÖNYVTÁR - BEVÉTELEK'!$E$32</f>
        <v>1518</v>
      </c>
      <c r="R20" s="673">
        <v>1518</v>
      </c>
      <c r="S20" s="674">
        <v>0</v>
      </c>
      <c r="T20" s="673">
        <v>1395</v>
      </c>
      <c r="U20" s="674">
        <f>SUM(S20:T20)</f>
        <v>1395</v>
      </c>
      <c r="V20" s="675" t="s">
        <v>290</v>
      </c>
      <c r="W20" s="676"/>
      <c r="X20" s="693" t="s">
        <v>475</v>
      </c>
      <c r="Y20" s="673">
        <v>0</v>
      </c>
      <c r="Z20" s="673">
        <v>0</v>
      </c>
      <c r="AA20" s="673">
        <v>1194</v>
      </c>
      <c r="AB20" s="674">
        <v>0</v>
      </c>
      <c r="AC20" s="673">
        <v>1189</v>
      </c>
      <c r="AD20" s="674">
        <f>SUM(AB20:AC20)</f>
        <v>1189</v>
      </c>
      <c r="AE20" s="673">
        <v>0</v>
      </c>
      <c r="AF20" s="673">
        <v>2190964</v>
      </c>
      <c r="AG20" s="673">
        <v>2190963</v>
      </c>
      <c r="AH20" s="674">
        <v>0</v>
      </c>
      <c r="AI20" s="674">
        <f>1599278+3859</f>
        <v>1603137</v>
      </c>
      <c r="AJ20" s="674">
        <f>SUM(AH20:AI20)</f>
        <v>1603137</v>
      </c>
      <c r="AK20" s="676"/>
      <c r="AL20" s="693" t="s">
        <v>475</v>
      </c>
      <c r="AM20" s="691">
        <f t="shared" si="12"/>
        <v>0</v>
      </c>
      <c r="AN20" s="691">
        <f t="shared" si="12"/>
        <v>2194479</v>
      </c>
      <c r="AO20" s="691">
        <f t="shared" si="12"/>
        <v>2195671</v>
      </c>
      <c r="AP20" s="691">
        <f t="shared" si="12"/>
        <v>0</v>
      </c>
      <c r="AQ20" s="691">
        <f t="shared" si="12"/>
        <v>1607675</v>
      </c>
      <c r="AR20" s="691">
        <f t="shared" si="12"/>
        <v>1607675</v>
      </c>
      <c r="AS20" s="568"/>
    </row>
    <row r="21" spans="1:44" s="526" customFormat="1" ht="36.75" customHeight="1">
      <c r="A21" s="675" t="s">
        <v>291</v>
      </c>
      <c r="B21" s="676"/>
      <c r="C21" s="694" t="s">
        <v>669</v>
      </c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828"/>
      <c r="W21" s="828"/>
      <c r="X21" s="828"/>
      <c r="Y21" s="828"/>
      <c r="Z21" s="828"/>
      <c r="AA21" s="828"/>
      <c r="AB21" s="828"/>
      <c r="AC21" s="696"/>
      <c r="AD21" s="696"/>
      <c r="AE21" s="697">
        <v>0</v>
      </c>
      <c r="AF21" s="697">
        <v>12365</v>
      </c>
      <c r="AG21" s="697">
        <v>12365</v>
      </c>
      <c r="AH21" s="677">
        <v>0</v>
      </c>
      <c r="AI21" s="677">
        <v>0</v>
      </c>
      <c r="AJ21" s="674">
        <f>SUM(AH21:AI21)</f>
        <v>0</v>
      </c>
      <c r="AK21" s="676"/>
      <c r="AL21" s="694" t="s">
        <v>669</v>
      </c>
      <c r="AM21" s="691">
        <f t="shared" si="12"/>
        <v>0</v>
      </c>
      <c r="AN21" s="691">
        <f t="shared" si="12"/>
        <v>12365</v>
      </c>
      <c r="AO21" s="691">
        <f t="shared" si="12"/>
        <v>12365</v>
      </c>
      <c r="AP21" s="691">
        <f t="shared" si="12"/>
        <v>0</v>
      </c>
      <c r="AQ21" s="691">
        <f t="shared" si="12"/>
        <v>0</v>
      </c>
      <c r="AR21" s="691">
        <f t="shared" si="12"/>
        <v>0</v>
      </c>
    </row>
    <row r="22" spans="1:44" s="700" customFormat="1" ht="36.75" customHeight="1">
      <c r="A22" s="675" t="s">
        <v>292</v>
      </c>
      <c r="B22" s="829" t="s">
        <v>244</v>
      </c>
      <c r="C22" s="830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75" t="s">
        <v>292</v>
      </c>
      <c r="W22" s="829" t="s">
        <v>244</v>
      </c>
      <c r="X22" s="830"/>
      <c r="Y22" s="699"/>
      <c r="Z22" s="699"/>
      <c r="AA22" s="699"/>
      <c r="AB22" s="699"/>
      <c r="AC22" s="699"/>
      <c r="AD22" s="699"/>
      <c r="AE22" s="698"/>
      <c r="AF22" s="698"/>
      <c r="AG22" s="698"/>
      <c r="AH22" s="698"/>
      <c r="AI22" s="698"/>
      <c r="AJ22" s="698"/>
      <c r="AK22" s="829" t="s">
        <v>244</v>
      </c>
      <c r="AL22" s="830"/>
      <c r="AM22" s="698"/>
      <c r="AN22" s="698"/>
      <c r="AO22" s="698"/>
      <c r="AP22" s="698"/>
      <c r="AQ22" s="698"/>
      <c r="AR22" s="698"/>
    </row>
    <row r="23" spans="1:44" s="705" customFormat="1" ht="18" customHeight="1">
      <c r="A23" s="675" t="s">
        <v>293</v>
      </c>
      <c r="B23" s="701"/>
      <c r="C23" s="701" t="s">
        <v>245</v>
      </c>
      <c r="D23" s="702">
        <f>D25-D24</f>
        <v>155750</v>
      </c>
      <c r="E23" s="702">
        <f>'[9]VSZ - BEVÉTELEK'!$E$36</f>
        <v>173032</v>
      </c>
      <c r="F23" s="702">
        <f>'[9]VSZ - BEVÉTELEK'!$F$36</f>
        <v>163646</v>
      </c>
      <c r="G23" s="702">
        <f>G25-G24</f>
        <v>176626</v>
      </c>
      <c r="H23" s="702">
        <f>H25-H24</f>
        <v>0</v>
      </c>
      <c r="I23" s="702">
        <f>I25-I24</f>
        <v>176626</v>
      </c>
      <c r="J23" s="702">
        <f>J25-J24</f>
        <v>104878</v>
      </c>
      <c r="K23" s="702">
        <v>113234</v>
      </c>
      <c r="L23" s="702">
        <f>'[9]ESZESZ - BEVÉTELEK'!$F$40</f>
        <v>112511</v>
      </c>
      <c r="M23" s="702">
        <f>M25-M24</f>
        <v>126100.70000000001</v>
      </c>
      <c r="N23" s="702">
        <f>N25-N24</f>
        <v>0</v>
      </c>
      <c r="O23" s="702">
        <f>O25-O24</f>
        <v>126100.70000000001</v>
      </c>
      <c r="P23" s="702">
        <f>P25-P24</f>
        <v>21912</v>
      </c>
      <c r="Q23" s="702">
        <f>'[9]KÖNYVTÁR - BEVÉTELEK'!$E$33</f>
        <v>25746</v>
      </c>
      <c r="R23" s="702">
        <f>'[9]KÖNYVTÁR - BEVÉTELEK'!$F$33</f>
        <v>23046</v>
      </c>
      <c r="S23" s="702">
        <f>S25-S24</f>
        <v>27427</v>
      </c>
      <c r="T23" s="702">
        <f>T25-T24</f>
        <v>0</v>
      </c>
      <c r="U23" s="702">
        <f>U25-U24</f>
        <v>27427</v>
      </c>
      <c r="V23" s="675" t="s">
        <v>293</v>
      </c>
      <c r="W23" s="701"/>
      <c r="X23" s="701" t="s">
        <v>245</v>
      </c>
      <c r="Y23" s="702">
        <f>Y25-Y24</f>
        <v>124629</v>
      </c>
      <c r="Z23" s="702">
        <f>'[9]PH - BEVÉTELEK'!$E$35</f>
        <v>136293</v>
      </c>
      <c r="AA23" s="702">
        <f>'[9]PH - BEVÉTELEK'!$F$35</f>
        <v>136717</v>
      </c>
      <c r="AB23" s="702">
        <f>AB25-AB24</f>
        <v>143393</v>
      </c>
      <c r="AC23" s="702">
        <f>AC25-AC24</f>
        <v>0</v>
      </c>
      <c r="AD23" s="702">
        <f>AD25-AD24</f>
        <v>143393</v>
      </c>
      <c r="AE23" s="703"/>
      <c r="AF23" s="703"/>
      <c r="AG23" s="703"/>
      <c r="AH23" s="704"/>
      <c r="AI23" s="704"/>
      <c r="AJ23" s="704"/>
      <c r="AK23" s="701"/>
      <c r="AL23" s="701" t="s">
        <v>245</v>
      </c>
      <c r="AM23" s="702">
        <f aca="true" t="shared" si="13" ref="AM23:AR23">D23+J23+P23+Y23</f>
        <v>407169</v>
      </c>
      <c r="AN23" s="702">
        <f t="shared" si="13"/>
        <v>448305</v>
      </c>
      <c r="AO23" s="702">
        <f t="shared" si="13"/>
        <v>435920</v>
      </c>
      <c r="AP23" s="702">
        <f t="shared" si="13"/>
        <v>473546.7</v>
      </c>
      <c r="AQ23" s="702">
        <f t="shared" si="13"/>
        <v>0</v>
      </c>
      <c r="AR23" s="702">
        <f t="shared" si="13"/>
        <v>473546.7</v>
      </c>
    </row>
    <row r="24" spans="1:44" s="526" customFormat="1" ht="18">
      <c r="A24" s="675" t="s">
        <v>294</v>
      </c>
      <c r="B24" s="824" t="s">
        <v>505</v>
      </c>
      <c r="C24" s="825"/>
      <c r="D24" s="697">
        <f aca="true" t="shared" si="14" ref="D24:U24">D15+D16</f>
        <v>68433</v>
      </c>
      <c r="E24" s="697">
        <f t="shared" si="14"/>
        <v>84281</v>
      </c>
      <c r="F24" s="697">
        <f t="shared" si="14"/>
        <v>80832</v>
      </c>
      <c r="G24" s="677">
        <f t="shared" si="14"/>
        <v>77297</v>
      </c>
      <c r="H24" s="677">
        <f t="shared" si="14"/>
        <v>0</v>
      </c>
      <c r="I24" s="677">
        <f t="shared" si="14"/>
        <v>77297</v>
      </c>
      <c r="J24" s="697">
        <f t="shared" si="14"/>
        <v>60082</v>
      </c>
      <c r="K24" s="697">
        <f t="shared" si="14"/>
        <v>72153</v>
      </c>
      <c r="L24" s="697">
        <f t="shared" si="14"/>
        <v>69935</v>
      </c>
      <c r="M24" s="677">
        <f t="shared" si="14"/>
        <v>63130</v>
      </c>
      <c r="N24" s="677">
        <f t="shared" si="14"/>
        <v>0</v>
      </c>
      <c r="O24" s="677">
        <f t="shared" si="14"/>
        <v>63130</v>
      </c>
      <c r="P24" s="697">
        <f t="shared" si="14"/>
        <v>2201</v>
      </c>
      <c r="Q24" s="697">
        <f t="shared" si="14"/>
        <v>6663</v>
      </c>
      <c r="R24" s="697">
        <f t="shared" si="14"/>
        <v>6367</v>
      </c>
      <c r="S24" s="677">
        <f t="shared" si="14"/>
        <v>3829</v>
      </c>
      <c r="T24" s="697">
        <f t="shared" si="14"/>
        <v>-1</v>
      </c>
      <c r="U24" s="677">
        <f t="shared" si="14"/>
        <v>3828</v>
      </c>
      <c r="V24" s="675" t="s">
        <v>294</v>
      </c>
      <c r="W24" s="824" t="s">
        <v>505</v>
      </c>
      <c r="X24" s="825"/>
      <c r="Y24" s="697">
        <f aca="true" t="shared" si="15" ref="Y24:AJ24">Y15+Y16</f>
        <v>12473</v>
      </c>
      <c r="Z24" s="697">
        <f t="shared" si="15"/>
        <v>16648</v>
      </c>
      <c r="AA24" s="697">
        <f t="shared" si="15"/>
        <v>15303</v>
      </c>
      <c r="AB24" s="677">
        <f t="shared" si="15"/>
        <v>14369</v>
      </c>
      <c r="AC24" s="697">
        <f t="shared" si="15"/>
        <v>9</v>
      </c>
      <c r="AD24" s="677">
        <f t="shared" si="15"/>
        <v>14378</v>
      </c>
      <c r="AE24" s="697">
        <f t="shared" si="15"/>
        <v>844811</v>
      </c>
      <c r="AF24" s="697">
        <f t="shared" si="15"/>
        <v>3361144</v>
      </c>
      <c r="AG24" s="697">
        <f t="shared" si="15"/>
        <v>3377869</v>
      </c>
      <c r="AH24" s="677">
        <f t="shared" si="15"/>
        <v>1000116</v>
      </c>
      <c r="AI24" s="677">
        <f t="shared" si="15"/>
        <v>1538632</v>
      </c>
      <c r="AJ24" s="677">
        <f t="shared" si="15"/>
        <v>2538748</v>
      </c>
      <c r="AK24" s="824" t="s">
        <v>505</v>
      </c>
      <c r="AL24" s="825"/>
      <c r="AM24" s="677">
        <f aca="true" t="shared" si="16" ref="AM24:AR24">AM15+AM16</f>
        <v>988000</v>
      </c>
      <c r="AN24" s="677">
        <f t="shared" si="16"/>
        <v>3540889</v>
      </c>
      <c r="AO24" s="677">
        <f t="shared" si="16"/>
        <v>3550306</v>
      </c>
      <c r="AP24" s="677">
        <f t="shared" si="16"/>
        <v>1158741</v>
      </c>
      <c r="AQ24" s="677">
        <f t="shared" si="16"/>
        <v>1538640</v>
      </c>
      <c r="AR24" s="677">
        <f t="shared" si="16"/>
        <v>2697381</v>
      </c>
    </row>
    <row r="25" spans="1:44" s="200" customFormat="1" ht="18.75" customHeight="1">
      <c r="A25" s="675" t="s">
        <v>296</v>
      </c>
      <c r="B25" s="241"/>
      <c r="C25" s="361" t="s">
        <v>501</v>
      </c>
      <c r="D25" s="282">
        <f>'[10]Munka2'!D19</f>
        <v>224183</v>
      </c>
      <c r="E25" s="282">
        <f>'[10]Munka2'!E19</f>
        <v>257313</v>
      </c>
      <c r="F25" s="282">
        <f>'[10]Munka2'!F19</f>
        <v>251835</v>
      </c>
      <c r="G25" s="282">
        <f>'[7]4.mell.'!G19</f>
        <v>253923</v>
      </c>
      <c r="H25" s="282">
        <f>'[7]4.mell.'!H19</f>
        <v>0</v>
      </c>
      <c r="I25" s="282">
        <f>'[7]4.mell.'!I19</f>
        <v>253923</v>
      </c>
      <c r="J25" s="282">
        <f>'[10]Munka2'!H19</f>
        <v>164960</v>
      </c>
      <c r="K25" s="282">
        <f>'[10]Munka2'!I19</f>
        <v>185387</v>
      </c>
      <c r="L25" s="282">
        <f>'[10]Munka2'!J19</f>
        <v>182761</v>
      </c>
      <c r="M25" s="282">
        <f>'[7]4.mell.'!M19</f>
        <v>189230.7</v>
      </c>
      <c r="N25" s="282">
        <f>'[7]4.mell.'!N19</f>
        <v>0</v>
      </c>
      <c r="O25" s="282">
        <f>'[7]4.mell.'!O19</f>
        <v>189230.7</v>
      </c>
      <c r="P25" s="282">
        <f>'[10]Munka2'!L19</f>
        <v>24113</v>
      </c>
      <c r="Q25" s="282">
        <f>'[10]Munka2'!M19</f>
        <v>32409</v>
      </c>
      <c r="R25" s="282">
        <f>'[10]Munka2'!N19</f>
        <v>28335</v>
      </c>
      <c r="S25" s="282">
        <f>'[7]4.mell.'!S19</f>
        <v>31256</v>
      </c>
      <c r="T25" s="282">
        <f>'[7]4.mell.'!T19</f>
        <v>-1</v>
      </c>
      <c r="U25" s="282">
        <f>'[7]4.mell.'!U19</f>
        <v>31255</v>
      </c>
      <c r="V25" s="241" t="s">
        <v>296</v>
      </c>
      <c r="W25" s="241"/>
      <c r="X25" s="361" t="s">
        <v>501</v>
      </c>
      <c r="Y25" s="282">
        <f>'[10]Munka2'!S19</f>
        <v>137102</v>
      </c>
      <c r="Z25" s="282">
        <f>'[10]Munka2'!T19</f>
        <v>152941</v>
      </c>
      <c r="AA25" s="282">
        <f>'[10]Munka2'!U19</f>
        <v>133572</v>
      </c>
      <c r="AB25" s="282">
        <f>'[7]4.mell.'!AB19</f>
        <v>157762</v>
      </c>
      <c r="AC25" s="282">
        <f>'[7]4.mell.'!AC19</f>
        <v>9</v>
      </c>
      <c r="AD25" s="282">
        <f>'[7]4.mell.'!AD19</f>
        <v>157771</v>
      </c>
      <c r="AE25" s="282">
        <f>'[10]Munka2'!W19</f>
        <v>437641.7</v>
      </c>
      <c r="AF25" s="282">
        <f>'[10]Munka2'!X19</f>
        <v>2912839</v>
      </c>
      <c r="AG25" s="282">
        <f>'[10]Munka2'!Y19</f>
        <v>1282685</v>
      </c>
      <c r="AH25" s="282">
        <f>'[7]4.mell.'!AH19</f>
        <v>526569</v>
      </c>
      <c r="AI25" s="282">
        <f>'[7]4.mell.'!AI19</f>
        <v>1538632</v>
      </c>
      <c r="AJ25" s="282">
        <f>'[7]4.mell.'!AJ19</f>
        <v>2065201</v>
      </c>
      <c r="AK25" s="241"/>
      <c r="AL25" s="361" t="s">
        <v>501</v>
      </c>
      <c r="AM25" s="282">
        <f>'[10]Munka2'!AC19</f>
        <v>987999.7</v>
      </c>
      <c r="AN25" s="282">
        <f>'[10]Munka2'!AD19</f>
        <v>3540889</v>
      </c>
      <c r="AO25" s="282">
        <f>'[10]Munka2'!AE19</f>
        <v>1879188</v>
      </c>
      <c r="AP25" s="282">
        <f>'[10]Munka2'!AF19</f>
        <v>1158740.7</v>
      </c>
      <c r="AQ25" s="282"/>
      <c r="AR25" s="706"/>
    </row>
    <row r="28" spans="16:43" ht="15">
      <c r="P28" s="60"/>
      <c r="Q28" s="60"/>
      <c r="R28" s="60"/>
      <c r="S28" s="516"/>
      <c r="T28" s="516"/>
      <c r="U28" s="516"/>
      <c r="AM28" s="129"/>
      <c r="AN28" s="129"/>
      <c r="AO28" s="129"/>
      <c r="AP28" s="129"/>
      <c r="AQ28" s="129"/>
    </row>
    <row r="49" spans="7:9" ht="15">
      <c r="G49" s="517"/>
      <c r="H49" s="517"/>
      <c r="I49" s="517"/>
    </row>
    <row r="50" spans="7:9" ht="15.75">
      <c r="G50" s="518"/>
      <c r="H50" s="518"/>
      <c r="I50" s="518"/>
    </row>
    <row r="51" spans="7:9" ht="15.75">
      <c r="G51" s="518"/>
      <c r="H51" s="518"/>
      <c r="I51" s="518"/>
    </row>
    <row r="52" spans="7:9" ht="15.75">
      <c r="G52" s="518"/>
      <c r="H52" s="518"/>
      <c r="I52" s="518"/>
    </row>
    <row r="53" spans="7:9" ht="15.75">
      <c r="G53" s="518"/>
      <c r="H53" s="518"/>
      <c r="I53" s="518"/>
    </row>
    <row r="54" spans="7:9" ht="15">
      <c r="G54" s="519"/>
      <c r="H54" s="519"/>
      <c r="I54" s="519"/>
    </row>
    <row r="55" spans="7:9" ht="15.75">
      <c r="G55" s="518"/>
      <c r="H55" s="518"/>
      <c r="I55" s="518"/>
    </row>
    <row r="56" spans="7:9" ht="15.75">
      <c r="G56" s="518"/>
      <c r="H56" s="518"/>
      <c r="I56" s="518"/>
    </row>
    <row r="57" spans="7:9" ht="15.75">
      <c r="G57" s="518"/>
      <c r="H57" s="518"/>
      <c r="I57" s="518"/>
    </row>
    <row r="58" spans="7:9" ht="15">
      <c r="G58" s="519"/>
      <c r="H58" s="519"/>
      <c r="I58" s="519"/>
    </row>
    <row r="59" spans="7:9" ht="15">
      <c r="G59" s="519"/>
      <c r="H59" s="519"/>
      <c r="I59" s="519"/>
    </row>
    <row r="60" spans="7:9" ht="15.75">
      <c r="G60" s="518"/>
      <c r="H60" s="518"/>
      <c r="I60" s="518"/>
    </row>
    <row r="61" spans="7:9" ht="15.75">
      <c r="G61" s="518"/>
      <c r="H61" s="518"/>
      <c r="I61" s="518"/>
    </row>
    <row r="62" spans="7:9" ht="15.75">
      <c r="G62" s="518"/>
      <c r="H62" s="518"/>
      <c r="I62" s="518"/>
    </row>
    <row r="63" spans="7:9" ht="15.75">
      <c r="G63" s="518"/>
      <c r="H63" s="518"/>
      <c r="I63" s="518"/>
    </row>
    <row r="64" spans="7:9" ht="15.75">
      <c r="G64" s="518"/>
      <c r="H64" s="518"/>
      <c r="I64" s="518"/>
    </row>
  </sheetData>
  <sheetProtection password="CD92" sheet="1"/>
  <mergeCells count="71">
    <mergeCell ref="U4:U5"/>
    <mergeCell ref="R4:R5"/>
    <mergeCell ref="S4:S5"/>
    <mergeCell ref="AF4:AF5"/>
    <mergeCell ref="Z4:Z5"/>
    <mergeCell ref="AA4:AA5"/>
    <mergeCell ref="AB4:AB5"/>
    <mergeCell ref="AC4:AC5"/>
    <mergeCell ref="AD4:AD5"/>
    <mergeCell ref="AE4:AE5"/>
    <mergeCell ref="T4:T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3:B3"/>
    <mergeCell ref="A4:A5"/>
    <mergeCell ref="B4:B5"/>
    <mergeCell ref="C4:C5"/>
    <mergeCell ref="D4:D5"/>
    <mergeCell ref="E4:E5"/>
    <mergeCell ref="A1:U1"/>
    <mergeCell ref="V1:AJ1"/>
    <mergeCell ref="AK1:AR1"/>
    <mergeCell ref="D3:I3"/>
    <mergeCell ref="J3:O3"/>
    <mergeCell ref="P3:U3"/>
    <mergeCell ref="V3:W3"/>
    <mergeCell ref="Y3:AD3"/>
    <mergeCell ref="AE3:AJ3"/>
    <mergeCell ref="AK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10:C10"/>
    <mergeCell ref="W10:X10"/>
    <mergeCell ref="AK10:AL10"/>
    <mergeCell ref="B14:C14"/>
    <mergeCell ref="W14:X14"/>
    <mergeCell ref="AK14:AL14"/>
    <mergeCell ref="B24:C24"/>
    <mergeCell ref="W24:X24"/>
    <mergeCell ref="AK24:AL24"/>
    <mergeCell ref="B15:C15"/>
    <mergeCell ref="W15:X15"/>
    <mergeCell ref="AK15:AL15"/>
    <mergeCell ref="V21:AB21"/>
    <mergeCell ref="B22:C22"/>
    <mergeCell ref="W22:X22"/>
    <mergeCell ref="AK22:AL22"/>
  </mergeCells>
  <printOptions/>
  <pageMargins left="0.2362204724409449" right="0.2362204724409449" top="0.7480314960629921" bottom="1.299212598425197" header="0.31496062992125984" footer="0.31496062992125984"/>
  <pageSetup horizontalDpi="600" verticalDpi="600" orientation="landscape" paperSize="9" scale="62" r:id="rId1"/>
  <headerFooter>
    <oddHeader>&amp;L3.melléklet&amp;X1&amp;R2/2019.(II.15.) ÖK rendelethez</oddHeader>
    <oddFooter>&amp;L&amp;X1&amp;XMód: 7/2019.(V.31.) ÖK rendelet</oddFooter>
  </headerFooter>
  <colBreaks count="2" manualBreakCount="2">
    <brk id="21" max="24" man="1"/>
    <brk id="36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zoomScaleSheetLayoutView="100" workbookViewId="0" topLeftCell="A1">
      <selection activeCell="U23" sqref="U23"/>
    </sheetView>
  </sheetViews>
  <sheetFormatPr defaultColWidth="9.140625" defaultRowHeight="12.75"/>
  <cols>
    <col min="1" max="1" width="3.140625" style="200" customWidth="1"/>
    <col min="2" max="2" width="4.28125" style="0" customWidth="1"/>
    <col min="3" max="3" width="25.28125" style="0" customWidth="1"/>
    <col min="4" max="4" width="14.140625" style="0" hidden="1" customWidth="1"/>
    <col min="5" max="5" width="19.28125" style="0" hidden="1" customWidth="1"/>
    <col min="6" max="6" width="15.7109375" style="0" hidden="1" customWidth="1"/>
    <col min="7" max="7" width="14.00390625" style="0" customWidth="1"/>
    <col min="8" max="8" width="12.421875" style="0" customWidth="1"/>
    <col min="9" max="9" width="16.140625" style="0" customWidth="1"/>
    <col min="10" max="10" width="0.13671875" style="0" hidden="1" customWidth="1"/>
    <col min="11" max="11" width="21.140625" style="0" hidden="1" customWidth="1"/>
    <col min="12" max="12" width="16.140625" style="0" hidden="1" customWidth="1"/>
    <col min="13" max="14" width="14.28125" style="0" customWidth="1"/>
    <col min="15" max="15" width="15.7109375" style="0" customWidth="1"/>
    <col min="16" max="16" width="17.7109375" style="0" hidden="1" customWidth="1"/>
    <col min="17" max="17" width="18.140625" style="0" hidden="1" customWidth="1"/>
    <col min="18" max="18" width="0.13671875" style="6" hidden="1" customWidth="1"/>
    <col min="19" max="20" width="13.57421875" style="6" customWidth="1"/>
    <col min="21" max="21" width="15.57421875" style="6" customWidth="1"/>
    <col min="22" max="22" width="5.57421875" style="6" customWidth="1"/>
    <col min="23" max="23" width="5.7109375" style="6" customWidth="1"/>
    <col min="24" max="24" width="24.00390625" style="6" customWidth="1"/>
    <col min="25" max="25" width="2.8515625" style="0" hidden="1" customWidth="1"/>
    <col min="26" max="26" width="2.7109375" style="0" hidden="1" customWidth="1"/>
    <col min="27" max="27" width="1.1484375" style="0" hidden="1" customWidth="1"/>
    <col min="28" max="28" width="14.8515625" style="0" customWidth="1"/>
    <col min="29" max="29" width="13.28125" style="0" customWidth="1"/>
    <col min="30" max="30" width="16.57421875" style="0" customWidth="1"/>
    <col min="31" max="31" width="12.140625" style="0" hidden="1" customWidth="1"/>
    <col min="32" max="32" width="18.8515625" style="0" hidden="1" customWidth="1"/>
    <col min="33" max="33" width="17.421875" style="0" hidden="1" customWidth="1"/>
    <col min="34" max="34" width="14.7109375" style="0" customWidth="1"/>
    <col min="35" max="35" width="12.140625" style="0" customWidth="1"/>
    <col min="36" max="36" width="17.00390625" style="0" customWidth="1"/>
    <col min="37" max="37" width="4.7109375" style="0" customWidth="1"/>
    <col min="38" max="38" width="26.57421875" style="0" customWidth="1"/>
    <col min="39" max="39" width="11.8515625" style="6" hidden="1" customWidth="1"/>
    <col min="40" max="40" width="20.140625" style="6" hidden="1" customWidth="1"/>
    <col min="41" max="41" width="17.57421875" style="0" hidden="1" customWidth="1"/>
    <col min="42" max="43" width="13.8515625" style="0" customWidth="1"/>
    <col min="44" max="44" width="16.00390625" style="0" customWidth="1"/>
  </cols>
  <sheetData>
    <row r="1" spans="1:44" ht="39" customHeight="1">
      <c r="A1" s="873" t="s">
        <v>832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 t="s">
        <v>832</v>
      </c>
      <c r="W1" s="873"/>
      <c r="X1" s="873"/>
      <c r="Y1" s="873"/>
      <c r="Z1" s="873"/>
      <c r="AA1" s="873"/>
      <c r="AB1" s="873"/>
      <c r="AC1" s="873"/>
      <c r="AD1" s="873"/>
      <c r="AE1" s="873"/>
      <c r="AF1" s="873"/>
      <c r="AG1" s="873"/>
      <c r="AH1" s="873"/>
      <c r="AI1" s="873"/>
      <c r="AJ1" s="873"/>
      <c r="AK1" s="842" t="s">
        <v>833</v>
      </c>
      <c r="AL1" s="842"/>
      <c r="AM1" s="842"/>
      <c r="AN1" s="842"/>
      <c r="AO1" s="842"/>
      <c r="AP1" s="842"/>
      <c r="AQ1" s="842"/>
      <c r="AR1" s="842"/>
    </row>
    <row r="2" spans="1:44" ht="18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74"/>
      <c r="T2" s="574"/>
      <c r="U2" s="574" t="s">
        <v>523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74"/>
      <c r="AI2" s="574"/>
      <c r="AJ2" s="574" t="s">
        <v>523</v>
      </c>
      <c r="AK2" s="511"/>
      <c r="AL2" s="511"/>
      <c r="AM2" s="520"/>
      <c r="AN2" s="520"/>
      <c r="AO2" s="514"/>
      <c r="AP2" s="574"/>
      <c r="AQ2" s="574"/>
      <c r="AR2" s="574" t="s">
        <v>523</v>
      </c>
    </row>
    <row r="3" spans="1:44" ht="48" customHeight="1">
      <c r="A3" s="874" t="s">
        <v>243</v>
      </c>
      <c r="B3" s="875"/>
      <c r="C3" s="876"/>
      <c r="D3" s="843" t="s">
        <v>499</v>
      </c>
      <c r="E3" s="844"/>
      <c r="F3" s="844"/>
      <c r="G3" s="844"/>
      <c r="H3" s="844"/>
      <c r="I3" s="845"/>
      <c r="J3" s="843" t="s">
        <v>321</v>
      </c>
      <c r="K3" s="844"/>
      <c r="L3" s="844"/>
      <c r="M3" s="844"/>
      <c r="N3" s="844"/>
      <c r="O3" s="845"/>
      <c r="P3" s="843" t="s">
        <v>177</v>
      </c>
      <c r="Q3" s="844"/>
      <c r="R3" s="844"/>
      <c r="S3" s="844"/>
      <c r="T3" s="844"/>
      <c r="U3" s="845"/>
      <c r="V3" s="874" t="s">
        <v>243</v>
      </c>
      <c r="W3" s="875"/>
      <c r="X3" s="876"/>
      <c r="Y3" s="843" t="s">
        <v>345</v>
      </c>
      <c r="Z3" s="844"/>
      <c r="AA3" s="844"/>
      <c r="AB3" s="844"/>
      <c r="AC3" s="844"/>
      <c r="AD3" s="845"/>
      <c r="AE3" s="843" t="s">
        <v>295</v>
      </c>
      <c r="AF3" s="844"/>
      <c r="AG3" s="844"/>
      <c r="AH3" s="844"/>
      <c r="AI3" s="844"/>
      <c r="AJ3" s="845"/>
      <c r="AK3" s="877" t="s">
        <v>269</v>
      </c>
      <c r="AL3" s="878"/>
      <c r="AM3" s="878"/>
      <c r="AN3" s="878"/>
      <c r="AO3" s="878"/>
      <c r="AP3" s="878"/>
      <c r="AQ3" s="878"/>
      <c r="AR3" s="879"/>
    </row>
    <row r="4" spans="1:44" ht="45" customHeight="1">
      <c r="A4" s="850" t="s">
        <v>503</v>
      </c>
      <c r="B4" s="850" t="s">
        <v>502</v>
      </c>
      <c r="C4" s="871" t="s">
        <v>501</v>
      </c>
      <c r="D4" s="821" t="s">
        <v>664</v>
      </c>
      <c r="E4" s="819" t="s">
        <v>806</v>
      </c>
      <c r="F4" s="780" t="s">
        <v>834</v>
      </c>
      <c r="G4" s="782" t="s">
        <v>966</v>
      </c>
      <c r="H4" s="780" t="s">
        <v>969</v>
      </c>
      <c r="I4" s="852" t="s">
        <v>996</v>
      </c>
      <c r="J4" s="821" t="s">
        <v>664</v>
      </c>
      <c r="K4" s="819" t="s">
        <v>806</v>
      </c>
      <c r="L4" s="780" t="s">
        <v>834</v>
      </c>
      <c r="M4" s="782" t="s">
        <v>966</v>
      </c>
      <c r="N4" s="780" t="s">
        <v>969</v>
      </c>
      <c r="O4" s="852" t="s">
        <v>996</v>
      </c>
      <c r="P4" s="821" t="s">
        <v>664</v>
      </c>
      <c r="Q4" s="819" t="s">
        <v>806</v>
      </c>
      <c r="R4" s="780" t="s">
        <v>834</v>
      </c>
      <c r="S4" s="782" t="s">
        <v>966</v>
      </c>
      <c r="T4" s="780" t="s">
        <v>969</v>
      </c>
      <c r="U4" s="852" t="s">
        <v>996</v>
      </c>
      <c r="V4" s="850" t="s">
        <v>503</v>
      </c>
      <c r="W4" s="850" t="s">
        <v>502</v>
      </c>
      <c r="X4" s="871" t="s">
        <v>501</v>
      </c>
      <c r="Y4" s="821" t="s">
        <v>664</v>
      </c>
      <c r="Z4" s="819" t="s">
        <v>806</v>
      </c>
      <c r="AA4" s="780" t="s">
        <v>834</v>
      </c>
      <c r="AB4" s="782" t="s">
        <v>966</v>
      </c>
      <c r="AC4" s="780" t="s">
        <v>969</v>
      </c>
      <c r="AD4" s="852" t="s">
        <v>996</v>
      </c>
      <c r="AE4" s="821" t="s">
        <v>664</v>
      </c>
      <c r="AF4" s="819" t="s">
        <v>806</v>
      </c>
      <c r="AG4" s="780" t="s">
        <v>834</v>
      </c>
      <c r="AH4" s="782" t="s">
        <v>966</v>
      </c>
      <c r="AI4" s="780" t="s">
        <v>969</v>
      </c>
      <c r="AJ4" s="852" t="s">
        <v>996</v>
      </c>
      <c r="AK4" s="850" t="s">
        <v>502</v>
      </c>
      <c r="AL4" s="871" t="s">
        <v>501</v>
      </c>
      <c r="AM4" s="821" t="s">
        <v>664</v>
      </c>
      <c r="AN4" s="819" t="s">
        <v>806</v>
      </c>
      <c r="AO4" s="780" t="s">
        <v>834</v>
      </c>
      <c r="AP4" s="782" t="s">
        <v>966</v>
      </c>
      <c r="AQ4" s="823" t="s">
        <v>969</v>
      </c>
      <c r="AR4" s="852" t="s">
        <v>996</v>
      </c>
    </row>
    <row r="5" spans="1:44" ht="27.75" customHeight="1">
      <c r="A5" s="851"/>
      <c r="B5" s="851"/>
      <c r="C5" s="872"/>
      <c r="D5" s="821"/>
      <c r="E5" s="820"/>
      <c r="F5" s="781"/>
      <c r="G5" s="783"/>
      <c r="H5" s="781"/>
      <c r="I5" s="852"/>
      <c r="J5" s="821"/>
      <c r="K5" s="820"/>
      <c r="L5" s="781"/>
      <c r="M5" s="783"/>
      <c r="N5" s="781"/>
      <c r="O5" s="852"/>
      <c r="P5" s="821"/>
      <c r="Q5" s="820"/>
      <c r="R5" s="781"/>
      <c r="S5" s="783"/>
      <c r="T5" s="781"/>
      <c r="U5" s="852"/>
      <c r="V5" s="851"/>
      <c r="W5" s="851"/>
      <c r="X5" s="872"/>
      <c r="Y5" s="821"/>
      <c r="Z5" s="820"/>
      <c r="AA5" s="781"/>
      <c r="AB5" s="783"/>
      <c r="AC5" s="781"/>
      <c r="AD5" s="852"/>
      <c r="AE5" s="821"/>
      <c r="AF5" s="820"/>
      <c r="AG5" s="781"/>
      <c r="AH5" s="783"/>
      <c r="AI5" s="781"/>
      <c r="AJ5" s="852"/>
      <c r="AK5" s="851"/>
      <c r="AL5" s="872"/>
      <c r="AM5" s="821"/>
      <c r="AN5" s="820"/>
      <c r="AO5" s="781"/>
      <c r="AP5" s="783"/>
      <c r="AQ5" s="823"/>
      <c r="AR5" s="852"/>
    </row>
    <row r="6" spans="1:44" ht="15.75">
      <c r="A6" s="241" t="s">
        <v>276</v>
      </c>
      <c r="B6" s="247" t="s">
        <v>486</v>
      </c>
      <c r="C6" s="248" t="s">
        <v>320</v>
      </c>
      <c r="D6" s="117">
        <f>'[9]VSZ - KIADÁSOK'!$D$8</f>
        <v>74383</v>
      </c>
      <c r="E6" s="117">
        <f>'[9]VSZ - KIADÁSOK'!$E$8</f>
        <v>73580</v>
      </c>
      <c r="F6" s="117">
        <f>'[9]VSZ - KIADÁSOK'!$F$8</f>
        <v>73029</v>
      </c>
      <c r="G6" s="156">
        <f>'[9]VSZ - KIADÁSOK'!$G$8</f>
        <v>78389</v>
      </c>
      <c r="H6" s="156">
        <v>0</v>
      </c>
      <c r="I6" s="156">
        <f>SUM(G6:H6)</f>
        <v>78389</v>
      </c>
      <c r="J6" s="117">
        <f>'[9]ESZESZ - KIADÁSOK'!$D$9</f>
        <v>105771</v>
      </c>
      <c r="K6" s="117">
        <f>'[9]ESZESZ - KIADÁSOK'!$E$9</f>
        <v>105771</v>
      </c>
      <c r="L6" s="117">
        <f>'[9]ESZESZ - KIADÁSOK'!$F$9</f>
        <v>106213</v>
      </c>
      <c r="M6" s="156">
        <f>'[9]ESZESZ - KIADÁSOK'!$G$9</f>
        <v>118374.7</v>
      </c>
      <c r="N6" s="156">
        <v>0</v>
      </c>
      <c r="O6" s="156">
        <f>SUM(M6:N6)</f>
        <v>118374.7</v>
      </c>
      <c r="P6" s="117">
        <f>'[9]KÖNYVTÁR - KIADÁSOK'!$D$8</f>
        <v>13047</v>
      </c>
      <c r="Q6" s="117">
        <f>'[9]KÖNYVTÁR - KIADÁSOK'!$E$8</f>
        <v>13672</v>
      </c>
      <c r="R6" s="117">
        <f>'[9]KÖNYVTÁR - KIADÁSOK'!$F$8</f>
        <v>11714</v>
      </c>
      <c r="S6" s="156">
        <f>'[9]KÖNYVTÁR - KIADÁSOK'!$G$8</f>
        <v>14798</v>
      </c>
      <c r="T6" s="156">
        <v>0</v>
      </c>
      <c r="U6" s="156">
        <f>SUM(S6:T6)</f>
        <v>14798</v>
      </c>
      <c r="V6" s="241" t="s">
        <v>276</v>
      </c>
      <c r="W6" s="247" t="s">
        <v>486</v>
      </c>
      <c r="X6" s="248" t="s">
        <v>320</v>
      </c>
      <c r="Y6" s="117">
        <f>'[9]PH - KIADÁSOK'!$D$8</f>
        <v>89556</v>
      </c>
      <c r="Z6" s="117">
        <f>'[9]PH - KIADÁSOK'!$E$8</f>
        <v>92860</v>
      </c>
      <c r="AA6" s="117">
        <f>'[9]PH - KIADÁSOK'!$F$8</f>
        <v>82456</v>
      </c>
      <c r="AB6" s="156">
        <f>'[9]PH - KIADÁSOK'!$G$8</f>
        <v>102136</v>
      </c>
      <c r="AC6" s="156">
        <v>0</v>
      </c>
      <c r="AD6" s="156">
        <f>SUM(AB6:AC6)</f>
        <v>102136</v>
      </c>
      <c r="AE6" s="117">
        <f>'[9]ÖK - KIADÁSOK'!$E$9</f>
        <v>244183.7</v>
      </c>
      <c r="AF6" s="117">
        <f>'[9]ÖK - KIADÁSOK'!$F$9</f>
        <v>335007</v>
      </c>
      <c r="AG6" s="117">
        <f>'[9]ÖK - KIADÁSOK'!$G$9</f>
        <v>291013</v>
      </c>
      <c r="AH6" s="156">
        <f>'[9]ÖK - KIADÁSOK'!$H$9</f>
        <v>186936</v>
      </c>
      <c r="AI6" s="156">
        <f>(817+3788+6798+3723+1048)</f>
        <v>16174</v>
      </c>
      <c r="AJ6" s="156">
        <f>SUM(AH6:AI6)</f>
        <v>203110</v>
      </c>
      <c r="AK6" s="247" t="s">
        <v>486</v>
      </c>
      <c r="AL6" s="244" t="s">
        <v>320</v>
      </c>
      <c r="AM6" s="118">
        <f aca="true" t="shared" si="0" ref="AM6:AP10">AE6+Y6+P6+J6+D6</f>
        <v>526940.7</v>
      </c>
      <c r="AN6" s="118">
        <f t="shared" si="0"/>
        <v>620890</v>
      </c>
      <c r="AO6" s="118">
        <f t="shared" si="0"/>
        <v>564425</v>
      </c>
      <c r="AP6" s="245">
        <f t="shared" si="0"/>
        <v>500633.7</v>
      </c>
      <c r="AQ6" s="245">
        <f>H6+N6+T6+AC6+AI6</f>
        <v>16174</v>
      </c>
      <c r="AR6" s="245">
        <f>SUM(AP6:AQ6)</f>
        <v>516807.7</v>
      </c>
    </row>
    <row r="7" spans="1:44" ht="51.75" customHeight="1">
      <c r="A7" s="241" t="s">
        <v>277</v>
      </c>
      <c r="B7" s="247" t="s">
        <v>487</v>
      </c>
      <c r="C7" s="249" t="s">
        <v>488</v>
      </c>
      <c r="D7" s="117">
        <f>'[9]VSZ - KIADÁSOK'!$D$23</f>
        <v>14673</v>
      </c>
      <c r="E7" s="117">
        <f>'[9]VSZ - KIADÁSOK'!$E$23</f>
        <v>15527</v>
      </c>
      <c r="F7" s="117">
        <f>'[9]VSZ - KIADÁSOK'!$F$23</f>
        <v>15524</v>
      </c>
      <c r="G7" s="156">
        <f>'[9]VSZ - KIADÁSOK'!$G$23</f>
        <v>15904</v>
      </c>
      <c r="H7" s="156">
        <v>0</v>
      </c>
      <c r="I7" s="156">
        <f>SUM(G7:H7)</f>
        <v>15904</v>
      </c>
      <c r="J7" s="117">
        <f>'[9]ESZESZ - KIADÁSOK'!$D$32</f>
        <v>20514</v>
      </c>
      <c r="K7" s="117">
        <f>'[9]ESZESZ - KIADÁSOK'!$E$32</f>
        <v>20514</v>
      </c>
      <c r="L7" s="117">
        <f>'[9]ESZESZ - KIADÁSOK'!$F$32</f>
        <v>21116</v>
      </c>
      <c r="M7" s="156">
        <f>'[9]ESZESZ - KIADÁSOK'!$G$32</f>
        <v>22745</v>
      </c>
      <c r="N7" s="156">
        <v>0</v>
      </c>
      <c r="O7" s="156">
        <f>SUM(M7:N7)</f>
        <v>22745</v>
      </c>
      <c r="P7" s="117">
        <f>'[9]KÖNYVTÁR - KIADÁSOK'!$D$22</f>
        <v>2576</v>
      </c>
      <c r="Q7" s="117">
        <f>'[9]KÖNYVTÁR - KIADÁSOK'!$E$22</f>
        <v>2697</v>
      </c>
      <c r="R7" s="246">
        <f>'[9]KÖNYVTÁR - KIADÁSOK'!$F$22</f>
        <v>2403</v>
      </c>
      <c r="S7" s="156">
        <f>'[9]KÖNYVTÁR - KIADÁSOK'!$G$22</f>
        <v>2926</v>
      </c>
      <c r="T7" s="156">
        <v>0</v>
      </c>
      <c r="U7" s="156">
        <f>SUM(S7:T7)</f>
        <v>2926</v>
      </c>
      <c r="V7" s="241" t="s">
        <v>277</v>
      </c>
      <c r="W7" s="247" t="s">
        <v>487</v>
      </c>
      <c r="X7" s="249" t="s">
        <v>488</v>
      </c>
      <c r="Y7" s="117">
        <f>'[9]PH - KIADÁSOK'!$D$25</f>
        <v>18194</v>
      </c>
      <c r="Z7" s="117">
        <f>'[9]PH - KIADÁSOK'!$E$25</f>
        <v>18998</v>
      </c>
      <c r="AA7" s="117">
        <f>'[9]PH - KIADÁSOK'!$F$25</f>
        <v>17169</v>
      </c>
      <c r="AB7" s="156">
        <f>'[9]PH - KIADÁSOK'!$G$25</f>
        <v>20452</v>
      </c>
      <c r="AC7" s="156">
        <v>0</v>
      </c>
      <c r="AD7" s="156">
        <f>SUM(AB7:AC7)</f>
        <v>20452</v>
      </c>
      <c r="AE7" s="117">
        <f>'[9]ÖK - KIADÁSOK'!$E$56</f>
        <v>28236</v>
      </c>
      <c r="AF7" s="117">
        <f>'[9]ÖK - KIADÁSOK'!$F$56</f>
        <v>43394</v>
      </c>
      <c r="AG7" s="117">
        <f>'[9]ÖK - KIADÁSOK'!$G$56</f>
        <v>36465</v>
      </c>
      <c r="AH7" s="156">
        <f>'[9]ÖK - KIADÁSOK'!$H$56</f>
        <v>22710</v>
      </c>
      <c r="AI7" s="156">
        <f>(182+281+1193+2736+207)</f>
        <v>4599</v>
      </c>
      <c r="AJ7" s="156">
        <f>SUM(AH7:AI7)</f>
        <v>27309</v>
      </c>
      <c r="AK7" s="247" t="s">
        <v>487</v>
      </c>
      <c r="AL7" s="243" t="s">
        <v>488</v>
      </c>
      <c r="AM7" s="118">
        <f t="shared" si="0"/>
        <v>84193</v>
      </c>
      <c r="AN7" s="118">
        <f t="shared" si="0"/>
        <v>101130</v>
      </c>
      <c r="AO7" s="118">
        <f t="shared" si="0"/>
        <v>92677</v>
      </c>
      <c r="AP7" s="245">
        <f t="shared" si="0"/>
        <v>84737</v>
      </c>
      <c r="AQ7" s="245">
        <f>H7+N7+T7+AC7+AI7</f>
        <v>4599</v>
      </c>
      <c r="AR7" s="245">
        <f>SUM(AP7:AQ7)</f>
        <v>89336</v>
      </c>
    </row>
    <row r="8" spans="1:44" ht="18" customHeight="1">
      <c r="A8" s="241" t="s">
        <v>278</v>
      </c>
      <c r="B8" s="247" t="s">
        <v>489</v>
      </c>
      <c r="C8" s="249" t="s">
        <v>323</v>
      </c>
      <c r="D8" s="117">
        <f>'[9]VSZ - KIADÁSOK'!$D$29</f>
        <v>134127</v>
      </c>
      <c r="E8" s="117">
        <f>'[9]VSZ - KIADÁSOK'!$E$29</f>
        <v>166238</v>
      </c>
      <c r="F8" s="117">
        <f>'[9]VSZ - KIADÁSOK'!$F$29</f>
        <v>161384</v>
      </c>
      <c r="G8" s="156">
        <f>'[9]VSZ - KIADÁSOK'!$G$29</f>
        <v>158430</v>
      </c>
      <c r="H8" s="156">
        <v>0</v>
      </c>
      <c r="I8" s="156">
        <f>SUM(G8:H8)</f>
        <v>158430</v>
      </c>
      <c r="J8" s="117">
        <f>'[9]ESZESZ - KIADÁSOK'!$D$37</f>
        <v>38075</v>
      </c>
      <c r="K8" s="117">
        <f>'[9]ESZESZ - KIADÁSOK'!$E$37</f>
        <v>51872</v>
      </c>
      <c r="L8" s="117">
        <f>'[9]ESZESZ - KIADÁSOK'!$F$37</f>
        <v>49253</v>
      </c>
      <c r="M8" s="156">
        <f>'[9]ESZESZ - KIADÁSOK'!$G$37</f>
        <v>47111</v>
      </c>
      <c r="N8" s="156">
        <v>0</v>
      </c>
      <c r="O8" s="156">
        <f>SUM(M8:N8)</f>
        <v>47111</v>
      </c>
      <c r="P8" s="117">
        <f>'[9]KÖNYVTÁR - KIADÁSOK'!$D$26</f>
        <v>8172</v>
      </c>
      <c r="Q8" s="117">
        <f>'[9]KÖNYVTÁR - KIADÁSOK'!$E$26</f>
        <v>13413</v>
      </c>
      <c r="R8" s="117">
        <f>'[9]KÖNYVTÁR - KIADÁSOK'!$F$26</f>
        <v>11885</v>
      </c>
      <c r="S8" s="156">
        <f>'[9]KÖNYVTÁR - KIADÁSOK'!$G$26</f>
        <v>12932</v>
      </c>
      <c r="T8" s="156">
        <v>-1</v>
      </c>
      <c r="U8" s="156">
        <f>SUM(S8:T8)</f>
        <v>12931</v>
      </c>
      <c r="V8" s="241" t="s">
        <v>278</v>
      </c>
      <c r="W8" s="247" t="s">
        <v>489</v>
      </c>
      <c r="X8" s="249" t="s">
        <v>323</v>
      </c>
      <c r="Y8" s="117">
        <f>'[9]PH - KIADÁSOK'!$D$30</f>
        <v>25304</v>
      </c>
      <c r="Z8" s="117">
        <f>'[9]PH - KIADÁSOK'!$E$30</f>
        <v>35736</v>
      </c>
      <c r="AA8" s="117">
        <f>'[9]PH - KIADÁSOK'!$F$30</f>
        <v>30238</v>
      </c>
      <c r="AB8" s="156">
        <f>'[9]PH - KIADÁSOK'!$G$30</f>
        <v>30418</v>
      </c>
      <c r="AC8" s="156">
        <v>9</v>
      </c>
      <c r="AD8" s="156">
        <f>SUM(AB8:AC8)</f>
        <v>30427</v>
      </c>
      <c r="AE8" s="117">
        <f>'[9]ÖK - KIADÁSOK'!$E$63</f>
        <v>81035</v>
      </c>
      <c r="AF8" s="117">
        <f>'[9]ÖK - KIADÁSOK'!$F$63</f>
        <v>185039</v>
      </c>
      <c r="AG8" s="117">
        <f>'[9]ÖK - KIADÁSOK'!$G$63</f>
        <v>113383</v>
      </c>
      <c r="AH8" s="156">
        <f>'[8]ÖK - KIADÁSOK'!$H$63</f>
        <v>93658</v>
      </c>
      <c r="AI8" s="156">
        <f>(1476+3859+17265+2807+56+27-27+16383+3584+2679)</f>
        <v>48109</v>
      </c>
      <c r="AJ8" s="156">
        <f>SUM(AH8:AI8)</f>
        <v>141767</v>
      </c>
      <c r="AK8" s="247" t="s">
        <v>489</v>
      </c>
      <c r="AL8" s="243" t="s">
        <v>323</v>
      </c>
      <c r="AM8" s="118">
        <f t="shared" si="0"/>
        <v>286713</v>
      </c>
      <c r="AN8" s="118">
        <f t="shared" si="0"/>
        <v>452298</v>
      </c>
      <c r="AO8" s="118">
        <f t="shared" si="0"/>
        <v>366143</v>
      </c>
      <c r="AP8" s="245">
        <f t="shared" si="0"/>
        <v>342549</v>
      </c>
      <c r="AQ8" s="245">
        <f>H8+N8+T8+AC8+AI8</f>
        <v>48117</v>
      </c>
      <c r="AR8" s="245">
        <f>SUM(AP8:AQ8)</f>
        <v>390666</v>
      </c>
    </row>
    <row r="9" spans="1:44" ht="31.5" customHeight="1">
      <c r="A9" s="241" t="s">
        <v>279</v>
      </c>
      <c r="B9" s="247" t="s">
        <v>476</v>
      </c>
      <c r="C9" s="243" t="s">
        <v>477</v>
      </c>
      <c r="D9" s="117">
        <v>0</v>
      </c>
      <c r="E9" s="117">
        <v>0</v>
      </c>
      <c r="F9" s="117">
        <v>0</v>
      </c>
      <c r="G9" s="156">
        <f>SUM(D9:F9)</f>
        <v>0</v>
      </c>
      <c r="H9" s="156">
        <v>0</v>
      </c>
      <c r="I9" s="156">
        <f>SUM(G9:H9)</f>
        <v>0</v>
      </c>
      <c r="J9" s="117">
        <v>0</v>
      </c>
      <c r="K9" s="117">
        <v>0</v>
      </c>
      <c r="L9" s="117">
        <v>0</v>
      </c>
      <c r="M9" s="156">
        <f>SUM(J9:L9)</f>
        <v>0</v>
      </c>
      <c r="N9" s="156">
        <v>0</v>
      </c>
      <c r="O9" s="156">
        <f>SUM(M9:N9)</f>
        <v>0</v>
      </c>
      <c r="P9" s="117">
        <v>0</v>
      </c>
      <c r="Q9" s="117">
        <v>0</v>
      </c>
      <c r="R9" s="117">
        <v>0</v>
      </c>
      <c r="S9" s="156">
        <f>SUM(P9:R9)</f>
        <v>0</v>
      </c>
      <c r="T9" s="156">
        <v>0</v>
      </c>
      <c r="U9" s="156">
        <f>SUM(S9:T9)</f>
        <v>0</v>
      </c>
      <c r="V9" s="241" t="s">
        <v>279</v>
      </c>
      <c r="W9" s="247" t="s">
        <v>476</v>
      </c>
      <c r="X9" s="243" t="s">
        <v>477</v>
      </c>
      <c r="Y9" s="117">
        <v>0</v>
      </c>
      <c r="Z9" s="117">
        <v>0</v>
      </c>
      <c r="AA9" s="117">
        <v>0</v>
      </c>
      <c r="AB9" s="156">
        <v>0</v>
      </c>
      <c r="AC9" s="156">
        <v>0</v>
      </c>
      <c r="AD9" s="156">
        <f>SUM(AB9:AC9)</f>
        <v>0</v>
      </c>
      <c r="AE9" s="117">
        <f>'[9]ÖK - KIADÁSOK'!$E$153</f>
        <v>17500</v>
      </c>
      <c r="AF9" s="117">
        <f>'[9]ÖK - KIADÁSOK'!$F$153</f>
        <v>21352</v>
      </c>
      <c r="AG9" s="117">
        <f>'[9]ÖK - KIADÁSOK'!$G$153</f>
        <v>13045</v>
      </c>
      <c r="AH9" s="156">
        <f>'[8]ÖK - KIADÁSOK'!$H$154</f>
        <v>15200</v>
      </c>
      <c r="AI9" s="156">
        <v>0</v>
      </c>
      <c r="AJ9" s="156">
        <f>SUM(AH9:AI9)</f>
        <v>15200</v>
      </c>
      <c r="AK9" s="247" t="s">
        <v>476</v>
      </c>
      <c r="AL9" s="243" t="s">
        <v>477</v>
      </c>
      <c r="AM9" s="118">
        <f t="shared" si="0"/>
        <v>17500</v>
      </c>
      <c r="AN9" s="118">
        <f t="shared" si="0"/>
        <v>21352</v>
      </c>
      <c r="AO9" s="118">
        <f t="shared" si="0"/>
        <v>13045</v>
      </c>
      <c r="AP9" s="245">
        <f t="shared" si="0"/>
        <v>15200</v>
      </c>
      <c r="AQ9" s="245">
        <f>H9+N9+T9+AC9+AI9</f>
        <v>0</v>
      </c>
      <c r="AR9" s="245">
        <f>SUM(AP9:AQ9)</f>
        <v>15200</v>
      </c>
    </row>
    <row r="10" spans="1:44" ht="31.5">
      <c r="A10" s="241" t="s">
        <v>280</v>
      </c>
      <c r="B10" s="247" t="s">
        <v>478</v>
      </c>
      <c r="C10" s="250" t="s">
        <v>491</v>
      </c>
      <c r="D10" s="117">
        <v>0</v>
      </c>
      <c r="E10" s="117">
        <v>0</v>
      </c>
      <c r="F10" s="117">
        <v>0</v>
      </c>
      <c r="G10" s="156">
        <f>SUM(D10:F10)</f>
        <v>0</v>
      </c>
      <c r="H10" s="156">
        <v>0</v>
      </c>
      <c r="I10" s="156">
        <f>SUM(G10:H10)</f>
        <v>0</v>
      </c>
      <c r="J10" s="117">
        <v>0</v>
      </c>
      <c r="K10" s="117">
        <v>0</v>
      </c>
      <c r="L10" s="117">
        <v>0</v>
      </c>
      <c r="M10" s="156">
        <f>SUM(J10:L10)</f>
        <v>0</v>
      </c>
      <c r="N10" s="156">
        <v>0</v>
      </c>
      <c r="O10" s="156">
        <f>SUM(M10:N10)</f>
        <v>0</v>
      </c>
      <c r="P10" s="117">
        <v>0</v>
      </c>
      <c r="Q10" s="117">
        <v>0</v>
      </c>
      <c r="R10" s="117">
        <v>0</v>
      </c>
      <c r="S10" s="156">
        <f>SUM(P10:R10)</f>
        <v>0</v>
      </c>
      <c r="T10" s="156">
        <v>0</v>
      </c>
      <c r="U10" s="156">
        <f>SUM(S10:T10)</f>
        <v>0</v>
      </c>
      <c r="V10" s="241" t="s">
        <v>280</v>
      </c>
      <c r="W10" s="247" t="s">
        <v>478</v>
      </c>
      <c r="X10" s="250" t="s">
        <v>491</v>
      </c>
      <c r="Y10" s="117">
        <f>'[9]PH - KIADÁSOK'!$D$63</f>
        <v>0</v>
      </c>
      <c r="Z10" s="117">
        <f>'[9]PH - KIADÁSOK'!$E$63</f>
        <v>97</v>
      </c>
      <c r="AA10" s="117">
        <f>'[9]PH - KIADÁSOK'!$F$63</f>
        <v>96</v>
      </c>
      <c r="AB10" s="156">
        <f>'[9]PH - KIADÁSOK'!$G$63</f>
        <v>0</v>
      </c>
      <c r="AC10" s="156">
        <v>0</v>
      </c>
      <c r="AD10" s="156">
        <f>SUM(AB10:AC10)</f>
        <v>0</v>
      </c>
      <c r="AE10" s="117">
        <f>'[9]ÖK - KIADÁSOK'!$E$160</f>
        <v>24560</v>
      </c>
      <c r="AF10" s="117">
        <f>'[9]ÖK - KIADÁSOK'!$F$160</f>
        <v>48796</v>
      </c>
      <c r="AG10" s="117">
        <f>'[9]ÖK - KIADÁSOK'!$G$160</f>
        <v>42687</v>
      </c>
      <c r="AH10" s="156">
        <f>'[8]ÖK - KIADÁSOK'!$H$161</f>
        <v>48223</v>
      </c>
      <c r="AI10" s="156">
        <v>0</v>
      </c>
      <c r="AJ10" s="156">
        <f>SUM(AH10:AI10)</f>
        <v>48223</v>
      </c>
      <c r="AK10" s="247" t="s">
        <v>478</v>
      </c>
      <c r="AL10" s="262" t="s">
        <v>491</v>
      </c>
      <c r="AM10" s="118">
        <f t="shared" si="0"/>
        <v>24560</v>
      </c>
      <c r="AN10" s="118">
        <f t="shared" si="0"/>
        <v>48893</v>
      </c>
      <c r="AO10" s="118">
        <f t="shared" si="0"/>
        <v>42783</v>
      </c>
      <c r="AP10" s="245">
        <f t="shared" si="0"/>
        <v>48223</v>
      </c>
      <c r="AQ10" s="245">
        <f>H10+N10+T10+AC10+AI10</f>
        <v>0</v>
      </c>
      <c r="AR10" s="245">
        <f>SUM(AP10:AQ10)</f>
        <v>48223</v>
      </c>
    </row>
    <row r="11" spans="1:44" s="6" customFormat="1" ht="23.25" customHeight="1">
      <c r="A11" s="241" t="s">
        <v>281</v>
      </c>
      <c r="B11" s="867" t="s">
        <v>246</v>
      </c>
      <c r="C11" s="868"/>
      <c r="D11" s="623">
        <f aca="true" t="shared" si="1" ref="D11:U11">SUM(D6:D10)</f>
        <v>223183</v>
      </c>
      <c r="E11" s="623">
        <f t="shared" si="1"/>
        <v>255345</v>
      </c>
      <c r="F11" s="623">
        <f t="shared" si="1"/>
        <v>249937</v>
      </c>
      <c r="G11" s="623">
        <f t="shared" si="1"/>
        <v>252723</v>
      </c>
      <c r="H11" s="623">
        <f t="shared" si="1"/>
        <v>0</v>
      </c>
      <c r="I11" s="623">
        <f t="shared" si="1"/>
        <v>252723</v>
      </c>
      <c r="J11" s="623">
        <f t="shared" si="1"/>
        <v>164360</v>
      </c>
      <c r="K11" s="623">
        <f t="shared" si="1"/>
        <v>178157</v>
      </c>
      <c r="L11" s="623">
        <f t="shared" si="1"/>
        <v>176582</v>
      </c>
      <c r="M11" s="623">
        <f t="shared" si="1"/>
        <v>188230.7</v>
      </c>
      <c r="N11" s="623">
        <f t="shared" si="1"/>
        <v>0</v>
      </c>
      <c r="O11" s="623">
        <f t="shared" si="1"/>
        <v>188230.7</v>
      </c>
      <c r="P11" s="623">
        <f t="shared" si="1"/>
        <v>23795</v>
      </c>
      <c r="Q11" s="623">
        <f t="shared" si="1"/>
        <v>29782</v>
      </c>
      <c r="R11" s="623">
        <f t="shared" si="1"/>
        <v>26002</v>
      </c>
      <c r="S11" s="623">
        <f t="shared" si="1"/>
        <v>30656</v>
      </c>
      <c r="T11" s="623">
        <f t="shared" si="1"/>
        <v>-1</v>
      </c>
      <c r="U11" s="623">
        <f t="shared" si="1"/>
        <v>30655</v>
      </c>
      <c r="V11" s="241" t="s">
        <v>281</v>
      </c>
      <c r="W11" s="867" t="s">
        <v>246</v>
      </c>
      <c r="X11" s="868"/>
      <c r="Y11" s="623">
        <f aca="true" t="shared" si="2" ref="Y11:AJ11">SUM(Y6:Y10)</f>
        <v>133054</v>
      </c>
      <c r="Z11" s="623">
        <f t="shared" si="2"/>
        <v>147691</v>
      </c>
      <c r="AA11" s="623">
        <f t="shared" si="2"/>
        <v>129959</v>
      </c>
      <c r="AB11" s="623">
        <f t="shared" si="2"/>
        <v>153006</v>
      </c>
      <c r="AC11" s="623">
        <f t="shared" si="2"/>
        <v>9</v>
      </c>
      <c r="AD11" s="623">
        <f t="shared" si="2"/>
        <v>153015</v>
      </c>
      <c r="AE11" s="623">
        <f t="shared" si="2"/>
        <v>395514.7</v>
      </c>
      <c r="AF11" s="623">
        <f t="shared" si="2"/>
        <v>633588</v>
      </c>
      <c r="AG11" s="623">
        <f t="shared" si="2"/>
        <v>496593</v>
      </c>
      <c r="AH11" s="623">
        <f t="shared" si="2"/>
        <v>366727</v>
      </c>
      <c r="AI11" s="623">
        <f t="shared" si="2"/>
        <v>68882</v>
      </c>
      <c r="AJ11" s="623">
        <f t="shared" si="2"/>
        <v>435609</v>
      </c>
      <c r="AK11" s="869" t="s">
        <v>246</v>
      </c>
      <c r="AL11" s="870"/>
      <c r="AM11" s="623">
        <f aca="true" t="shared" si="3" ref="AM11:AR11">SUM(AM6:AM10)</f>
        <v>939906.7</v>
      </c>
      <c r="AN11" s="623">
        <f t="shared" si="3"/>
        <v>1244563</v>
      </c>
      <c r="AO11" s="623">
        <f t="shared" si="3"/>
        <v>1079073</v>
      </c>
      <c r="AP11" s="623">
        <f t="shared" si="3"/>
        <v>991342.7</v>
      </c>
      <c r="AQ11" s="623">
        <f t="shared" si="3"/>
        <v>68890</v>
      </c>
      <c r="AR11" s="623">
        <f t="shared" si="3"/>
        <v>1060232.7</v>
      </c>
    </row>
    <row r="12" spans="1:44" ht="21" customHeight="1">
      <c r="A12" s="241" t="s">
        <v>282</v>
      </c>
      <c r="B12" s="247" t="s">
        <v>490</v>
      </c>
      <c r="C12" s="244" t="s">
        <v>402</v>
      </c>
      <c r="D12" s="117">
        <f>'[9]VSZ - KIADÁSOK'!$D$61</f>
        <v>1000</v>
      </c>
      <c r="E12" s="117">
        <f>'[9]VSZ - KIADÁSOK'!$E$61</f>
        <v>1968</v>
      </c>
      <c r="F12" s="117">
        <f>'[9]VSZ - KIADÁSOK'!$F$61</f>
        <v>1898</v>
      </c>
      <c r="G12" s="156">
        <f>'[9]VSZ - KIADÁSOK'!$G$61</f>
        <v>1200</v>
      </c>
      <c r="H12" s="156">
        <v>0</v>
      </c>
      <c r="I12" s="156">
        <f>SUM(G12:H12)</f>
        <v>1200</v>
      </c>
      <c r="J12" s="117">
        <f>'[9]ESZESZ - KIADÁSOK'!$D$72</f>
        <v>600</v>
      </c>
      <c r="K12" s="117">
        <f>'[9]ESZESZ - KIADÁSOK'!$E$72</f>
        <v>7130</v>
      </c>
      <c r="L12" s="117">
        <f>'[9]ESZESZ - KIADÁSOK'!$F$72</f>
        <v>6105</v>
      </c>
      <c r="M12" s="156">
        <f>'[9]ESZESZ - KIADÁSOK'!$G$72</f>
        <v>1000</v>
      </c>
      <c r="N12" s="156">
        <v>0</v>
      </c>
      <c r="O12" s="156">
        <f>SUM(M12:N12)</f>
        <v>1000</v>
      </c>
      <c r="P12" s="117">
        <f>'[9]KÖNYVTÁR - KIADÁSOK'!$D$55</f>
        <v>318</v>
      </c>
      <c r="Q12" s="117">
        <f>'[9]KÖNYVTÁR - KIADÁSOK'!$E$55</f>
        <v>595</v>
      </c>
      <c r="R12" s="117">
        <f>'[9]KÖNYVTÁR - KIADÁSOK'!$F$55</f>
        <v>301</v>
      </c>
      <c r="S12" s="156">
        <f>'[9]KÖNYVTÁR - KIADÁSOK'!$G$55</f>
        <v>600</v>
      </c>
      <c r="T12" s="156">
        <v>0</v>
      </c>
      <c r="U12" s="156">
        <f>SUM(S12:T12)</f>
        <v>600</v>
      </c>
      <c r="V12" s="241" t="s">
        <v>282</v>
      </c>
      <c r="W12" s="247" t="s">
        <v>490</v>
      </c>
      <c r="X12" s="244" t="s">
        <v>402</v>
      </c>
      <c r="Y12" s="117">
        <f>'[9]PH - KIADÁSOK'!$D$66</f>
        <v>3048</v>
      </c>
      <c r="Z12" s="117">
        <f>'[9]PH - KIADÁSOK'!$E$66</f>
        <v>4250</v>
      </c>
      <c r="AA12" s="117">
        <f>'[9]PH - KIADÁSOK'!$F$66</f>
        <v>2713</v>
      </c>
      <c r="AB12" s="156">
        <f>'[9]PH - KIADÁSOK'!$G$66</f>
        <v>3556</v>
      </c>
      <c r="AC12" s="156">
        <v>0</v>
      </c>
      <c r="AD12" s="156">
        <f>SUM(AB12:AC12)</f>
        <v>3556</v>
      </c>
      <c r="AE12" s="117">
        <f>'[9]ÖK - KIADÁSOK'!$E$185</f>
        <v>2400</v>
      </c>
      <c r="AF12" s="117">
        <f>'[9]ÖK - KIADÁSOK'!$F$185</f>
        <v>2013840</v>
      </c>
      <c r="AG12" s="117">
        <f>'[9]ÖK - KIADÁSOK'!$G$185</f>
        <v>657259</v>
      </c>
      <c r="AH12" s="156">
        <f>'[5]ÖK - KIADÁSOK'!$H$187</f>
        <v>74800</v>
      </c>
      <c r="AI12" s="156">
        <f>(947369+205168+17892+128724)</f>
        <v>1299153</v>
      </c>
      <c r="AJ12" s="156">
        <f>SUM(AH12:AI12)</f>
        <v>1373953</v>
      </c>
      <c r="AK12" s="247" t="s">
        <v>490</v>
      </c>
      <c r="AL12" s="244" t="s">
        <v>402</v>
      </c>
      <c r="AM12" s="118">
        <f aca="true" t="shared" si="4" ref="AM12:AP20">AE12+Y12+P12+J12+D12</f>
        <v>7366</v>
      </c>
      <c r="AN12" s="118">
        <f t="shared" si="4"/>
        <v>2027783</v>
      </c>
      <c r="AO12" s="118">
        <f t="shared" si="4"/>
        <v>668276</v>
      </c>
      <c r="AP12" s="245">
        <f t="shared" si="4"/>
        <v>81156</v>
      </c>
      <c r="AQ12" s="245">
        <f>H12+N12+T12+AC12+AI12</f>
        <v>1299153</v>
      </c>
      <c r="AR12" s="245">
        <f>SUM(AP12:AQ12)</f>
        <v>1380309</v>
      </c>
    </row>
    <row r="13" spans="1:44" ht="20.25" customHeight="1">
      <c r="A13" s="241" t="s">
        <v>283</v>
      </c>
      <c r="B13" s="247" t="s">
        <v>492</v>
      </c>
      <c r="C13" s="244" t="s">
        <v>403</v>
      </c>
      <c r="D13" s="117">
        <v>0</v>
      </c>
      <c r="E13" s="117">
        <v>0</v>
      </c>
      <c r="F13" s="117">
        <v>0</v>
      </c>
      <c r="G13" s="156">
        <f>SUM(D13:F13)</f>
        <v>0</v>
      </c>
      <c r="H13" s="156">
        <v>0</v>
      </c>
      <c r="I13" s="156">
        <f>SUM(G13:H13)</f>
        <v>0</v>
      </c>
      <c r="J13" s="117">
        <v>0</v>
      </c>
      <c r="K13" s="117">
        <f>'[9]ESZESZ - KIADÁSOK'!$E$78</f>
        <v>100</v>
      </c>
      <c r="L13" s="117">
        <f>'[9]ESZESZ - KIADÁSOK'!$F$78</f>
        <v>74</v>
      </c>
      <c r="M13" s="156">
        <v>0</v>
      </c>
      <c r="N13" s="156">
        <v>0</v>
      </c>
      <c r="O13" s="156">
        <f>SUM(M13:N13)</f>
        <v>0</v>
      </c>
      <c r="P13" s="117">
        <f>'[9]KÖNYVTÁR - KIADÁSOK'!$D$61</f>
        <v>0</v>
      </c>
      <c r="Q13" s="117">
        <f>'[9]KÖNYVTÁR - KIADÁSOK'!$E$61</f>
        <v>2032</v>
      </c>
      <c r="R13" s="117">
        <f>'[9]KÖNYVTÁR - KIADÁSOK'!$F$61</f>
        <v>2032</v>
      </c>
      <c r="S13" s="156">
        <f>'[9]KÖNYVTÁR - KIADÁSOK'!$G$61</f>
        <v>0</v>
      </c>
      <c r="T13" s="156">
        <v>0</v>
      </c>
      <c r="U13" s="156">
        <f>SUM(S13:T13)</f>
        <v>0</v>
      </c>
      <c r="V13" s="241" t="s">
        <v>283</v>
      </c>
      <c r="W13" s="247" t="s">
        <v>492</v>
      </c>
      <c r="X13" s="244" t="s">
        <v>403</v>
      </c>
      <c r="Y13" s="117">
        <v>0</v>
      </c>
      <c r="Z13" s="117">
        <v>0</v>
      </c>
      <c r="AA13" s="117">
        <v>0</v>
      </c>
      <c r="AB13" s="156">
        <f>SUM(Y13:AA13)</f>
        <v>0</v>
      </c>
      <c r="AC13" s="156">
        <v>0</v>
      </c>
      <c r="AD13" s="156">
        <f>SUM(AB13:AC13)</f>
        <v>0</v>
      </c>
      <c r="AE13" s="117">
        <f>'[9]ÖK - KIADÁSOK'!$E$205</f>
        <v>26900</v>
      </c>
      <c r="AF13" s="117">
        <f>'[9]ÖK - KIADÁSOK'!$F$205</f>
        <v>252468</v>
      </c>
      <c r="AG13" s="117">
        <f>'[9]ÖK - KIADÁSOK'!$G$205</f>
        <v>115891</v>
      </c>
      <c r="AH13" s="156">
        <f>'[9]ÖK - KIADÁSOK'!$H$205</f>
        <v>32516</v>
      </c>
      <c r="AI13" s="156">
        <f>(31666+22058+116873)</f>
        <v>170597</v>
      </c>
      <c r="AJ13" s="156">
        <f>SUM(AH13:AI13)</f>
        <v>203113</v>
      </c>
      <c r="AK13" s="247" t="s">
        <v>492</v>
      </c>
      <c r="AL13" s="244" t="s">
        <v>403</v>
      </c>
      <c r="AM13" s="118">
        <f t="shared" si="4"/>
        <v>26900</v>
      </c>
      <c r="AN13" s="118">
        <f t="shared" si="4"/>
        <v>254600</v>
      </c>
      <c r="AO13" s="118">
        <f t="shared" si="4"/>
        <v>117997</v>
      </c>
      <c r="AP13" s="245">
        <f t="shared" si="4"/>
        <v>32516</v>
      </c>
      <c r="AQ13" s="245">
        <f>H13+N13+T13+AC13+AI13</f>
        <v>170597</v>
      </c>
      <c r="AR13" s="245">
        <f>SUM(AP13:AQ13)</f>
        <v>203113</v>
      </c>
    </row>
    <row r="14" spans="1:44" ht="39" customHeight="1">
      <c r="A14" s="241" t="s">
        <v>284</v>
      </c>
      <c r="B14" s="247" t="s">
        <v>479</v>
      </c>
      <c r="C14" s="251" t="s">
        <v>480</v>
      </c>
      <c r="D14" s="117">
        <v>0</v>
      </c>
      <c r="E14" s="117">
        <v>0</v>
      </c>
      <c r="F14" s="117">
        <v>0</v>
      </c>
      <c r="G14" s="156">
        <f>SUM(D14:F14)</f>
        <v>0</v>
      </c>
      <c r="H14" s="156">
        <v>0</v>
      </c>
      <c r="I14" s="156">
        <f>SUM(G14:H14)</f>
        <v>0</v>
      </c>
      <c r="J14" s="117">
        <v>0</v>
      </c>
      <c r="K14" s="117">
        <v>0</v>
      </c>
      <c r="L14" s="117">
        <v>0</v>
      </c>
      <c r="M14" s="156">
        <f>SUM(J14:L14)</f>
        <v>0</v>
      </c>
      <c r="N14" s="156">
        <v>0</v>
      </c>
      <c r="O14" s="156">
        <f>SUM(M14:N14)</f>
        <v>0</v>
      </c>
      <c r="P14" s="117">
        <v>0</v>
      </c>
      <c r="Q14" s="117">
        <v>0</v>
      </c>
      <c r="R14" s="117">
        <v>0</v>
      </c>
      <c r="S14" s="156">
        <f>SUM(P14:R14)</f>
        <v>0</v>
      </c>
      <c r="T14" s="156">
        <v>0</v>
      </c>
      <c r="U14" s="156">
        <f>SUM(S14:T14)</f>
        <v>0</v>
      </c>
      <c r="V14" s="241" t="s">
        <v>284</v>
      </c>
      <c r="W14" s="247" t="s">
        <v>479</v>
      </c>
      <c r="X14" s="251" t="s">
        <v>480</v>
      </c>
      <c r="Y14" s="117">
        <f>'[9]PH - KIADÁSOK'!$D$75</f>
        <v>1000</v>
      </c>
      <c r="Z14" s="117">
        <f>'[9]PH - KIADÁSOK'!$E$75</f>
        <v>1000</v>
      </c>
      <c r="AA14" s="117">
        <f>'[9]PH - KIADÁSOK'!$F$75</f>
        <v>900</v>
      </c>
      <c r="AB14" s="156">
        <f>'[9]PH - KIADÁSOK'!$G$75</f>
        <v>1200</v>
      </c>
      <c r="AC14" s="156">
        <v>0</v>
      </c>
      <c r="AD14" s="156">
        <f>SUM(AB14:AC14)</f>
        <v>1200</v>
      </c>
      <c r="AE14" s="117">
        <f>'[9]ÖK - KIADÁSOK'!$E$217</f>
        <v>0</v>
      </c>
      <c r="AF14" s="117">
        <f>'[9]ÖK - KIADÁSOK'!$F$217</f>
        <v>116</v>
      </c>
      <c r="AG14" s="117">
        <f>'[9]ÖK - KIADÁSOK'!$G$217</f>
        <v>116</v>
      </c>
      <c r="AH14" s="156">
        <f>'[9]ÖK - KIADÁSOK'!$H$217</f>
        <v>161</v>
      </c>
      <c r="AI14" s="156">
        <v>0</v>
      </c>
      <c r="AJ14" s="156">
        <f>SUM(AH14:AI14)</f>
        <v>161</v>
      </c>
      <c r="AK14" s="247" t="s">
        <v>479</v>
      </c>
      <c r="AL14" s="242" t="s">
        <v>480</v>
      </c>
      <c r="AM14" s="118">
        <f t="shared" si="4"/>
        <v>1000</v>
      </c>
      <c r="AN14" s="118">
        <f t="shared" si="4"/>
        <v>1116</v>
      </c>
      <c r="AO14" s="118">
        <f t="shared" si="4"/>
        <v>1016</v>
      </c>
      <c r="AP14" s="245">
        <f t="shared" si="4"/>
        <v>1361</v>
      </c>
      <c r="AQ14" s="245">
        <f>H14+N14+T14+AC14+AI14</f>
        <v>0</v>
      </c>
      <c r="AR14" s="245">
        <f>SUM(AP14:AQ14)</f>
        <v>1361</v>
      </c>
    </row>
    <row r="15" spans="1:44" s="6" customFormat="1" ht="18" customHeight="1">
      <c r="A15" s="241" t="s">
        <v>285</v>
      </c>
      <c r="B15" s="867" t="s">
        <v>315</v>
      </c>
      <c r="C15" s="868"/>
      <c r="D15" s="623">
        <f aca="true" t="shared" si="5" ref="D15:U15">SUM(D12:D14)</f>
        <v>1000</v>
      </c>
      <c r="E15" s="623">
        <f t="shared" si="5"/>
        <v>1968</v>
      </c>
      <c r="F15" s="623">
        <f t="shared" si="5"/>
        <v>1898</v>
      </c>
      <c r="G15" s="623">
        <f t="shared" si="5"/>
        <v>1200</v>
      </c>
      <c r="H15" s="623">
        <f t="shared" si="5"/>
        <v>0</v>
      </c>
      <c r="I15" s="623">
        <f t="shared" si="5"/>
        <v>1200</v>
      </c>
      <c r="J15" s="623">
        <f t="shared" si="5"/>
        <v>600</v>
      </c>
      <c r="K15" s="623">
        <f t="shared" si="5"/>
        <v>7230</v>
      </c>
      <c r="L15" s="623">
        <f t="shared" si="5"/>
        <v>6179</v>
      </c>
      <c r="M15" s="623">
        <f t="shared" si="5"/>
        <v>1000</v>
      </c>
      <c r="N15" s="623">
        <f t="shared" si="5"/>
        <v>0</v>
      </c>
      <c r="O15" s="623">
        <f t="shared" si="5"/>
        <v>1000</v>
      </c>
      <c r="P15" s="623">
        <f t="shared" si="5"/>
        <v>318</v>
      </c>
      <c r="Q15" s="623">
        <f t="shared" si="5"/>
        <v>2627</v>
      </c>
      <c r="R15" s="623">
        <f t="shared" si="5"/>
        <v>2333</v>
      </c>
      <c r="S15" s="623">
        <f t="shared" si="5"/>
        <v>600</v>
      </c>
      <c r="T15" s="623">
        <f t="shared" si="5"/>
        <v>0</v>
      </c>
      <c r="U15" s="623">
        <f t="shared" si="5"/>
        <v>600</v>
      </c>
      <c r="V15" s="241" t="s">
        <v>285</v>
      </c>
      <c r="W15" s="867" t="s">
        <v>315</v>
      </c>
      <c r="X15" s="868"/>
      <c r="Y15" s="623">
        <f aca="true" t="shared" si="6" ref="Y15:AJ15">SUM(Y12:Y14)</f>
        <v>4048</v>
      </c>
      <c r="Z15" s="623">
        <f t="shared" si="6"/>
        <v>5250</v>
      </c>
      <c r="AA15" s="623">
        <f t="shared" si="6"/>
        <v>3613</v>
      </c>
      <c r="AB15" s="623">
        <f t="shared" si="6"/>
        <v>4756</v>
      </c>
      <c r="AC15" s="623">
        <f t="shared" si="6"/>
        <v>0</v>
      </c>
      <c r="AD15" s="623">
        <f t="shared" si="6"/>
        <v>4756</v>
      </c>
      <c r="AE15" s="623">
        <f t="shared" si="6"/>
        <v>29300</v>
      </c>
      <c r="AF15" s="623">
        <f t="shared" si="6"/>
        <v>2266424</v>
      </c>
      <c r="AG15" s="623">
        <f t="shared" si="6"/>
        <v>773266</v>
      </c>
      <c r="AH15" s="623">
        <f t="shared" si="6"/>
        <v>107477</v>
      </c>
      <c r="AI15" s="623">
        <f t="shared" si="6"/>
        <v>1469750</v>
      </c>
      <c r="AJ15" s="623">
        <f t="shared" si="6"/>
        <v>1577227</v>
      </c>
      <c r="AK15" s="867" t="s">
        <v>315</v>
      </c>
      <c r="AL15" s="868"/>
      <c r="AM15" s="623">
        <f t="shared" si="4"/>
        <v>35266</v>
      </c>
      <c r="AN15" s="623">
        <f t="shared" si="4"/>
        <v>2283499</v>
      </c>
      <c r="AO15" s="623">
        <f t="shared" si="4"/>
        <v>787289</v>
      </c>
      <c r="AP15" s="623">
        <f t="shared" si="4"/>
        <v>115033</v>
      </c>
      <c r="AQ15" s="623">
        <f>AI15+AC15+T15+N15+H15</f>
        <v>1469750</v>
      </c>
      <c r="AR15" s="623">
        <f>AJ15+AD15+U15+O15+I15</f>
        <v>1584783</v>
      </c>
    </row>
    <row r="16" spans="1:44" s="685" customFormat="1" ht="30.75" customHeight="1">
      <c r="A16" s="675" t="s">
        <v>286</v>
      </c>
      <c r="B16" s="826" t="s">
        <v>316</v>
      </c>
      <c r="C16" s="827"/>
      <c r="D16" s="684">
        <f aca="true" t="shared" si="7" ref="D16:I16">D15+D11</f>
        <v>224183</v>
      </c>
      <c r="E16" s="684">
        <f t="shared" si="7"/>
        <v>257313</v>
      </c>
      <c r="F16" s="684">
        <f t="shared" si="7"/>
        <v>251835</v>
      </c>
      <c r="G16" s="684">
        <f t="shared" si="7"/>
        <v>253923</v>
      </c>
      <c r="H16" s="684">
        <f t="shared" si="7"/>
        <v>0</v>
      </c>
      <c r="I16" s="684">
        <f t="shared" si="7"/>
        <v>253923</v>
      </c>
      <c r="J16" s="684">
        <f aca="true" t="shared" si="8" ref="J16:U16">J11+J15</f>
        <v>164960</v>
      </c>
      <c r="K16" s="684">
        <f t="shared" si="8"/>
        <v>185387</v>
      </c>
      <c r="L16" s="684">
        <f t="shared" si="8"/>
        <v>182761</v>
      </c>
      <c r="M16" s="684">
        <f t="shared" si="8"/>
        <v>189230.7</v>
      </c>
      <c r="N16" s="684">
        <f t="shared" si="8"/>
        <v>0</v>
      </c>
      <c r="O16" s="684">
        <f t="shared" si="8"/>
        <v>189230.7</v>
      </c>
      <c r="P16" s="684">
        <f t="shared" si="8"/>
        <v>24113</v>
      </c>
      <c r="Q16" s="684">
        <f t="shared" si="8"/>
        <v>32409</v>
      </c>
      <c r="R16" s="684">
        <f t="shared" si="8"/>
        <v>28335</v>
      </c>
      <c r="S16" s="684">
        <f t="shared" si="8"/>
        <v>31256</v>
      </c>
      <c r="T16" s="684">
        <f t="shared" si="8"/>
        <v>-1</v>
      </c>
      <c r="U16" s="684">
        <f t="shared" si="8"/>
        <v>31255</v>
      </c>
      <c r="V16" s="675" t="s">
        <v>286</v>
      </c>
      <c r="W16" s="826" t="s">
        <v>316</v>
      </c>
      <c r="X16" s="827"/>
      <c r="Y16" s="684">
        <f aca="true" t="shared" si="9" ref="Y16:AJ16">Y11+Y15</f>
        <v>137102</v>
      </c>
      <c r="Z16" s="684">
        <f t="shared" si="9"/>
        <v>152941</v>
      </c>
      <c r="AA16" s="684">
        <f t="shared" si="9"/>
        <v>133572</v>
      </c>
      <c r="AB16" s="684">
        <f t="shared" si="9"/>
        <v>157762</v>
      </c>
      <c r="AC16" s="684">
        <f t="shared" si="9"/>
        <v>9</v>
      </c>
      <c r="AD16" s="684">
        <f t="shared" si="9"/>
        <v>157771</v>
      </c>
      <c r="AE16" s="684">
        <f t="shared" si="9"/>
        <v>424814.7</v>
      </c>
      <c r="AF16" s="684">
        <f t="shared" si="9"/>
        <v>2900012</v>
      </c>
      <c r="AG16" s="684">
        <f t="shared" si="9"/>
        <v>1269859</v>
      </c>
      <c r="AH16" s="684">
        <f t="shared" si="9"/>
        <v>474204</v>
      </c>
      <c r="AI16" s="684">
        <f t="shared" si="9"/>
        <v>1538632</v>
      </c>
      <c r="AJ16" s="684">
        <f t="shared" si="9"/>
        <v>2012836</v>
      </c>
      <c r="AK16" s="826" t="s">
        <v>316</v>
      </c>
      <c r="AL16" s="827"/>
      <c r="AM16" s="684">
        <f t="shared" si="4"/>
        <v>975172.7</v>
      </c>
      <c r="AN16" s="684">
        <f t="shared" si="4"/>
        <v>3528062</v>
      </c>
      <c r="AO16" s="684">
        <f t="shared" si="4"/>
        <v>1866362</v>
      </c>
      <c r="AP16" s="684">
        <f t="shared" si="4"/>
        <v>1106375.7</v>
      </c>
      <c r="AQ16" s="684">
        <f>AI16+AC16+T16+N16+H16</f>
        <v>1538640</v>
      </c>
      <c r="AR16" s="684">
        <f>AJ16+AD16+U16+O16+I16</f>
        <v>2645015.7</v>
      </c>
    </row>
    <row r="17" spans="1:44" ht="31.5" customHeight="1">
      <c r="A17" s="241" t="s">
        <v>287</v>
      </c>
      <c r="B17" s="247" t="s">
        <v>481</v>
      </c>
      <c r="C17" s="249" t="s">
        <v>482</v>
      </c>
      <c r="D17" s="117">
        <v>0</v>
      </c>
      <c r="E17" s="117">
        <v>0</v>
      </c>
      <c r="F17" s="117">
        <v>0</v>
      </c>
      <c r="G17" s="156">
        <v>0</v>
      </c>
      <c r="H17" s="156">
        <v>0</v>
      </c>
      <c r="I17" s="156">
        <v>0</v>
      </c>
      <c r="J17" s="117">
        <v>0</v>
      </c>
      <c r="K17" s="117">
        <v>0</v>
      </c>
      <c r="L17" s="117">
        <v>0</v>
      </c>
      <c r="M17" s="156">
        <v>0</v>
      </c>
      <c r="N17" s="156">
        <v>0</v>
      </c>
      <c r="O17" s="156">
        <v>0</v>
      </c>
      <c r="P17" s="117">
        <v>0</v>
      </c>
      <c r="Q17" s="117">
        <v>0</v>
      </c>
      <c r="R17" s="117">
        <v>0</v>
      </c>
      <c r="S17" s="156">
        <v>0</v>
      </c>
      <c r="T17" s="156">
        <v>0</v>
      </c>
      <c r="U17" s="156">
        <v>0</v>
      </c>
      <c r="V17" s="241" t="s">
        <v>287</v>
      </c>
      <c r="W17" s="247" t="s">
        <v>481</v>
      </c>
      <c r="X17" s="249" t="s">
        <v>482</v>
      </c>
      <c r="Y17" s="117">
        <v>0</v>
      </c>
      <c r="Z17" s="117">
        <v>0</v>
      </c>
      <c r="AA17" s="117">
        <v>0</v>
      </c>
      <c r="AB17" s="156">
        <v>0</v>
      </c>
      <c r="AC17" s="156">
        <v>0</v>
      </c>
      <c r="AD17" s="156">
        <v>0</v>
      </c>
      <c r="AE17" s="117">
        <f>'[9]ÖK - KIADÁSOK'!$E$222</f>
        <v>12827</v>
      </c>
      <c r="AF17" s="117">
        <f>'[9]ÖK - KIADÁSOK'!$F$222</f>
        <v>12827</v>
      </c>
      <c r="AG17" s="117">
        <f>'[9]ÖK - KIADÁSOK'!$G$222</f>
        <v>12826</v>
      </c>
      <c r="AH17" s="156">
        <f>'[9]ÖK - KIADÁSOK'!$H$221+'[9]ÖK - KIADÁSOK'!$H$222</f>
        <v>52365</v>
      </c>
      <c r="AI17" s="156">
        <v>0</v>
      </c>
      <c r="AJ17" s="156">
        <f>SUM(AH17:AI17)</f>
        <v>52365</v>
      </c>
      <c r="AK17" s="247" t="s">
        <v>481</v>
      </c>
      <c r="AL17" s="243" t="s">
        <v>482</v>
      </c>
      <c r="AM17" s="118">
        <f t="shared" si="4"/>
        <v>12827</v>
      </c>
      <c r="AN17" s="118">
        <f t="shared" si="4"/>
        <v>12827</v>
      </c>
      <c r="AO17" s="118">
        <f t="shared" si="4"/>
        <v>12826</v>
      </c>
      <c r="AP17" s="245">
        <f t="shared" si="4"/>
        <v>52365</v>
      </c>
      <c r="AQ17" s="245">
        <f>H17+N17+T17+AC17+AI17</f>
        <v>0</v>
      </c>
      <c r="AR17" s="245">
        <f>SUM(AP17:AQ17)</f>
        <v>52365</v>
      </c>
    </row>
    <row r="18" spans="1:44" s="708" customFormat="1" ht="33" customHeight="1">
      <c r="A18" s="675" t="s">
        <v>288</v>
      </c>
      <c r="B18" s="865" t="s">
        <v>247</v>
      </c>
      <c r="C18" s="866"/>
      <c r="D18" s="707">
        <v>0</v>
      </c>
      <c r="E18" s="707">
        <v>0</v>
      </c>
      <c r="F18" s="707">
        <v>0</v>
      </c>
      <c r="G18" s="707">
        <v>0</v>
      </c>
      <c r="H18" s="707">
        <v>0</v>
      </c>
      <c r="I18" s="707">
        <v>0</v>
      </c>
      <c r="J18" s="707">
        <v>0</v>
      </c>
      <c r="K18" s="707">
        <v>0</v>
      </c>
      <c r="L18" s="707">
        <v>0</v>
      </c>
      <c r="M18" s="707">
        <v>0</v>
      </c>
      <c r="N18" s="707">
        <v>0</v>
      </c>
      <c r="O18" s="707">
        <v>0</v>
      </c>
      <c r="P18" s="707">
        <v>0</v>
      </c>
      <c r="Q18" s="707">
        <v>0</v>
      </c>
      <c r="R18" s="707">
        <v>0</v>
      </c>
      <c r="S18" s="707">
        <v>0</v>
      </c>
      <c r="T18" s="707">
        <v>0</v>
      </c>
      <c r="U18" s="707">
        <v>0</v>
      </c>
      <c r="V18" s="675" t="s">
        <v>288</v>
      </c>
      <c r="W18" s="865" t="s">
        <v>247</v>
      </c>
      <c r="X18" s="866"/>
      <c r="Y18" s="707">
        <v>0</v>
      </c>
      <c r="Z18" s="707">
        <v>0</v>
      </c>
      <c r="AA18" s="707">
        <v>0</v>
      </c>
      <c r="AB18" s="707">
        <v>0</v>
      </c>
      <c r="AC18" s="707">
        <v>0</v>
      </c>
      <c r="AD18" s="707">
        <v>0</v>
      </c>
      <c r="AE18" s="707">
        <f aca="true" t="shared" si="10" ref="AE18:AJ18">AE17</f>
        <v>12827</v>
      </c>
      <c r="AF18" s="707">
        <f t="shared" si="10"/>
        <v>12827</v>
      </c>
      <c r="AG18" s="707">
        <f t="shared" si="10"/>
        <v>12826</v>
      </c>
      <c r="AH18" s="707">
        <f t="shared" si="10"/>
        <v>52365</v>
      </c>
      <c r="AI18" s="707">
        <f t="shared" si="10"/>
        <v>0</v>
      </c>
      <c r="AJ18" s="707">
        <f t="shared" si="10"/>
        <v>52365</v>
      </c>
      <c r="AK18" s="865" t="s">
        <v>247</v>
      </c>
      <c r="AL18" s="866"/>
      <c r="AM18" s="707">
        <f t="shared" si="4"/>
        <v>12827</v>
      </c>
      <c r="AN18" s="707">
        <f t="shared" si="4"/>
        <v>12827</v>
      </c>
      <c r="AO18" s="707">
        <f t="shared" si="4"/>
        <v>12826</v>
      </c>
      <c r="AP18" s="707">
        <f t="shared" si="4"/>
        <v>52365</v>
      </c>
      <c r="AQ18" s="707">
        <f>AI18+AC18+T18+N18+H18</f>
        <v>0</v>
      </c>
      <c r="AR18" s="707">
        <f>AJ18+AD18+U18+O18+I18</f>
        <v>52365</v>
      </c>
    </row>
    <row r="19" spans="1:44" s="526" customFormat="1" ht="32.25" customHeight="1">
      <c r="A19" s="675" t="s">
        <v>289</v>
      </c>
      <c r="B19" s="857" t="s">
        <v>501</v>
      </c>
      <c r="C19" s="858"/>
      <c r="D19" s="697">
        <f aca="true" t="shared" si="11" ref="D19:I19">D16+D17</f>
        <v>224183</v>
      </c>
      <c r="E19" s="697">
        <f t="shared" si="11"/>
        <v>257313</v>
      </c>
      <c r="F19" s="697">
        <f t="shared" si="11"/>
        <v>251835</v>
      </c>
      <c r="G19" s="677">
        <f t="shared" si="11"/>
        <v>253923</v>
      </c>
      <c r="H19" s="677">
        <f t="shared" si="11"/>
        <v>0</v>
      </c>
      <c r="I19" s="677">
        <f t="shared" si="11"/>
        <v>253923</v>
      </c>
      <c r="J19" s="697">
        <f aca="true" t="shared" si="12" ref="J19:U19">J16+J18</f>
        <v>164960</v>
      </c>
      <c r="K19" s="697">
        <f t="shared" si="12"/>
        <v>185387</v>
      </c>
      <c r="L19" s="697">
        <f t="shared" si="12"/>
        <v>182761</v>
      </c>
      <c r="M19" s="677">
        <f t="shared" si="12"/>
        <v>189230.7</v>
      </c>
      <c r="N19" s="677">
        <f t="shared" si="12"/>
        <v>0</v>
      </c>
      <c r="O19" s="677">
        <f t="shared" si="12"/>
        <v>189230.7</v>
      </c>
      <c r="P19" s="697">
        <f t="shared" si="12"/>
        <v>24113</v>
      </c>
      <c r="Q19" s="697">
        <f t="shared" si="12"/>
        <v>32409</v>
      </c>
      <c r="R19" s="697">
        <f t="shared" si="12"/>
        <v>28335</v>
      </c>
      <c r="S19" s="677">
        <f t="shared" si="12"/>
        <v>31256</v>
      </c>
      <c r="T19" s="677">
        <f t="shared" si="12"/>
        <v>-1</v>
      </c>
      <c r="U19" s="677">
        <f t="shared" si="12"/>
        <v>31255</v>
      </c>
      <c r="V19" s="675" t="s">
        <v>289</v>
      </c>
      <c r="W19" s="857" t="s">
        <v>501</v>
      </c>
      <c r="X19" s="858"/>
      <c r="Y19" s="697">
        <f aca="true" t="shared" si="13" ref="Y19:AJ19">Y16+Y18</f>
        <v>137102</v>
      </c>
      <c r="Z19" s="697">
        <f t="shared" si="13"/>
        <v>152941</v>
      </c>
      <c r="AA19" s="697">
        <f t="shared" si="13"/>
        <v>133572</v>
      </c>
      <c r="AB19" s="677">
        <f t="shared" si="13"/>
        <v>157762</v>
      </c>
      <c r="AC19" s="677">
        <f t="shared" si="13"/>
        <v>9</v>
      </c>
      <c r="AD19" s="677">
        <f t="shared" si="13"/>
        <v>157771</v>
      </c>
      <c r="AE19" s="697">
        <f t="shared" si="13"/>
        <v>437641.7</v>
      </c>
      <c r="AF19" s="697">
        <f t="shared" si="13"/>
        <v>2912839</v>
      </c>
      <c r="AG19" s="697">
        <f t="shared" si="13"/>
        <v>1282685</v>
      </c>
      <c r="AH19" s="677">
        <f t="shared" si="13"/>
        <v>526569</v>
      </c>
      <c r="AI19" s="677">
        <f t="shared" si="13"/>
        <v>1538632</v>
      </c>
      <c r="AJ19" s="677">
        <f t="shared" si="13"/>
        <v>2065201</v>
      </c>
      <c r="AK19" s="857" t="s">
        <v>501</v>
      </c>
      <c r="AL19" s="858"/>
      <c r="AM19" s="691">
        <f t="shared" si="4"/>
        <v>987999.7</v>
      </c>
      <c r="AN19" s="691">
        <f t="shared" si="4"/>
        <v>3540889</v>
      </c>
      <c r="AO19" s="691">
        <f t="shared" si="4"/>
        <v>1879188</v>
      </c>
      <c r="AP19" s="677">
        <f>AP18+AP16</f>
        <v>1158740.7</v>
      </c>
      <c r="AQ19" s="677">
        <f>AQ18+AQ16</f>
        <v>1538640</v>
      </c>
      <c r="AR19" s="677">
        <f>AR18+AR16</f>
        <v>2697380.7</v>
      </c>
    </row>
    <row r="20" spans="1:44" s="526" customFormat="1" ht="39" customHeight="1">
      <c r="A20" s="675" t="s">
        <v>290</v>
      </c>
      <c r="B20" s="709"/>
      <c r="C20" s="710" t="s">
        <v>835</v>
      </c>
      <c r="D20" s="711">
        <v>32</v>
      </c>
      <c r="E20" s="711"/>
      <c r="F20" s="711"/>
      <c r="G20" s="712">
        <v>31</v>
      </c>
      <c r="H20" s="711">
        <v>0</v>
      </c>
      <c r="I20" s="712">
        <v>31</v>
      </c>
      <c r="J20" s="673">
        <v>36</v>
      </c>
      <c r="K20" s="673"/>
      <c r="L20" s="673"/>
      <c r="M20" s="674">
        <v>36</v>
      </c>
      <c r="N20" s="674">
        <v>0</v>
      </c>
      <c r="O20" s="674">
        <f>SUM(M20:N20)</f>
        <v>36</v>
      </c>
      <c r="P20" s="673">
        <v>3</v>
      </c>
      <c r="Q20" s="673"/>
      <c r="R20" s="673"/>
      <c r="S20" s="674">
        <v>3</v>
      </c>
      <c r="T20" s="674">
        <v>0</v>
      </c>
      <c r="U20" s="674">
        <f>SUM(S20:T20)</f>
        <v>3</v>
      </c>
      <c r="V20" s="675" t="s">
        <v>290</v>
      </c>
      <c r="W20" s="859" t="s">
        <v>835</v>
      </c>
      <c r="X20" s="860"/>
      <c r="Y20" s="711">
        <v>22</v>
      </c>
      <c r="Z20" s="711"/>
      <c r="AA20" s="711"/>
      <c r="AB20" s="712">
        <v>22</v>
      </c>
      <c r="AC20" s="712">
        <v>0</v>
      </c>
      <c r="AD20" s="712">
        <f>SUM(AB20:AC20)</f>
        <v>22</v>
      </c>
      <c r="AE20" s="673">
        <v>5</v>
      </c>
      <c r="AF20" s="673"/>
      <c r="AG20" s="673"/>
      <c r="AH20" s="674">
        <v>5</v>
      </c>
      <c r="AI20" s="674">
        <v>0</v>
      </c>
      <c r="AJ20" s="674">
        <f>SUM(AH20:AI20)</f>
        <v>5</v>
      </c>
      <c r="AK20" s="709"/>
      <c r="AL20" s="710" t="s">
        <v>643</v>
      </c>
      <c r="AM20" s="691">
        <f t="shared" si="4"/>
        <v>98</v>
      </c>
      <c r="AN20" s="691">
        <f t="shared" si="4"/>
        <v>0</v>
      </c>
      <c r="AO20" s="691">
        <f t="shared" si="4"/>
        <v>0</v>
      </c>
      <c r="AP20" s="691">
        <f>AH20+AB20+S20+M20+G20</f>
        <v>97</v>
      </c>
      <c r="AQ20" s="691">
        <f aca="true" t="shared" si="14" ref="AQ20:AR24">AI20+AC20+T20+N20+H20</f>
        <v>0</v>
      </c>
      <c r="AR20" s="691">
        <f t="shared" si="14"/>
        <v>97</v>
      </c>
    </row>
    <row r="21" spans="1:44" s="200" customFormat="1" ht="18.75" customHeight="1">
      <c r="A21" s="241" t="s">
        <v>291</v>
      </c>
      <c r="B21" s="713"/>
      <c r="C21" s="241" t="s">
        <v>837</v>
      </c>
      <c r="D21" s="282"/>
      <c r="E21" s="282"/>
      <c r="F21" s="282"/>
      <c r="G21" s="282">
        <v>1</v>
      </c>
      <c r="H21" s="282">
        <v>0</v>
      </c>
      <c r="I21" s="282">
        <v>1</v>
      </c>
      <c r="J21" s="282"/>
      <c r="K21" s="282"/>
      <c r="L21" s="282"/>
      <c r="M21" s="282">
        <v>7</v>
      </c>
      <c r="N21" s="282">
        <v>0</v>
      </c>
      <c r="O21" s="282">
        <v>7</v>
      </c>
      <c r="P21" s="282"/>
      <c r="Q21" s="282"/>
      <c r="R21" s="282"/>
      <c r="S21" s="282">
        <v>1</v>
      </c>
      <c r="T21" s="282">
        <v>0</v>
      </c>
      <c r="U21" s="282">
        <f>SUM(S21:T21)</f>
        <v>1</v>
      </c>
      <c r="V21" s="675" t="s">
        <v>291</v>
      </c>
      <c r="W21" s="861" t="s">
        <v>837</v>
      </c>
      <c r="X21" s="862"/>
      <c r="Y21" s="282"/>
      <c r="Z21" s="282"/>
      <c r="AA21" s="282"/>
      <c r="AB21" s="282">
        <v>3</v>
      </c>
      <c r="AC21" s="282">
        <v>0</v>
      </c>
      <c r="AD21" s="282">
        <f>SUM(AB21:AC21)</f>
        <v>3</v>
      </c>
      <c r="AE21" s="282"/>
      <c r="AF21" s="282"/>
      <c r="AG21" s="282"/>
      <c r="AH21" s="282">
        <v>3</v>
      </c>
      <c r="AI21" s="282">
        <v>0</v>
      </c>
      <c r="AJ21" s="282">
        <f>SUM(AH21:AI21)</f>
        <v>3</v>
      </c>
      <c r="AK21" s="713"/>
      <c r="AL21" s="713" t="s">
        <v>837</v>
      </c>
      <c r="AM21" s="282"/>
      <c r="AN21" s="282"/>
      <c r="AO21" s="282"/>
      <c r="AP21" s="691">
        <f>AH21+AB21+S21+M21+G21</f>
        <v>15</v>
      </c>
      <c r="AQ21" s="691">
        <f t="shared" si="14"/>
        <v>0</v>
      </c>
      <c r="AR21" s="691">
        <f t="shared" si="14"/>
        <v>15</v>
      </c>
    </row>
    <row r="22" spans="1:44" s="6" customFormat="1" ht="27" customHeight="1">
      <c r="A22" s="241" t="s">
        <v>292</v>
      </c>
      <c r="B22" s="714"/>
      <c r="C22" s="252" t="s">
        <v>998</v>
      </c>
      <c r="D22" s="715">
        <v>2</v>
      </c>
      <c r="E22" s="715"/>
      <c r="F22" s="715"/>
      <c r="G22" s="715">
        <v>1</v>
      </c>
      <c r="H22" s="715">
        <v>0</v>
      </c>
      <c r="I22" s="715">
        <v>1</v>
      </c>
      <c r="J22" s="623">
        <v>2</v>
      </c>
      <c r="K22" s="623"/>
      <c r="L22" s="623"/>
      <c r="M22" s="253">
        <v>2</v>
      </c>
      <c r="N22" s="253">
        <v>0</v>
      </c>
      <c r="O22" s="253">
        <f>SUM(M22:N22)</f>
        <v>2</v>
      </c>
      <c r="P22" s="253">
        <v>0</v>
      </c>
      <c r="Q22" s="253"/>
      <c r="R22" s="253"/>
      <c r="S22" s="623">
        <v>0</v>
      </c>
      <c r="T22" s="623">
        <v>0</v>
      </c>
      <c r="U22" s="623">
        <v>0</v>
      </c>
      <c r="V22" s="675" t="s">
        <v>292</v>
      </c>
      <c r="W22" s="863" t="s">
        <v>998</v>
      </c>
      <c r="X22" s="864"/>
      <c r="Y22" s="716">
        <v>0</v>
      </c>
      <c r="Z22" s="716"/>
      <c r="AA22" s="716"/>
      <c r="AB22" s="716">
        <v>0</v>
      </c>
      <c r="AC22" s="716">
        <v>0</v>
      </c>
      <c r="AD22" s="716">
        <v>0</v>
      </c>
      <c r="AE22" s="623"/>
      <c r="AF22" s="623"/>
      <c r="AG22" s="623"/>
      <c r="AH22" s="623">
        <v>0</v>
      </c>
      <c r="AI22" s="623">
        <v>0</v>
      </c>
      <c r="AJ22" s="623">
        <v>0</v>
      </c>
      <c r="AK22" s="714"/>
      <c r="AL22" s="717" t="s">
        <v>668</v>
      </c>
      <c r="AM22" s="623">
        <f>AE22+Y22+P22+J22+D22</f>
        <v>4</v>
      </c>
      <c r="AN22" s="623">
        <f>AF22+Z22+Q22+K22+E22</f>
        <v>0</v>
      </c>
      <c r="AO22" s="623">
        <f>AG22+AA22+R22+L22+F22</f>
        <v>0</v>
      </c>
      <c r="AP22" s="691">
        <f>AH22+AB22+S22+M22+G22</f>
        <v>3</v>
      </c>
      <c r="AQ22" s="691">
        <f t="shared" si="14"/>
        <v>0</v>
      </c>
      <c r="AR22" s="691">
        <f t="shared" si="14"/>
        <v>3</v>
      </c>
    </row>
    <row r="23" spans="1:44" s="6" customFormat="1" ht="18" customHeight="1">
      <c r="A23" s="241" t="s">
        <v>293</v>
      </c>
      <c r="B23" s="714"/>
      <c r="C23" s="717" t="s">
        <v>999</v>
      </c>
      <c r="D23" s="623"/>
      <c r="E23" s="623"/>
      <c r="F23" s="623"/>
      <c r="G23" s="623">
        <v>0</v>
      </c>
      <c r="H23" s="623">
        <v>0</v>
      </c>
      <c r="I23" s="623">
        <v>0</v>
      </c>
      <c r="J23" s="623"/>
      <c r="K23" s="623"/>
      <c r="L23" s="623"/>
      <c r="M23" s="623">
        <v>0</v>
      </c>
      <c r="N23" s="623">
        <v>0</v>
      </c>
      <c r="O23" s="623">
        <v>0</v>
      </c>
      <c r="P23" s="623"/>
      <c r="Q23" s="623"/>
      <c r="R23" s="623"/>
      <c r="S23" s="623">
        <v>0</v>
      </c>
      <c r="T23" s="623">
        <v>0</v>
      </c>
      <c r="U23" s="623">
        <v>0</v>
      </c>
      <c r="V23" s="675" t="s">
        <v>293</v>
      </c>
      <c r="W23" s="853" t="s">
        <v>999</v>
      </c>
      <c r="X23" s="854"/>
      <c r="Y23" s="623"/>
      <c r="Z23" s="623"/>
      <c r="AA23" s="623"/>
      <c r="AB23" s="623">
        <v>0</v>
      </c>
      <c r="AC23" s="623">
        <v>0</v>
      </c>
      <c r="AD23" s="623">
        <v>0</v>
      </c>
      <c r="AE23" s="623"/>
      <c r="AF23" s="623"/>
      <c r="AG23" s="623"/>
      <c r="AH23" s="623">
        <v>0</v>
      </c>
      <c r="AI23" s="623">
        <v>0</v>
      </c>
      <c r="AJ23" s="623">
        <v>0</v>
      </c>
      <c r="AK23" s="714"/>
      <c r="AL23" s="714" t="s">
        <v>836</v>
      </c>
      <c r="AM23" s="623"/>
      <c r="AN23" s="623"/>
      <c r="AO23" s="623"/>
      <c r="AP23" s="691">
        <f>AH23+AB23+S23+M23+G23</f>
        <v>0</v>
      </c>
      <c r="AQ23" s="691">
        <f t="shared" si="14"/>
        <v>0</v>
      </c>
      <c r="AR23" s="691">
        <f t="shared" si="14"/>
        <v>0</v>
      </c>
    </row>
    <row r="24" spans="1:44" s="6" customFormat="1" ht="18.75" customHeight="1">
      <c r="A24" s="241" t="s">
        <v>294</v>
      </c>
      <c r="B24" s="714"/>
      <c r="C24" s="714" t="s">
        <v>248</v>
      </c>
      <c r="D24" s="623"/>
      <c r="E24" s="623"/>
      <c r="F24" s="623"/>
      <c r="G24" s="623">
        <v>0</v>
      </c>
      <c r="H24" s="623">
        <v>0</v>
      </c>
      <c r="I24" s="623">
        <v>0</v>
      </c>
      <c r="J24" s="623"/>
      <c r="K24" s="623"/>
      <c r="L24" s="623"/>
      <c r="M24" s="623">
        <v>0</v>
      </c>
      <c r="N24" s="623">
        <v>0</v>
      </c>
      <c r="O24" s="623">
        <v>0</v>
      </c>
      <c r="P24" s="623"/>
      <c r="Q24" s="623"/>
      <c r="R24" s="623"/>
      <c r="S24" s="623">
        <v>0</v>
      </c>
      <c r="T24" s="623">
        <v>0</v>
      </c>
      <c r="U24" s="623">
        <v>0</v>
      </c>
      <c r="V24" s="675" t="s">
        <v>294</v>
      </c>
      <c r="W24" s="855" t="s">
        <v>248</v>
      </c>
      <c r="X24" s="856"/>
      <c r="Y24" s="623"/>
      <c r="Z24" s="623"/>
      <c r="AA24" s="623"/>
      <c r="AB24" s="623">
        <v>0</v>
      </c>
      <c r="AC24" s="623">
        <v>0</v>
      </c>
      <c r="AD24" s="623">
        <v>0</v>
      </c>
      <c r="AE24" s="623">
        <v>200</v>
      </c>
      <c r="AF24" s="623"/>
      <c r="AG24" s="623"/>
      <c r="AH24" s="623">
        <v>200</v>
      </c>
      <c r="AI24" s="623">
        <v>0</v>
      </c>
      <c r="AJ24" s="623">
        <f>SUM(AH24:AI24)</f>
        <v>200</v>
      </c>
      <c r="AK24" s="714"/>
      <c r="AL24" s="714" t="s">
        <v>248</v>
      </c>
      <c r="AM24" s="623">
        <f>AE24+Y24+P24+J24+D24</f>
        <v>200</v>
      </c>
      <c r="AN24" s="623"/>
      <c r="AO24" s="623"/>
      <c r="AP24" s="691">
        <f>AH24+AB24+S24+M24+G24</f>
        <v>200</v>
      </c>
      <c r="AQ24" s="691">
        <f t="shared" si="14"/>
        <v>0</v>
      </c>
      <c r="AR24" s="691">
        <f t="shared" si="14"/>
        <v>200</v>
      </c>
    </row>
    <row r="25" spans="1:44" ht="15.75">
      <c r="A25" s="297"/>
      <c r="B25" s="115"/>
      <c r="C25" s="26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29"/>
      <c r="S25" s="129"/>
      <c r="T25" s="129"/>
      <c r="U25" s="129"/>
      <c r="V25" s="129"/>
      <c r="W25" s="129"/>
      <c r="X25" s="129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261"/>
      <c r="AM25" s="115"/>
      <c r="AN25" s="115"/>
      <c r="AO25" s="521"/>
      <c r="AP25" s="521"/>
      <c r="AQ25" s="521"/>
      <c r="AR25" s="521"/>
    </row>
    <row r="26" spans="2:44" ht="15.75" customHeight="1">
      <c r="B26" s="115"/>
      <c r="C26" s="261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9"/>
      <c r="S26" s="129"/>
      <c r="T26" s="129"/>
      <c r="U26" s="129"/>
      <c r="V26" s="129"/>
      <c r="W26" s="129"/>
      <c r="X26" s="129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261"/>
      <c r="AM26" s="115"/>
      <c r="AN26" s="115"/>
      <c r="AO26" s="521"/>
      <c r="AP26" s="521"/>
      <c r="AQ26" s="521"/>
      <c r="AR26" s="521"/>
    </row>
    <row r="27" spans="2:44" ht="15.75">
      <c r="B27" s="115"/>
      <c r="C27" s="261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29"/>
      <c r="S27" s="129"/>
      <c r="T27" s="129"/>
      <c r="U27" s="129"/>
      <c r="V27" s="129"/>
      <c r="W27" s="129"/>
      <c r="X27" s="129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261"/>
      <c r="AM27" s="115"/>
      <c r="AN27" s="115"/>
      <c r="AO27" s="521"/>
      <c r="AP27" s="521"/>
      <c r="AQ27" s="521"/>
      <c r="AR27" s="521"/>
    </row>
    <row r="28" spans="2:44" ht="15.75" customHeight="1">
      <c r="B28" s="115"/>
      <c r="C28" s="261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29"/>
      <c r="S28" s="129"/>
      <c r="T28" s="129"/>
      <c r="U28" s="129"/>
      <c r="V28" s="129"/>
      <c r="W28" s="129"/>
      <c r="X28" s="129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261"/>
      <c r="AM28" s="115"/>
      <c r="AN28" s="115"/>
      <c r="AO28" s="521"/>
      <c r="AP28" s="521"/>
      <c r="AQ28" s="521"/>
      <c r="AR28" s="521"/>
    </row>
    <row r="29" spans="2:44" ht="15.75">
      <c r="B29" s="115"/>
      <c r="C29" s="26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29"/>
      <c r="S29" s="129"/>
      <c r="T29" s="129"/>
      <c r="U29" s="129"/>
      <c r="V29" s="129"/>
      <c r="W29" s="129"/>
      <c r="X29" s="129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261"/>
      <c r="AM29" s="115"/>
      <c r="AN29" s="115"/>
      <c r="AO29" s="521"/>
      <c r="AP29" s="521"/>
      <c r="AQ29" s="521"/>
      <c r="AR29" s="521"/>
    </row>
    <row r="30" spans="2:44" ht="15.75" customHeight="1">
      <c r="B30" s="115"/>
      <c r="C30" s="261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29"/>
      <c r="S30" s="129"/>
      <c r="T30" s="129"/>
      <c r="U30" s="129"/>
      <c r="V30" s="129"/>
      <c r="W30" s="129"/>
      <c r="X30" s="129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261"/>
      <c r="AM30" s="115"/>
      <c r="AN30" s="115"/>
      <c r="AO30" s="521"/>
      <c r="AP30" s="521"/>
      <c r="AQ30" s="521"/>
      <c r="AR30" s="521"/>
    </row>
    <row r="31" spans="2:44" ht="15.75">
      <c r="B31" s="115"/>
      <c r="C31" s="261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29"/>
      <c r="S31" s="129"/>
      <c r="T31" s="129"/>
      <c r="U31" s="129"/>
      <c r="V31" s="129"/>
      <c r="W31" s="129"/>
      <c r="X31" s="129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261"/>
      <c r="AM31" s="115"/>
      <c r="AN31" s="115"/>
      <c r="AO31" s="521"/>
      <c r="AP31" s="521"/>
      <c r="AQ31" s="521"/>
      <c r="AR31" s="521"/>
    </row>
    <row r="32" spans="2:44" ht="15.75" customHeight="1">
      <c r="B32" s="115"/>
      <c r="C32" s="261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29"/>
      <c r="S32" s="129"/>
      <c r="T32" s="129"/>
      <c r="U32" s="129"/>
      <c r="V32" s="129"/>
      <c r="W32" s="129"/>
      <c r="X32" s="129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261"/>
      <c r="AM32" s="115"/>
      <c r="AN32" s="115"/>
      <c r="AO32" s="521"/>
      <c r="AP32" s="521"/>
      <c r="AQ32" s="521"/>
      <c r="AR32" s="521"/>
    </row>
    <row r="33" spans="2:44" ht="15.75">
      <c r="B33" s="115"/>
      <c r="C33" s="261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261"/>
      <c r="AM33" s="115"/>
      <c r="AN33" s="115"/>
      <c r="AO33" s="521"/>
      <c r="AP33" s="521"/>
      <c r="AQ33" s="521"/>
      <c r="AR33" s="521"/>
    </row>
    <row r="34" spans="2:44" ht="15.75" customHeight="1">
      <c r="B34" s="115"/>
      <c r="C34" s="261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261"/>
      <c r="AM34" s="115"/>
      <c r="AN34" s="115"/>
      <c r="AO34" s="521"/>
      <c r="AP34" s="521"/>
      <c r="AQ34" s="521"/>
      <c r="AR34" s="521"/>
    </row>
    <row r="35" spans="2:44" ht="15.75">
      <c r="B35" s="115"/>
      <c r="C35" s="261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261"/>
      <c r="AM35" s="115"/>
      <c r="AN35" s="115"/>
      <c r="AO35" s="521"/>
      <c r="AP35" s="521"/>
      <c r="AQ35" s="521"/>
      <c r="AR35" s="521"/>
    </row>
    <row r="36" spans="2:44" ht="15.75" customHeight="1">
      <c r="B36" s="115"/>
      <c r="C36" s="261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261"/>
      <c r="AM36" s="115"/>
      <c r="AN36" s="115"/>
      <c r="AO36" s="521"/>
      <c r="AP36" s="521"/>
      <c r="AQ36" s="521"/>
      <c r="AR36" s="521"/>
    </row>
    <row r="37" spans="2:44" ht="15.75">
      <c r="B37" s="115"/>
      <c r="C37" s="261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261"/>
      <c r="AM37" s="115"/>
      <c r="AN37" s="115"/>
      <c r="AO37" s="521"/>
      <c r="AP37" s="521"/>
      <c r="AQ37" s="521"/>
      <c r="AR37" s="521"/>
    </row>
    <row r="38" spans="2:44" ht="15.75" customHeight="1">
      <c r="B38" s="115"/>
      <c r="C38" s="261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261"/>
      <c r="AM38" s="115"/>
      <c r="AN38" s="115"/>
      <c r="AO38" s="521"/>
      <c r="AP38" s="521"/>
      <c r="AQ38" s="521"/>
      <c r="AR38" s="521"/>
    </row>
    <row r="39" spans="2:44" ht="15.75">
      <c r="B39" s="115"/>
      <c r="C39" s="261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261"/>
      <c r="AM39" s="115"/>
      <c r="AN39" s="115"/>
      <c r="AO39" s="521"/>
      <c r="AP39" s="521"/>
      <c r="AQ39" s="521"/>
      <c r="AR39" s="521"/>
    </row>
    <row r="40" spans="2:44" ht="15.75" customHeight="1">
      <c r="B40" s="115"/>
      <c r="C40" s="261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261"/>
      <c r="AM40" s="115"/>
      <c r="AN40" s="115"/>
      <c r="AO40" s="521"/>
      <c r="AP40" s="521"/>
      <c r="AQ40" s="521"/>
      <c r="AR40" s="521"/>
    </row>
    <row r="41" spans="2:44" ht="15.75">
      <c r="B41" s="115"/>
      <c r="C41" s="261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261"/>
      <c r="AM41" s="115"/>
      <c r="AN41" s="115"/>
      <c r="AO41" s="521"/>
      <c r="AP41" s="521"/>
      <c r="AQ41" s="521"/>
      <c r="AR41" s="521"/>
    </row>
    <row r="42" spans="2:44" ht="15.75" customHeight="1">
      <c r="B42" s="115"/>
      <c r="C42" s="261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261"/>
      <c r="AM42" s="115"/>
      <c r="AN42" s="115"/>
      <c r="AO42" s="521"/>
      <c r="AP42" s="521"/>
      <c r="AQ42" s="521"/>
      <c r="AR42" s="521"/>
    </row>
    <row r="43" spans="2:44" ht="15.75">
      <c r="B43" s="115"/>
      <c r="C43" s="261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261"/>
      <c r="AM43" s="115"/>
      <c r="AN43" s="115"/>
      <c r="AO43" s="521"/>
      <c r="AP43" s="521"/>
      <c r="AQ43" s="521"/>
      <c r="AR43" s="521"/>
    </row>
    <row r="44" spans="2:44" ht="15.75" customHeight="1">
      <c r="B44" s="115"/>
      <c r="C44" s="261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261"/>
      <c r="AM44" s="115"/>
      <c r="AN44" s="115"/>
      <c r="AO44" s="521"/>
      <c r="AP44" s="521"/>
      <c r="AQ44" s="521"/>
      <c r="AR44" s="521"/>
    </row>
    <row r="45" spans="2:44" ht="15.75">
      <c r="B45" s="115"/>
      <c r="C45" s="261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261"/>
      <c r="AM45" s="115"/>
      <c r="AN45" s="115"/>
      <c r="AO45" s="521"/>
      <c r="AP45" s="521"/>
      <c r="AQ45" s="521"/>
      <c r="AR45" s="521"/>
    </row>
    <row r="46" spans="2:44" ht="15.75" customHeight="1">
      <c r="B46" s="115"/>
      <c r="C46" s="261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261"/>
      <c r="AM46" s="115"/>
      <c r="AN46" s="115"/>
      <c r="AO46" s="521"/>
      <c r="AP46" s="521"/>
      <c r="AQ46" s="521"/>
      <c r="AR46" s="521"/>
    </row>
    <row r="47" spans="2:40" ht="15">
      <c r="B47" s="115"/>
      <c r="C47" s="26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M47"/>
      <c r="AN47"/>
    </row>
    <row r="48" spans="2:40" ht="15.75" customHeight="1">
      <c r="B48" s="115"/>
      <c r="C48" s="261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M48"/>
      <c r="AN48"/>
    </row>
    <row r="49" spans="2:40" ht="1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M49"/>
      <c r="AN49"/>
    </row>
    <row r="50" spans="2:40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M50"/>
      <c r="AN50"/>
    </row>
    <row r="51" spans="39:40" ht="12.75">
      <c r="AM51"/>
      <c r="AN51"/>
    </row>
    <row r="52" spans="39:40" ht="12.75">
      <c r="AM52"/>
      <c r="AN52"/>
    </row>
    <row r="53" spans="39:40" ht="12.75">
      <c r="AM53"/>
      <c r="AN53"/>
    </row>
    <row r="54" spans="39:40" ht="12.75">
      <c r="AM54"/>
      <c r="AN54"/>
    </row>
  </sheetData>
  <sheetProtection password="CD92" sheet="1"/>
  <mergeCells count="75">
    <mergeCell ref="AD4:AD5"/>
    <mergeCell ref="V4:V5"/>
    <mergeCell ref="W4:W5"/>
    <mergeCell ref="X4:X5"/>
    <mergeCell ref="AE4:AE5"/>
    <mergeCell ref="AF4:AF5"/>
    <mergeCell ref="Y4:Y5"/>
    <mergeCell ref="Z4:Z5"/>
    <mergeCell ref="AA4:AA5"/>
    <mergeCell ref="AB4:AB5"/>
    <mergeCell ref="AC4:AC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1:U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V1:AJ1"/>
    <mergeCell ref="AK1:AR1"/>
    <mergeCell ref="A3:C3"/>
    <mergeCell ref="D3:I3"/>
    <mergeCell ref="J3:O3"/>
    <mergeCell ref="P3:U3"/>
    <mergeCell ref="V3:X3"/>
    <mergeCell ref="Y3:AD3"/>
    <mergeCell ref="AE3:AJ3"/>
    <mergeCell ref="AK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11:C11"/>
    <mergeCell ref="W11:X11"/>
    <mergeCell ref="AK11:AL11"/>
    <mergeCell ref="B15:C15"/>
    <mergeCell ref="W15:X15"/>
    <mergeCell ref="AK15:AL15"/>
    <mergeCell ref="B16:C16"/>
    <mergeCell ref="W16:X16"/>
    <mergeCell ref="AK16:AL16"/>
    <mergeCell ref="B18:C18"/>
    <mergeCell ref="W18:X18"/>
    <mergeCell ref="AK18:AL18"/>
    <mergeCell ref="W23:X23"/>
    <mergeCell ref="W24:X24"/>
    <mergeCell ref="B19:C19"/>
    <mergeCell ref="W19:X19"/>
    <mergeCell ref="AK19:AL19"/>
    <mergeCell ref="W20:X20"/>
    <mergeCell ref="W21:X21"/>
    <mergeCell ref="W22:X22"/>
  </mergeCells>
  <printOptions/>
  <pageMargins left="0.1968503937007874" right="0.1968503937007874" top="0.7480314960629921" bottom="1.220472440944882" header="0.31496062992125984" footer="0.31496062992125984"/>
  <pageSetup horizontalDpi="600" verticalDpi="600" orientation="landscape" paperSize="9" scale="63" r:id="rId1"/>
  <headerFooter alignWithMargins="0">
    <oddHeader>&amp;L4.melléklet&amp;X1&amp;R2/2019.(II.15.) ÖK rendelethez</oddHeader>
    <oddFooter>&amp;L&amp;X1&amp;XMód: 7/2019.(V.31.) ÖK rendelet</oddFooter>
  </headerFooter>
  <colBreaks count="2" manualBreakCount="2">
    <brk id="21" max="23" man="1"/>
    <brk id="3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0" zoomScaleSheetLayoutView="90" zoomScalePageLayoutView="0" workbookViewId="0" topLeftCell="A1">
      <selection activeCell="C34" sqref="C34"/>
    </sheetView>
  </sheetViews>
  <sheetFormatPr defaultColWidth="9.140625" defaultRowHeight="12.75"/>
  <cols>
    <col min="1" max="1" width="5.140625" style="200" customWidth="1"/>
    <col min="2" max="2" width="7.28125" style="4" customWidth="1"/>
    <col min="3" max="3" width="53.7109375" style="4" customWidth="1"/>
    <col min="4" max="4" width="0.2890625" style="4" hidden="1" customWidth="1"/>
    <col min="5" max="5" width="17.00390625" style="4" hidden="1" customWidth="1"/>
    <col min="6" max="6" width="13.7109375" style="4" customWidth="1"/>
    <col min="7" max="7" width="9.8515625" style="34" bestFit="1" customWidth="1"/>
    <col min="8" max="10" width="9.140625" style="34" customWidth="1"/>
    <col min="11" max="16384" width="9.140625" style="4" customWidth="1"/>
  </cols>
  <sheetData>
    <row r="1" spans="1:6" ht="38.25" customHeight="1">
      <c r="A1" s="880" t="s">
        <v>838</v>
      </c>
      <c r="B1" s="880"/>
      <c r="C1" s="880"/>
      <c r="D1" s="880"/>
      <c r="E1" s="880"/>
      <c r="F1" s="880"/>
    </row>
    <row r="2" spans="1:6" ht="19.5" customHeight="1">
      <c r="A2" s="881" t="s">
        <v>195</v>
      </c>
      <c r="B2" s="881"/>
      <c r="C2" s="881"/>
      <c r="D2" s="881"/>
      <c r="E2" s="881"/>
      <c r="F2" s="881"/>
    </row>
    <row r="3" spans="1:6" ht="15" customHeight="1">
      <c r="A3" s="298"/>
      <c r="B3" s="35"/>
      <c r="C3" s="67"/>
      <c r="D3" s="62"/>
      <c r="E3" s="62"/>
      <c r="F3" s="573" t="s">
        <v>523</v>
      </c>
    </row>
    <row r="4" spans="1:6" ht="30" customHeight="1">
      <c r="A4" s="792" t="s">
        <v>503</v>
      </c>
      <c r="B4" s="794" t="s">
        <v>502</v>
      </c>
      <c r="C4" s="882" t="s">
        <v>303</v>
      </c>
      <c r="D4" s="821" t="s">
        <v>664</v>
      </c>
      <c r="E4" s="822" t="s">
        <v>806</v>
      </c>
      <c r="F4" s="835" t="s">
        <v>966</v>
      </c>
    </row>
    <row r="5" spans="1:6" ht="17.25" customHeight="1">
      <c r="A5" s="793"/>
      <c r="B5" s="795"/>
      <c r="C5" s="882"/>
      <c r="D5" s="821"/>
      <c r="E5" s="822"/>
      <c r="F5" s="836"/>
    </row>
    <row r="6" spans="1:10" s="200" customFormat="1" ht="15" customHeight="1">
      <c r="A6" s="289" t="s">
        <v>270</v>
      </c>
      <c r="B6" s="289" t="s">
        <v>271</v>
      </c>
      <c r="C6" s="289" t="s">
        <v>452</v>
      </c>
      <c r="D6" s="289" t="s">
        <v>453</v>
      </c>
      <c r="E6" s="289" t="s">
        <v>454</v>
      </c>
      <c r="F6" s="289" t="s">
        <v>453</v>
      </c>
      <c r="G6" s="201"/>
      <c r="H6" s="201"/>
      <c r="I6" s="201"/>
      <c r="J6" s="201"/>
    </row>
    <row r="7" spans="1:10" s="3" customFormat="1" ht="31.5" customHeight="1">
      <c r="A7" s="294" t="s">
        <v>276</v>
      </c>
      <c r="B7" s="58" t="s">
        <v>545</v>
      </c>
      <c r="C7" s="72" t="s">
        <v>135</v>
      </c>
      <c r="D7" s="535">
        <v>5000</v>
      </c>
      <c r="E7" s="535">
        <v>5000</v>
      </c>
      <c r="F7" s="536">
        <f>'[7]2.mell. KIADÁS'!G130</f>
        <v>4500</v>
      </c>
      <c r="G7" s="45"/>
      <c r="H7" s="45"/>
      <c r="I7" s="45"/>
      <c r="J7" s="45"/>
    </row>
    <row r="8" spans="1:10" s="3" customFormat="1" ht="20.25" customHeight="1">
      <c r="A8" s="294" t="s">
        <v>277</v>
      </c>
      <c r="B8" s="73"/>
      <c r="C8" s="64" t="s">
        <v>136</v>
      </c>
      <c r="D8" s="535">
        <v>3000</v>
      </c>
      <c r="E8" s="535">
        <v>3000</v>
      </c>
      <c r="F8" s="536">
        <f>'[7]2.mell. KIADÁS'!G131</f>
        <v>3000</v>
      </c>
      <c r="G8" s="45"/>
      <c r="H8" s="45"/>
      <c r="I8" s="45"/>
      <c r="J8" s="45"/>
    </row>
    <row r="9" spans="1:6" ht="21" customHeight="1">
      <c r="A9" s="294" t="s">
        <v>278</v>
      </c>
      <c r="B9" s="73"/>
      <c r="C9" s="64" t="s">
        <v>137</v>
      </c>
      <c r="D9" s="535">
        <v>700</v>
      </c>
      <c r="E9" s="535">
        <v>700</v>
      </c>
      <c r="F9" s="536">
        <f>'[7]2.mell. KIADÁS'!G132</f>
        <v>700</v>
      </c>
    </row>
    <row r="10" spans="1:6" ht="20.25" customHeight="1">
      <c r="A10" s="294" t="s">
        <v>279</v>
      </c>
      <c r="B10" s="73"/>
      <c r="C10" s="64" t="s">
        <v>138</v>
      </c>
      <c r="D10" s="535">
        <v>8500</v>
      </c>
      <c r="E10" s="535">
        <v>8500</v>
      </c>
      <c r="F10" s="536">
        <f>'[7]2.mell. KIADÁS'!G133</f>
        <v>7000</v>
      </c>
    </row>
    <row r="11" spans="1:10" s="24" customFormat="1" ht="28.5" customHeight="1">
      <c r="A11" s="294" t="s">
        <v>280</v>
      </c>
      <c r="B11" s="580" t="s">
        <v>546</v>
      </c>
      <c r="C11" s="581" t="s">
        <v>547</v>
      </c>
      <c r="D11" s="528">
        <f>SUM(D7:D10)</f>
        <v>17200</v>
      </c>
      <c r="E11" s="528">
        <f>SUM(E7:E10)</f>
        <v>17200</v>
      </c>
      <c r="F11" s="528">
        <f>SUM(F7:F10)</f>
        <v>15200</v>
      </c>
      <c r="G11" s="25"/>
      <c r="H11" s="25"/>
      <c r="I11" s="25"/>
      <c r="J11" s="25"/>
    </row>
    <row r="12" spans="4:6" ht="15" customHeight="1">
      <c r="D12" s="34"/>
      <c r="E12" s="34"/>
      <c r="F12" s="34"/>
    </row>
    <row r="13" ht="15" customHeight="1"/>
    <row r="14" spans="4:6" ht="15" customHeight="1">
      <c r="D14" s="34"/>
      <c r="E14" s="34"/>
      <c r="F14" s="34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>
      <c r="A39" s="200" t="s">
        <v>575</v>
      </c>
    </row>
  </sheetData>
  <sheetProtection password="CD92" sheet="1"/>
  <mergeCells count="8">
    <mergeCell ref="E4:E5"/>
    <mergeCell ref="F4:F5"/>
    <mergeCell ref="A1:F1"/>
    <mergeCell ref="A2:F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headerFooter>
    <oddHeader>&amp;L5.melléklet&amp;X1&amp;R2/2019.(II.15.) ÖK rendelethez</oddHeader>
    <oddFooter>&amp;L&amp;X1&amp;XMód: 7/2019.(V.31.) ÖK rendelet</oddFoot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1" zoomScaleSheetLayoutView="91" zoomScalePageLayoutView="0" workbookViewId="0" topLeftCell="A1">
      <selection activeCell="C24" sqref="C24"/>
    </sheetView>
  </sheetViews>
  <sheetFormatPr defaultColWidth="9.140625" defaultRowHeight="12.75"/>
  <cols>
    <col min="1" max="1" width="4.57421875" style="200" customWidth="1"/>
    <col min="2" max="2" width="7.8515625" style="33" customWidth="1"/>
    <col min="3" max="3" width="67.140625" style="4" customWidth="1"/>
    <col min="4" max="4" width="0.13671875" style="4" customWidth="1"/>
    <col min="5" max="5" width="18.57421875" style="4" hidden="1" customWidth="1"/>
    <col min="6" max="6" width="13.8515625" style="4" customWidth="1"/>
    <col min="7" max="16384" width="9.140625" style="4" customWidth="1"/>
  </cols>
  <sheetData>
    <row r="1" spans="1:6" ht="15" customHeight="1">
      <c r="A1" s="800" t="s">
        <v>838</v>
      </c>
      <c r="B1" s="800"/>
      <c r="C1" s="800"/>
      <c r="D1" s="800"/>
      <c r="E1" s="800"/>
      <c r="F1" s="800"/>
    </row>
    <row r="2" spans="1:6" ht="15" customHeight="1">
      <c r="A2" s="881" t="s">
        <v>544</v>
      </c>
      <c r="B2" s="881"/>
      <c r="C2" s="881"/>
      <c r="D2" s="881"/>
      <c r="E2" s="881"/>
      <c r="F2" s="881"/>
    </row>
    <row r="3" spans="1:6" ht="15" customHeight="1">
      <c r="A3" s="298"/>
      <c r="B3" s="149"/>
      <c r="C3" s="67"/>
      <c r="D3" s="62"/>
      <c r="E3" s="62"/>
      <c r="F3" s="62" t="s">
        <v>523</v>
      </c>
    </row>
    <row r="4" spans="1:6" ht="30" customHeight="1">
      <c r="A4" s="792" t="s">
        <v>503</v>
      </c>
      <c r="B4" s="794" t="s">
        <v>502</v>
      </c>
      <c r="C4" s="883" t="s">
        <v>303</v>
      </c>
      <c r="D4" s="821" t="s">
        <v>664</v>
      </c>
      <c r="E4" s="822" t="s">
        <v>806</v>
      </c>
      <c r="F4" s="782" t="s">
        <v>966</v>
      </c>
    </row>
    <row r="5" spans="1:6" ht="27.75" customHeight="1">
      <c r="A5" s="793"/>
      <c r="B5" s="795"/>
      <c r="C5" s="884"/>
      <c r="D5" s="821"/>
      <c r="E5" s="822"/>
      <c r="F5" s="783"/>
    </row>
    <row r="6" spans="1:6" s="200" customFormat="1" ht="15" customHeight="1">
      <c r="A6" s="289" t="s">
        <v>270</v>
      </c>
      <c r="B6" s="289" t="s">
        <v>271</v>
      </c>
      <c r="C6" s="290" t="s">
        <v>452</v>
      </c>
      <c r="D6" s="296" t="s">
        <v>453</v>
      </c>
      <c r="E6" s="296" t="s">
        <v>454</v>
      </c>
      <c r="F6" s="296" t="s">
        <v>453</v>
      </c>
    </row>
    <row r="7" spans="1:9" ht="36.75" customHeight="1">
      <c r="A7" s="294" t="s">
        <v>276</v>
      </c>
      <c r="B7" s="152"/>
      <c r="C7" s="541" t="s">
        <v>850</v>
      </c>
      <c r="D7" s="55">
        <v>0</v>
      </c>
      <c r="E7" s="55">
        <v>1226</v>
      </c>
      <c r="F7" s="79">
        <f>'[7]2.mell. KIADÁS'!G135</f>
        <v>1700</v>
      </c>
      <c r="G7" s="151"/>
      <c r="H7" s="151"/>
      <c r="I7" s="151"/>
    </row>
    <row r="8" spans="1:9" ht="21.75" customHeight="1">
      <c r="A8" s="294" t="s">
        <v>277</v>
      </c>
      <c r="B8" s="152"/>
      <c r="C8" s="543" t="s">
        <v>851</v>
      </c>
      <c r="D8" s="55">
        <v>0</v>
      </c>
      <c r="E8" s="55">
        <v>17195</v>
      </c>
      <c r="F8" s="79">
        <f>'[7]2.mell. KIADÁS'!G136</f>
        <v>14699</v>
      </c>
      <c r="G8" s="151"/>
      <c r="H8" s="151"/>
      <c r="I8" s="151"/>
    </row>
    <row r="9" spans="1:9" ht="20.25" customHeight="1">
      <c r="A9" s="294" t="s">
        <v>278</v>
      </c>
      <c r="B9" s="152"/>
      <c r="C9" s="545" t="s">
        <v>670</v>
      </c>
      <c r="D9" s="55">
        <v>0</v>
      </c>
      <c r="E9" s="55">
        <v>450</v>
      </c>
      <c r="F9" s="79">
        <v>0</v>
      </c>
      <c r="G9" s="151"/>
      <c r="H9" s="151"/>
      <c r="I9" s="151"/>
    </row>
    <row r="10" spans="1:9" ht="27.75" customHeight="1">
      <c r="A10" s="294" t="s">
        <v>279</v>
      </c>
      <c r="B10" s="152"/>
      <c r="C10" s="546" t="s">
        <v>852</v>
      </c>
      <c r="D10" s="55">
        <v>0</v>
      </c>
      <c r="E10" s="55">
        <v>9345</v>
      </c>
      <c r="F10" s="79">
        <f>'[7]2.mell. KIADÁS'!G137</f>
        <v>10797</v>
      </c>
      <c r="G10" s="151"/>
      <c r="H10" s="151"/>
      <c r="I10" s="151"/>
    </row>
    <row r="11" spans="1:9" ht="32.25" customHeight="1">
      <c r="A11" s="294" t="s">
        <v>280</v>
      </c>
      <c r="B11" s="152"/>
      <c r="C11" s="547" t="s">
        <v>853</v>
      </c>
      <c r="D11" s="79"/>
      <c r="E11" s="79"/>
      <c r="F11" s="175">
        <f>'[7]2.mell. KIADÁS'!G138</f>
        <v>88</v>
      </c>
      <c r="G11" s="151"/>
      <c r="H11" s="151"/>
      <c r="I11" s="151"/>
    </row>
    <row r="12" spans="1:9" ht="27" customHeight="1">
      <c r="A12" s="294" t="s">
        <v>281</v>
      </c>
      <c r="B12" s="152"/>
      <c r="C12" s="547" t="s">
        <v>854</v>
      </c>
      <c r="D12" s="79"/>
      <c r="E12" s="79"/>
      <c r="F12" s="175">
        <f>'[7]2.mell. KIADÁS'!G139</f>
        <v>700</v>
      </c>
      <c r="G12" s="151"/>
      <c r="H12" s="151"/>
      <c r="I12" s="151"/>
    </row>
    <row r="13" spans="1:9" ht="30.75" customHeight="1">
      <c r="A13" s="294" t="s">
        <v>282</v>
      </c>
      <c r="B13" s="152"/>
      <c r="C13" s="547" t="s">
        <v>855</v>
      </c>
      <c r="D13" s="79"/>
      <c r="E13" s="79"/>
      <c r="F13" s="175">
        <f>'[7]2.mell. KIADÁS'!G140</f>
        <v>10009</v>
      </c>
      <c r="G13" s="151"/>
      <c r="H13" s="151"/>
      <c r="I13" s="151"/>
    </row>
    <row r="14" spans="1:9" ht="21.75" customHeight="1">
      <c r="A14" s="294" t="s">
        <v>283</v>
      </c>
      <c r="B14" s="152"/>
      <c r="C14" s="576" t="s">
        <v>114</v>
      </c>
      <c r="D14" s="55">
        <v>4000</v>
      </c>
      <c r="E14" s="55">
        <f>4000</f>
        <v>4000</v>
      </c>
      <c r="F14" s="79">
        <f>'[7]2.mell. KIADÁS'!G141</f>
        <v>4392</v>
      </c>
      <c r="G14" s="151"/>
      <c r="H14" s="151"/>
      <c r="I14" s="151"/>
    </row>
    <row r="15" spans="1:9" ht="30" customHeight="1">
      <c r="A15" s="294" t="s">
        <v>284</v>
      </c>
      <c r="B15" s="152"/>
      <c r="C15" s="549" t="s">
        <v>856</v>
      </c>
      <c r="D15" s="79"/>
      <c r="E15" s="79"/>
      <c r="F15" s="175">
        <f>'[7]2.mell. KIADÁS'!G142</f>
        <v>3280</v>
      </c>
      <c r="G15" s="151"/>
      <c r="H15" s="151"/>
      <c r="I15" s="151"/>
    </row>
    <row r="16" spans="1:9" ht="22.5" customHeight="1">
      <c r="A16" s="294" t="s">
        <v>285</v>
      </c>
      <c r="B16" s="152"/>
      <c r="C16" s="550" t="s">
        <v>857</v>
      </c>
      <c r="D16" s="79"/>
      <c r="E16" s="79"/>
      <c r="F16" s="175">
        <f>'[7]2.mell. KIADÁS'!G143</f>
        <v>113</v>
      </c>
      <c r="G16" s="151"/>
      <c r="H16" s="151"/>
      <c r="I16" s="151"/>
    </row>
    <row r="17" spans="1:9" ht="30.75" customHeight="1">
      <c r="A17" s="294" t="s">
        <v>286</v>
      </c>
      <c r="B17" s="152"/>
      <c r="C17" s="547" t="s">
        <v>858</v>
      </c>
      <c r="D17" s="79"/>
      <c r="E17" s="79"/>
      <c r="F17" s="175">
        <f>'[7]2.mell. KIADÁS'!G144</f>
        <v>403</v>
      </c>
      <c r="G17" s="151"/>
      <c r="H17" s="151"/>
      <c r="I17" s="151"/>
    </row>
    <row r="18" spans="1:9" ht="24" customHeight="1">
      <c r="A18" s="294" t="s">
        <v>287</v>
      </c>
      <c r="B18" s="152"/>
      <c r="C18" s="547" t="s">
        <v>859</v>
      </c>
      <c r="D18" s="79"/>
      <c r="E18" s="79"/>
      <c r="F18" s="175">
        <f>'[7]2.mell. KIADÁS'!G145</f>
        <v>596</v>
      </c>
      <c r="G18" s="151"/>
      <c r="H18" s="151"/>
      <c r="I18" s="151"/>
    </row>
    <row r="19" spans="1:9" ht="19.5" customHeight="1">
      <c r="A19" s="294" t="s">
        <v>288</v>
      </c>
      <c r="B19" s="152"/>
      <c r="C19" s="64" t="s">
        <v>877</v>
      </c>
      <c r="D19" s="55">
        <v>0</v>
      </c>
      <c r="E19" s="55">
        <v>0</v>
      </c>
      <c r="F19" s="79">
        <f>'[7]2.mell. KIADÁS'!G146</f>
        <v>1000</v>
      </c>
      <c r="G19" s="151"/>
      <c r="H19" s="151"/>
      <c r="I19" s="151"/>
    </row>
    <row r="20" spans="1:9" ht="19.5" customHeight="1">
      <c r="A20" s="294" t="s">
        <v>289</v>
      </c>
      <c r="B20" s="152"/>
      <c r="C20" s="58" t="s">
        <v>115</v>
      </c>
      <c r="D20" s="55">
        <v>5500</v>
      </c>
      <c r="E20" s="55">
        <v>5500</v>
      </c>
      <c r="F20" s="79">
        <f>'[7]2.mell. KIADÁS'!G147</f>
        <v>5500</v>
      </c>
      <c r="G20" s="151"/>
      <c r="H20" s="151"/>
      <c r="I20" s="151"/>
    </row>
    <row r="21" spans="1:9" ht="19.5" customHeight="1">
      <c r="A21" s="294" t="s">
        <v>290</v>
      </c>
      <c r="B21" s="152"/>
      <c r="C21" s="58" t="s">
        <v>878</v>
      </c>
      <c r="D21" s="55"/>
      <c r="E21" s="55"/>
      <c r="F21" s="79">
        <f>'[7]2.mell. KIADÁS'!G148</f>
        <v>5000</v>
      </c>
      <c r="G21" s="151"/>
      <c r="H21" s="151"/>
      <c r="I21" s="151"/>
    </row>
    <row r="22" spans="1:9" ht="19.5" customHeight="1">
      <c r="A22" s="294" t="s">
        <v>291</v>
      </c>
      <c r="B22" s="152"/>
      <c r="C22" s="81" t="s">
        <v>116</v>
      </c>
      <c r="D22" s="55">
        <v>4000</v>
      </c>
      <c r="E22" s="55">
        <v>4450</v>
      </c>
      <c r="F22" s="79">
        <f>'[7]2.mell. KIADÁS'!G149</f>
        <v>4000</v>
      </c>
      <c r="G22" s="151"/>
      <c r="H22" s="151"/>
      <c r="I22" s="151"/>
    </row>
    <row r="23" spans="1:9" ht="30.75" customHeight="1">
      <c r="A23" s="294" t="s">
        <v>292</v>
      </c>
      <c r="B23" s="152"/>
      <c r="C23" s="81" t="s">
        <v>861</v>
      </c>
      <c r="D23" s="55">
        <v>100</v>
      </c>
      <c r="E23" s="55">
        <v>150</v>
      </c>
      <c r="F23" s="79">
        <f>'[7]2.mell. KIADÁS'!G151</f>
        <v>150</v>
      </c>
      <c r="G23" s="151"/>
      <c r="H23" s="151"/>
      <c r="I23" s="151"/>
    </row>
    <row r="24" spans="1:9" ht="33.75" customHeight="1">
      <c r="A24" s="294" t="s">
        <v>293</v>
      </c>
      <c r="B24" s="152"/>
      <c r="C24" s="72" t="s">
        <v>128</v>
      </c>
      <c r="D24" s="55">
        <v>960</v>
      </c>
      <c r="E24" s="55">
        <v>960</v>
      </c>
      <c r="F24" s="79">
        <f>'[7]2.mell. KIADÁS'!G152</f>
        <v>960</v>
      </c>
      <c r="G24" s="151"/>
      <c r="H24" s="151"/>
      <c r="I24" s="151"/>
    </row>
    <row r="25" spans="1:9" ht="64.5" customHeight="1">
      <c r="A25" s="294" t="s">
        <v>294</v>
      </c>
      <c r="B25" s="319"/>
      <c r="C25" s="510" t="s">
        <v>864</v>
      </c>
      <c r="D25" s="577">
        <v>0</v>
      </c>
      <c r="E25" s="577">
        <v>0</v>
      </c>
      <c r="F25" s="367">
        <f>'[7]2.mell. KIADÁS'!G155</f>
        <v>25</v>
      </c>
      <c r="G25" s="151"/>
      <c r="H25" s="151"/>
      <c r="I25" s="151"/>
    </row>
    <row r="26" spans="1:6" ht="30.75" customHeight="1">
      <c r="A26" s="294" t="s">
        <v>296</v>
      </c>
      <c r="B26" s="527" t="s">
        <v>478</v>
      </c>
      <c r="C26" s="578" t="s">
        <v>491</v>
      </c>
      <c r="D26" s="579" t="e">
        <f>D7+D8+D9+D10+D14+D19+D20+D22+#REF!+#REF!+D23+D24+#REF!+#REF!+#REF!+#REF!+D25+D21</f>
        <v>#REF!</v>
      </c>
      <c r="E26" s="528" t="e">
        <f>E7+E8+E9+E10+E14+E19+E20+E22+#REF!+#REF!+E23+E24+#REF!+#REF!+#REF!+#REF!+E25+E21</f>
        <v>#REF!</v>
      </c>
      <c r="F26" s="528">
        <f>F7+F8+F10+F14+F19+F20+F21+F22+F23+F24+F25</f>
        <v>48223</v>
      </c>
    </row>
    <row r="27" spans="3:6" ht="15" customHeight="1">
      <c r="C27" s="30"/>
      <c r="D27" s="34"/>
      <c r="E27" s="34"/>
      <c r="F27" s="34"/>
    </row>
    <row r="28" spans="4:6" ht="15" customHeight="1">
      <c r="D28" s="34"/>
      <c r="E28" s="34"/>
      <c r="F28" s="34"/>
    </row>
    <row r="29" spans="3:6" ht="15" customHeight="1">
      <c r="C29" s="30"/>
      <c r="D29" s="34"/>
      <c r="E29" s="34"/>
      <c r="F29" s="34"/>
    </row>
    <row r="30" spans="4:6" ht="15" customHeight="1">
      <c r="D30" s="34"/>
      <c r="E30" s="34"/>
      <c r="F30" s="34"/>
    </row>
    <row r="31" ht="15" customHeight="1"/>
    <row r="32" ht="15" customHeight="1"/>
    <row r="33" spans="3:6" ht="15" customHeight="1">
      <c r="C33" s="31"/>
      <c r="D33" s="34"/>
      <c r="E33" s="34"/>
      <c r="F33" s="34"/>
    </row>
  </sheetData>
  <sheetProtection password="CD92" sheet="1"/>
  <mergeCells count="8">
    <mergeCell ref="F4:F5"/>
    <mergeCell ref="A1:F1"/>
    <mergeCell ref="A2:F2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Header>&amp;L6.melléklet&amp;X1&amp;R2/2019.(II.15.) ÖK rendelethez</oddHeader>
    <oddFooter>&amp;L&amp;X1&amp;XMód: 7/2019.(V.31.) ÖK rendelet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9.140625" defaultRowHeight="12.75"/>
  <cols>
    <col min="1" max="1" width="5.140625" style="295" customWidth="1"/>
    <col min="2" max="2" width="6.421875" style="4" customWidth="1"/>
    <col min="3" max="3" width="87.140625" style="4" customWidth="1"/>
    <col min="4" max="4" width="11.421875" style="4" hidden="1" customWidth="1"/>
    <col min="5" max="5" width="15.7109375" style="4" hidden="1" customWidth="1"/>
    <col min="6" max="6" width="17.57421875" style="4" customWidth="1"/>
    <col min="7" max="7" width="16.00390625" style="34" customWidth="1"/>
    <col min="8" max="8" width="17.8515625" style="34" customWidth="1"/>
    <col min="9" max="9" width="11.140625" style="34" customWidth="1"/>
    <col min="10" max="11" width="9.140625" style="34" customWidth="1"/>
    <col min="12" max="16384" width="9.140625" style="4" customWidth="1"/>
  </cols>
  <sheetData>
    <row r="1" spans="1:8" ht="15" customHeight="1">
      <c r="A1" s="800" t="s">
        <v>838</v>
      </c>
      <c r="B1" s="800"/>
      <c r="C1" s="800"/>
      <c r="D1" s="800"/>
      <c r="E1" s="800"/>
      <c r="F1" s="800"/>
      <c r="G1" s="800"/>
      <c r="H1" s="800"/>
    </row>
    <row r="2" spans="1:8" ht="15" customHeight="1">
      <c r="A2" s="881" t="s">
        <v>548</v>
      </c>
      <c r="B2" s="881"/>
      <c r="C2" s="881"/>
      <c r="D2" s="881"/>
      <c r="E2" s="881"/>
      <c r="F2" s="881"/>
      <c r="G2" s="881"/>
      <c r="H2" s="881"/>
    </row>
    <row r="3" spans="1:8" ht="15" customHeight="1">
      <c r="A3" s="791" t="s">
        <v>967</v>
      </c>
      <c r="B3" s="791"/>
      <c r="C3" s="791"/>
      <c r="D3" s="791"/>
      <c r="E3" s="791"/>
      <c r="F3" s="791"/>
      <c r="G3" s="791"/>
      <c r="H3" s="791"/>
    </row>
    <row r="4" spans="1:6" ht="15" customHeight="1">
      <c r="A4" s="292"/>
      <c r="B4" s="35"/>
      <c r="C4" s="67"/>
      <c r="D4" s="67"/>
      <c r="E4" s="62"/>
      <c r="F4" s="62" t="s">
        <v>523</v>
      </c>
    </row>
    <row r="5" spans="1:8" ht="30" customHeight="1">
      <c r="A5" s="885" t="s">
        <v>503</v>
      </c>
      <c r="B5" s="887" t="s">
        <v>502</v>
      </c>
      <c r="C5" s="889" t="s">
        <v>303</v>
      </c>
      <c r="D5" s="817" t="s">
        <v>664</v>
      </c>
      <c r="E5" s="819" t="s">
        <v>806</v>
      </c>
      <c r="F5" s="891" t="s">
        <v>966</v>
      </c>
      <c r="G5" s="780" t="s">
        <v>969</v>
      </c>
      <c r="H5" s="784" t="s">
        <v>970</v>
      </c>
    </row>
    <row r="6" spans="1:8" ht="20.25" customHeight="1">
      <c r="A6" s="886"/>
      <c r="B6" s="888"/>
      <c r="C6" s="890"/>
      <c r="D6" s="818"/>
      <c r="E6" s="820"/>
      <c r="F6" s="892"/>
      <c r="G6" s="781"/>
      <c r="H6" s="785"/>
    </row>
    <row r="7" spans="1:11" s="200" customFormat="1" ht="15" customHeight="1">
      <c r="A7" s="289" t="s">
        <v>270</v>
      </c>
      <c r="B7" s="289" t="s">
        <v>271</v>
      </c>
      <c r="C7" s="289" t="s">
        <v>452</v>
      </c>
      <c r="D7" s="289" t="s">
        <v>453</v>
      </c>
      <c r="E7" s="289" t="s">
        <v>454</v>
      </c>
      <c r="F7" s="289" t="s">
        <v>453</v>
      </c>
      <c r="G7" s="476" t="s">
        <v>454</v>
      </c>
      <c r="H7" s="476" t="s">
        <v>272</v>
      </c>
      <c r="I7" s="201"/>
      <c r="J7" s="201"/>
      <c r="K7" s="201"/>
    </row>
    <row r="8" spans="1:8" ht="30" customHeight="1">
      <c r="A8" s="294" t="s">
        <v>276</v>
      </c>
      <c r="B8" s="68"/>
      <c r="C8" s="74" t="s">
        <v>326</v>
      </c>
      <c r="D8" s="180">
        <f>SUM(D9:D11)</f>
        <v>1000</v>
      </c>
      <c r="E8" s="180">
        <f>SUM(E9:E11)</f>
        <v>1968</v>
      </c>
      <c r="F8" s="93">
        <f>SUM(F9:F11)</f>
        <v>1200</v>
      </c>
      <c r="G8" s="93">
        <f>SUM(G9:G10)</f>
        <v>0</v>
      </c>
      <c r="H8" s="93">
        <f>SUM(F8:G8)</f>
        <v>1200</v>
      </c>
    </row>
    <row r="9" spans="1:8" ht="19.5" customHeight="1">
      <c r="A9" s="294" t="s">
        <v>277</v>
      </c>
      <c r="B9" s="68"/>
      <c r="C9" s="302" t="s">
        <v>549</v>
      </c>
      <c r="D9" s="175">
        <v>1000</v>
      </c>
      <c r="E9" s="175">
        <f>'[7]2.mell. KIADÁS'!E164</f>
        <v>1368</v>
      </c>
      <c r="F9" s="175">
        <f>'[7]2.mell. KIADÁS'!G164</f>
        <v>630</v>
      </c>
      <c r="G9" s="313">
        <v>0</v>
      </c>
      <c r="H9" s="313">
        <f>SUM(F9:G9)</f>
        <v>630</v>
      </c>
    </row>
    <row r="10" spans="1:8" ht="19.5" customHeight="1">
      <c r="A10" s="294" t="s">
        <v>278</v>
      </c>
      <c r="B10" s="68"/>
      <c r="C10" s="302" t="s">
        <v>865</v>
      </c>
      <c r="D10" s="175">
        <v>0</v>
      </c>
      <c r="E10" s="175">
        <v>0</v>
      </c>
      <c r="F10" s="175">
        <f>'[7]2.mell. KIADÁS'!G165</f>
        <v>570</v>
      </c>
      <c r="G10" s="313">
        <v>0</v>
      </c>
      <c r="H10" s="313">
        <f>SUM(F10:G10)</f>
        <v>570</v>
      </c>
    </row>
    <row r="11" spans="1:8" ht="19.5" customHeight="1">
      <c r="A11" s="294" t="s">
        <v>279</v>
      </c>
      <c r="B11" s="68"/>
      <c r="C11" s="77"/>
      <c r="D11" s="175">
        <v>0</v>
      </c>
      <c r="E11" s="175">
        <v>600</v>
      </c>
      <c r="F11" s="176">
        <v>0</v>
      </c>
      <c r="G11" s="79"/>
      <c r="H11" s="79"/>
    </row>
    <row r="12" spans="1:8" ht="30.75" customHeight="1">
      <c r="A12" s="294" t="s">
        <v>280</v>
      </c>
      <c r="B12" s="68"/>
      <c r="C12" s="74" t="s">
        <v>321</v>
      </c>
      <c r="D12" s="55"/>
      <c r="E12" s="55"/>
      <c r="F12" s="93">
        <f>SUM(F13:F15)</f>
        <v>1000</v>
      </c>
      <c r="G12" s="93">
        <f>SUM(G13:G14)</f>
        <v>0</v>
      </c>
      <c r="H12" s="93">
        <f>SUM(H13:H14)</f>
        <v>1000</v>
      </c>
    </row>
    <row r="13" spans="1:8" ht="22.5" customHeight="1">
      <c r="A13" s="294" t="s">
        <v>281</v>
      </c>
      <c r="B13" s="68"/>
      <c r="C13" s="302" t="s">
        <v>550</v>
      </c>
      <c r="D13" s="180">
        <f>SUM(D14:D15)</f>
        <v>600</v>
      </c>
      <c r="E13" s="180">
        <f>'[7]2.mell. KIADÁS'!E167</f>
        <v>7130.45</v>
      </c>
      <c r="F13" s="175">
        <f>'[7]2.mell. KIADÁS'!G168</f>
        <v>555</v>
      </c>
      <c r="G13" s="313">
        <v>0</v>
      </c>
      <c r="H13" s="313">
        <f>SUM(F13:G13)</f>
        <v>555</v>
      </c>
    </row>
    <row r="14" spans="1:8" ht="18.75" customHeight="1">
      <c r="A14" s="294" t="s">
        <v>282</v>
      </c>
      <c r="B14" s="68"/>
      <c r="C14" s="302" t="s">
        <v>865</v>
      </c>
      <c r="D14" s="175">
        <v>600</v>
      </c>
      <c r="E14" s="175">
        <f>'[7]2.mell. KIADÁS'!E168</f>
        <v>2133</v>
      </c>
      <c r="F14" s="175">
        <f>'[7]2.mell. KIADÁS'!G169</f>
        <v>445</v>
      </c>
      <c r="G14" s="313">
        <v>0</v>
      </c>
      <c r="H14" s="313">
        <f>SUM(F14:G14)</f>
        <v>445</v>
      </c>
    </row>
    <row r="15" spans="1:8" ht="18.75" customHeight="1">
      <c r="A15" s="294" t="s">
        <v>283</v>
      </c>
      <c r="B15" s="68"/>
      <c r="C15" s="302"/>
      <c r="D15" s="175">
        <v>0</v>
      </c>
      <c r="E15" s="718">
        <f>'[7]2.mell. KIADÁS'!E169</f>
        <v>4997.45</v>
      </c>
      <c r="F15" s="602"/>
      <c r="G15" s="176"/>
      <c r="H15" s="176"/>
    </row>
    <row r="16" spans="1:8" ht="18.75" customHeight="1">
      <c r="A16" s="294" t="s">
        <v>284</v>
      </c>
      <c r="B16" s="68"/>
      <c r="C16" s="74" t="s">
        <v>177</v>
      </c>
      <c r="D16" s="603"/>
      <c r="E16" s="604"/>
      <c r="F16" s="93">
        <f>SUM(F17:F18)</f>
        <v>600</v>
      </c>
      <c r="G16" s="93">
        <f>SUM(G17:G18)</f>
        <v>0</v>
      </c>
      <c r="H16" s="93">
        <f>SUM(H17:H18)</f>
        <v>600</v>
      </c>
    </row>
    <row r="17" spans="1:8" ht="18.75" customHeight="1">
      <c r="A17" s="294" t="s">
        <v>285</v>
      </c>
      <c r="B17" s="68"/>
      <c r="C17" s="302" t="s">
        <v>551</v>
      </c>
      <c r="D17" s="605"/>
      <c r="E17" s="606"/>
      <c r="F17" s="175">
        <f>'[7]2.mell. KIADÁS'!G172</f>
        <v>338</v>
      </c>
      <c r="G17" s="313">
        <v>0</v>
      </c>
      <c r="H17" s="313">
        <f>SUM(F17:G17)</f>
        <v>338</v>
      </c>
    </row>
    <row r="18" spans="1:8" ht="18.75" customHeight="1">
      <c r="A18" s="294" t="s">
        <v>286</v>
      </c>
      <c r="B18" s="68"/>
      <c r="C18" s="302" t="s">
        <v>865</v>
      </c>
      <c r="D18" s="176"/>
      <c r="E18" s="175"/>
      <c r="F18" s="175">
        <f>'[7]2.mell. KIADÁS'!G173</f>
        <v>262</v>
      </c>
      <c r="G18" s="313">
        <v>0</v>
      </c>
      <c r="H18" s="313">
        <f>SUM(F18:G18)</f>
        <v>262</v>
      </c>
    </row>
    <row r="19" spans="1:8" ht="30.75" customHeight="1">
      <c r="A19" s="294" t="s">
        <v>287</v>
      </c>
      <c r="B19" s="68"/>
      <c r="C19" s="657" t="s">
        <v>990</v>
      </c>
      <c r="D19" s="180">
        <f>SUM(D20:D21)</f>
        <v>318</v>
      </c>
      <c r="E19" s="180">
        <f>'[7]2.mell. KIADÁS'!E171</f>
        <v>595</v>
      </c>
      <c r="F19" s="602"/>
      <c r="G19" s="658"/>
      <c r="H19" s="658"/>
    </row>
    <row r="20" spans="1:8" ht="19.5" customHeight="1">
      <c r="A20" s="294" t="s">
        <v>288</v>
      </c>
      <c r="B20" s="68"/>
      <c r="C20" s="657" t="s">
        <v>991</v>
      </c>
      <c r="D20" s="175">
        <v>318</v>
      </c>
      <c r="E20" s="175">
        <f>'[7]2.mell. KIADÁS'!E172</f>
        <v>595</v>
      </c>
      <c r="F20" s="602"/>
      <c r="G20" s="658"/>
      <c r="H20" s="658"/>
    </row>
    <row r="21" spans="1:8" ht="19.5" customHeight="1">
      <c r="A21" s="294" t="s">
        <v>289</v>
      </c>
      <c r="B21" s="68"/>
      <c r="C21" s="554"/>
      <c r="D21" s="175">
        <v>0</v>
      </c>
      <c r="E21" s="175">
        <f>'[7]2.mell. KIADÁS'!E173</f>
        <v>0</v>
      </c>
      <c r="F21" s="79"/>
      <c r="G21" s="79"/>
      <c r="H21" s="79"/>
    </row>
    <row r="22" spans="1:8" ht="22.5" customHeight="1">
      <c r="A22" s="294" t="s">
        <v>290</v>
      </c>
      <c r="B22" s="68"/>
      <c r="C22" s="74" t="s">
        <v>345</v>
      </c>
      <c r="D22" s="603"/>
      <c r="E22" s="604"/>
      <c r="F22" s="103">
        <f>SUM(F23:F25)</f>
        <v>3556</v>
      </c>
      <c r="G22" s="103">
        <f>SUM(G23:G24)</f>
        <v>0</v>
      </c>
      <c r="H22" s="103">
        <f>SUM(H23:H24)</f>
        <v>3556</v>
      </c>
    </row>
    <row r="23" spans="1:8" ht="19.5" customHeight="1">
      <c r="A23" s="294" t="s">
        <v>291</v>
      </c>
      <c r="B23" s="68"/>
      <c r="C23" s="302" t="s">
        <v>561</v>
      </c>
      <c r="D23" s="605"/>
      <c r="E23" s="606"/>
      <c r="F23" s="175">
        <f>'[7]2.mell. KIADÁS'!G178</f>
        <v>3175</v>
      </c>
      <c r="G23" s="313">
        <v>0</v>
      </c>
      <c r="H23" s="313">
        <f>SUM(F23:G23)</f>
        <v>3175</v>
      </c>
    </row>
    <row r="24" spans="1:8" ht="18.75" customHeight="1">
      <c r="A24" s="294" t="s">
        <v>292</v>
      </c>
      <c r="B24" s="68"/>
      <c r="C24" s="302" t="s">
        <v>866</v>
      </c>
      <c r="D24" s="79"/>
      <c r="E24" s="55"/>
      <c r="F24" s="175">
        <f>'[7]2.mell. KIADÁS'!G179</f>
        <v>381</v>
      </c>
      <c r="G24" s="313">
        <v>0</v>
      </c>
      <c r="H24" s="313">
        <f>SUM(F24:G24)</f>
        <v>381</v>
      </c>
    </row>
    <row r="25" spans="1:8" ht="24" customHeight="1">
      <c r="A25" s="294" t="s">
        <v>293</v>
      </c>
      <c r="B25" s="68"/>
      <c r="C25" s="77"/>
      <c r="D25" s="153">
        <f>SUM(D26:D28)</f>
        <v>3048</v>
      </c>
      <c r="E25" s="153">
        <f>'[7]2.mell. KIADÁS'!E177</f>
        <v>3399.7200000000003</v>
      </c>
      <c r="F25" s="176">
        <v>0</v>
      </c>
      <c r="G25" s="79"/>
      <c r="H25" s="79"/>
    </row>
    <row r="26" spans="1:8" ht="18.75" customHeight="1">
      <c r="A26" s="294" t="s">
        <v>294</v>
      </c>
      <c r="B26" s="68"/>
      <c r="C26" s="74" t="s">
        <v>295</v>
      </c>
      <c r="D26" s="175">
        <v>3048</v>
      </c>
      <c r="E26" s="175">
        <f>'[7]2.mell. KIADÁS'!E178</f>
        <v>3093.7200000000003</v>
      </c>
      <c r="F26" s="103">
        <f>SUM(F27:F38)</f>
        <v>74800</v>
      </c>
      <c r="G26" s="103">
        <f>SUM(G27:G38)</f>
        <v>1299153</v>
      </c>
      <c r="H26" s="103">
        <f>SUM(H27:H38)</f>
        <v>1373953</v>
      </c>
    </row>
    <row r="27" spans="1:8" ht="18.75" customHeight="1">
      <c r="A27" s="294" t="s">
        <v>296</v>
      </c>
      <c r="B27" s="68"/>
      <c r="C27" s="302" t="s">
        <v>129</v>
      </c>
      <c r="D27" s="175"/>
      <c r="E27" s="175">
        <f>'[7]2.mell. KIADÁS'!E179</f>
        <v>306</v>
      </c>
      <c r="F27" s="536">
        <f>'[7]2.mell. KIADÁS'!G182</f>
        <v>200</v>
      </c>
      <c r="G27" s="313">
        <v>0</v>
      </c>
      <c r="H27" s="313">
        <f aca="true" t="shared" si="0" ref="H27:H38">SUM(F27:G27)</f>
        <v>200</v>
      </c>
    </row>
    <row r="28" spans="1:8" ht="18.75" customHeight="1">
      <c r="A28" s="294" t="s">
        <v>297</v>
      </c>
      <c r="B28" s="68"/>
      <c r="C28" s="302" t="s">
        <v>867</v>
      </c>
      <c r="D28" s="175"/>
      <c r="E28" s="175" t="e">
        <f>'[7]2.mell. KIADÁS'!#REF!</f>
        <v>#REF!</v>
      </c>
      <c r="F28" s="536">
        <f>'[7]2.mell. KIADÁS'!G183</f>
        <v>200</v>
      </c>
      <c r="G28" s="313">
        <v>0</v>
      </c>
      <c r="H28" s="313">
        <f t="shared" si="0"/>
        <v>200</v>
      </c>
    </row>
    <row r="29" spans="1:8" ht="15">
      <c r="A29" s="294" t="s">
        <v>298</v>
      </c>
      <c r="B29" s="68"/>
      <c r="C29" s="302" t="s">
        <v>868</v>
      </c>
      <c r="D29" s="55"/>
      <c r="E29" s="55"/>
      <c r="F29" s="536">
        <f>'[7]2.mell. KIADÁS'!G184</f>
        <v>3000</v>
      </c>
      <c r="G29" s="313">
        <v>0</v>
      </c>
      <c r="H29" s="313">
        <f t="shared" si="0"/>
        <v>3000</v>
      </c>
    </row>
    <row r="30" spans="1:8" ht="30.75" customHeight="1">
      <c r="A30" s="294" t="s">
        <v>299</v>
      </c>
      <c r="B30" s="70"/>
      <c r="C30" s="302" t="s">
        <v>592</v>
      </c>
      <c r="D30" s="153">
        <f>SUM(D31:D38)</f>
        <v>2400</v>
      </c>
      <c r="E30" s="153" t="e">
        <f>SUM(E31:E38)</f>
        <v>#REF!</v>
      </c>
      <c r="F30" s="536">
        <f>'[7]2.mell. KIADÁS'!G185</f>
        <v>200</v>
      </c>
      <c r="G30" s="659">
        <v>0</v>
      </c>
      <c r="H30" s="313">
        <f t="shared" si="0"/>
        <v>200</v>
      </c>
    </row>
    <row r="31" spans="1:11" ht="39" customHeight="1">
      <c r="A31" s="294" t="s">
        <v>300</v>
      </c>
      <c r="B31" s="70"/>
      <c r="C31" s="302" t="s">
        <v>869</v>
      </c>
      <c r="D31" s="535">
        <f>'[7]2.mell. KIADÁS'!D182</f>
        <v>200</v>
      </c>
      <c r="E31" s="535">
        <f>'[7]2.mell. KIADÁS'!E182</f>
        <v>200</v>
      </c>
      <c r="F31" s="536">
        <f>'[7]2.mell. KIADÁS'!G186</f>
        <v>200</v>
      </c>
      <c r="G31" s="659">
        <v>0</v>
      </c>
      <c r="H31" s="313">
        <f t="shared" si="0"/>
        <v>200</v>
      </c>
      <c r="K31" s="4"/>
    </row>
    <row r="32" spans="1:11" s="723" customFormat="1" ht="34.5" customHeight="1">
      <c r="A32" s="719" t="s">
        <v>301</v>
      </c>
      <c r="B32" s="720"/>
      <c r="C32" s="660" t="s">
        <v>992</v>
      </c>
      <c r="D32" s="661"/>
      <c r="E32" s="661">
        <f>'[7]2.mell. KIADÁS'!E183</f>
        <v>0</v>
      </c>
      <c r="F32" s="662">
        <v>0</v>
      </c>
      <c r="G32" s="659">
        <v>947369</v>
      </c>
      <c r="H32" s="659">
        <f t="shared" si="0"/>
        <v>947369</v>
      </c>
      <c r="I32" s="721"/>
      <c r="J32" s="721"/>
      <c r="K32" s="722"/>
    </row>
    <row r="33" spans="1:11" s="723" customFormat="1" ht="24.75" customHeight="1">
      <c r="A33" s="719" t="s">
        <v>440</v>
      </c>
      <c r="B33" s="720"/>
      <c r="C33" s="663" t="s">
        <v>131</v>
      </c>
      <c r="D33" s="661">
        <v>2000</v>
      </c>
      <c r="E33" s="661">
        <f>'[7]2.mell. KIADÁS'!E184</f>
        <v>9805</v>
      </c>
      <c r="F33" s="662">
        <f>'[7]2.mell. KIADÁS'!G187</f>
        <v>0</v>
      </c>
      <c r="G33" s="659">
        <v>205168</v>
      </c>
      <c r="H33" s="659">
        <f t="shared" si="0"/>
        <v>205168</v>
      </c>
      <c r="I33" s="721"/>
      <c r="J33" s="721"/>
      <c r="K33" s="722"/>
    </row>
    <row r="34" spans="1:11" s="723" customFormat="1" ht="36.75" customHeight="1">
      <c r="A34" s="719" t="s">
        <v>441</v>
      </c>
      <c r="B34" s="720"/>
      <c r="C34" s="663" t="s">
        <v>132</v>
      </c>
      <c r="D34" s="661">
        <v>200</v>
      </c>
      <c r="E34" s="661">
        <f>'[7]2.mell. KIADÁS'!E185</f>
        <v>200</v>
      </c>
      <c r="F34" s="662">
        <v>0</v>
      </c>
      <c r="G34" s="659">
        <v>128724</v>
      </c>
      <c r="H34" s="659">
        <f t="shared" si="0"/>
        <v>128724</v>
      </c>
      <c r="I34" s="721"/>
      <c r="J34" s="721"/>
      <c r="K34" s="722"/>
    </row>
    <row r="35" spans="1:11" s="723" customFormat="1" ht="50.25" customHeight="1">
      <c r="A35" s="719" t="s">
        <v>442</v>
      </c>
      <c r="B35" s="720"/>
      <c r="C35" s="664" t="s">
        <v>993</v>
      </c>
      <c r="D35" s="661">
        <v>0</v>
      </c>
      <c r="E35" s="661">
        <f>'[7]2.mell. KIADÁS'!E186</f>
        <v>0</v>
      </c>
      <c r="F35" s="662"/>
      <c r="G35" s="659">
        <v>17892</v>
      </c>
      <c r="H35" s="659">
        <f t="shared" si="0"/>
        <v>17892</v>
      </c>
      <c r="I35" s="721"/>
      <c r="J35" s="721"/>
      <c r="K35" s="722"/>
    </row>
    <row r="36" spans="1:11" ht="18.75" customHeight="1">
      <c r="A36" s="294" t="s">
        <v>483</v>
      </c>
      <c r="B36" s="70"/>
      <c r="C36" s="557" t="s">
        <v>994</v>
      </c>
      <c r="D36" s="535">
        <v>0</v>
      </c>
      <c r="E36" s="535" t="e">
        <f>'[7]2.mell. KIADÁS'!#REF!</f>
        <v>#REF!</v>
      </c>
      <c r="F36" s="536"/>
      <c r="G36" s="313">
        <v>0</v>
      </c>
      <c r="H36" s="313">
        <f t="shared" si="0"/>
        <v>0</v>
      </c>
      <c r="K36" s="4"/>
    </row>
    <row r="37" spans="1:11" ht="23.25" customHeight="1">
      <c r="A37" s="294" t="s">
        <v>443</v>
      </c>
      <c r="B37" s="70"/>
      <c r="C37" s="545" t="s">
        <v>870</v>
      </c>
      <c r="D37" s="535">
        <v>0</v>
      </c>
      <c r="E37" s="535">
        <f>'[7]2.mell. KIADÁS'!E187</f>
        <v>1567772</v>
      </c>
      <c r="F37" s="536">
        <v>31000</v>
      </c>
      <c r="G37" s="313">
        <v>0</v>
      </c>
      <c r="H37" s="313">
        <f t="shared" si="0"/>
        <v>31000</v>
      </c>
      <c r="K37" s="4"/>
    </row>
    <row r="38" spans="1:11" ht="32.25" customHeight="1">
      <c r="A38" s="294" t="s">
        <v>444</v>
      </c>
      <c r="B38" s="70"/>
      <c r="C38" s="557" t="s">
        <v>871</v>
      </c>
      <c r="D38" s="535">
        <v>0</v>
      </c>
      <c r="E38" s="535" t="e">
        <f>'[7]2.mell. KIADÁS'!#REF!</f>
        <v>#REF!</v>
      </c>
      <c r="F38" s="536">
        <v>40000</v>
      </c>
      <c r="G38" s="313">
        <v>0</v>
      </c>
      <c r="H38" s="313">
        <f t="shared" si="0"/>
        <v>40000</v>
      </c>
      <c r="K38" s="4"/>
    </row>
    <row r="39" spans="1:9" s="3" customFormat="1" ht="30.75" customHeight="1">
      <c r="A39" s="294" t="s">
        <v>445</v>
      </c>
      <c r="B39" s="559" t="s">
        <v>490</v>
      </c>
      <c r="C39" s="564" t="s">
        <v>402</v>
      </c>
      <c r="D39" s="562">
        <f>D8+D13+D19+D25+D30</f>
        <v>7366</v>
      </c>
      <c r="E39" s="562" t="e">
        <f>E8+E13+E19+E25+E30</f>
        <v>#REF!</v>
      </c>
      <c r="F39" s="560">
        <f>F8+F12+F16+F22+F26</f>
        <v>81156</v>
      </c>
      <c r="G39" s="560">
        <f>G8+G12+G16+G22+G26</f>
        <v>1299153</v>
      </c>
      <c r="H39" s="560">
        <f>H8+H12+H16+H22+H26</f>
        <v>1380309</v>
      </c>
      <c r="I39" s="45"/>
    </row>
    <row r="40" spans="1:8" ht="23.25" customHeight="1">
      <c r="A40" s="790" t="s">
        <v>838</v>
      </c>
      <c r="B40" s="790"/>
      <c r="C40" s="790"/>
      <c r="D40" s="790"/>
      <c r="E40" s="790"/>
      <c r="F40" s="790"/>
      <c r="G40" s="790"/>
      <c r="H40" s="790"/>
    </row>
    <row r="41" spans="1:8" ht="18.75" customHeight="1">
      <c r="A41" s="881" t="s">
        <v>548</v>
      </c>
      <c r="B41" s="881"/>
      <c r="C41" s="881"/>
      <c r="D41" s="881"/>
      <c r="E41" s="881"/>
      <c r="F41" s="881"/>
      <c r="G41" s="881"/>
      <c r="H41" s="881"/>
    </row>
    <row r="42" spans="1:8" ht="18" customHeight="1">
      <c r="A42" s="791" t="s">
        <v>968</v>
      </c>
      <c r="B42" s="791"/>
      <c r="C42" s="791"/>
      <c r="D42" s="791"/>
      <c r="E42" s="791"/>
      <c r="F42" s="791"/>
      <c r="G42" s="791"/>
      <c r="H42" s="791"/>
    </row>
    <row r="43" spans="1:8" ht="15" customHeight="1">
      <c r="A43" s="292"/>
      <c r="B43" s="35"/>
      <c r="C43" s="67"/>
      <c r="D43" s="67"/>
      <c r="E43" s="62"/>
      <c r="F43" s="62"/>
      <c r="G43" s="62"/>
      <c r="H43" s="62" t="s">
        <v>523</v>
      </c>
    </row>
    <row r="44" spans="1:8" ht="30" customHeight="1">
      <c r="A44" s="885" t="s">
        <v>503</v>
      </c>
      <c r="B44" s="887" t="s">
        <v>502</v>
      </c>
      <c r="C44" s="889" t="s">
        <v>303</v>
      </c>
      <c r="D44" s="817" t="s">
        <v>664</v>
      </c>
      <c r="E44" s="819" t="s">
        <v>806</v>
      </c>
      <c r="F44" s="891" t="s">
        <v>966</v>
      </c>
      <c r="G44" s="780" t="s">
        <v>969</v>
      </c>
      <c r="H44" s="784" t="s">
        <v>970</v>
      </c>
    </row>
    <row r="45" spans="1:8" ht="20.25" customHeight="1">
      <c r="A45" s="886"/>
      <c r="B45" s="888"/>
      <c r="C45" s="890"/>
      <c r="D45" s="818"/>
      <c r="E45" s="820"/>
      <c r="F45" s="892"/>
      <c r="G45" s="781"/>
      <c r="H45" s="785"/>
    </row>
    <row r="46" spans="1:11" s="200" customFormat="1" ht="15" customHeight="1">
      <c r="A46" s="289" t="s">
        <v>270</v>
      </c>
      <c r="B46" s="289" t="s">
        <v>271</v>
      </c>
      <c r="C46" s="289" t="s">
        <v>452</v>
      </c>
      <c r="D46" s="289" t="s">
        <v>453</v>
      </c>
      <c r="E46" s="289" t="s">
        <v>454</v>
      </c>
      <c r="F46" s="289" t="s">
        <v>453</v>
      </c>
      <c r="G46" s="291" t="s">
        <v>454</v>
      </c>
      <c r="H46" s="291" t="s">
        <v>272</v>
      </c>
      <c r="I46" s="201"/>
      <c r="J46" s="201"/>
      <c r="K46" s="201"/>
    </row>
    <row r="47" spans="1:7" s="3" customFormat="1" ht="15" customHeight="1">
      <c r="A47" s="294" t="s">
        <v>446</v>
      </c>
      <c r="B47" s="364"/>
      <c r="C47" s="366"/>
      <c r="D47" s="365"/>
      <c r="E47" s="353"/>
      <c r="F47" s="353"/>
      <c r="G47" s="53"/>
    </row>
    <row r="48" spans="1:8" ht="26.25" customHeight="1">
      <c r="A48" s="294" t="s">
        <v>447</v>
      </c>
      <c r="B48" s="97"/>
      <c r="C48" s="74" t="s">
        <v>326</v>
      </c>
      <c r="D48" s="153">
        <v>0</v>
      </c>
      <c r="E48" s="153">
        <v>0</v>
      </c>
      <c r="F48" s="103">
        <v>0</v>
      </c>
      <c r="G48" s="103">
        <v>0</v>
      </c>
      <c r="H48" s="103">
        <v>0</v>
      </c>
    </row>
    <row r="49" spans="1:8" ht="18.75" customHeight="1">
      <c r="A49" s="294" t="s">
        <v>484</v>
      </c>
      <c r="B49" s="97"/>
      <c r="C49" s="302"/>
      <c r="D49" s="55">
        <v>0</v>
      </c>
      <c r="E49" s="55">
        <v>0</v>
      </c>
      <c r="F49" s="313"/>
      <c r="G49" s="313"/>
      <c r="H49" s="313"/>
    </row>
    <row r="50" spans="1:8" ht="18.75" customHeight="1">
      <c r="A50" s="294" t="s">
        <v>448</v>
      </c>
      <c r="B50" s="97"/>
      <c r="C50" s="302"/>
      <c r="D50" s="55"/>
      <c r="E50" s="55"/>
      <c r="F50" s="79"/>
      <c r="G50" s="79"/>
      <c r="H50" s="79"/>
    </row>
    <row r="51" spans="1:8" ht="27" customHeight="1">
      <c r="A51" s="294" t="s">
        <v>449</v>
      </c>
      <c r="B51" s="97"/>
      <c r="C51" s="74" t="s">
        <v>321</v>
      </c>
      <c r="D51" s="153">
        <f>D52</f>
        <v>0</v>
      </c>
      <c r="E51" s="153">
        <f>E52</f>
        <v>100</v>
      </c>
      <c r="F51" s="103">
        <f>F52</f>
        <v>0</v>
      </c>
      <c r="G51" s="103">
        <v>0</v>
      </c>
      <c r="H51" s="103">
        <v>0</v>
      </c>
    </row>
    <row r="52" spans="1:8" ht="22.5" customHeight="1">
      <c r="A52" s="294" t="s">
        <v>450</v>
      </c>
      <c r="B52" s="97"/>
      <c r="C52" s="73"/>
      <c r="D52" s="55">
        <v>0</v>
      </c>
      <c r="E52" s="55">
        <v>100</v>
      </c>
      <c r="F52" s="79"/>
      <c r="G52" s="79"/>
      <c r="H52" s="79"/>
    </row>
    <row r="53" spans="1:8" ht="18.75" customHeight="1">
      <c r="A53" s="294" t="s">
        <v>451</v>
      </c>
      <c r="B53" s="97"/>
      <c r="C53" s="74" t="s">
        <v>177</v>
      </c>
      <c r="D53" s="55"/>
      <c r="E53" s="55"/>
      <c r="F53" s="103">
        <v>0</v>
      </c>
      <c r="G53" s="103">
        <v>0</v>
      </c>
      <c r="H53" s="103">
        <v>0</v>
      </c>
    </row>
    <row r="54" spans="1:8" ht="18.75" customHeight="1">
      <c r="A54" s="294" t="s">
        <v>485</v>
      </c>
      <c r="B54" s="97"/>
      <c r="C54" s="302"/>
      <c r="D54" s="153">
        <f>D55</f>
        <v>0</v>
      </c>
      <c r="E54" s="153">
        <f>E55</f>
        <v>2032</v>
      </c>
      <c r="F54" s="79"/>
      <c r="G54" s="79"/>
      <c r="H54" s="79"/>
    </row>
    <row r="55" spans="1:8" ht="22.5" customHeight="1">
      <c r="A55" s="294" t="s">
        <v>459</v>
      </c>
      <c r="B55" s="97"/>
      <c r="C55" s="74" t="s">
        <v>295</v>
      </c>
      <c r="D55" s="55">
        <v>0</v>
      </c>
      <c r="E55" s="55">
        <v>2032</v>
      </c>
      <c r="F55" s="103">
        <f>SUM(F56:F61)</f>
        <v>32516</v>
      </c>
      <c r="G55" s="103">
        <f>SUM(G56:G61)</f>
        <v>170597</v>
      </c>
      <c r="H55" s="103">
        <f>SUM(H56:H61)</f>
        <v>203113</v>
      </c>
    </row>
    <row r="56" spans="1:8" ht="18.75" customHeight="1">
      <c r="A56" s="294" t="s">
        <v>460</v>
      </c>
      <c r="B56" s="97"/>
      <c r="C56" s="665" t="s">
        <v>133</v>
      </c>
      <c r="D56" s="55"/>
      <c r="E56" s="55"/>
      <c r="F56" s="313">
        <v>3000</v>
      </c>
      <c r="G56" s="313">
        <v>0</v>
      </c>
      <c r="H56" s="313">
        <f aca="true" t="shared" si="1" ref="H56:H61">SUM(F56:G56)</f>
        <v>3000</v>
      </c>
    </row>
    <row r="57" spans="1:11" ht="30" customHeight="1">
      <c r="A57" s="294" t="s">
        <v>461</v>
      </c>
      <c r="B57" s="97"/>
      <c r="C57" s="555" t="s">
        <v>263</v>
      </c>
      <c r="D57" s="153">
        <f>SUM(D58:D61)</f>
        <v>26900</v>
      </c>
      <c r="E57" s="153">
        <f>SUM(E58:E61)</f>
        <v>31802</v>
      </c>
      <c r="F57" s="313">
        <v>28516</v>
      </c>
      <c r="G57" s="313">
        <v>0</v>
      </c>
      <c r="H57" s="313">
        <f t="shared" si="1"/>
        <v>28516</v>
      </c>
      <c r="I57" s="206"/>
      <c r="J57" s="206"/>
      <c r="K57" s="206"/>
    </row>
    <row r="58" spans="1:11" ht="19.5" customHeight="1">
      <c r="A58" s="294" t="s">
        <v>462</v>
      </c>
      <c r="B58" s="301"/>
      <c r="C58" s="557" t="s">
        <v>591</v>
      </c>
      <c r="D58" s="535">
        <v>3000</v>
      </c>
      <c r="E58" s="535">
        <v>3000</v>
      </c>
      <c r="F58" s="313">
        <v>1000</v>
      </c>
      <c r="G58" s="313">
        <v>0</v>
      </c>
      <c r="H58" s="313">
        <f t="shared" si="1"/>
        <v>1000</v>
      </c>
      <c r="K58" s="4"/>
    </row>
    <row r="59" spans="1:11" ht="34.5" customHeight="1">
      <c r="A59" s="294" t="s">
        <v>463</v>
      </c>
      <c r="B59" s="97"/>
      <c r="C59" s="667" t="s">
        <v>130</v>
      </c>
      <c r="D59" s="535">
        <v>22900</v>
      </c>
      <c r="E59" s="556">
        <v>27802</v>
      </c>
      <c r="F59" s="313">
        <v>0</v>
      </c>
      <c r="G59" s="313">
        <v>22058</v>
      </c>
      <c r="H59" s="313">
        <f t="shared" si="1"/>
        <v>22058</v>
      </c>
      <c r="K59" s="4"/>
    </row>
    <row r="60" spans="1:11" ht="33.75" customHeight="1">
      <c r="A60" s="294" t="s">
        <v>494</v>
      </c>
      <c r="B60" s="97"/>
      <c r="C60" s="555" t="s">
        <v>134</v>
      </c>
      <c r="D60" s="535">
        <v>1000</v>
      </c>
      <c r="E60" s="556">
        <v>1000</v>
      </c>
      <c r="F60" s="313">
        <v>0</v>
      </c>
      <c r="G60" s="313">
        <v>31666</v>
      </c>
      <c r="H60" s="313">
        <f t="shared" si="1"/>
        <v>31666</v>
      </c>
      <c r="K60" s="4"/>
    </row>
    <row r="61" spans="1:11" ht="36.75" customHeight="1">
      <c r="A61" s="294" t="s">
        <v>495</v>
      </c>
      <c r="B61" s="97"/>
      <c r="C61" s="302" t="s">
        <v>746</v>
      </c>
      <c r="D61" s="535">
        <v>0</v>
      </c>
      <c r="E61" s="556">
        <v>0</v>
      </c>
      <c r="F61" s="313">
        <v>0</v>
      </c>
      <c r="G61" s="313">
        <v>116873</v>
      </c>
      <c r="H61" s="313">
        <f t="shared" si="1"/>
        <v>116873</v>
      </c>
      <c r="K61" s="4"/>
    </row>
    <row r="62" spans="1:8" s="1" customFormat="1" ht="29.25" customHeight="1">
      <c r="A62" s="294" t="s">
        <v>496</v>
      </c>
      <c r="B62" s="559" t="s">
        <v>492</v>
      </c>
      <c r="C62" s="564" t="s">
        <v>403</v>
      </c>
      <c r="D62" s="562">
        <f>D48+D51+D54+D57</f>
        <v>26900</v>
      </c>
      <c r="E62" s="562">
        <f>E48+E51+E54+E57</f>
        <v>33934</v>
      </c>
      <c r="F62" s="560">
        <f>F48+F51+F53+F55</f>
        <v>32516</v>
      </c>
      <c r="G62" s="560">
        <f>G48+G51+G53+G55</f>
        <v>170597</v>
      </c>
      <c r="H62" s="560">
        <f>H48+H51+H53+H55</f>
        <v>203113</v>
      </c>
    </row>
    <row r="63" spans="1:12" ht="36" customHeight="1">
      <c r="A63" s="294" t="s">
        <v>497</v>
      </c>
      <c r="B63" s="97"/>
      <c r="C63" s="74" t="s">
        <v>345</v>
      </c>
      <c r="D63" s="153">
        <f>D64</f>
        <v>1000</v>
      </c>
      <c r="E63" s="153">
        <f>E64</f>
        <v>1000</v>
      </c>
      <c r="F63" s="103">
        <f>F64</f>
        <v>1200</v>
      </c>
      <c r="G63" s="103">
        <f>G64</f>
        <v>0</v>
      </c>
      <c r="H63" s="103">
        <f>H64</f>
        <v>1200</v>
      </c>
      <c r="L63" s="34"/>
    </row>
    <row r="64" spans="1:12" ht="22.5" customHeight="1">
      <c r="A64" s="294" t="s">
        <v>498</v>
      </c>
      <c r="B64" s="97"/>
      <c r="C64" s="302" t="s">
        <v>873</v>
      </c>
      <c r="D64" s="175">
        <f>'[7]2.mell. KIADÁS'!D217</f>
        <v>1000</v>
      </c>
      <c r="E64" s="175">
        <f>'[7]2.mell. KIADÁS'!E217</f>
        <v>1000</v>
      </c>
      <c r="F64" s="176">
        <f>'[7]2.mell. KIADÁS'!G217</f>
        <v>1200</v>
      </c>
      <c r="G64" s="176">
        <v>0</v>
      </c>
      <c r="H64" s="63">
        <v>1200</v>
      </c>
      <c r="L64" s="34"/>
    </row>
    <row r="65" spans="1:12" ht="16.5" customHeight="1">
      <c r="A65" s="294" t="s">
        <v>199</v>
      </c>
      <c r="B65" s="97"/>
      <c r="C65" s="77"/>
      <c r="D65" s="55"/>
      <c r="E65" s="55"/>
      <c r="F65" s="53"/>
      <c r="G65" s="79"/>
      <c r="H65" s="63"/>
      <c r="L65" s="34"/>
    </row>
    <row r="66" spans="1:12" ht="30" customHeight="1">
      <c r="A66" s="294" t="s">
        <v>189</v>
      </c>
      <c r="B66" s="97"/>
      <c r="C66" s="74" t="s">
        <v>295</v>
      </c>
      <c r="D66" s="153">
        <f>SUM(D67:D67)</f>
        <v>2500</v>
      </c>
      <c r="E66" s="153">
        <f>SUM(E67:E67)</f>
        <v>116</v>
      </c>
      <c r="F66" s="103">
        <f>SUM(F67:F67)</f>
        <v>161</v>
      </c>
      <c r="G66" s="103">
        <f>SUM(G67:G67)</f>
        <v>0</v>
      </c>
      <c r="H66" s="103">
        <f>SUM(H67:H67)</f>
        <v>161</v>
      </c>
      <c r="L66" s="34"/>
    </row>
    <row r="67" spans="1:8" ht="31.5" customHeight="1">
      <c r="A67" s="294" t="s">
        <v>190</v>
      </c>
      <c r="B67" s="97"/>
      <c r="C67" s="558" t="s">
        <v>874</v>
      </c>
      <c r="D67" s="175">
        <f>'[8]ÖK - KIADÁSOK'!E67</f>
        <v>2500</v>
      </c>
      <c r="E67" s="175">
        <f>'[7]2.mell. KIADÁS'!E220</f>
        <v>116</v>
      </c>
      <c r="F67" s="176">
        <f>'[7]2.mell. KIADÁS'!G220</f>
        <v>161</v>
      </c>
      <c r="G67" s="176">
        <v>0</v>
      </c>
      <c r="H67" s="313">
        <v>161</v>
      </c>
    </row>
    <row r="68" spans="1:8" s="3" customFormat="1" ht="33.75" customHeight="1">
      <c r="A68" s="294" t="s">
        <v>191</v>
      </c>
      <c r="B68" s="559" t="s">
        <v>479</v>
      </c>
      <c r="C68" s="566" t="s">
        <v>480</v>
      </c>
      <c r="D68" s="562">
        <v>2214</v>
      </c>
      <c r="E68" s="560">
        <f>E66+E63</f>
        <v>1116</v>
      </c>
      <c r="F68" s="560">
        <f>F66+F63</f>
        <v>1361</v>
      </c>
      <c r="G68" s="560">
        <f>G66+G63</f>
        <v>0</v>
      </c>
      <c r="H68" s="560">
        <f>H66+H63</f>
        <v>1361</v>
      </c>
    </row>
    <row r="69" spans="1:6" s="206" customFormat="1" ht="37.5" customHeight="1">
      <c r="A69" s="295"/>
      <c r="C69" s="336"/>
      <c r="D69" s="26"/>
      <c r="E69" s="7"/>
      <c r="F69" s="7"/>
    </row>
    <row r="70" spans="1:6" s="206" customFormat="1" ht="37.5" customHeight="1">
      <c r="A70" s="295"/>
      <c r="C70" s="336"/>
      <c r="D70" s="26"/>
      <c r="E70" s="7"/>
      <c r="F70" s="7"/>
    </row>
    <row r="71" spans="1:6" s="206" customFormat="1" ht="37.5" customHeight="1">
      <c r="A71" s="295"/>
      <c r="C71" s="336"/>
      <c r="D71" s="26"/>
      <c r="E71" s="7"/>
      <c r="F71" s="7"/>
    </row>
    <row r="72" spans="1:6" s="206" customFormat="1" ht="37.5" customHeight="1">
      <c r="A72" s="295"/>
      <c r="C72" s="336"/>
      <c r="D72" s="26"/>
      <c r="E72" s="7"/>
      <c r="F72" s="7"/>
    </row>
    <row r="73" spans="1:6" s="206" customFormat="1" ht="37.5" customHeight="1">
      <c r="A73" s="295"/>
      <c r="C73" s="336"/>
      <c r="D73" s="26"/>
      <c r="E73" s="7"/>
      <c r="F73" s="7"/>
    </row>
    <row r="74" spans="1:6" s="206" customFormat="1" ht="37.5" customHeight="1">
      <c r="A74" s="295"/>
      <c r="C74" s="336"/>
      <c r="D74" s="26"/>
      <c r="E74" s="7"/>
      <c r="F74" s="7"/>
    </row>
    <row r="75" spans="1:6" s="206" customFormat="1" ht="37.5" customHeight="1">
      <c r="A75" s="295"/>
      <c r="C75" s="336"/>
      <c r="D75" s="26"/>
      <c r="E75" s="7"/>
      <c r="F75" s="7"/>
    </row>
    <row r="76" spans="1:6" s="206" customFormat="1" ht="37.5" customHeight="1">
      <c r="A76" s="295"/>
      <c r="C76" s="336"/>
      <c r="D76" s="26"/>
      <c r="E76" s="7"/>
      <c r="F76" s="7"/>
    </row>
    <row r="77" spans="1:6" s="206" customFormat="1" ht="37.5" customHeight="1">
      <c r="A77" s="295"/>
      <c r="C77" s="336"/>
      <c r="D77" s="26"/>
      <c r="E77" s="7"/>
      <c r="F77" s="7"/>
    </row>
    <row r="78" spans="1:6" s="206" customFormat="1" ht="37.5" customHeight="1">
      <c r="A78" s="295"/>
      <c r="C78" s="336"/>
      <c r="D78" s="26"/>
      <c r="E78" s="7"/>
      <c r="F78" s="7"/>
    </row>
    <row r="79" spans="1:6" s="206" customFormat="1" ht="37.5" customHeight="1">
      <c r="A79" s="295"/>
      <c r="C79" s="336"/>
      <c r="D79" s="26"/>
      <c r="E79" s="7"/>
      <c r="F79" s="7"/>
    </row>
  </sheetData>
  <sheetProtection password="CD92" sheet="1"/>
  <mergeCells count="22">
    <mergeCell ref="D5:D6"/>
    <mergeCell ref="E5:E6"/>
    <mergeCell ref="A1:H1"/>
    <mergeCell ref="A2:H2"/>
    <mergeCell ref="A3:H3"/>
    <mergeCell ref="G5:G6"/>
    <mergeCell ref="H5:H6"/>
    <mergeCell ref="A40:H40"/>
    <mergeCell ref="F5:F6"/>
    <mergeCell ref="A5:A6"/>
    <mergeCell ref="B5:B6"/>
    <mergeCell ref="C5:C6"/>
    <mergeCell ref="A41:H41"/>
    <mergeCell ref="A42:H42"/>
    <mergeCell ref="A44:A45"/>
    <mergeCell ref="B44:B45"/>
    <mergeCell ref="C44:C45"/>
    <mergeCell ref="D44:D45"/>
    <mergeCell ref="E44:E45"/>
    <mergeCell ref="F44:F45"/>
    <mergeCell ref="G44:G45"/>
    <mergeCell ref="H44:H45"/>
  </mergeCells>
  <printOptions/>
  <pageMargins left="0.3937007874015748" right="0.31496062992125984" top="0.5905511811023623" bottom="0.5118110236220472" header="0.31496062992125984" footer="0.31496062992125984"/>
  <pageSetup horizontalDpi="600" verticalDpi="600" orientation="portrait" paperSize="9" scale="65" r:id="rId1"/>
  <headerFooter>
    <oddHeader>&amp;L7.melléklet&amp;X1&amp;R2/2019.(II.15.) ÖK rendelethez</oddHeader>
    <oddFooter>&amp;L&amp;X1&amp;XMód: 7/2019.(V.31.) ÖK rendelet</oddFooter>
  </headerFooter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4.28125" style="57" customWidth="1"/>
    <col min="2" max="2" width="3.8515625" style="57" customWidth="1"/>
    <col min="3" max="3" width="26.57421875" style="6" customWidth="1"/>
    <col min="4" max="5" width="14.57421875" style="6" customWidth="1"/>
    <col min="6" max="6" width="16.8515625" style="6" customWidth="1"/>
    <col min="7" max="7" width="3.8515625" style="57" customWidth="1"/>
    <col min="8" max="8" width="20.421875" style="6" customWidth="1"/>
    <col min="9" max="9" width="14.00390625" style="6" customWidth="1"/>
    <col min="10" max="10" width="16.140625" style="6" customWidth="1"/>
    <col min="11" max="11" width="16.7109375" style="6" customWidth="1"/>
    <col min="12" max="13" width="15.421875" style="6" customWidth="1"/>
    <col min="14" max="14" width="12.28125" style="6" customWidth="1"/>
    <col min="15" max="16384" width="9.140625" style="6" customWidth="1"/>
  </cols>
  <sheetData>
    <row r="1" spans="1:13" ht="15.75">
      <c r="A1" s="800" t="s">
        <v>264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59"/>
      <c r="M1" s="59"/>
    </row>
    <row r="2" spans="1:13" ht="15.75">
      <c r="A2" s="800" t="s">
        <v>880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59"/>
      <c r="M2" s="59"/>
    </row>
    <row r="3" spans="3:13" ht="15.75">
      <c r="C3" s="59"/>
      <c r="D3" s="99"/>
      <c r="E3" s="99"/>
      <c r="F3" s="99"/>
      <c r="H3" s="59"/>
      <c r="I3" s="62"/>
      <c r="J3" s="62"/>
      <c r="K3" s="62" t="s">
        <v>523</v>
      </c>
      <c r="L3" s="62"/>
      <c r="M3" s="62"/>
    </row>
    <row r="4" spans="1:13" ht="12.75" customHeight="1">
      <c r="A4" s="792" t="s">
        <v>503</v>
      </c>
      <c r="B4" s="794" t="s">
        <v>502</v>
      </c>
      <c r="C4" s="893" t="s">
        <v>317</v>
      </c>
      <c r="D4" s="782" t="s">
        <v>966</v>
      </c>
      <c r="E4" s="780" t="s">
        <v>969</v>
      </c>
      <c r="F4" s="784" t="s">
        <v>970</v>
      </c>
      <c r="G4" s="794" t="s">
        <v>502</v>
      </c>
      <c r="H4" s="893" t="s">
        <v>315</v>
      </c>
      <c r="I4" s="782" t="s">
        <v>966</v>
      </c>
      <c r="J4" s="780" t="s">
        <v>969</v>
      </c>
      <c r="K4" s="784" t="s">
        <v>970</v>
      </c>
      <c r="L4" s="724"/>
      <c r="M4" s="724"/>
    </row>
    <row r="5" spans="1:13" ht="38.25" customHeight="1">
      <c r="A5" s="793"/>
      <c r="B5" s="795"/>
      <c r="C5" s="894"/>
      <c r="D5" s="783"/>
      <c r="E5" s="781"/>
      <c r="F5" s="785"/>
      <c r="G5" s="795"/>
      <c r="H5" s="894"/>
      <c r="I5" s="783"/>
      <c r="J5" s="781"/>
      <c r="K5" s="785"/>
      <c r="L5" s="724"/>
      <c r="M5" s="724"/>
    </row>
    <row r="6" spans="1:13" s="299" customFormat="1" ht="18" customHeight="1">
      <c r="A6" s="289" t="s">
        <v>270</v>
      </c>
      <c r="B6" s="289" t="s">
        <v>271</v>
      </c>
      <c r="C6" s="289" t="s">
        <v>452</v>
      </c>
      <c r="D6" s="291" t="s">
        <v>453</v>
      </c>
      <c r="E6" s="291" t="s">
        <v>454</v>
      </c>
      <c r="F6" s="291" t="s">
        <v>272</v>
      </c>
      <c r="G6" s="289" t="s">
        <v>274</v>
      </c>
      <c r="H6" s="289" t="s">
        <v>273</v>
      </c>
      <c r="I6" s="289" t="s">
        <v>274</v>
      </c>
      <c r="J6" s="289" t="s">
        <v>302</v>
      </c>
      <c r="K6" s="289" t="s">
        <v>275</v>
      </c>
      <c r="L6" s="725"/>
      <c r="M6" s="725"/>
    </row>
    <row r="7" spans="1:15" s="682" customFormat="1" ht="48" customHeight="1">
      <c r="A7" s="726" t="s">
        <v>276</v>
      </c>
      <c r="B7" s="727" t="s">
        <v>464</v>
      </c>
      <c r="C7" s="728" t="str">
        <f>'[11]1.mell. bevétel'!C42</f>
        <v>Felhalmozási célú támogatások államháztartáson belülről</v>
      </c>
      <c r="D7" s="729">
        <f>'[7]1.mell. BEVÉTEL'!G93</f>
        <v>161</v>
      </c>
      <c r="E7" s="729">
        <f>'[7]1.mell. BEVÉTEL'!H93</f>
        <v>0</v>
      </c>
      <c r="F7" s="729">
        <f>'[7]1.mell. BEVÉTEL'!I93</f>
        <v>161</v>
      </c>
      <c r="G7" s="727" t="s">
        <v>490</v>
      </c>
      <c r="H7" s="730" t="s">
        <v>402</v>
      </c>
      <c r="I7" s="729">
        <f>'[7]2.mell. KIADÁS'!G162</f>
        <v>81156</v>
      </c>
      <c r="J7" s="729">
        <f>'[7]2.mell. KIADÁS'!H162</f>
        <v>1299153</v>
      </c>
      <c r="K7" s="729">
        <f>'[7]2.mell. KIADÁS'!I162</f>
        <v>1380309</v>
      </c>
      <c r="L7" s="731"/>
      <c r="M7" s="731"/>
      <c r="N7" s="350"/>
      <c r="O7" s="350"/>
    </row>
    <row r="8" spans="1:15" s="682" customFormat="1" ht="24.75" customHeight="1">
      <c r="A8" s="726" t="s">
        <v>277</v>
      </c>
      <c r="B8" s="727" t="s">
        <v>468</v>
      </c>
      <c r="C8" s="732" t="str">
        <f>'[11]1.mell. bevétel'!C67</f>
        <v>Felhalmozási bevételek</v>
      </c>
      <c r="D8" s="729">
        <f>'[7]1.mell. BEVÉTEL'!G161</f>
        <v>5750</v>
      </c>
      <c r="E8" s="729">
        <f>'[7]1.mell. BEVÉTEL'!H161</f>
        <v>0</v>
      </c>
      <c r="F8" s="729">
        <f>'[7]1.mell. BEVÉTEL'!I161</f>
        <v>5750</v>
      </c>
      <c r="G8" s="727" t="s">
        <v>492</v>
      </c>
      <c r="H8" s="730" t="s">
        <v>403</v>
      </c>
      <c r="I8" s="729">
        <f>'[7]2.mell. KIADÁS'!G200</f>
        <v>32516</v>
      </c>
      <c r="J8" s="729">
        <f>'[7]2.mell. KIADÁS'!H200</f>
        <v>170597</v>
      </c>
      <c r="K8" s="729">
        <f>'[7]2.mell. KIADÁS'!I200</f>
        <v>203113</v>
      </c>
      <c r="L8" s="731"/>
      <c r="M8" s="731"/>
      <c r="N8" s="350"/>
      <c r="O8" s="350"/>
    </row>
    <row r="9" spans="1:15" s="682" customFormat="1" ht="34.5" customHeight="1">
      <c r="A9" s="726" t="s">
        <v>278</v>
      </c>
      <c r="B9" s="733" t="s">
        <v>471</v>
      </c>
      <c r="C9" s="734" t="str">
        <f>'[11]1.mell. bevétel'!C73</f>
        <v>Felhalmozási célú átvett pénzeszközök</v>
      </c>
      <c r="D9" s="729">
        <f>'[7]1.mell. BEVÉTEL'!G167</f>
        <v>1260</v>
      </c>
      <c r="E9" s="729">
        <f>'[7]1.mell. BEVÉTEL'!H167</f>
        <v>0</v>
      </c>
      <c r="F9" s="729">
        <f>'[7]1.mell. BEVÉTEL'!I167</f>
        <v>1260</v>
      </c>
      <c r="G9" s="733" t="s">
        <v>479</v>
      </c>
      <c r="H9" s="735" t="str">
        <f>'[11]7.mell.'!C44</f>
        <v>Egyéb felhalmozási célú kiadások </v>
      </c>
      <c r="I9" s="729">
        <f>'[7]2.mell. KIADÁS'!G215</f>
        <v>1361</v>
      </c>
      <c r="J9" s="729">
        <f>'[7]2.mell. KIADÁS'!H215</f>
        <v>0</v>
      </c>
      <c r="K9" s="729">
        <f>'[7]2.mell. KIADÁS'!I215</f>
        <v>1361</v>
      </c>
      <c r="L9" s="731"/>
      <c r="M9" s="731"/>
      <c r="N9" s="350"/>
      <c r="O9" s="350"/>
    </row>
    <row r="10" spans="1:15" s="682" customFormat="1" ht="27" customHeight="1">
      <c r="A10" s="726" t="s">
        <v>279</v>
      </c>
      <c r="B10" s="736"/>
      <c r="C10" s="737" t="s">
        <v>269</v>
      </c>
      <c r="D10" s="738">
        <f>SUM(D7:D9)</f>
        <v>7171</v>
      </c>
      <c r="E10" s="738">
        <f>SUM(E7:E9)</f>
        <v>0</v>
      </c>
      <c r="F10" s="738">
        <f>SUM(F7:F9)</f>
        <v>7171</v>
      </c>
      <c r="G10" s="736"/>
      <c r="H10" s="737" t="s">
        <v>269</v>
      </c>
      <c r="I10" s="738">
        <f>SUM(I7:I9)</f>
        <v>115033</v>
      </c>
      <c r="J10" s="738">
        <f>SUM(J7:J9)</f>
        <v>1469750</v>
      </c>
      <c r="K10" s="738">
        <f>SUM(K7:K9)</f>
        <v>1584783</v>
      </c>
      <c r="L10" s="739"/>
      <c r="M10" s="739"/>
      <c r="N10" s="350"/>
      <c r="O10" s="350"/>
    </row>
    <row r="11" spans="3:13" ht="27.75" customHeight="1">
      <c r="C11" s="3"/>
      <c r="D11" s="45"/>
      <c r="E11" s="45"/>
      <c r="F11" s="45"/>
      <c r="H11" s="45"/>
      <c r="I11" s="3"/>
      <c r="J11" s="3"/>
      <c r="K11" s="3"/>
      <c r="L11" s="3"/>
      <c r="M11" s="3"/>
    </row>
    <row r="12" spans="3:13" ht="15">
      <c r="C12" s="3"/>
      <c r="D12" s="45"/>
      <c r="E12" s="45"/>
      <c r="F12" s="45"/>
      <c r="H12" s="45"/>
      <c r="I12" s="3"/>
      <c r="J12" s="3"/>
      <c r="K12" s="3"/>
      <c r="L12" s="3"/>
      <c r="M12" s="3"/>
    </row>
    <row r="13" spans="3:13" ht="15">
      <c r="C13" s="3"/>
      <c r="D13" s="45"/>
      <c r="E13" s="45"/>
      <c r="F13" s="45"/>
      <c r="H13" s="45"/>
      <c r="I13" s="211"/>
      <c r="J13" s="211"/>
      <c r="K13" s="211"/>
      <c r="L13" s="211"/>
      <c r="M13" s="211"/>
    </row>
    <row r="14" spans="3:13" ht="15">
      <c r="C14" s="3"/>
      <c r="D14" s="45"/>
      <c r="E14" s="45"/>
      <c r="F14" s="45"/>
      <c r="H14" s="45"/>
      <c r="I14" s="211"/>
      <c r="J14" s="211"/>
      <c r="K14" s="211"/>
      <c r="L14" s="211"/>
      <c r="M14" s="211"/>
    </row>
    <row r="15" spans="3:13" ht="15">
      <c r="C15" s="3"/>
      <c r="D15" s="45"/>
      <c r="E15" s="45"/>
      <c r="F15" s="45"/>
      <c r="H15" s="45"/>
      <c r="I15" s="211"/>
      <c r="J15" s="211"/>
      <c r="K15" s="211"/>
      <c r="L15" s="211"/>
      <c r="M15" s="211"/>
    </row>
    <row r="16" spans="3:13" ht="15">
      <c r="C16" s="3"/>
      <c r="D16" s="45"/>
      <c r="E16" s="45"/>
      <c r="F16" s="45"/>
      <c r="H16" s="45"/>
      <c r="I16" s="211"/>
      <c r="J16" s="211"/>
      <c r="K16" s="211"/>
      <c r="L16" s="211"/>
      <c r="M16" s="211"/>
    </row>
    <row r="17" spans="3:13" ht="15.75">
      <c r="C17" s="1"/>
      <c r="D17" s="146"/>
      <c r="E17" s="146"/>
      <c r="F17" s="740"/>
      <c r="G17" s="741"/>
      <c r="H17" s="742"/>
      <c r="I17" s="743"/>
      <c r="J17" s="743"/>
      <c r="K17" s="743"/>
      <c r="L17" s="743"/>
      <c r="M17" s="743"/>
    </row>
    <row r="18" spans="6:13" ht="12.75">
      <c r="F18" s="744"/>
      <c r="G18" s="741"/>
      <c r="H18" s="744"/>
      <c r="I18" s="744"/>
      <c r="J18" s="744"/>
      <c r="K18" s="744"/>
      <c r="L18" s="744"/>
      <c r="M18" s="744"/>
    </row>
    <row r="19" spans="4:8" ht="12.75">
      <c r="D19" s="82"/>
      <c r="E19" s="82"/>
      <c r="F19" s="82"/>
      <c r="H19" s="82"/>
    </row>
  </sheetData>
  <sheetProtection password="CD92" sheet="1"/>
  <mergeCells count="13">
    <mergeCell ref="I4:I5"/>
    <mergeCell ref="A4:A5"/>
    <mergeCell ref="B4:B5"/>
    <mergeCell ref="C4:C5"/>
    <mergeCell ref="H4:H5"/>
    <mergeCell ref="F4:F5"/>
    <mergeCell ref="G4:G5"/>
    <mergeCell ref="A1:K1"/>
    <mergeCell ref="A2:K2"/>
    <mergeCell ref="J4:J5"/>
    <mergeCell ref="K4:K5"/>
    <mergeCell ref="D4:D5"/>
    <mergeCell ref="E4:E5"/>
  </mergeCells>
  <printOptions/>
  <pageMargins left="1.4960629921259843" right="0.7480314960629921" top="0.984251968503937" bottom="1.4960629921259843" header="0.5118110236220472" footer="0.5118110236220472"/>
  <pageSetup horizontalDpi="600" verticalDpi="600" orientation="landscape" paperSize="9" scale="70" r:id="rId1"/>
  <headerFooter alignWithMargins="0">
    <oddHeader>&amp;L8.melléklet&amp;X1&amp;R2/2019.(II.15.) ÖK rendelethez</oddHeader>
    <oddFooter>&amp;L&amp;X1&amp;XMód: 7/2019.(V.31.) ÖK rendelet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A20" sqref="A20:B20"/>
    </sheetView>
  </sheetViews>
  <sheetFormatPr defaultColWidth="9.140625" defaultRowHeight="12.75"/>
  <cols>
    <col min="1" max="1" width="6.28125" style="6" customWidth="1"/>
    <col min="2" max="2" width="49.00390625" style="6" customWidth="1"/>
    <col min="3" max="3" width="13.7109375" style="7" customWidth="1"/>
    <col min="4" max="4" width="9.8515625" style="6" customWidth="1"/>
    <col min="5" max="5" width="43.57421875" style="6" customWidth="1"/>
    <col min="6" max="6" width="17.7109375" style="7" customWidth="1"/>
    <col min="7" max="7" width="11.00390625" style="6" customWidth="1"/>
    <col min="8" max="16384" width="9.140625" style="6" customWidth="1"/>
  </cols>
  <sheetData>
    <row r="1" spans="1:7" ht="20.25" customHeight="1">
      <c r="A1" s="800" t="s">
        <v>888</v>
      </c>
      <c r="B1" s="800"/>
      <c r="C1" s="800"/>
      <c r="D1" s="800"/>
      <c r="E1" s="800"/>
      <c r="F1" s="800"/>
      <c r="G1" s="158"/>
    </row>
    <row r="2" ht="12.75">
      <c r="F2" s="62" t="s">
        <v>523</v>
      </c>
    </row>
    <row r="3" spans="1:6" ht="15.75">
      <c r="A3" s="906" t="s">
        <v>505</v>
      </c>
      <c r="B3" s="907"/>
      <c r="C3" s="903"/>
      <c r="D3" s="906" t="s">
        <v>501</v>
      </c>
      <c r="E3" s="907"/>
      <c r="F3" s="903"/>
    </row>
    <row r="4" spans="1:6" ht="27" customHeight="1">
      <c r="A4" s="159" t="s">
        <v>455</v>
      </c>
      <c r="B4" s="160" t="s">
        <v>524</v>
      </c>
      <c r="C4" s="161">
        <f>'[7]1.mell. BEVÉTEL'!I7</f>
        <v>656925</v>
      </c>
      <c r="D4" s="162" t="s">
        <v>486</v>
      </c>
      <c r="E4" s="163" t="s">
        <v>233</v>
      </c>
      <c r="F4" s="161">
        <f>'[7]2.mell. KIADÁS'!I7</f>
        <v>516807.7</v>
      </c>
    </row>
    <row r="5" spans="1:6" ht="27" customHeight="1">
      <c r="A5" s="159" t="s">
        <v>504</v>
      </c>
      <c r="B5" s="163" t="s">
        <v>525</v>
      </c>
      <c r="C5" s="161">
        <f>'[7]1.mell. BEVÉTEL'!I101</f>
        <v>178200</v>
      </c>
      <c r="D5" s="162" t="s">
        <v>487</v>
      </c>
      <c r="E5" s="163" t="s">
        <v>234</v>
      </c>
      <c r="F5" s="161">
        <f>'[7]2.mell. KIADÁS'!I35</f>
        <v>89336</v>
      </c>
    </row>
    <row r="6" spans="1:6" ht="27" customHeight="1">
      <c r="A6" s="159" t="s">
        <v>467</v>
      </c>
      <c r="B6" s="163" t="s">
        <v>526</v>
      </c>
      <c r="C6" s="161">
        <f>'[7]1.mell. BEVÉTEL'!I112</f>
        <v>127332</v>
      </c>
      <c r="D6" s="162" t="s">
        <v>489</v>
      </c>
      <c r="E6" s="163" t="s">
        <v>235</v>
      </c>
      <c r="F6" s="161">
        <f>'[7]2.mell. KIADÁS'!I79</f>
        <v>390666</v>
      </c>
    </row>
    <row r="7" spans="1:6" ht="27" customHeight="1">
      <c r="A7" s="159" t="s">
        <v>469</v>
      </c>
      <c r="B7" s="163" t="s">
        <v>236</v>
      </c>
      <c r="C7" s="161">
        <f>'[7]1.mell. BEVÉTEL'!I165</f>
        <v>78</v>
      </c>
      <c r="D7" s="162" t="s">
        <v>476</v>
      </c>
      <c r="E7" s="163" t="s">
        <v>527</v>
      </c>
      <c r="F7" s="161">
        <f>'[7]2.mell. KIADÁS'!I129</f>
        <v>15200</v>
      </c>
    </row>
    <row r="8" spans="1:6" ht="27" customHeight="1">
      <c r="A8" s="908"/>
      <c r="B8" s="905"/>
      <c r="C8" s="896"/>
      <c r="D8" s="162" t="s">
        <v>478</v>
      </c>
      <c r="E8" s="163" t="s">
        <v>237</v>
      </c>
      <c r="F8" s="161">
        <f>'[7]2.mell. KIADÁS'!I134</f>
        <v>48223</v>
      </c>
    </row>
    <row r="9" spans="1:6" ht="21" customHeight="1">
      <c r="A9" s="898" t="s">
        <v>528</v>
      </c>
      <c r="B9" s="896"/>
      <c r="C9" s="66">
        <f>SUM(C4:C8)</f>
        <v>962535</v>
      </c>
      <c r="D9" s="898" t="s">
        <v>529</v>
      </c>
      <c r="E9" s="899"/>
      <c r="F9" s="66">
        <f>SUM(F4:F8)</f>
        <v>1060232.7</v>
      </c>
    </row>
    <row r="10" spans="1:6" ht="34.5" customHeight="1">
      <c r="A10" s="900" t="s">
        <v>1000</v>
      </c>
      <c r="B10" s="901"/>
      <c r="C10" s="901"/>
      <c r="D10" s="901"/>
      <c r="E10" s="901"/>
      <c r="F10" s="164">
        <f>C9-F9</f>
        <v>-97697.69999999995</v>
      </c>
    </row>
    <row r="11" spans="1:6" ht="27" customHeight="1">
      <c r="A11" s="159" t="s">
        <v>464</v>
      </c>
      <c r="B11" s="163" t="s">
        <v>532</v>
      </c>
      <c r="C11" s="161">
        <f>'[7]1.mell. BEVÉTEL'!I93</f>
        <v>161</v>
      </c>
      <c r="D11" s="162" t="s">
        <v>490</v>
      </c>
      <c r="E11" s="163" t="s">
        <v>533</v>
      </c>
      <c r="F11" s="161">
        <f>'[7]2.mell. KIADÁS'!I162</f>
        <v>1380309</v>
      </c>
    </row>
    <row r="12" spans="1:6" ht="27" customHeight="1">
      <c r="A12" s="159" t="s">
        <v>468</v>
      </c>
      <c r="B12" s="163" t="s">
        <v>534</v>
      </c>
      <c r="C12" s="161">
        <f>'[7]1.mell. BEVÉTEL'!I161</f>
        <v>5750</v>
      </c>
      <c r="D12" s="162" t="s">
        <v>492</v>
      </c>
      <c r="E12" s="163" t="s">
        <v>493</v>
      </c>
      <c r="F12" s="161">
        <f>'[7]2.mell. KIADÁS'!I200</f>
        <v>203113</v>
      </c>
    </row>
    <row r="13" spans="1:6" ht="27" customHeight="1">
      <c r="A13" s="159" t="s">
        <v>471</v>
      </c>
      <c r="B13" s="163" t="s">
        <v>535</v>
      </c>
      <c r="C13" s="165">
        <f>'[7]1.mell. BEVÉTEL'!I167</f>
        <v>1260</v>
      </c>
      <c r="D13" s="162" t="s">
        <v>479</v>
      </c>
      <c r="E13" s="163" t="s">
        <v>536</v>
      </c>
      <c r="F13" s="161">
        <f>'[7]2.mell. KIADÁS'!I215</f>
        <v>1361</v>
      </c>
    </row>
    <row r="14" spans="1:6" ht="21" customHeight="1">
      <c r="A14" s="898" t="s">
        <v>537</v>
      </c>
      <c r="B14" s="896"/>
      <c r="C14" s="66">
        <f>SUM(C11:C13)</f>
        <v>7171</v>
      </c>
      <c r="D14" s="898" t="s">
        <v>538</v>
      </c>
      <c r="E14" s="899"/>
      <c r="F14" s="66">
        <f>SUM(F11:F13)</f>
        <v>1584783</v>
      </c>
    </row>
    <row r="15" spans="1:7" ht="37.5" customHeight="1">
      <c r="A15" s="900" t="s">
        <v>41</v>
      </c>
      <c r="B15" s="901"/>
      <c r="C15" s="901"/>
      <c r="D15" s="901"/>
      <c r="E15" s="901"/>
      <c r="F15" s="164">
        <f>C14-F14</f>
        <v>-1577612</v>
      </c>
      <c r="G15" s="7"/>
    </row>
    <row r="16" spans="1:7" ht="21" customHeight="1">
      <c r="A16" s="902" t="s">
        <v>539</v>
      </c>
      <c r="B16" s="903"/>
      <c r="C16" s="166">
        <f>C9+C14</f>
        <v>969706</v>
      </c>
      <c r="D16" s="902" t="s">
        <v>540</v>
      </c>
      <c r="E16" s="904"/>
      <c r="F16" s="166">
        <f>F9+F14</f>
        <v>2645015.7</v>
      </c>
      <c r="G16" s="7"/>
    </row>
    <row r="17" spans="1:6" ht="28.5" customHeight="1">
      <c r="A17" s="900" t="s">
        <v>736</v>
      </c>
      <c r="B17" s="905"/>
      <c r="C17" s="905"/>
      <c r="D17" s="905"/>
      <c r="E17" s="905"/>
      <c r="F17" s="164">
        <f>C16-F16</f>
        <v>-1675309.7000000002</v>
      </c>
    </row>
    <row r="18" spans="1:6" ht="21" customHeight="1">
      <c r="A18" s="159" t="s">
        <v>473</v>
      </c>
      <c r="B18" s="167" t="s">
        <v>541</v>
      </c>
      <c r="C18" s="166">
        <f>'[7]1.mell. BEVÉTEL'!I170</f>
        <v>1727675</v>
      </c>
      <c r="D18" s="162" t="s">
        <v>481</v>
      </c>
      <c r="E18" s="167" t="s">
        <v>542</v>
      </c>
      <c r="F18" s="166">
        <f>'[7]2.mell. KIADÁS'!I221</f>
        <v>52365</v>
      </c>
    </row>
    <row r="19" spans="1:6" ht="21" customHeight="1">
      <c r="A19" s="909" t="s">
        <v>737</v>
      </c>
      <c r="B19" s="910"/>
      <c r="C19" s="910"/>
      <c r="D19" s="910"/>
      <c r="E19" s="911"/>
      <c r="F19" s="166">
        <f>C18-F18</f>
        <v>1675310</v>
      </c>
    </row>
    <row r="20" spans="1:7" ht="44.25" customHeight="1">
      <c r="A20" s="895" t="s">
        <v>543</v>
      </c>
      <c r="B20" s="896"/>
      <c r="C20" s="168">
        <f>C16+C18</f>
        <v>2697381</v>
      </c>
      <c r="D20" s="895" t="s">
        <v>501</v>
      </c>
      <c r="E20" s="897"/>
      <c r="F20" s="168">
        <f>F16+F18</f>
        <v>2697380.7</v>
      </c>
      <c r="G20" s="7"/>
    </row>
    <row r="23" ht="12.75">
      <c r="D23" s="7"/>
    </row>
  </sheetData>
  <sheetProtection password="CD92" sheet="1"/>
  <mergeCells count="16">
    <mergeCell ref="A10:E10"/>
    <mergeCell ref="A1:F1"/>
    <mergeCell ref="A3:C3"/>
    <mergeCell ref="D3:F3"/>
    <mergeCell ref="A8:C8"/>
    <mergeCell ref="A9:B9"/>
    <mergeCell ref="D9:E9"/>
    <mergeCell ref="A20:B20"/>
    <mergeCell ref="D20:E20"/>
    <mergeCell ref="A14:B14"/>
    <mergeCell ref="D14:E14"/>
    <mergeCell ref="A15:E15"/>
    <mergeCell ref="A16:B16"/>
    <mergeCell ref="D16:E16"/>
    <mergeCell ref="A17:E17"/>
    <mergeCell ref="A19:E19"/>
  </mergeCells>
  <printOptions/>
  <pageMargins left="0.3937007874015748" right="0.2755905511811024" top="0.8267716535433072" bottom="1.9291338582677167" header="0.31496062992125984" footer="0.7086614173228347"/>
  <pageSetup horizontalDpi="600" verticalDpi="600" orientation="portrait" paperSize="9" scale="70" r:id="rId1"/>
  <headerFooter>
    <oddHeader>&amp;L9.melléklet&amp;X1&amp;R2/2019.(II.15.) ÖK rendelethez</oddHeader>
    <oddFooter>&amp;L&amp;X1&amp;XMód: 7/2019.(V.31.) ÖK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Battonya Önkormányzat</dc:title>
  <dc:subject/>
  <dc:creator>MRA Pénzügy Battonya</dc:creator>
  <cp:keywords>2016.évi költségvetés</cp:keywords>
  <dc:description>4/2015.(II.26.)mell.ktgv.</dc:description>
  <cp:lastModifiedBy>BVÖ01</cp:lastModifiedBy>
  <cp:lastPrinted>2019-02-21T11:54:19Z</cp:lastPrinted>
  <dcterms:created xsi:type="dcterms:W3CDTF">2013-01-09T15:47:27Z</dcterms:created>
  <dcterms:modified xsi:type="dcterms:W3CDTF">2019-06-06T07:55:02Z</dcterms:modified>
  <cp:category>rendelet</cp:category>
  <cp:version/>
  <cp:contentType/>
  <cp:contentStatus/>
</cp:coreProperties>
</file>