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2018\Bér\"/>
    </mc:Choice>
  </mc:AlternateContent>
  <bookViews>
    <workbookView xWindow="1080" yWindow="645" windowWidth="10620" windowHeight="5445" firstSheet="8" activeTab="12"/>
  </bookViews>
  <sheets>
    <sheet name="részletes kiadás és bevétel" sheetId="17" state="hidden" r:id="rId1"/>
    <sheet name="Kiadások és bevételek alakulása" sheetId="11" r:id="rId2"/>
    <sheet name="Állami bevételek alakulása" sheetId="12" r:id="rId3"/>
    <sheet name="Létszám" sheetId="14" r:id="rId4"/>
    <sheet name="Óvoda 2a" sheetId="5" r:id="rId5"/>
    <sheet name="mérleg 1" sheetId="4" r:id="rId6"/>
    <sheet name="felhalm 2d" sheetId="8" r:id="rId7"/>
    <sheet name="előirányzat fehasználási ütemte" sheetId="13" r:id="rId8"/>
    <sheet name="Tervezett beruházások" sheetId="10" r:id="rId9"/>
    <sheet name="Munka3" sheetId="15" r:id="rId10"/>
    <sheet name="Munka4" sheetId="16" r:id="rId11"/>
    <sheet name="Munka1" sheetId="18" r:id="rId12"/>
    <sheet name="Munka5" sheetId="19" r:id="rId13"/>
  </sheets>
  <definedNames>
    <definedName name="_pr2" localSheetId="8">'Tervezett beruházások'!#REF!</definedName>
  </definedNames>
  <calcPr calcId="162913"/>
</workbook>
</file>

<file path=xl/calcChain.xml><?xml version="1.0" encoding="utf-8"?>
<calcChain xmlns="http://schemas.openxmlformats.org/spreadsheetml/2006/main">
  <c r="E18" i="19" l="1"/>
  <c r="B18" i="19" l="1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2" i="19"/>
  <c r="F18" i="19" l="1"/>
  <c r="D14" i="11"/>
  <c r="C14" i="11"/>
  <c r="D8" i="11"/>
  <c r="C8" i="11"/>
  <c r="N19" i="11"/>
  <c r="N20" i="11"/>
  <c r="N21" i="11"/>
  <c r="B22" i="13"/>
  <c r="B19" i="13"/>
  <c r="B20" i="13"/>
  <c r="B13" i="13"/>
  <c r="B12" i="13"/>
  <c r="B11" i="13"/>
  <c r="J5" i="18" l="1"/>
  <c r="J6" i="18"/>
  <c r="J7" i="18"/>
  <c r="J8" i="18"/>
  <c r="J9" i="18"/>
  <c r="J10" i="18"/>
  <c r="J11" i="18"/>
  <c r="J12" i="18"/>
  <c r="J13" i="18"/>
  <c r="J14" i="18"/>
  <c r="J4" i="18"/>
  <c r="B18" i="14"/>
  <c r="B16" i="14"/>
  <c r="B15" i="14"/>
  <c r="B9" i="14"/>
  <c r="O8" i="11" l="1"/>
  <c r="O28" i="11"/>
  <c r="O27" i="11"/>
  <c r="O21" i="11"/>
  <c r="O15" i="11"/>
  <c r="O13" i="11"/>
  <c r="O9" i="11"/>
  <c r="O7" i="11"/>
  <c r="O6" i="11"/>
  <c r="F31" i="12"/>
  <c r="F13" i="12"/>
  <c r="F21" i="12"/>
  <c r="F28" i="12"/>
  <c r="F30" i="12"/>
  <c r="Q18" i="11"/>
  <c r="R6" i="11"/>
  <c r="K18" i="11"/>
  <c r="K6" i="11"/>
  <c r="D4" i="15"/>
  <c r="D5" i="15"/>
  <c r="D6" i="15"/>
  <c r="D7" i="15"/>
  <c r="D8" i="15"/>
  <c r="D12" i="15"/>
  <c r="D14" i="15"/>
  <c r="D2" i="15"/>
  <c r="B11" i="10"/>
  <c r="C24" i="8"/>
  <c r="C44" i="8"/>
  <c r="C35" i="8"/>
  <c r="H22" i="11" l="1"/>
  <c r="H32" i="11" s="1"/>
  <c r="N16" i="4" s="1"/>
  <c r="I11" i="13"/>
  <c r="U18" i="17" l="1"/>
  <c r="N18" i="17"/>
  <c r="S16" i="11" l="1"/>
  <c r="D14" i="13"/>
  <c r="E14" i="13"/>
  <c r="F14" i="13"/>
  <c r="G14" i="13"/>
  <c r="H14" i="13"/>
  <c r="I14" i="13"/>
  <c r="J14" i="13"/>
  <c r="K14" i="13"/>
  <c r="L14" i="13"/>
  <c r="M14" i="13"/>
  <c r="N14" i="13"/>
  <c r="Q30" i="11"/>
  <c r="Q22" i="11"/>
  <c r="Q32" i="11" s="1"/>
  <c r="F31" i="11"/>
  <c r="G31" i="11"/>
  <c r="G30" i="11"/>
  <c r="G22" i="11"/>
  <c r="G32" i="11" s="1"/>
  <c r="H22" i="4"/>
  <c r="H12" i="4" l="1"/>
  <c r="B23" i="13"/>
  <c r="N15" i="4"/>
  <c r="J15" i="11"/>
  <c r="N15" i="11" s="1"/>
  <c r="U11" i="17"/>
  <c r="D85" i="17"/>
  <c r="D84" i="17"/>
  <c r="D83" i="17"/>
  <c r="D82" i="17"/>
  <c r="D4" i="16"/>
  <c r="D5" i="16"/>
  <c r="D6" i="16"/>
  <c r="D7" i="16"/>
  <c r="D8" i="16"/>
  <c r="D9" i="16"/>
  <c r="D10" i="16"/>
  <c r="B3" i="16"/>
  <c r="D3" i="16" s="1"/>
  <c r="D20" i="11" s="1"/>
  <c r="E31" i="17" s="1"/>
  <c r="C3" i="16"/>
  <c r="O18" i="11"/>
  <c r="S15" i="11"/>
  <c r="O14" i="11"/>
  <c r="S14" i="11" s="1"/>
  <c r="C6" i="5"/>
  <c r="V18" i="17" s="1"/>
  <c r="B6" i="5"/>
  <c r="O6" i="18"/>
  <c r="O5" i="18"/>
  <c r="C13" i="5" s="1"/>
  <c r="B8" i="5"/>
  <c r="E20" i="11" l="1"/>
  <c r="B22" i="10"/>
  <c r="T15" i="11"/>
  <c r="L20" i="11"/>
  <c r="B14" i="13" s="1"/>
  <c r="D12" i="18"/>
  <c r="C24" i="5"/>
  <c r="B24" i="5"/>
  <c r="O30" i="11" l="1"/>
  <c r="H12" i="18"/>
  <c r="C3" i="15"/>
  <c r="B25" i="19"/>
  <c r="W25" i="17"/>
  <c r="W31" i="17" s="1"/>
  <c r="W81" i="17" s="1"/>
  <c r="W121" i="17" s="1"/>
  <c r="Y17" i="17"/>
  <c r="Y13" i="17"/>
  <c r="D5" i="18"/>
  <c r="G5" i="18" s="1"/>
  <c r="D6" i="18"/>
  <c r="G6" i="18" s="1"/>
  <c r="D7" i="18"/>
  <c r="D10" i="18"/>
  <c r="D11" i="18"/>
  <c r="D4" i="18"/>
  <c r="G4" i="18" s="1"/>
  <c r="C4" i="15"/>
  <c r="U119" i="17"/>
  <c r="V119" i="17"/>
  <c r="W119" i="17"/>
  <c r="X119" i="17"/>
  <c r="Y119" i="17"/>
  <c r="Z118" i="17"/>
  <c r="Z119" i="17" s="1"/>
  <c r="Y118" i="17"/>
  <c r="Y116" i="17"/>
  <c r="Y117" i="17"/>
  <c r="U117" i="17"/>
  <c r="V117" i="17"/>
  <c r="W117" i="17"/>
  <c r="X117" i="17"/>
  <c r="U115" i="17"/>
  <c r="V115" i="17"/>
  <c r="W115" i="17"/>
  <c r="X115" i="17"/>
  <c r="Y115" i="17"/>
  <c r="Y114" i="17"/>
  <c r="Y113" i="17"/>
  <c r="W112" i="17"/>
  <c r="W120" i="17" s="1"/>
  <c r="U111" i="17"/>
  <c r="V111" i="17"/>
  <c r="W111" i="17"/>
  <c r="X111" i="17"/>
  <c r="Z106" i="17"/>
  <c r="Z110" i="17"/>
  <c r="Y104" i="17"/>
  <c r="Y105" i="17"/>
  <c r="Y106" i="17"/>
  <c r="Y107" i="17"/>
  <c r="Y111" i="17" s="1"/>
  <c r="Y108" i="17"/>
  <c r="Y109" i="17"/>
  <c r="Y110" i="17"/>
  <c r="Y103" i="17"/>
  <c r="U102" i="17"/>
  <c r="V102" i="17"/>
  <c r="W102" i="17"/>
  <c r="X102" i="17"/>
  <c r="Y101" i="17"/>
  <c r="Y102" i="17" s="1"/>
  <c r="U100" i="17"/>
  <c r="V100" i="17"/>
  <c r="W100" i="17"/>
  <c r="X100" i="17"/>
  <c r="Z98" i="17"/>
  <c r="Y96" i="17"/>
  <c r="Y97" i="17"/>
  <c r="Y100" i="17" s="1"/>
  <c r="Y98" i="17"/>
  <c r="Y99" i="17"/>
  <c r="Y95" i="17"/>
  <c r="U94" i="17"/>
  <c r="V94" i="17"/>
  <c r="W94" i="17"/>
  <c r="X94" i="17"/>
  <c r="Y93" i="17"/>
  <c r="Y92" i="17"/>
  <c r="Y94" i="17" s="1"/>
  <c r="U91" i="17"/>
  <c r="V91" i="17"/>
  <c r="W91" i="17"/>
  <c r="X91" i="17"/>
  <c r="Z89" i="17"/>
  <c r="Y90" i="17"/>
  <c r="Y89" i="17"/>
  <c r="Y91" i="17" s="1"/>
  <c r="U88" i="17"/>
  <c r="U112" i="17" s="1"/>
  <c r="U120" i="17" s="1"/>
  <c r="V88" i="17"/>
  <c r="V112" i="17" s="1"/>
  <c r="V120" i="17" s="1"/>
  <c r="W88" i="17"/>
  <c r="X88" i="17"/>
  <c r="X112" i="17" s="1"/>
  <c r="X120" i="17" s="1"/>
  <c r="Y83" i="17"/>
  <c r="Y84" i="17"/>
  <c r="Y85" i="17"/>
  <c r="Y86" i="17"/>
  <c r="Y87" i="17"/>
  <c r="Y82" i="17"/>
  <c r="Y88" i="17" s="1"/>
  <c r="T80" i="17"/>
  <c r="U80" i="17"/>
  <c r="V80" i="17"/>
  <c r="W80" i="17"/>
  <c r="X80" i="17"/>
  <c r="Y79" i="17"/>
  <c r="Y78" i="17"/>
  <c r="Y80" i="17" s="1"/>
  <c r="U77" i="17"/>
  <c r="V77" i="17"/>
  <c r="W77" i="17"/>
  <c r="X77" i="17"/>
  <c r="Y77" i="17"/>
  <c r="Y74" i="17"/>
  <c r="Y75" i="17"/>
  <c r="Y76" i="17"/>
  <c r="Z73" i="17"/>
  <c r="Y73" i="17"/>
  <c r="U72" i="17"/>
  <c r="V72" i="17"/>
  <c r="W72" i="17"/>
  <c r="X72" i="17"/>
  <c r="Z71" i="17"/>
  <c r="Y69" i="17"/>
  <c r="Y70" i="17"/>
  <c r="Y72" i="17" s="1"/>
  <c r="Y71" i="17"/>
  <c r="Z68" i="17"/>
  <c r="Y68" i="17"/>
  <c r="U67" i="17"/>
  <c r="V67" i="17"/>
  <c r="W67" i="17"/>
  <c r="X67" i="17"/>
  <c r="Y64" i="17"/>
  <c r="Y65" i="17"/>
  <c r="Y66" i="17"/>
  <c r="Y63" i="17"/>
  <c r="Y67" i="17" s="1"/>
  <c r="U62" i="17"/>
  <c r="V62" i="17"/>
  <c r="W62" i="17"/>
  <c r="X62" i="17"/>
  <c r="Y60" i="17"/>
  <c r="Y62" i="17" s="1"/>
  <c r="Y61" i="17"/>
  <c r="Z59" i="17"/>
  <c r="Y59" i="17"/>
  <c r="U58" i="17"/>
  <c r="V58" i="17"/>
  <c r="W58" i="17"/>
  <c r="X58" i="17"/>
  <c r="Z58" i="17"/>
  <c r="Y57" i="17"/>
  <c r="Y58" i="17" s="1"/>
  <c r="W56" i="17"/>
  <c r="U55" i="17"/>
  <c r="V55" i="17"/>
  <c r="W55" i="17"/>
  <c r="X55" i="17"/>
  <c r="Z51" i="17"/>
  <c r="Y48" i="17"/>
  <c r="Y49" i="17"/>
  <c r="Y50" i="17"/>
  <c r="Y51" i="17"/>
  <c r="Y52" i="17"/>
  <c r="Y53" i="17"/>
  <c r="Y54" i="17"/>
  <c r="Y47" i="17"/>
  <c r="Y55" i="17" s="1"/>
  <c r="U46" i="17"/>
  <c r="V46" i="17"/>
  <c r="W46" i="17"/>
  <c r="X46" i="17"/>
  <c r="Y40" i="17"/>
  <c r="Y41" i="17"/>
  <c r="Y42" i="17"/>
  <c r="Y43" i="17"/>
  <c r="Y44" i="17"/>
  <c r="Y45" i="17"/>
  <c r="Z39" i="17"/>
  <c r="Y39" i="17"/>
  <c r="U38" i="17"/>
  <c r="V38" i="17"/>
  <c r="W38" i="17"/>
  <c r="X38" i="17"/>
  <c r="Y37" i="17"/>
  <c r="Y36" i="17"/>
  <c r="Y38" i="17" s="1"/>
  <c r="U35" i="17"/>
  <c r="U56" i="17" s="1"/>
  <c r="V35" i="17"/>
  <c r="W35" i="17"/>
  <c r="X35" i="17"/>
  <c r="X56" i="17" s="1"/>
  <c r="Y33" i="17"/>
  <c r="Y34" i="17"/>
  <c r="Y32" i="17"/>
  <c r="U29" i="17"/>
  <c r="V29" i="17"/>
  <c r="W29" i="17"/>
  <c r="X29" i="17"/>
  <c r="Y27" i="17"/>
  <c r="Y29" i="17" s="1"/>
  <c r="Y28" i="17"/>
  <c r="Y26" i="17"/>
  <c r="X25" i="17"/>
  <c r="Y14" i="17"/>
  <c r="Y15" i="17"/>
  <c r="Z15" i="17" s="1"/>
  <c r="Y16" i="17"/>
  <c r="Y18" i="17"/>
  <c r="Y19" i="17"/>
  <c r="Y20" i="17"/>
  <c r="Y21" i="17"/>
  <c r="Y22" i="17"/>
  <c r="Y23" i="17"/>
  <c r="Y24" i="17"/>
  <c r="E70" i="17"/>
  <c r="T70" i="17" s="1"/>
  <c r="F11" i="17"/>
  <c r="F25" i="17"/>
  <c r="F29" i="17"/>
  <c r="F30" i="17" s="1"/>
  <c r="F35" i="17"/>
  <c r="F38" i="17"/>
  <c r="F46" i="17"/>
  <c r="F56" i="17" s="1"/>
  <c r="F55" i="17"/>
  <c r="F58" i="17"/>
  <c r="F62" i="17"/>
  <c r="F67" i="17"/>
  <c r="F72" i="17"/>
  <c r="F77" i="17"/>
  <c r="F80" i="17"/>
  <c r="F88" i="17"/>
  <c r="F91" i="17"/>
  <c r="F94" i="17"/>
  <c r="F100" i="17"/>
  <c r="F102" i="17"/>
  <c r="F111" i="17"/>
  <c r="F115" i="17"/>
  <c r="F117" i="17"/>
  <c r="F119" i="17"/>
  <c r="T85" i="17"/>
  <c r="T84" i="17"/>
  <c r="Z84" i="17" s="1"/>
  <c r="T83" i="17"/>
  <c r="Z83" i="17" s="1"/>
  <c r="T82" i="17"/>
  <c r="C119" i="17"/>
  <c r="D119" i="17"/>
  <c r="G119" i="17"/>
  <c r="H119" i="17"/>
  <c r="I119" i="17"/>
  <c r="J119" i="17"/>
  <c r="K119" i="17"/>
  <c r="L119" i="17"/>
  <c r="M119" i="17"/>
  <c r="N119" i="17"/>
  <c r="O119" i="17"/>
  <c r="P119" i="17"/>
  <c r="Q119" i="17"/>
  <c r="E119" i="17"/>
  <c r="R119" i="17"/>
  <c r="S119" i="17"/>
  <c r="C117" i="17"/>
  <c r="D117" i="17"/>
  <c r="G117" i="17"/>
  <c r="H117" i="17"/>
  <c r="I117" i="17"/>
  <c r="J117" i="17"/>
  <c r="K117" i="17"/>
  <c r="L117" i="17"/>
  <c r="M117" i="17"/>
  <c r="N117" i="17"/>
  <c r="O117" i="17"/>
  <c r="P117" i="17"/>
  <c r="Q117" i="17"/>
  <c r="E117" i="17"/>
  <c r="R117" i="17"/>
  <c r="S117" i="17"/>
  <c r="C115" i="17"/>
  <c r="D115" i="17"/>
  <c r="G115" i="17"/>
  <c r="H115" i="17"/>
  <c r="I115" i="17"/>
  <c r="J115" i="17"/>
  <c r="K115" i="17"/>
  <c r="L115" i="17"/>
  <c r="M115" i="17"/>
  <c r="N115" i="17"/>
  <c r="O115" i="17"/>
  <c r="P115" i="17"/>
  <c r="Q115" i="17"/>
  <c r="E115" i="17"/>
  <c r="R115" i="17"/>
  <c r="S115" i="17"/>
  <c r="B119" i="17"/>
  <c r="B117" i="17"/>
  <c r="B115" i="17"/>
  <c r="C111" i="17"/>
  <c r="D111" i="17"/>
  <c r="G111" i="17"/>
  <c r="H111" i="17"/>
  <c r="I111" i="17"/>
  <c r="J111" i="17"/>
  <c r="K111" i="17"/>
  <c r="L111" i="17"/>
  <c r="M111" i="17"/>
  <c r="N111" i="17"/>
  <c r="O111" i="17"/>
  <c r="P111" i="17"/>
  <c r="Q111" i="17"/>
  <c r="E111" i="17"/>
  <c r="R111" i="17"/>
  <c r="S111" i="17"/>
  <c r="C102" i="17"/>
  <c r="D102" i="17"/>
  <c r="G102" i="17"/>
  <c r="H102" i="17"/>
  <c r="I102" i="17"/>
  <c r="J102" i="17"/>
  <c r="K102" i="17"/>
  <c r="L102" i="17"/>
  <c r="M102" i="17"/>
  <c r="N102" i="17"/>
  <c r="O102" i="17"/>
  <c r="P102" i="17"/>
  <c r="Q102" i="17"/>
  <c r="E102" i="17"/>
  <c r="R102" i="17"/>
  <c r="S102" i="17"/>
  <c r="C100" i="17"/>
  <c r="D100" i="17"/>
  <c r="G100" i="17"/>
  <c r="H100" i="17"/>
  <c r="I100" i="17"/>
  <c r="J100" i="17"/>
  <c r="K100" i="17"/>
  <c r="L100" i="17"/>
  <c r="M100" i="17"/>
  <c r="N100" i="17"/>
  <c r="O100" i="17"/>
  <c r="P100" i="17"/>
  <c r="Q100" i="17"/>
  <c r="E100" i="17"/>
  <c r="R100" i="17"/>
  <c r="S100" i="17"/>
  <c r="B111" i="17"/>
  <c r="B102" i="17"/>
  <c r="B100" i="17"/>
  <c r="C94" i="17"/>
  <c r="D94" i="17"/>
  <c r="G94" i="17"/>
  <c r="H94" i="17"/>
  <c r="I94" i="17"/>
  <c r="J94" i="17"/>
  <c r="J112" i="17" s="1"/>
  <c r="J120" i="17" s="1"/>
  <c r="K94" i="17"/>
  <c r="L94" i="17"/>
  <c r="M94" i="17"/>
  <c r="N94" i="17"/>
  <c r="N112" i="17" s="1"/>
  <c r="O94" i="17"/>
  <c r="P94" i="17"/>
  <c r="Q94" i="17"/>
  <c r="E94" i="17"/>
  <c r="R94" i="17"/>
  <c r="S94" i="17"/>
  <c r="B94" i="17"/>
  <c r="C91" i="17"/>
  <c r="D91" i="17"/>
  <c r="G91" i="17"/>
  <c r="H91" i="17"/>
  <c r="I91" i="17"/>
  <c r="J91" i="17"/>
  <c r="K91" i="17"/>
  <c r="L91" i="17"/>
  <c r="M91" i="17"/>
  <c r="N91" i="17"/>
  <c r="O91" i="17"/>
  <c r="P91" i="17"/>
  <c r="Q91" i="17"/>
  <c r="Q112" i="17" s="1"/>
  <c r="Q120" i="17" s="1"/>
  <c r="R91" i="17"/>
  <c r="S91" i="17"/>
  <c r="B91" i="17"/>
  <c r="C88" i="17"/>
  <c r="C112" i="17" s="1"/>
  <c r="C120" i="17" s="1"/>
  <c r="G88" i="17"/>
  <c r="H88" i="17"/>
  <c r="I88" i="17"/>
  <c r="I112" i="17"/>
  <c r="J88" i="17"/>
  <c r="K88" i="17"/>
  <c r="L88" i="17"/>
  <c r="M88" i="17"/>
  <c r="M112" i="17" s="1"/>
  <c r="M120" i="17" s="1"/>
  <c r="N88" i="17"/>
  <c r="O88" i="17"/>
  <c r="P88" i="17"/>
  <c r="P112" i="17" s="1"/>
  <c r="Q88" i="17"/>
  <c r="E88" i="17"/>
  <c r="R88" i="17"/>
  <c r="R112" i="17" s="1"/>
  <c r="R120" i="17" s="1"/>
  <c r="S88" i="17"/>
  <c r="B88" i="17"/>
  <c r="T89" i="17"/>
  <c r="T92" i="17"/>
  <c r="T93" i="17"/>
  <c r="Z93" i="17" s="1"/>
  <c r="T95" i="17"/>
  <c r="Z95" i="17" s="1"/>
  <c r="T96" i="17"/>
  <c r="Z96" i="17" s="1"/>
  <c r="T97" i="17"/>
  <c r="Z97" i="17" s="1"/>
  <c r="T98" i="17"/>
  <c r="T99" i="17"/>
  <c r="Z99" i="17" s="1"/>
  <c r="T101" i="17"/>
  <c r="Z101" i="17" s="1"/>
  <c r="Z102" i="17" s="1"/>
  <c r="T103" i="17"/>
  <c r="T104" i="17"/>
  <c r="Z104" i="17" s="1"/>
  <c r="T105" i="17"/>
  <c r="Z105" i="17" s="1"/>
  <c r="T106" i="17"/>
  <c r="T107" i="17"/>
  <c r="Z107" i="17" s="1"/>
  <c r="T108" i="17"/>
  <c r="Z108" i="17" s="1"/>
  <c r="T109" i="17"/>
  <c r="Z109" i="17" s="1"/>
  <c r="T110" i="17"/>
  <c r="T113" i="17"/>
  <c r="T114" i="17"/>
  <c r="Z114" i="17" s="1"/>
  <c r="T116" i="17"/>
  <c r="T117" i="17" s="1"/>
  <c r="T118" i="17"/>
  <c r="T119" i="17" s="1"/>
  <c r="T86" i="17"/>
  <c r="Z86" i="17" s="1"/>
  <c r="T87" i="17"/>
  <c r="Z87" i="17" s="1"/>
  <c r="C80" i="17"/>
  <c r="D80" i="17"/>
  <c r="G80" i="17"/>
  <c r="H80" i="17"/>
  <c r="I80" i="17"/>
  <c r="J80" i="17"/>
  <c r="K80" i="17"/>
  <c r="L80" i="17"/>
  <c r="M80" i="17"/>
  <c r="N80" i="17"/>
  <c r="O80" i="17"/>
  <c r="P80" i="17"/>
  <c r="Q80" i="17"/>
  <c r="E80" i="17"/>
  <c r="R80" i="17"/>
  <c r="S80" i="17"/>
  <c r="B80" i="17"/>
  <c r="C77" i="17"/>
  <c r="D77" i="17"/>
  <c r="G77" i="17"/>
  <c r="H77" i="17"/>
  <c r="I77" i="17"/>
  <c r="J77" i="17"/>
  <c r="K77" i="17"/>
  <c r="L77" i="17"/>
  <c r="M77" i="17"/>
  <c r="N77" i="17"/>
  <c r="O77" i="17"/>
  <c r="P77" i="17"/>
  <c r="Q77" i="17"/>
  <c r="E77" i="17"/>
  <c r="R77" i="17"/>
  <c r="S77" i="17"/>
  <c r="B77" i="17"/>
  <c r="C72" i="17"/>
  <c r="D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B72" i="17"/>
  <c r="C67" i="17"/>
  <c r="D67" i="17"/>
  <c r="G67" i="17"/>
  <c r="H67" i="17"/>
  <c r="I67" i="17"/>
  <c r="J67" i="17"/>
  <c r="K67" i="17"/>
  <c r="L67" i="17"/>
  <c r="M67" i="17"/>
  <c r="N67" i="17"/>
  <c r="O67" i="17"/>
  <c r="P67" i="17"/>
  <c r="Q67" i="17"/>
  <c r="E67" i="17"/>
  <c r="R67" i="17"/>
  <c r="S67" i="17"/>
  <c r="B67" i="17"/>
  <c r="C62" i="17"/>
  <c r="D62" i="17"/>
  <c r="G62" i="17"/>
  <c r="H62" i="17"/>
  <c r="I62" i="17"/>
  <c r="J62" i="17"/>
  <c r="K62" i="17"/>
  <c r="L62" i="17"/>
  <c r="M62" i="17"/>
  <c r="N62" i="17"/>
  <c r="O62" i="17"/>
  <c r="P62" i="17"/>
  <c r="Q62" i="17"/>
  <c r="E62" i="17"/>
  <c r="R62" i="17"/>
  <c r="S62" i="17"/>
  <c r="B62" i="17"/>
  <c r="C58" i="17"/>
  <c r="D58" i="17"/>
  <c r="G58" i="17"/>
  <c r="H58" i="17"/>
  <c r="I58" i="17"/>
  <c r="J58" i="17"/>
  <c r="K58" i="17"/>
  <c r="L58" i="17"/>
  <c r="M58" i="17"/>
  <c r="N58" i="17"/>
  <c r="O58" i="17"/>
  <c r="P58" i="17"/>
  <c r="Q58" i="17"/>
  <c r="E58" i="17"/>
  <c r="R58" i="17"/>
  <c r="S58" i="17"/>
  <c r="B58" i="17"/>
  <c r="C35" i="17"/>
  <c r="D35" i="17"/>
  <c r="G35" i="17"/>
  <c r="H35" i="17"/>
  <c r="I35" i="17"/>
  <c r="J35" i="17"/>
  <c r="J56" i="17" s="1"/>
  <c r="K35" i="17"/>
  <c r="L35" i="17"/>
  <c r="M35" i="17"/>
  <c r="N35" i="17"/>
  <c r="O35" i="17"/>
  <c r="P35" i="17"/>
  <c r="Q35" i="17"/>
  <c r="R35" i="17"/>
  <c r="R56" i="17" s="1"/>
  <c r="S35" i="17"/>
  <c r="B35" i="17"/>
  <c r="C55" i="17"/>
  <c r="D55" i="17"/>
  <c r="G55" i="17"/>
  <c r="H55" i="17"/>
  <c r="I55" i="17"/>
  <c r="J55" i="17"/>
  <c r="K55" i="17"/>
  <c r="L55" i="17"/>
  <c r="M55" i="17"/>
  <c r="N55" i="17"/>
  <c r="O55" i="17"/>
  <c r="P55" i="17"/>
  <c r="Q55" i="17"/>
  <c r="E55" i="17"/>
  <c r="R55" i="17"/>
  <c r="S55" i="17"/>
  <c r="B55" i="17"/>
  <c r="C46" i="17"/>
  <c r="C56" i="17" s="1"/>
  <c r="D46" i="17"/>
  <c r="G46" i="17"/>
  <c r="H46" i="17"/>
  <c r="I46" i="17"/>
  <c r="I56" i="17" s="1"/>
  <c r="I81" i="17" s="1"/>
  <c r="J46" i="17"/>
  <c r="K46" i="17"/>
  <c r="L46" i="17"/>
  <c r="M46" i="17"/>
  <c r="M56" i="17" s="1"/>
  <c r="N46" i="17"/>
  <c r="O46" i="17"/>
  <c r="P46" i="17"/>
  <c r="Q46" i="17"/>
  <c r="Q56" i="17" s="1"/>
  <c r="Q81" i="17" s="1"/>
  <c r="Q121" i="17" s="1"/>
  <c r="E46" i="17"/>
  <c r="R46" i="17"/>
  <c r="S46" i="17"/>
  <c r="B46" i="17"/>
  <c r="B56" i="17" s="1"/>
  <c r="C38" i="17"/>
  <c r="D38" i="17"/>
  <c r="G38" i="17"/>
  <c r="H38" i="17"/>
  <c r="H56" i="17" s="1"/>
  <c r="H81" i="17" s="1"/>
  <c r="I38" i="17"/>
  <c r="J38" i="17"/>
  <c r="K38" i="17"/>
  <c r="L38" i="17"/>
  <c r="L56" i="17" s="1"/>
  <c r="M38" i="17"/>
  <c r="N38" i="17"/>
  <c r="O38" i="17"/>
  <c r="P38" i="17"/>
  <c r="P56" i="17" s="1"/>
  <c r="P81" i="17" s="1"/>
  <c r="Q38" i="17"/>
  <c r="E38" i="17"/>
  <c r="R38" i="17"/>
  <c r="S38" i="17"/>
  <c r="S56" i="17" s="1"/>
  <c r="B38" i="17"/>
  <c r="C29" i="17"/>
  <c r="D29" i="17"/>
  <c r="G29" i="17"/>
  <c r="H29" i="17"/>
  <c r="I29" i="17"/>
  <c r="J29" i="17"/>
  <c r="K29" i="17"/>
  <c r="K30" i="17" s="1"/>
  <c r="K81" i="17" s="1"/>
  <c r="L29" i="17"/>
  <c r="M29" i="17"/>
  <c r="N29" i="17"/>
  <c r="O29" i="17"/>
  <c r="P29" i="17"/>
  <c r="Q29" i="17"/>
  <c r="E29" i="17"/>
  <c r="R29" i="17"/>
  <c r="R30" i="17" s="1"/>
  <c r="R81" i="17" s="1"/>
  <c r="S29" i="17"/>
  <c r="T27" i="17"/>
  <c r="Z27" i="17" s="1"/>
  <c r="T28" i="17"/>
  <c r="Z28" i="17" s="1"/>
  <c r="T32" i="17"/>
  <c r="T34" i="17"/>
  <c r="Z34" i="17" s="1"/>
  <c r="T36" i="17"/>
  <c r="T37" i="17"/>
  <c r="Z37" i="17" s="1"/>
  <c r="T39" i="17"/>
  <c r="T46" i="17" s="1"/>
  <c r="T40" i="17"/>
  <c r="Z40" i="17" s="1"/>
  <c r="T41" i="17"/>
  <c r="Z41" i="17" s="1"/>
  <c r="T42" i="17"/>
  <c r="Z42" i="17" s="1"/>
  <c r="T43" i="17"/>
  <c r="Z43" i="17" s="1"/>
  <c r="T44" i="17"/>
  <c r="Z44" i="17" s="1"/>
  <c r="T45" i="17"/>
  <c r="Z45" i="17" s="1"/>
  <c r="T47" i="17"/>
  <c r="T48" i="17"/>
  <c r="Z48" i="17" s="1"/>
  <c r="T49" i="17"/>
  <c r="Z49" i="17" s="1"/>
  <c r="T50" i="17"/>
  <c r="Z50" i="17" s="1"/>
  <c r="T51" i="17"/>
  <c r="T52" i="17"/>
  <c r="Z52" i="17" s="1"/>
  <c r="T53" i="17"/>
  <c r="Z53" i="17" s="1"/>
  <c r="T54" i="17"/>
  <c r="Z54" i="17" s="1"/>
  <c r="T57" i="17"/>
  <c r="Z57" i="17" s="1"/>
  <c r="T59" i="17"/>
  <c r="T62" i="17" s="1"/>
  <c r="T60" i="17"/>
  <c r="Z60" i="17" s="1"/>
  <c r="T61" i="17"/>
  <c r="Z61" i="17" s="1"/>
  <c r="T63" i="17"/>
  <c r="T64" i="17"/>
  <c r="Z64" i="17" s="1"/>
  <c r="T65" i="17"/>
  <c r="Z65" i="17" s="1"/>
  <c r="T66" i="17"/>
  <c r="Z66" i="17" s="1"/>
  <c r="T68" i="17"/>
  <c r="T69" i="17"/>
  <c r="Z69" i="17" s="1"/>
  <c r="T71" i="17"/>
  <c r="T73" i="17"/>
  <c r="T77" i="17" s="1"/>
  <c r="T74" i="17"/>
  <c r="Z74" i="17" s="1"/>
  <c r="T75" i="17"/>
  <c r="Z75" i="17" s="1"/>
  <c r="T76" i="17"/>
  <c r="Z76" i="17" s="1"/>
  <c r="T78" i="17"/>
  <c r="Z78" i="17" s="1"/>
  <c r="Z80" i="17" s="1"/>
  <c r="T79" i="17"/>
  <c r="Z79" i="17" s="1"/>
  <c r="T13" i="17"/>
  <c r="Z13" i="17" s="1"/>
  <c r="T14" i="17"/>
  <c r="Z14" i="17" s="1"/>
  <c r="T15" i="17"/>
  <c r="T16" i="17"/>
  <c r="Z16" i="17" s="1"/>
  <c r="T17" i="17"/>
  <c r="Z17" i="17" s="1"/>
  <c r="T18" i="17"/>
  <c r="T19" i="17"/>
  <c r="Z19" i="17" s="1"/>
  <c r="T20" i="17"/>
  <c r="Z20" i="17" s="1"/>
  <c r="T21" i="17"/>
  <c r="Z21" i="17"/>
  <c r="T22" i="17"/>
  <c r="Z22" i="17" s="1"/>
  <c r="T23" i="17"/>
  <c r="Z23" i="17" s="1"/>
  <c r="T24" i="17"/>
  <c r="Z24" i="17" s="1"/>
  <c r="C25" i="17"/>
  <c r="D25" i="17"/>
  <c r="G25" i="17"/>
  <c r="H25" i="17"/>
  <c r="I25" i="17"/>
  <c r="J25" i="17"/>
  <c r="J30" i="17" s="1"/>
  <c r="K25" i="17"/>
  <c r="L25" i="17"/>
  <c r="M25" i="17"/>
  <c r="O25" i="17"/>
  <c r="P25" i="17"/>
  <c r="Q25" i="17"/>
  <c r="R25" i="17"/>
  <c r="S25" i="17"/>
  <c r="S30" i="17" s="1"/>
  <c r="B25" i="17"/>
  <c r="B11" i="17"/>
  <c r="X11" i="17"/>
  <c r="W11" i="17"/>
  <c r="V11" i="17"/>
  <c r="S11" i="17"/>
  <c r="R11" i="17"/>
  <c r="E11" i="17"/>
  <c r="Q11" i="17"/>
  <c r="P11" i="17"/>
  <c r="O11" i="17"/>
  <c r="N11" i="17"/>
  <c r="M11" i="17"/>
  <c r="L11" i="17"/>
  <c r="K11" i="17"/>
  <c r="J11" i="17"/>
  <c r="I11" i="17"/>
  <c r="H11" i="17"/>
  <c r="G11" i="17"/>
  <c r="D11" i="17"/>
  <c r="C11" i="17"/>
  <c r="Y10" i="17"/>
  <c r="T10" i="17"/>
  <c r="Y9" i="17"/>
  <c r="T9" i="17"/>
  <c r="Y8" i="17"/>
  <c r="Z8" i="17" s="1"/>
  <c r="T8" i="17"/>
  <c r="Y7" i="17"/>
  <c r="Z7" i="17" s="1"/>
  <c r="T7" i="17"/>
  <c r="Y6" i="17"/>
  <c r="Z6" i="17" s="1"/>
  <c r="T6" i="17"/>
  <c r="Y5" i="17"/>
  <c r="Z5" i="17" s="1"/>
  <c r="T5" i="17"/>
  <c r="Y4" i="17"/>
  <c r="T4" i="17"/>
  <c r="E33" i="17"/>
  <c r="C11" i="16"/>
  <c r="B11" i="16"/>
  <c r="D2" i="16"/>
  <c r="C20" i="11" s="1"/>
  <c r="E12" i="17" s="1"/>
  <c r="M6" i="11"/>
  <c r="M7" i="11"/>
  <c r="M8" i="11"/>
  <c r="M9" i="11"/>
  <c r="M10" i="11"/>
  <c r="M11" i="11"/>
  <c r="M12" i="11"/>
  <c r="M13" i="11"/>
  <c r="M14" i="11"/>
  <c r="M16" i="11"/>
  <c r="M17" i="11"/>
  <c r="M18" i="11"/>
  <c r="M19" i="11"/>
  <c r="M20" i="11"/>
  <c r="H20" i="4" s="1"/>
  <c r="H23" i="4" s="1"/>
  <c r="M21" i="11"/>
  <c r="M5" i="11"/>
  <c r="S21" i="11"/>
  <c r="S27" i="11"/>
  <c r="S8" i="11"/>
  <c r="S9" i="11"/>
  <c r="S7" i="11"/>
  <c r="S6" i="11"/>
  <c r="C13" i="15"/>
  <c r="D13" i="15" s="1"/>
  <c r="C11" i="15"/>
  <c r="D11" i="15" s="1"/>
  <c r="C10" i="15"/>
  <c r="D10" i="15" s="1"/>
  <c r="C9" i="15"/>
  <c r="D9" i="15" s="1"/>
  <c r="C6" i="15"/>
  <c r="C5" i="15"/>
  <c r="C2" i="15"/>
  <c r="S31" i="11"/>
  <c r="M31" i="11"/>
  <c r="J31" i="11"/>
  <c r="N31" i="11" s="1"/>
  <c r="T31" i="11" s="1"/>
  <c r="U30" i="11"/>
  <c r="R30" i="11"/>
  <c r="L30" i="11"/>
  <c r="K30" i="11"/>
  <c r="I30" i="11"/>
  <c r="F30" i="11"/>
  <c r="M27" i="11"/>
  <c r="M30" i="11"/>
  <c r="S24" i="11"/>
  <c r="M24" i="11"/>
  <c r="J24" i="11"/>
  <c r="S23" i="11"/>
  <c r="T23" i="11" s="1"/>
  <c r="M23" i="11"/>
  <c r="J23" i="11"/>
  <c r="N23" i="11" s="1"/>
  <c r="U22" i="11"/>
  <c r="L22" i="11"/>
  <c r="K22" i="11"/>
  <c r="I22" i="11"/>
  <c r="F22" i="11"/>
  <c r="J21" i="11"/>
  <c r="S19" i="11"/>
  <c r="J19" i="11"/>
  <c r="J18" i="11"/>
  <c r="S17" i="11"/>
  <c r="J17" i="11"/>
  <c r="J16" i="11"/>
  <c r="S12" i="11"/>
  <c r="J12" i="11"/>
  <c r="S11" i="11"/>
  <c r="J11" i="11"/>
  <c r="J10" i="11"/>
  <c r="J9" i="11"/>
  <c r="N9" i="11" s="1"/>
  <c r="J7" i="11"/>
  <c r="J6" i="11"/>
  <c r="S5" i="11"/>
  <c r="J5" i="11"/>
  <c r="N5" i="11" s="1"/>
  <c r="C28" i="13"/>
  <c r="D28" i="13"/>
  <c r="E28" i="13"/>
  <c r="F28" i="13"/>
  <c r="G28" i="13"/>
  <c r="H28" i="13"/>
  <c r="I28" i="13"/>
  <c r="J28" i="13"/>
  <c r="K28" i="13"/>
  <c r="L28" i="13"/>
  <c r="M28" i="13"/>
  <c r="N28" i="13"/>
  <c r="O27" i="13"/>
  <c r="O25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C11" i="13"/>
  <c r="D11" i="13"/>
  <c r="E11" i="13"/>
  <c r="F11" i="13"/>
  <c r="G11" i="13"/>
  <c r="H11" i="13"/>
  <c r="J11" i="13"/>
  <c r="K11" i="13"/>
  <c r="L11" i="13"/>
  <c r="M11" i="13"/>
  <c r="N11" i="13"/>
  <c r="O12" i="13"/>
  <c r="O13" i="13"/>
  <c r="B26" i="10"/>
  <c r="B16" i="5"/>
  <c r="C15" i="8"/>
  <c r="B15" i="10"/>
  <c r="O26" i="13"/>
  <c r="S112" i="17"/>
  <c r="S120" i="17" s="1"/>
  <c r="P120" i="17"/>
  <c r="L112" i="17"/>
  <c r="H112" i="17"/>
  <c r="H120" i="17" s="1"/>
  <c r="B112" i="17"/>
  <c r="B120" i="17" s="1"/>
  <c r="I120" i="17"/>
  <c r="N120" i="17"/>
  <c r="O112" i="17"/>
  <c r="O120" i="17" s="1"/>
  <c r="K112" i="17"/>
  <c r="K120" i="17" s="1"/>
  <c r="G112" i="17"/>
  <c r="L120" i="17"/>
  <c r="G120" i="17"/>
  <c r="G121" i="17" s="1"/>
  <c r="D88" i="17"/>
  <c r="P30" i="17"/>
  <c r="L30" i="17"/>
  <c r="H30" i="17"/>
  <c r="C30" i="17"/>
  <c r="Q30" i="17"/>
  <c r="M30" i="17"/>
  <c r="M81" i="17" s="1"/>
  <c r="M121" i="17" s="1"/>
  <c r="I30" i="17"/>
  <c r="D30" i="17"/>
  <c r="Z4" i="17"/>
  <c r="Z10" i="17"/>
  <c r="G30" i="17"/>
  <c r="G81" i="17" s="1"/>
  <c r="O56" i="17"/>
  <c r="K56" i="17"/>
  <c r="G56" i="17"/>
  <c r="Z9" i="17"/>
  <c r="T11" i="17"/>
  <c r="S18" i="11"/>
  <c r="K121" i="17"/>
  <c r="W30" i="17"/>
  <c r="N18" i="11" l="1"/>
  <c r="T18" i="11" s="1"/>
  <c r="K32" i="11"/>
  <c r="B26" i="13" s="1"/>
  <c r="C20" i="15"/>
  <c r="N56" i="17"/>
  <c r="D56" i="17"/>
  <c r="D81" i="17" s="1"/>
  <c r="Z113" i="17"/>
  <c r="Z115" i="17" s="1"/>
  <c r="T115" i="17"/>
  <c r="T111" i="17"/>
  <c r="Z103" i="17"/>
  <c r="Z111" i="17" s="1"/>
  <c r="Z92" i="17"/>
  <c r="Z94" i="17" s="1"/>
  <c r="T94" i="17"/>
  <c r="R121" i="17"/>
  <c r="X30" i="17"/>
  <c r="X81" i="17" s="1"/>
  <c r="X121" i="17" s="1"/>
  <c r="X31" i="17"/>
  <c r="L81" i="17"/>
  <c r="L121" i="17" s="1"/>
  <c r="H121" i="17"/>
  <c r="T67" i="17"/>
  <c r="T55" i="17"/>
  <c r="F81" i="17"/>
  <c r="V56" i="17"/>
  <c r="Y46" i="17"/>
  <c r="J81" i="17"/>
  <c r="J121" i="17" s="1"/>
  <c r="Z36" i="17"/>
  <c r="Z38" i="17" s="1"/>
  <c r="T38" i="17"/>
  <c r="Z100" i="17"/>
  <c r="F112" i="17"/>
  <c r="F120" i="17" s="1"/>
  <c r="F121" i="17" s="1"/>
  <c r="Z62" i="17"/>
  <c r="Z77" i="17"/>
  <c r="Y112" i="17"/>
  <c r="Y120" i="17" s="1"/>
  <c r="T21" i="11"/>
  <c r="S81" i="17"/>
  <c r="S121" i="17" s="1"/>
  <c r="O30" i="17"/>
  <c r="O81" i="17" s="1"/>
  <c r="O121" i="17" s="1"/>
  <c r="C81" i="17"/>
  <c r="C121" i="17" s="1"/>
  <c r="I121" i="17"/>
  <c r="P121" i="17"/>
  <c r="O28" i="13"/>
  <c r="N20" i="4"/>
  <c r="Z46" i="17"/>
  <c r="N10" i="11"/>
  <c r="F32" i="11"/>
  <c r="N24" i="11"/>
  <c r="Y35" i="17"/>
  <c r="Y56" i="17" s="1"/>
  <c r="Z47" i="17"/>
  <c r="Z55" i="17" s="1"/>
  <c r="Z63" i="17"/>
  <c r="Z67" i="17" s="1"/>
  <c r="T100" i="17"/>
  <c r="N12" i="17"/>
  <c r="N31" i="17"/>
  <c r="P10" i="11"/>
  <c r="S10" i="11" s="1"/>
  <c r="N6" i="11"/>
  <c r="T6" i="11" s="1"/>
  <c r="O22" i="11"/>
  <c r="O32" i="11" s="1"/>
  <c r="B9" i="13" s="1"/>
  <c r="I32" i="11"/>
  <c r="N14" i="4"/>
  <c r="B5" i="5"/>
  <c r="B7" i="5" s="1"/>
  <c r="N17" i="11"/>
  <c r="T17" i="11" s="1"/>
  <c r="T58" i="17"/>
  <c r="T102" i="17"/>
  <c r="Z116" i="17"/>
  <c r="Z117" i="17" s="1"/>
  <c r="D112" i="17"/>
  <c r="D120" i="17" s="1"/>
  <c r="O14" i="13"/>
  <c r="T24" i="11"/>
  <c r="B26" i="17"/>
  <c r="B29" i="17" s="1"/>
  <c r="B30" i="17" s="1"/>
  <c r="B31" i="17"/>
  <c r="C22" i="11"/>
  <c r="Z85" i="17"/>
  <c r="T72" i="17"/>
  <c r="C18" i="15"/>
  <c r="Z18" i="17"/>
  <c r="Z32" i="17"/>
  <c r="O23" i="13"/>
  <c r="O21" i="13"/>
  <c r="O22" i="13"/>
  <c r="N11" i="11"/>
  <c r="T11" i="11" s="1"/>
  <c r="N16" i="11"/>
  <c r="T16" i="11" s="1"/>
  <c r="N7" i="11"/>
  <c r="T7" i="11" s="1"/>
  <c r="T5" i="11"/>
  <c r="L32" i="11"/>
  <c r="M22" i="11"/>
  <c r="M32" i="11" s="1"/>
  <c r="N12" i="11"/>
  <c r="T12" i="11" s="1"/>
  <c r="Z11" i="17"/>
  <c r="Y11" i="17"/>
  <c r="U32" i="11"/>
  <c r="E72" i="17"/>
  <c r="D11" i="16"/>
  <c r="R20" i="11" s="1"/>
  <c r="B8" i="13" s="1"/>
  <c r="E35" i="17"/>
  <c r="E56" i="17" s="1"/>
  <c r="T33" i="17"/>
  <c r="E25" i="17"/>
  <c r="E30" i="17" s="1"/>
  <c r="Z70" i="17"/>
  <c r="Z72" i="17" s="1"/>
  <c r="T9" i="11"/>
  <c r="H11" i="18"/>
  <c r="O7" i="18"/>
  <c r="P13" i="11" s="1"/>
  <c r="H7" i="18"/>
  <c r="G14" i="18"/>
  <c r="H10" i="18"/>
  <c r="E27" i="11"/>
  <c r="D14" i="18"/>
  <c r="D13" i="18"/>
  <c r="Z82" i="17"/>
  <c r="T88" i="17"/>
  <c r="N25" i="17"/>
  <c r="N30" i="17" s="1"/>
  <c r="T10" i="11" l="1"/>
  <c r="T19" i="11"/>
  <c r="Z88" i="17"/>
  <c r="T26" i="17"/>
  <c r="N13" i="4"/>
  <c r="S13" i="11"/>
  <c r="B6" i="13"/>
  <c r="P22" i="11"/>
  <c r="D121" i="17"/>
  <c r="E20" i="13"/>
  <c r="I20" i="13"/>
  <c r="M20" i="13"/>
  <c r="F20" i="13"/>
  <c r="J20" i="13"/>
  <c r="N20" i="13"/>
  <c r="C20" i="13"/>
  <c r="G20" i="13"/>
  <c r="K20" i="13"/>
  <c r="H20" i="13"/>
  <c r="L20" i="13"/>
  <c r="D20" i="13"/>
  <c r="H13" i="18"/>
  <c r="H14" i="18" s="1"/>
  <c r="C8" i="5"/>
  <c r="U12" i="17"/>
  <c r="C27" i="11"/>
  <c r="B10" i="5"/>
  <c r="N9" i="13"/>
  <c r="C9" i="13"/>
  <c r="G9" i="13"/>
  <c r="K9" i="13"/>
  <c r="H9" i="13"/>
  <c r="D9" i="13"/>
  <c r="L9" i="13"/>
  <c r="J9" i="13"/>
  <c r="E9" i="13"/>
  <c r="I9" i="13"/>
  <c r="M9" i="13"/>
  <c r="F9" i="13"/>
  <c r="C8" i="13"/>
  <c r="G8" i="13"/>
  <c r="K8" i="13"/>
  <c r="H8" i="13"/>
  <c r="D8" i="13"/>
  <c r="L8" i="13"/>
  <c r="F8" i="13"/>
  <c r="N8" i="13"/>
  <c r="E8" i="13"/>
  <c r="I8" i="13"/>
  <c r="M8" i="13"/>
  <c r="J8" i="13"/>
  <c r="N21" i="4"/>
  <c r="N23" i="4" s="1"/>
  <c r="B25" i="13"/>
  <c r="B28" i="13" s="1"/>
  <c r="O11" i="13"/>
  <c r="E90" i="17"/>
  <c r="E91" i="17" s="1"/>
  <c r="E112" i="17" s="1"/>
  <c r="E120" i="17" s="1"/>
  <c r="E81" i="17"/>
  <c r="R22" i="11"/>
  <c r="R32" i="11" s="1"/>
  <c r="S20" i="11"/>
  <c r="J20" i="11"/>
  <c r="T12" i="17"/>
  <c r="T35" i="17"/>
  <c r="T56" i="17" s="1"/>
  <c r="Z33" i="17"/>
  <c r="Z35" i="17" s="1"/>
  <c r="Z56" i="17" s="1"/>
  <c r="J14" i="11"/>
  <c r="N14" i="11" s="1"/>
  <c r="T14" i="11" s="1"/>
  <c r="I10" i="18"/>
  <c r="I4" i="18"/>
  <c r="I6" i="18"/>
  <c r="I11" i="18"/>
  <c r="I7" i="18"/>
  <c r="I12" i="18"/>
  <c r="I5" i="18"/>
  <c r="N81" i="17"/>
  <c r="N121" i="17" s="1"/>
  <c r="T29" i="17"/>
  <c r="Z26" i="17"/>
  <c r="Z29" i="17" s="1"/>
  <c r="E13" i="11" l="1"/>
  <c r="E22" i="11" s="1"/>
  <c r="C14" i="5"/>
  <c r="U31" i="17"/>
  <c r="D27" i="11"/>
  <c r="J27" i="11" s="1"/>
  <c r="N27" i="11" s="1"/>
  <c r="T27" i="11" s="1"/>
  <c r="O20" i="13"/>
  <c r="E19" i="13"/>
  <c r="I19" i="13"/>
  <c r="M19" i="13"/>
  <c r="F19" i="13"/>
  <c r="J19" i="13"/>
  <c r="N19" i="13"/>
  <c r="C19" i="13"/>
  <c r="G19" i="13"/>
  <c r="K19" i="13"/>
  <c r="L19" i="13"/>
  <c r="D19" i="13"/>
  <c r="H19" i="13"/>
  <c r="B25" i="5"/>
  <c r="B26" i="5" s="1"/>
  <c r="B18" i="5"/>
  <c r="U25" i="17"/>
  <c r="U30" i="17" s="1"/>
  <c r="C6" i="13"/>
  <c r="F6" i="13"/>
  <c r="J6" i="13"/>
  <c r="N6" i="13"/>
  <c r="G6" i="13"/>
  <c r="K6" i="13"/>
  <c r="D6" i="13"/>
  <c r="H6" i="13"/>
  <c r="L6" i="13"/>
  <c r="M6" i="13"/>
  <c r="E6" i="13"/>
  <c r="I6" i="13"/>
  <c r="S22" i="11"/>
  <c r="T20" i="11"/>
  <c r="O8" i="13"/>
  <c r="O9" i="13"/>
  <c r="T90" i="17"/>
  <c r="T91" i="17" s="1"/>
  <c r="T112" i="17" s="1"/>
  <c r="T120" i="17" s="1"/>
  <c r="E121" i="17"/>
  <c r="T25" i="17"/>
  <c r="T30" i="17" s="1"/>
  <c r="C7" i="5"/>
  <c r="V31" i="17" s="1"/>
  <c r="I14" i="18"/>
  <c r="C5" i="5" s="1"/>
  <c r="T31" i="17"/>
  <c r="B81" i="17"/>
  <c r="B121" i="17" s="1"/>
  <c r="D22" i="11"/>
  <c r="J8" i="11"/>
  <c r="O6" i="13" l="1"/>
  <c r="C16" i="5"/>
  <c r="P28" i="11" s="1"/>
  <c r="U81" i="17"/>
  <c r="U121" i="17" s="1"/>
  <c r="O19" i="13"/>
  <c r="Y31" i="17"/>
  <c r="Z31" i="17" s="1"/>
  <c r="V12" i="17"/>
  <c r="C28" i="11"/>
  <c r="C30" i="11" s="1"/>
  <c r="C32" i="11" s="1"/>
  <c r="Z90" i="17"/>
  <c r="Z91" i="17" s="1"/>
  <c r="Z112" i="17" s="1"/>
  <c r="Z120" i="17" s="1"/>
  <c r="D28" i="11"/>
  <c r="D30" i="11" s="1"/>
  <c r="D32" i="11" s="1"/>
  <c r="E28" i="11"/>
  <c r="E30" i="11" s="1"/>
  <c r="E32" i="11" s="1"/>
  <c r="J13" i="11"/>
  <c r="N13" i="11" s="1"/>
  <c r="T13" i="11" s="1"/>
  <c r="T81" i="17"/>
  <c r="T121" i="17" s="1"/>
  <c r="N8" i="11"/>
  <c r="N12" i="4" l="1"/>
  <c r="B18" i="13"/>
  <c r="N11" i="4"/>
  <c r="B17" i="13"/>
  <c r="N10" i="4"/>
  <c r="B16" i="13"/>
  <c r="V25" i="17"/>
  <c r="V30" i="17" s="1"/>
  <c r="V81" i="17" s="1"/>
  <c r="V121" i="17" s="1"/>
  <c r="Y12" i="17"/>
  <c r="B7" i="13"/>
  <c r="S28" i="11"/>
  <c r="S30" i="11" s="1"/>
  <c r="S32" i="11" s="1"/>
  <c r="H10" i="4" s="1"/>
  <c r="H18" i="4" s="1"/>
  <c r="H26" i="4" s="1"/>
  <c r="P30" i="11"/>
  <c r="P32" i="11" s="1"/>
  <c r="C10" i="5"/>
  <c r="C18" i="5" s="1"/>
  <c r="C25" i="5" s="1"/>
  <c r="C26" i="5" s="1"/>
  <c r="J28" i="11"/>
  <c r="N28" i="11" s="1"/>
  <c r="J22" i="11"/>
  <c r="T8" i="11"/>
  <c r="N22" i="11"/>
  <c r="T22" i="11" s="1"/>
  <c r="F7" i="13" l="1"/>
  <c r="F10" i="13" s="1"/>
  <c r="F15" i="13" s="1"/>
  <c r="J7" i="13"/>
  <c r="J10" i="13" s="1"/>
  <c r="J15" i="13" s="1"/>
  <c r="N7" i="13"/>
  <c r="N10" i="13" s="1"/>
  <c r="N15" i="13" s="1"/>
  <c r="C7" i="13"/>
  <c r="G7" i="13"/>
  <c r="G10" i="13" s="1"/>
  <c r="G15" i="13" s="1"/>
  <c r="K7" i="13"/>
  <c r="K10" i="13" s="1"/>
  <c r="K15" i="13" s="1"/>
  <c r="D7" i="13"/>
  <c r="D10" i="13" s="1"/>
  <c r="D15" i="13" s="1"/>
  <c r="H7" i="13"/>
  <c r="H10" i="13" s="1"/>
  <c r="H15" i="13" s="1"/>
  <c r="L7" i="13"/>
  <c r="L10" i="13" s="1"/>
  <c r="L15" i="13" s="1"/>
  <c r="E7" i="13"/>
  <c r="E10" i="13" s="1"/>
  <c r="E15" i="13" s="1"/>
  <c r="I7" i="13"/>
  <c r="I10" i="13" s="1"/>
  <c r="I15" i="13" s="1"/>
  <c r="M7" i="13"/>
  <c r="M10" i="13" s="1"/>
  <c r="M15" i="13" s="1"/>
  <c r="B10" i="13"/>
  <c r="B15" i="13" s="1"/>
  <c r="Y25" i="17"/>
  <c r="Y30" i="17" s="1"/>
  <c r="Y81" i="17" s="1"/>
  <c r="Y121" i="17" s="1"/>
  <c r="Z12" i="17"/>
  <c r="Z25" i="17" s="1"/>
  <c r="Z30" i="17" s="1"/>
  <c r="Z81" i="17" s="1"/>
  <c r="Z121" i="17" s="1"/>
  <c r="N18" i="4"/>
  <c r="N26" i="4" s="1"/>
  <c r="C17" i="13"/>
  <c r="G17" i="13"/>
  <c r="K17" i="13"/>
  <c r="D17" i="13"/>
  <c r="H17" i="13"/>
  <c r="L17" i="13"/>
  <c r="E17" i="13"/>
  <c r="I17" i="13"/>
  <c r="M17" i="13"/>
  <c r="F17" i="13"/>
  <c r="J17" i="13"/>
  <c r="N17" i="13"/>
  <c r="C16" i="13"/>
  <c r="G16" i="13"/>
  <c r="K16" i="13"/>
  <c r="D16" i="13"/>
  <c r="H16" i="13"/>
  <c r="L16" i="13"/>
  <c r="E16" i="13"/>
  <c r="I16" i="13"/>
  <c r="M16" i="13"/>
  <c r="F16" i="13"/>
  <c r="J16" i="13"/>
  <c r="N16" i="13"/>
  <c r="B24" i="13"/>
  <c r="E18" i="13"/>
  <c r="I18" i="13"/>
  <c r="M18" i="13"/>
  <c r="F18" i="13"/>
  <c r="J18" i="13"/>
  <c r="N18" i="13"/>
  <c r="C18" i="13"/>
  <c r="G18" i="13"/>
  <c r="K18" i="13"/>
  <c r="D18" i="13"/>
  <c r="H18" i="13"/>
  <c r="L18" i="13"/>
  <c r="J30" i="11"/>
  <c r="J32" i="11" s="1"/>
  <c r="N30" i="11"/>
  <c r="N32" i="11" s="1"/>
  <c r="T28" i="11"/>
  <c r="T30" i="11" s="1"/>
  <c r="T32" i="11" s="1"/>
  <c r="O7" i="13" l="1"/>
  <c r="O10" i="13" s="1"/>
  <c r="O15" i="13" s="1"/>
  <c r="C10" i="13"/>
  <c r="C15" i="13" s="1"/>
  <c r="O16" i="13"/>
  <c r="O17" i="13"/>
  <c r="O18" i="13"/>
  <c r="B29" i="13"/>
  <c r="N24" i="13"/>
  <c r="N29" i="13" s="1"/>
  <c r="I24" i="13"/>
  <c r="I29" i="13" s="1"/>
  <c r="J24" i="13"/>
  <c r="J29" i="13" s="1"/>
  <c r="E24" i="13"/>
  <c r="E29" i="13" s="1"/>
  <c r="F24" i="13"/>
  <c r="F29" i="13" s="1"/>
  <c r="M24" i="13"/>
  <c r="M29" i="13" s="1"/>
  <c r="C24" i="13"/>
  <c r="H24" i="13"/>
  <c r="H29" i="13" s="1"/>
  <c r="G24" i="13"/>
  <c r="G29" i="13" s="1"/>
  <c r="L24" i="13"/>
  <c r="L29" i="13" s="1"/>
  <c r="K24" i="13"/>
  <c r="K29" i="13" s="1"/>
  <c r="D24" i="13"/>
  <c r="D29" i="13" s="1"/>
  <c r="C29" i="13" l="1"/>
  <c r="O29" i="13" s="1"/>
  <c r="O24" i="13"/>
</calcChain>
</file>

<file path=xl/sharedStrings.xml><?xml version="1.0" encoding="utf-8"?>
<sst xmlns="http://schemas.openxmlformats.org/spreadsheetml/2006/main" count="621" uniqueCount="485">
  <si>
    <t>Felújítás</t>
  </si>
  <si>
    <t>Személyi jellegű kiadás</t>
  </si>
  <si>
    <t>Pénzesz-köz átadás műk.célra</t>
  </si>
  <si>
    <t>Dologi jellegű és folyó kiadás</t>
  </si>
  <si>
    <t>Önkorm. szoc.politi-kai és egyéb juttatásai</t>
  </si>
  <si>
    <t>1.</t>
  </si>
  <si>
    <t>2.</t>
  </si>
  <si>
    <t>3.</t>
  </si>
  <si>
    <t>4.</t>
  </si>
  <si>
    <t>5.</t>
  </si>
  <si>
    <t>6.</t>
  </si>
  <si>
    <t>7.</t>
  </si>
  <si>
    <t>10.</t>
  </si>
  <si>
    <t>12.</t>
  </si>
  <si>
    <t>14.</t>
  </si>
  <si>
    <t>15.</t>
  </si>
  <si>
    <t>16.</t>
  </si>
  <si>
    <t>17.</t>
  </si>
  <si>
    <t>18.</t>
  </si>
  <si>
    <t>19.</t>
  </si>
  <si>
    <t>23.</t>
  </si>
  <si>
    <t>Óvodai nevelés, ellátás</t>
  </si>
  <si>
    <t>20.</t>
  </si>
  <si>
    <t xml:space="preserve">Beruházás </t>
  </si>
  <si>
    <t>Bevétel</t>
  </si>
  <si>
    <t>Összeg</t>
  </si>
  <si>
    <t>Kiadás</t>
  </si>
  <si>
    <t>Működési költségvetési bevételek összesen</t>
  </si>
  <si>
    <t>Önkormányzat működési bevétele</t>
  </si>
  <si>
    <t>Személyi juttatás</t>
  </si>
  <si>
    <t>Önkormányzat által irányított költségvetési szerv bevétele</t>
  </si>
  <si>
    <t>Munkaadót terhelő járulék és szoc.h.adó</t>
  </si>
  <si>
    <t>Dologi kiadás</t>
  </si>
  <si>
    <t>Működési bevételek összesen</t>
  </si>
  <si>
    <t>Működési kiadás összesen</t>
  </si>
  <si>
    <t>Felhalmozási költségvetési bevételek</t>
  </si>
  <si>
    <t>Felhalmozási költségvetési kiadás</t>
  </si>
  <si>
    <t>Önkormányzat felhalmozási bevétele</t>
  </si>
  <si>
    <t>Felhalmozási bevétel összesen</t>
  </si>
  <si>
    <t>Felhalmozási kiadás összesen</t>
  </si>
  <si>
    <t>BEVÉTEL ÖSSZESEN</t>
  </si>
  <si>
    <t>KIADÁS ÖSSZESEN</t>
  </si>
  <si>
    <t>Működési költségvetési kiadások összesen</t>
  </si>
  <si>
    <t>1. sz. melléklet</t>
  </si>
  <si>
    <t>Pénzeszköz átadás működési célra</t>
  </si>
  <si>
    <t>Önkormányzat által folyósított ellátások</t>
  </si>
  <si>
    <t>Általános tartalék</t>
  </si>
  <si>
    <t>Céltartalék</t>
  </si>
  <si>
    <t>Beruházás</t>
  </si>
  <si>
    <t>Személyi juttatások</t>
  </si>
  <si>
    <t>Munkaadót terhelő járulékok</t>
  </si>
  <si>
    <t>Dologi kiadások-áfával</t>
  </si>
  <si>
    <t>II. Bevételek</t>
  </si>
  <si>
    <t>Intézményi alaptevékenys. bevétele</t>
  </si>
  <si>
    <t>Egyéb intézményi sajátos bevétel</t>
  </si>
  <si>
    <t>Áfa</t>
  </si>
  <si>
    <t>Intézményi működési bev.össz.</t>
  </si>
  <si>
    <t>Kiadás és  bevétel különbözete</t>
  </si>
  <si>
    <t>Bevételek mindösszesen</t>
  </si>
  <si>
    <t>Kiadások mindösszesen</t>
  </si>
  <si>
    <t>I. KIADÁSOK</t>
  </si>
  <si>
    <t xml:space="preserve">   - Állami támogatás</t>
  </si>
  <si>
    <t>Összesen:</t>
  </si>
  <si>
    <t>2/a. számú melléklet</t>
  </si>
  <si>
    <t>Óvoda engedélyezett létszáma:</t>
  </si>
  <si>
    <t>óvónő:</t>
  </si>
  <si>
    <t>dajka:</t>
  </si>
  <si>
    <t xml:space="preserve">   - Önkormányzati finanszírozás</t>
  </si>
  <si>
    <t>III. Kiadások és bevételek különbözetének fedezete:</t>
  </si>
  <si>
    <t xml:space="preserve">           Felhalmozási célú bevételek és kiadások</t>
  </si>
  <si>
    <t>Megnevezés</t>
  </si>
  <si>
    <t>BEVÉTELEK</t>
  </si>
  <si>
    <t>Felhalmozási célú intézményi bevétel</t>
  </si>
  <si>
    <t>Felhalmozási célú önkormányzati bevétel</t>
  </si>
  <si>
    <t>Átvett pénzeszköz felhalmozási célra</t>
  </si>
  <si>
    <t>Előző évi -felhalmozási célú és egyéb- pénzmaradvány</t>
  </si>
  <si>
    <t>BEVÉTELEK ÖSSZESEN (1-10)</t>
  </si>
  <si>
    <t>Intézmények felhalmozási célú kiadásai</t>
  </si>
  <si>
    <t>Önkormányzat felújítási kiadásai</t>
  </si>
  <si>
    <t>Önkormányzat fejlesztési kiadásai</t>
  </si>
  <si>
    <t>Felhalmozás célú általános tartalék</t>
  </si>
  <si>
    <t>Felhalmozási célú tartalék</t>
  </si>
  <si>
    <t>KIADÁSOK ÖSSZESEN  (1-7)</t>
  </si>
  <si>
    <t>BEVÉTELEK ÖSSZESEN</t>
  </si>
  <si>
    <t xml:space="preserve">          államháztartáson belülről</t>
  </si>
  <si>
    <t xml:space="preserve">          államháztartáson kívülről</t>
  </si>
  <si>
    <t>Munkaadói járulékok és szoc. hj. adó</t>
  </si>
  <si>
    <t>Fejlesztési célú támogatás</t>
  </si>
  <si>
    <t>Állami bevételelek</t>
  </si>
  <si>
    <t>Saját bevételek</t>
  </si>
  <si>
    <t>Átvett pénzeszköz</t>
  </si>
  <si>
    <t>Bevételek és kiadások különbözete</t>
  </si>
  <si>
    <t>I.</t>
  </si>
  <si>
    <t xml:space="preserve">Önkormányzat és nem önálló kv.szervként működő szakfeladatok                                                                                                                                                   </t>
  </si>
  <si>
    <t>Közvilágítás</t>
  </si>
  <si>
    <t>Háziorvosi alapellátás</t>
  </si>
  <si>
    <t>Önkormányzat működési hiánya</t>
  </si>
  <si>
    <t>Pénzmaradvány igénybevétele</t>
  </si>
  <si>
    <t>Mutató</t>
  </si>
  <si>
    <t>fő</t>
  </si>
  <si>
    <t>Fejlesztési cálú támogatás</t>
  </si>
  <si>
    <t xml:space="preserve">               KIMUTATÁS A TERVEZETT PROJEKTEKRŐL</t>
  </si>
  <si>
    <t>13.</t>
  </si>
  <si>
    <t>Háziorvosi ügyeleti ellátás</t>
  </si>
  <si>
    <t>Szociális étkeztetés</t>
  </si>
  <si>
    <t>Műk.jell.fel.összesen  (1-30)</t>
  </si>
  <si>
    <t>II.</t>
  </si>
  <si>
    <t xml:space="preserve">Önállóan működő költségvetési szervek: </t>
  </si>
  <si>
    <t>Óvodai intézményi étkeztetés</t>
  </si>
  <si>
    <t>Önállóan működő kv. szervek össz.</t>
  </si>
  <si>
    <t>MINDÖSSZESEN</t>
  </si>
  <si>
    <t>1 fő</t>
  </si>
  <si>
    <t>Konyhai alkalmazott</t>
  </si>
  <si>
    <t>Óvoda össesen</t>
  </si>
  <si>
    <t>5. számú melléklet</t>
  </si>
  <si>
    <t xml:space="preserve">A működési és fejlesztési célú bevételek és kiadások </t>
  </si>
  <si>
    <t>előirányzat felhasználási ütemterve</t>
  </si>
  <si>
    <t>Ezer forintban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</si>
  <si>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</si>
  <si>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</si>
  <si>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</si>
  <si>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</si>
  <si>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</si>
  <si>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</si>
  <si>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</si>
  <si>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</si>
  <si>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</si>
  <si>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</si>
  <si>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</si>
  <si>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</si>
  <si>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</si>
  <si>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Intézményi működési bevételek</t>
  </si>
  <si>
    <t>Támogatás értékű működési bevételek</t>
  </si>
  <si>
    <t>Önkormányzat költségvetési támogatása</t>
  </si>
  <si>
    <t>Fejlesztési bevételek összesen</t>
  </si>
  <si>
    <t>Bevételek mind összesen</t>
  </si>
  <si>
    <t>Munkaadókat terhelő járulékok</t>
  </si>
  <si>
    <t>Dologi kiad. és egyéb folyó kiad.</t>
  </si>
  <si>
    <t>Működési célú. pénzeszközátadás áht.-n kívülre,  egyéb támogatás</t>
  </si>
  <si>
    <t>Ellátottak pénzbeli juttatása</t>
  </si>
  <si>
    <t>Tartalékok</t>
  </si>
  <si>
    <t>Működési célú kiadások összesen:</t>
  </si>
  <si>
    <t>Felhalmozási célú kiadások összesen:</t>
  </si>
  <si>
    <t>Önkormányzat kiadásai összesen:</t>
  </si>
  <si>
    <t>Intézményfinanszírozás</t>
  </si>
  <si>
    <t>Fejlesztési célú pe. Átadás</t>
  </si>
  <si>
    <t>Önkormányzati kormányzati funkciók</t>
  </si>
  <si>
    <t>Víztermelés, -kezelés, -ellátás</t>
  </si>
  <si>
    <t>Közutak, hidak üzemeltetése</t>
  </si>
  <si>
    <t>Iskolai intézményi étkeztetés</t>
  </si>
  <si>
    <t>Zöldterület kezelés</t>
  </si>
  <si>
    <t>Önkormányzatok és önkormányzati hivatalok jogalkotó és általános igazgatási teveékenysége</t>
  </si>
  <si>
    <t>Önormányzatok elszámolásai a központi küöltségvetéssel</t>
  </si>
  <si>
    <t xml:space="preserve">Önkormányzati feledatra el nem számolható </t>
  </si>
  <si>
    <t>11.</t>
  </si>
  <si>
    <t>Város-, községgazdálkodási m.n.s. szolgáltatások</t>
  </si>
  <si>
    <t>Falugondn. Szolgáltatás</t>
  </si>
  <si>
    <t>Civil szerv. Támogatása  ( Polgő.)</t>
  </si>
  <si>
    <t>Könyvtári szolgáltatások</t>
  </si>
  <si>
    <t>Közműv.  tevékenység</t>
  </si>
  <si>
    <t>Köztemető fenntartás működtetés</t>
  </si>
  <si>
    <t>Közhasznú foglalkoztatás Start programok</t>
  </si>
  <si>
    <t>Béri Angyalkert Óvoda</t>
  </si>
  <si>
    <t>Pénzmaradvány</t>
  </si>
  <si>
    <t>működési hó</t>
  </si>
  <si>
    <t>Bér Községi Önkormányzata 2015. évi költségvetési mérlege</t>
  </si>
  <si>
    <t>Idegenforgalmi adó</t>
  </si>
  <si>
    <t>Óvoda</t>
  </si>
  <si>
    <t>KÖLTSÉGVETÉSI SZERVEK</t>
  </si>
  <si>
    <t>terv</t>
  </si>
  <si>
    <r>
      <t>1. költségvetési szerv</t>
    </r>
    <r>
      <rPr>
        <sz val="12"/>
        <rFont val="Times New Roman"/>
        <family val="1"/>
        <charset val="238"/>
      </rPr>
      <t>: Béri Angyalkert Óvoda</t>
    </r>
  </si>
  <si>
    <r>
      <t>2. költségvetési szerv</t>
    </r>
    <r>
      <rPr>
        <sz val="12"/>
        <rFont val="Times New Roman"/>
        <family val="1"/>
        <charset val="238"/>
      </rPr>
      <t xml:space="preserve">: </t>
    </r>
  </si>
  <si>
    <t xml:space="preserve">   Önkormányzati jogalkotás</t>
  </si>
  <si>
    <t xml:space="preserve">Közművelődési intézmények </t>
  </si>
  <si>
    <t>Szociális feladatok falugondnok</t>
  </si>
  <si>
    <t>1 fő közalkalmazott</t>
  </si>
  <si>
    <t>Költségvetési szervek összesen</t>
  </si>
  <si>
    <t>Közfoglalkoztatás  *</t>
  </si>
  <si>
    <t>1 fő tiszteleidíjas polgármester</t>
  </si>
  <si>
    <t>Konyha</t>
  </si>
  <si>
    <t>Név</t>
  </si>
  <si>
    <t>havi illetmény</t>
  </si>
  <si>
    <t>éves bér</t>
  </si>
  <si>
    <t>szoc. Ho.</t>
  </si>
  <si>
    <t>Maczó László</t>
  </si>
  <si>
    <t>Sztrhárszkyné L. Szivia</t>
  </si>
  <si>
    <t>Osztroluczkiné B. Veronika</t>
  </si>
  <si>
    <t>Kralovánszki Mihályné</t>
  </si>
  <si>
    <t/>
  </si>
  <si>
    <t>Jogcím száma</t>
  </si>
  <si>
    <t>Mennyiségi egység</t>
  </si>
  <si>
    <t>Fajlagos összeg</t>
  </si>
  <si>
    <t>I.1.ba</t>
  </si>
  <si>
    <t>hektár</t>
  </si>
  <si>
    <t>I.1.bb</t>
  </si>
  <si>
    <t>km</t>
  </si>
  <si>
    <t>I.1.bd</t>
  </si>
  <si>
    <t>I.1.c</t>
  </si>
  <si>
    <t>Egyéb önkormányzati feladatok támogatása</t>
  </si>
  <si>
    <t>I.1.d</t>
  </si>
  <si>
    <t>Lakott külterülettel kapcsolatos feladatok támogatása</t>
  </si>
  <si>
    <t>külterületi lakos</t>
  </si>
  <si>
    <t>I.1.e</t>
  </si>
  <si>
    <t>Üdülőhelyi feladatok támogatása</t>
  </si>
  <si>
    <t xml:space="preserve">idegenforgalmi adóforint </t>
  </si>
  <si>
    <t>V. I.1. kiegészítés</t>
  </si>
  <si>
    <t>I.1. jogcímekhez kapcsolódó kiegészítés</t>
  </si>
  <si>
    <t>forint</t>
  </si>
  <si>
    <t>II.1. (1) 1</t>
  </si>
  <si>
    <t>II.1. (2) 1</t>
  </si>
  <si>
    <t>II.1. (1) 2</t>
  </si>
  <si>
    <t>II.1. (2) 2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</si>
  <si>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</si>
  <si>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</si>
  <si>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</si>
  <si>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</si>
  <si>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III.3.c (1)</t>
  </si>
  <si>
    <t>III.3.e</t>
  </si>
  <si>
    <t>III.5.a</t>
  </si>
  <si>
    <t>III.5.b</t>
  </si>
  <si>
    <t>III.</t>
  </si>
  <si>
    <t>A települési önkormányzatok szociális, gyermekjóléti és gyermekétkeztetési feladatainak támogatása</t>
  </si>
  <si>
    <t>IV.1.d</t>
  </si>
  <si>
    <t>IV.</t>
  </si>
  <si>
    <t>A települési önkormányzatok kulturális feladatainak támogatása</t>
  </si>
  <si>
    <t>Egyéb szociális pénzbeli és természetbeni ellátások, támogatások</t>
  </si>
  <si>
    <t>Bérköltség</t>
  </si>
  <si>
    <t>Munka- és védőruházat, egyéni védőeszköz</t>
  </si>
  <si>
    <t>Foglalkoztathatósági szakvélemény költsége</t>
  </si>
  <si>
    <t>Munkába járással kapcsolatos utazási költség</t>
  </si>
  <si>
    <t>Munkásszállítás költsége</t>
  </si>
  <si>
    <t>Kis értékű tárgyi eszköz</t>
  </si>
  <si>
    <t>Nagy értékű tárgyi eszköz *</t>
  </si>
  <si>
    <t>Beruházási költségek, kiadások *</t>
  </si>
  <si>
    <t>Kormányzati funkció</t>
  </si>
  <si>
    <t>011130</t>
  </si>
  <si>
    <t>013320</t>
  </si>
  <si>
    <t>018020</t>
  </si>
  <si>
    <t>045160</t>
  </si>
  <si>
    <t>063020</t>
  </si>
  <si>
    <t>066010</t>
  </si>
  <si>
    <t>064010</t>
  </si>
  <si>
    <t>066020</t>
  </si>
  <si>
    <t>072111</t>
  </si>
  <si>
    <t>072112</t>
  </si>
  <si>
    <t>107051</t>
  </si>
  <si>
    <t>107055</t>
  </si>
  <si>
    <t>084031</t>
  </si>
  <si>
    <t>082044</t>
  </si>
  <si>
    <t>082092</t>
  </si>
  <si>
    <t>041233</t>
  </si>
  <si>
    <t>107060</t>
  </si>
  <si>
    <t>900020</t>
  </si>
  <si>
    <t>0</t>
  </si>
  <si>
    <t>0960010</t>
  </si>
  <si>
    <t>090020</t>
  </si>
  <si>
    <t>Szakfeladat</t>
  </si>
  <si>
    <t>Önkormányzat összesen</t>
  </si>
  <si>
    <t>Óvoda összesen</t>
  </si>
  <si>
    <t>Mind össesen</t>
  </si>
  <si>
    <t>Teljes munkaidős Ktv</t>
  </si>
  <si>
    <t>Részmunkaidős Ktv</t>
  </si>
  <si>
    <t>Teljes munkaidős Kjt</t>
  </si>
  <si>
    <t>Részmunkaidős Kjt</t>
  </si>
  <si>
    <t xml:space="preserve"> </t>
  </si>
  <si>
    <t>Választott tisztségviselő</t>
  </si>
  <si>
    <t>Létszámösszesen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</si>
  <si>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</si>
  <si>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</si>
  <si>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</si>
  <si>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</si>
  <si>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</si>
  <si>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</si>
  <si>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</si>
  <si>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</si>
  <si>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</si>
  <si>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</si>
  <si>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</si>
  <si>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</si>
  <si>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</si>
  <si>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</si>
  <si>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</si>
  <si>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</si>
  <si>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</si>
  <si>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</si>
  <si>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</si>
  <si>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</si>
  <si>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</si>
  <si>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</si>
  <si>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</si>
  <si>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</si>
  <si>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</si>
  <si>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</si>
  <si>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</si>
  <si>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</si>
  <si>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</si>
  <si>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</si>
  <si>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</si>
  <si>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</si>
  <si>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</si>
  <si>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</si>
  <si>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</si>
  <si>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</si>
  <si>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</si>
  <si>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</si>
  <si>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(K352)</t>
  </si>
  <si>
    <t>Kamatkiadások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</si>
  <si>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</si>
  <si>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</si>
  <si>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</si>
  <si>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</si>
  <si>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Egyéb nem intézményi ellátások (K48)</t>
  </si>
  <si>
    <t>Ellátottak pénzbeli juttatásai (=46+...+53) (K4)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</si>
  <si>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</si>
  <si>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</si>
  <si>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</si>
  <si>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(=56+57+58) (K502)</t>
  </si>
  <si>
    <t>Egyéb működési célú támogatások államháztartáson belülre (K506)</t>
  </si>
  <si>
    <t>Kamattámogatások (K510)</t>
  </si>
  <si>
    <t>Egyéb működési célú támogatások államháztartáson kívülre (K512)</t>
  </si>
  <si>
    <t>Tartalékok (K513)</t>
  </si>
  <si>
    <t>Egyéb működési célú kiadások (=55+59+…+70) (K5)</t>
  </si>
  <si>
    <t>Ingatlanok beszerzése, létesítése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</si>
  <si>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</si>
  <si>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</si>
  <si>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</si>
  <si>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(=72+…+78)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</si>
  <si>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</si>
  <si>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</si>
  <si>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</si>
  <si>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</si>
  <si>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(=80+...+83) (K7)</t>
  </si>
  <si>
    <t>Lakástámogatás (K87)</t>
  </si>
  <si>
    <t>Egyéb felhalmozási célú támogatások államháztartáson kívülre (K89)</t>
  </si>
  <si>
    <t>Egyéb felhalmozási célú kiadások (=85+…+93) (K8)</t>
  </si>
  <si>
    <t>Költségvetési kiadások (=19+20+45+54+71+79+84+94) (K1-K8)</t>
  </si>
  <si>
    <t>Törvény szerinti illetmények, munkabérek (K1101)</t>
  </si>
  <si>
    <t>2016. évi költségvetés</t>
  </si>
  <si>
    <t>Teljes munkaidős közfoglalkoztatott</t>
  </si>
  <si>
    <t>Részmunkaidős közfoglalkoztatott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</si>
  <si>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</si>
  <si>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</si>
  <si>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</si>
  <si>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</si>
  <si>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</si>
  <si>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</si>
  <si>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</si>
  <si>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</si>
  <si>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</si>
  <si>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</si>
  <si>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Egyéb felhalmozási célú támogatások bevételei államháztartáson belülről (B25)</t>
  </si>
  <si>
    <t>Felhalmozási célú támogatások államháztartáson belülről (=14+…+18) (B2)</t>
  </si>
  <si>
    <t>Vagyoni tipusú adók (B34)</t>
  </si>
  <si>
    <t>Értékesítési és forgalmi adók (B351)</t>
  </si>
  <si>
    <t>Fogyasztási adók (B352)</t>
  </si>
  <si>
    <t>Gépjárműadók (B354)</t>
  </si>
  <si>
    <t>Egyéb áruhasználati és szolgáltatási adók (B355)</t>
  </si>
  <si>
    <t>Termékek és szolgáltatások adói (=26+…+30) (B35)</t>
  </si>
  <si>
    <t>Egyéb közhatalmi bevételek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</si>
  <si>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</si>
  <si>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</si>
  <si>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</si>
  <si>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</si>
  <si>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</si>
  <si>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</si>
  <si>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</si>
  <si>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</si>
  <si>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(B4082)</t>
  </si>
  <si>
    <t>Egyéb működési bevételek (B411)</t>
  </si>
  <si>
    <t>Működési bevételek (=34+…+40+43+46+...+48) (B4)</t>
  </si>
  <si>
    <t>Ingatlanok értékesítése (B52)</t>
  </si>
  <si>
    <t>Egyéb tárgyi eszközök értékesítése (B53)</t>
  </si>
  <si>
    <t>Felhalmozási bevételek (=50+…+54) (B5)</t>
  </si>
  <si>
    <t>Egyéb működési célú átvett pénzeszközök (B65)</t>
  </si>
  <si>
    <t>Működési célú átvett pénzeszközök (=56+…+60) (B6)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</si>
  <si>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</si>
  <si>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</si>
  <si>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</si>
  <si>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Helyi önkormányzatok működésének általános támogatása (B111)</t>
  </si>
  <si>
    <t>Kiadások és bevételek különbözete</t>
  </si>
  <si>
    <t>Étkezés számítása,</t>
  </si>
  <si>
    <t>Iskola</t>
  </si>
  <si>
    <t>Alk</t>
  </si>
  <si>
    <t>Szoc</t>
  </si>
  <si>
    <t>Szünidei</t>
  </si>
  <si>
    <t>létszám</t>
  </si>
  <si>
    <t>étk.napok</t>
  </si>
  <si>
    <t>adag</t>
  </si>
  <si>
    <t>bér</t>
  </si>
  <si>
    <t>járulék</t>
  </si>
  <si>
    <t xml:space="preserve">Óvoda </t>
  </si>
  <si>
    <t>Úti ktg</t>
  </si>
  <si>
    <t>Szakköny</t>
  </si>
  <si>
    <t>Munkaruha</t>
  </si>
  <si>
    <t>Szakmaianyag</t>
  </si>
  <si>
    <t>Irodaszer</t>
  </si>
  <si>
    <t>Minden egyéb</t>
  </si>
  <si>
    <t>telefon</t>
  </si>
  <si>
    <t>Áram</t>
  </si>
  <si>
    <t>víz</t>
  </si>
  <si>
    <t>Gáz</t>
  </si>
  <si>
    <t>logopédus</t>
  </si>
  <si>
    <t>karbantartás</t>
  </si>
  <si>
    <t>Továbbképzés költsége</t>
  </si>
  <si>
    <t>2016. évi alkalmazotti létszám előirányzat</t>
  </si>
  <si>
    <t>2016. ÉV</t>
  </si>
  <si>
    <t>konyha</t>
  </si>
  <si>
    <t>dologi</t>
  </si>
  <si>
    <t>Adó bevételek</t>
  </si>
  <si>
    <t>HIPA</t>
  </si>
  <si>
    <t>Gj adó</t>
  </si>
  <si>
    <t>pótlék</t>
  </si>
  <si>
    <t>Start programok</t>
  </si>
  <si>
    <t>Maczóné Zsarnóczai Tünde</t>
  </si>
  <si>
    <t>költségtérítés</t>
  </si>
  <si>
    <t>Bér Község Önkormányzat 2017. évi normativ állami támogatásos jogcímenként</t>
  </si>
  <si>
    <t>Jogcím megnevezése</t>
  </si>
  <si>
    <t>Forint</t>
  </si>
  <si>
    <t>A zöldterület-gazdálkodással kapcsolatos feladatok ellátásának támogatása</t>
  </si>
  <si>
    <t>Közvilágítás fenntartásának támogatása</t>
  </si>
  <si>
    <t>Közutak fenntartásának támogatása</t>
  </si>
  <si>
    <t>I.1.</t>
  </si>
  <si>
    <t>A települési önkormányzatok működésének támogatása beszámítás és kiegészítés után</t>
  </si>
  <si>
    <t>Óvodapedagógusok elismert létszáma</t>
  </si>
  <si>
    <t>pedagógus szakképzettséggel nem rendelkező, óvodapedagógusok nevelő munkáját közvetlenül segítők száma a Köznev. tv. 2. melléklete szerint</t>
  </si>
  <si>
    <t>II.2. (1) 1</t>
  </si>
  <si>
    <t>Óvoda napi nyitvatartási ideje eléri a nyolc órát</t>
  </si>
  <si>
    <t>II.2. (1) 2</t>
  </si>
  <si>
    <t>szociális étkeztetés</t>
  </si>
  <si>
    <t>falugondnoki vagy tanyagondnoki szolgáltatás összesen</t>
  </si>
  <si>
    <t>A finanszírozás szempontjából elismert dolgozók bértámogatása</t>
  </si>
  <si>
    <t>Gyermekétkeztetés üzemeltetési támogatása</t>
  </si>
  <si>
    <t>III.6.</t>
  </si>
  <si>
    <t>A rászoruló gyermekek szünidei étkeztetésének támogatása</t>
  </si>
  <si>
    <t>Települési önkormányzatok nyilvános könyvtári és a közművelődési feladatainak támogatása</t>
  </si>
  <si>
    <t>Normatív állami támogatás összesen</t>
  </si>
  <si>
    <t xml:space="preserve">1 óvónó 1,5 dajka </t>
  </si>
  <si>
    <t>1. költségvetési szerv összesen</t>
  </si>
  <si>
    <t>0,5 fő</t>
  </si>
  <si>
    <t>Gimnázium</t>
  </si>
  <si>
    <t>vásárolt élelmezés</t>
  </si>
  <si>
    <t>Vásárolt élelmezés</t>
  </si>
  <si>
    <t>Térítési díjak</t>
  </si>
  <si>
    <t>bevétel</t>
  </si>
  <si>
    <t>cafetéria</t>
  </si>
  <si>
    <t>Bérenkívüli juttatás</t>
  </si>
  <si>
    <t>Intézményenkívüli gyermekétkeztetés</t>
  </si>
  <si>
    <t>Járulék</t>
  </si>
  <si>
    <t>Bér a Cserhát kapuja a rózsák faluja 7 fő</t>
  </si>
  <si>
    <t>Mezőgazdasági 11 fő</t>
  </si>
  <si>
    <t>adatok Ft-ban</t>
  </si>
  <si>
    <t xml:space="preserve">Bér Községi Önkormányzata 2017. évi költségvetése </t>
  </si>
  <si>
    <t>2017. évi előirányzat</t>
  </si>
  <si>
    <t>0,5fő élelmezés vezető</t>
  </si>
  <si>
    <t>.</t>
  </si>
  <si>
    <t>Bér Községi Önkormányzata 2017. évi költségvetése</t>
  </si>
  <si>
    <t>Közhatalmi bevételek</t>
  </si>
  <si>
    <t>Pénzmaradvány működési</t>
  </si>
  <si>
    <t>Pénzmaradvány fejlestési</t>
  </si>
  <si>
    <t>Fejlesztési célú péneszköz átv. Áh. Belül</t>
  </si>
  <si>
    <t>Állami támogatás megelőlegezés visszafizetése</t>
  </si>
  <si>
    <t>3. számú melléklet</t>
  </si>
  <si>
    <t xml:space="preserve">2 melléklet </t>
  </si>
  <si>
    <t>4. számú melléklet</t>
  </si>
  <si>
    <t>2018.évi előirányzat</t>
  </si>
  <si>
    <t>Ifjúságiház fűtés korszerűsízés</t>
  </si>
  <si>
    <t>Kossuth út felújítása</t>
  </si>
  <si>
    <t>Ifjúságiház fűtés korszerűsítés</t>
  </si>
  <si>
    <t>Inczéné Lózsi Katalin</t>
  </si>
  <si>
    <t>Megbízásidíjas óvónők 2 fő</t>
  </si>
  <si>
    <t>Bér Község Önkormányzat 2018 évi kiadások és bevételek alakulása</t>
  </si>
  <si>
    <t>2018. évi müködési kiadások össz.forintban</t>
  </si>
  <si>
    <t>2018.évi felhalmozási kiadások össz.forintban</t>
  </si>
  <si>
    <t>2018. évi kiadáok mindössze-sen forintban</t>
  </si>
  <si>
    <t>2018. évi összes bevétel    forintban</t>
  </si>
  <si>
    <t>2018. évi létszám</t>
  </si>
  <si>
    <t>I.6</t>
  </si>
  <si>
    <t>Polgármesteri illetmény támogatása</t>
  </si>
  <si>
    <t>Megbízásidíjas óvónő 2 fő</t>
  </si>
  <si>
    <t>2 fő</t>
  </si>
  <si>
    <t>Önkormányzati jogalkotás</t>
  </si>
  <si>
    <t>2018. évi előirányzat</t>
  </si>
  <si>
    <t>Megbízásidíjas óvonő</t>
  </si>
  <si>
    <t>5 fő</t>
  </si>
  <si>
    <t>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</si>
</sst>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10"/>
      <name val="Arial"/>
      <family val="2"/>
      <charset val="238"/>
    </font>
    <font>
      <b/>
      <i/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38"/>
    </font>
    <font>
      <u/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4"/>
      <color rgb="FF000000"/>
      <name val="Times New Roman"/>
      <family val="1"/>
      <charset val="238"/>
    </font>
    <font>
      <b/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Border="1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2" xfId="0" applyNumberFormat="1" applyBorder="1"/>
    <xf numFmtId="0" fontId="5" fillId="0" borderId="9" xfId="0" applyFont="1" applyBorder="1"/>
    <xf numFmtId="0" fontId="5" fillId="0" borderId="10" xfId="0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5" fillId="0" borderId="9" xfId="0" applyFont="1" applyFill="1" applyBorder="1"/>
    <xf numFmtId="0" fontId="5" fillId="0" borderId="11" xfId="0" applyFont="1" applyBorder="1"/>
    <xf numFmtId="3" fontId="0" fillId="0" borderId="6" xfId="0" applyNumberFormat="1" applyBorder="1"/>
    <xf numFmtId="0" fontId="5" fillId="0" borderId="6" xfId="0" applyFont="1" applyBorder="1"/>
    <xf numFmtId="0" fontId="5" fillId="0" borderId="0" xfId="0" applyFont="1" applyBorder="1"/>
    <xf numFmtId="3" fontId="5" fillId="0" borderId="2" xfId="0" applyNumberFormat="1" applyFont="1" applyBorder="1"/>
    <xf numFmtId="0" fontId="6" fillId="0" borderId="6" xfId="0" applyFont="1" applyBorder="1"/>
    <xf numFmtId="3" fontId="0" fillId="0" borderId="12" xfId="0" applyNumberFormat="1" applyBorder="1"/>
    <xf numFmtId="0" fontId="5" fillId="0" borderId="7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5" fillId="0" borderId="12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8" fillId="0" borderId="1" xfId="2" applyFont="1" applyBorder="1"/>
    <xf numFmtId="3" fontId="0" fillId="0" borderId="1" xfId="0" applyNumberFormat="1" applyBorder="1"/>
    <xf numFmtId="0" fontId="5" fillId="0" borderId="1" xfId="2" applyFont="1" applyBorder="1"/>
    <xf numFmtId="3" fontId="5" fillId="0" borderId="1" xfId="0" applyNumberFormat="1" applyFont="1" applyBorder="1"/>
    <xf numFmtId="0" fontId="9" fillId="0" borderId="1" xfId="2" applyFont="1" applyBorder="1"/>
    <xf numFmtId="0" fontId="9" fillId="0" borderId="13" xfId="2" applyFont="1" applyFill="1" applyBorder="1"/>
    <xf numFmtId="0" fontId="6" fillId="0" borderId="1" xfId="2" applyFont="1" applyFill="1" applyBorder="1"/>
    <xf numFmtId="3" fontId="11" fillId="0" borderId="1" xfId="0" applyNumberFormat="1" applyFont="1" applyBorder="1"/>
    <xf numFmtId="0" fontId="5" fillId="0" borderId="0" xfId="0" applyFont="1" applyBorder="1" applyAlignment="1">
      <alignment wrapText="1"/>
    </xf>
    <xf numFmtId="0" fontId="7" fillId="0" borderId="0" xfId="2" applyFont="1" applyFill="1" applyBorder="1" applyAlignment="1">
      <alignment horizontal="center" vertical="justify" wrapText="1"/>
    </xf>
    <xf numFmtId="0" fontId="7" fillId="0" borderId="0" xfId="2" applyFont="1" applyFill="1" applyBorder="1" applyAlignment="1">
      <alignment horizontal="center" vertical="center" wrapText="1"/>
    </xf>
    <xf numFmtId="3" fontId="5" fillId="0" borderId="0" xfId="0" applyNumberFormat="1" applyFont="1" applyBorder="1"/>
    <xf numFmtId="3" fontId="1" fillId="0" borderId="0" xfId="0" applyNumberFormat="1" applyFont="1" applyBorder="1"/>
    <xf numFmtId="3" fontId="10" fillId="0" borderId="0" xfId="0" applyNumberFormat="1" applyFont="1" applyBorder="1"/>
    <xf numFmtId="0" fontId="5" fillId="0" borderId="0" xfId="2" applyFont="1" applyFill="1" applyBorder="1"/>
    <xf numFmtId="14" fontId="5" fillId="0" borderId="1" xfId="0" applyNumberFormat="1" applyFont="1" applyBorder="1" applyAlignment="1">
      <alignment horizontal="center"/>
    </xf>
    <xf numFmtId="0" fontId="9" fillId="0" borderId="13" xfId="2" applyFont="1" applyBorder="1"/>
    <xf numFmtId="0" fontId="5" fillId="0" borderId="1" xfId="0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3" fontId="13" fillId="0" borderId="1" xfId="0" applyNumberFormat="1" applyFont="1" applyBorder="1"/>
    <xf numFmtId="0" fontId="0" fillId="0" borderId="0" xfId="0" applyAlignment="1">
      <alignment horizontal="right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center" wrapText="1"/>
    </xf>
    <xf numFmtId="0" fontId="5" fillId="0" borderId="14" xfId="0" applyFont="1" applyBorder="1" applyProtection="1"/>
    <xf numFmtId="0" fontId="16" fillId="0" borderId="15" xfId="0" applyNumberFormat="1" applyFont="1" applyFill="1" applyBorder="1" applyAlignment="1" applyProtection="1">
      <alignment horizontal="center" wrapText="1"/>
    </xf>
    <xf numFmtId="0" fontId="16" fillId="0" borderId="16" xfId="0" applyNumberFormat="1" applyFont="1" applyFill="1" applyBorder="1" applyAlignment="1" applyProtection="1">
      <alignment horizontal="center" wrapText="1"/>
    </xf>
    <xf numFmtId="0" fontId="16" fillId="0" borderId="17" xfId="0" applyNumberFormat="1" applyFont="1" applyFill="1" applyBorder="1" applyAlignment="1" applyProtection="1">
      <alignment horizontal="center" wrapText="1"/>
    </xf>
    <xf numFmtId="0" fontId="16" fillId="0" borderId="18" xfId="0" applyNumberFormat="1" applyFont="1" applyFill="1" applyBorder="1" applyAlignment="1" applyProtection="1">
      <alignment horizontal="center"/>
    </xf>
    <xf numFmtId="0" fontId="16" fillId="0" borderId="19" xfId="0" applyNumberFormat="1" applyFont="1" applyFill="1" applyBorder="1" applyAlignment="1" applyProtection="1">
      <alignment horizontal="center" wrapText="1"/>
    </xf>
    <xf numFmtId="0" fontId="16" fillId="0" borderId="18" xfId="0" applyNumberFormat="1" applyFont="1" applyFill="1" applyBorder="1" applyAlignment="1" applyProtection="1">
      <alignment horizontal="center" wrapText="1"/>
    </xf>
    <xf numFmtId="0" fontId="16" fillId="0" borderId="20" xfId="0" applyNumberFormat="1" applyFont="1" applyFill="1" applyBorder="1" applyAlignment="1" applyProtection="1">
      <alignment horizontal="center" wrapText="1"/>
    </xf>
    <xf numFmtId="0" fontId="16" fillId="0" borderId="21" xfId="0" applyNumberFormat="1" applyFont="1" applyFill="1" applyBorder="1" applyAlignment="1" applyProtection="1">
      <alignment horizontal="center" wrapText="1"/>
    </xf>
    <xf numFmtId="0" fontId="6" fillId="0" borderId="14" xfId="0" applyFont="1" applyBorder="1"/>
    <xf numFmtId="0" fontId="6" fillId="0" borderId="22" xfId="0" applyFont="1" applyBorder="1" applyAlignment="1">
      <alignment horizontal="right"/>
    </xf>
    <xf numFmtId="3" fontId="18" fillId="0" borderId="1" xfId="0" applyNumberFormat="1" applyFont="1" applyFill="1" applyBorder="1" applyAlignment="1" applyProtection="1">
      <alignment horizontal="right"/>
    </xf>
    <xf numFmtId="3" fontId="18" fillId="0" borderId="9" xfId="0" applyNumberFormat="1" applyFont="1" applyFill="1" applyBorder="1" applyAlignment="1" applyProtection="1">
      <alignment horizontal="right"/>
    </xf>
    <xf numFmtId="3" fontId="18" fillId="0" borderId="23" xfId="0" applyNumberFormat="1" applyFont="1" applyFill="1" applyBorder="1" applyAlignment="1" applyProtection="1">
      <alignment horizontal="right"/>
    </xf>
    <xf numFmtId="3" fontId="18" fillId="0" borderId="11" xfId="0" applyNumberFormat="1" applyFont="1" applyFill="1" applyBorder="1" applyAlignment="1" applyProtection="1">
      <alignment horizontal="right"/>
    </xf>
    <xf numFmtId="3" fontId="18" fillId="0" borderId="24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 applyProtection="1"/>
    <xf numFmtId="3" fontId="17" fillId="0" borderId="9" xfId="0" applyNumberFormat="1" applyFont="1" applyFill="1" applyBorder="1" applyAlignment="1" applyProtection="1"/>
    <xf numFmtId="3" fontId="17" fillId="0" borderId="23" xfId="0" applyNumberFormat="1" applyFont="1" applyFill="1" applyBorder="1" applyAlignment="1" applyProtection="1"/>
    <xf numFmtId="3" fontId="17" fillId="0" borderId="25" xfId="0" applyNumberFormat="1" applyFont="1" applyFill="1" applyBorder="1" applyAlignment="1" applyProtection="1"/>
    <xf numFmtId="4" fontId="17" fillId="0" borderId="26" xfId="0" applyNumberFormat="1" applyFont="1" applyFill="1" applyBorder="1" applyAlignment="1" applyProtection="1"/>
    <xf numFmtId="3" fontId="17" fillId="0" borderId="1" xfId="0" applyNumberFormat="1" applyFont="1" applyFill="1" applyBorder="1" applyAlignment="1" applyProtection="1">
      <alignment horizontal="right"/>
    </xf>
    <xf numFmtId="3" fontId="17" fillId="0" borderId="9" xfId="0" applyNumberFormat="1" applyFont="1" applyFill="1" applyBorder="1" applyAlignment="1" applyProtection="1">
      <alignment horizontal="right"/>
    </xf>
    <xf numFmtId="3" fontId="17" fillId="0" borderId="11" xfId="0" applyNumberFormat="1" applyFont="1" applyFill="1" applyBorder="1" applyAlignment="1" applyProtection="1">
      <alignment horizontal="right"/>
    </xf>
    <xf numFmtId="3" fontId="6" fillId="0" borderId="9" xfId="0" applyNumberFormat="1" applyFont="1" applyBorder="1"/>
    <xf numFmtId="3" fontId="17" fillId="0" borderId="11" xfId="0" applyNumberFormat="1" applyFont="1" applyFill="1" applyBorder="1" applyAlignment="1" applyProtection="1"/>
    <xf numFmtId="3" fontId="19" fillId="0" borderId="9" xfId="0" applyNumberFormat="1" applyFont="1" applyFill="1" applyBorder="1" applyAlignment="1" applyProtection="1">
      <alignment horizontal="right"/>
    </xf>
    <xf numFmtId="0" fontId="20" fillId="0" borderId="14" xfId="0" applyFont="1" applyBorder="1"/>
    <xf numFmtId="0" fontId="21" fillId="0" borderId="15" xfId="0" applyNumberFormat="1" applyFont="1" applyFill="1" applyBorder="1" applyAlignment="1" applyProtection="1"/>
    <xf numFmtId="3" fontId="22" fillId="0" borderId="15" xfId="0" applyNumberFormat="1" applyFont="1" applyFill="1" applyBorder="1" applyAlignment="1" applyProtection="1">
      <alignment horizontal="right"/>
    </xf>
    <xf numFmtId="4" fontId="22" fillId="0" borderId="27" xfId="0" applyNumberFormat="1" applyFont="1" applyFill="1" applyBorder="1" applyAlignment="1" applyProtection="1">
      <alignment horizontal="right"/>
    </xf>
    <xf numFmtId="3" fontId="17" fillId="0" borderId="28" xfId="0" applyNumberFormat="1" applyFont="1" applyFill="1" applyBorder="1" applyAlignment="1" applyProtection="1">
      <alignment horizontal="right"/>
    </xf>
    <xf numFmtId="3" fontId="17" fillId="0" borderId="7" xfId="0" applyNumberFormat="1" applyFont="1" applyFill="1" applyBorder="1" applyAlignment="1" applyProtection="1">
      <alignment horizontal="right"/>
    </xf>
    <xf numFmtId="3" fontId="18" fillId="0" borderId="29" xfId="0" applyNumberFormat="1" applyFont="1" applyFill="1" applyBorder="1" applyAlignment="1" applyProtection="1">
      <alignment horizontal="right"/>
    </xf>
    <xf numFmtId="3" fontId="18" fillId="0" borderId="12" xfId="0" applyNumberFormat="1" applyFont="1" applyFill="1" applyBorder="1" applyAlignment="1" applyProtection="1">
      <alignment horizontal="right"/>
    </xf>
    <xf numFmtId="3" fontId="18" fillId="0" borderId="30" xfId="0" applyNumberFormat="1" applyFont="1" applyFill="1" applyBorder="1" applyAlignment="1" applyProtection="1">
      <alignment horizontal="right"/>
    </xf>
    <xf numFmtId="3" fontId="6" fillId="0" borderId="7" xfId="0" applyNumberFormat="1" applyFont="1" applyBorder="1"/>
    <xf numFmtId="3" fontId="17" fillId="0" borderId="29" xfId="0" applyNumberFormat="1" applyFont="1" applyFill="1" applyBorder="1" applyAlignment="1" applyProtection="1"/>
    <xf numFmtId="3" fontId="17" fillId="0" borderId="31" xfId="0" applyNumberFormat="1" applyFont="1" applyFill="1" applyBorder="1" applyAlignment="1" applyProtection="1"/>
    <xf numFmtId="4" fontId="17" fillId="0" borderId="32" xfId="0" applyNumberFormat="1" applyFont="1" applyFill="1" applyBorder="1" applyAlignment="1" applyProtection="1"/>
    <xf numFmtId="0" fontId="6" fillId="0" borderId="33" xfId="0" applyFont="1" applyBorder="1" applyAlignment="1">
      <alignment horizontal="right"/>
    </xf>
    <xf numFmtId="0" fontId="18" fillId="0" borderId="28" xfId="0" applyNumberFormat="1" applyFont="1" applyFill="1" applyBorder="1" applyAlignment="1" applyProtection="1"/>
    <xf numFmtId="4" fontId="17" fillId="0" borderId="34" xfId="0" applyNumberFormat="1" applyFont="1" applyFill="1" applyBorder="1" applyAlignment="1" applyProtection="1"/>
    <xf numFmtId="0" fontId="21" fillId="0" borderId="15" xfId="0" applyNumberFormat="1" applyFont="1" applyFill="1" applyBorder="1" applyAlignment="1" applyProtection="1">
      <alignment wrapText="1"/>
    </xf>
    <xf numFmtId="3" fontId="22" fillId="0" borderId="16" xfId="0" applyNumberFormat="1" applyFont="1" applyFill="1" applyBorder="1" applyAlignment="1" applyProtection="1">
      <alignment horizontal="right"/>
    </xf>
    <xf numFmtId="3" fontId="22" fillId="0" borderId="17" xfId="0" applyNumberFormat="1" applyFont="1" applyFill="1" applyBorder="1" applyAlignment="1" applyProtection="1">
      <alignment horizontal="right"/>
    </xf>
    <xf numFmtId="3" fontId="22" fillId="0" borderId="18" xfId="0" applyNumberFormat="1" applyFont="1" applyFill="1" applyBorder="1" applyAlignment="1" applyProtection="1">
      <alignment horizontal="right"/>
    </xf>
    <xf numFmtId="3" fontId="22" fillId="0" borderId="27" xfId="0" applyNumberFormat="1" applyFont="1" applyFill="1" applyBorder="1" applyAlignment="1" applyProtection="1">
      <alignment horizontal="right"/>
    </xf>
    <xf numFmtId="0" fontId="6" fillId="0" borderId="35" xfId="0" applyFont="1" applyBorder="1"/>
    <xf numFmtId="0" fontId="17" fillId="0" borderId="13" xfId="0" applyNumberFormat="1" applyFont="1" applyFill="1" applyBorder="1" applyAlignment="1" applyProtection="1"/>
    <xf numFmtId="3" fontId="17" fillId="0" borderId="13" xfId="0" applyNumberFormat="1" applyFont="1" applyFill="1" applyBorder="1" applyAlignment="1" applyProtection="1">
      <alignment horizontal="right"/>
    </xf>
    <xf numFmtId="3" fontId="17" fillId="0" borderId="6" xfId="0" applyNumberFormat="1" applyFont="1" applyFill="1" applyBorder="1" applyAlignment="1" applyProtection="1">
      <alignment horizontal="right"/>
    </xf>
    <xf numFmtId="3" fontId="18" fillId="0" borderId="36" xfId="0" applyNumberFormat="1" applyFont="1" applyFill="1" applyBorder="1" applyAlignment="1" applyProtection="1">
      <alignment horizontal="right"/>
    </xf>
    <xf numFmtId="3" fontId="18" fillId="0" borderId="2" xfId="0" applyNumberFormat="1" applyFont="1" applyFill="1" applyBorder="1" applyAlignment="1" applyProtection="1">
      <alignment horizontal="right"/>
    </xf>
    <xf numFmtId="3" fontId="18" fillId="0" borderId="37" xfId="0" applyNumberFormat="1" applyFont="1" applyFill="1" applyBorder="1" applyAlignment="1" applyProtection="1">
      <alignment horizontal="right"/>
    </xf>
    <xf numFmtId="3" fontId="6" fillId="0" borderId="6" xfId="0" applyNumberFormat="1" applyFont="1" applyBorder="1"/>
    <xf numFmtId="3" fontId="17" fillId="0" borderId="36" xfId="0" applyNumberFormat="1" applyFont="1" applyFill="1" applyBorder="1" applyAlignment="1" applyProtection="1"/>
    <xf numFmtId="3" fontId="17" fillId="0" borderId="38" xfId="0" applyNumberFormat="1" applyFont="1" applyFill="1" applyBorder="1" applyAlignment="1" applyProtection="1"/>
    <xf numFmtId="0" fontId="5" fillId="0" borderId="39" xfId="0" applyFont="1" applyBorder="1"/>
    <xf numFmtId="0" fontId="16" fillId="0" borderId="40" xfId="0" applyNumberFormat="1" applyFont="1" applyFill="1" applyBorder="1" applyAlignment="1" applyProtection="1"/>
    <xf numFmtId="3" fontId="23" fillId="0" borderId="40" xfId="0" applyNumberFormat="1" applyFont="1" applyFill="1" applyBorder="1" applyAlignment="1" applyProtection="1">
      <alignment horizontal="right"/>
    </xf>
    <xf numFmtId="3" fontId="23" fillId="0" borderId="41" xfId="0" applyNumberFormat="1" applyFont="1" applyFill="1" applyBorder="1" applyAlignment="1" applyProtection="1">
      <alignment horizontal="right"/>
    </xf>
    <xf numFmtId="3" fontId="23" fillId="0" borderId="42" xfId="0" applyNumberFormat="1" applyFont="1" applyFill="1" applyBorder="1" applyAlignment="1" applyProtection="1">
      <alignment horizontal="right"/>
    </xf>
    <xf numFmtId="3" fontId="23" fillId="0" borderId="43" xfId="0" applyNumberFormat="1" applyFont="1" applyFill="1" applyBorder="1" applyAlignment="1" applyProtection="1">
      <alignment horizontal="right"/>
    </xf>
    <xf numFmtId="4" fontId="23" fillId="0" borderId="44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26" fillId="0" borderId="4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right" vertical="top" wrapText="1"/>
    </xf>
    <xf numFmtId="0" fontId="26" fillId="0" borderId="46" xfId="0" applyFont="1" applyBorder="1" applyAlignment="1">
      <alignment horizontal="justify" vertical="top" wrapText="1"/>
    </xf>
    <xf numFmtId="0" fontId="26" fillId="0" borderId="47" xfId="0" applyFont="1" applyBorder="1" applyAlignment="1">
      <alignment horizontal="right" vertical="top" wrapText="1"/>
    </xf>
    <xf numFmtId="3" fontId="26" fillId="0" borderId="47" xfId="0" applyNumberFormat="1" applyFont="1" applyBorder="1" applyAlignment="1">
      <alignment horizontal="right" vertical="top" wrapText="1"/>
    </xf>
    <xf numFmtId="0" fontId="26" fillId="0" borderId="48" xfId="0" applyFont="1" applyBorder="1" applyAlignment="1">
      <alignment horizontal="justify" vertical="top" wrapText="1"/>
    </xf>
    <xf numFmtId="3" fontId="26" fillId="0" borderId="13" xfId="0" applyNumberFormat="1" applyFont="1" applyBorder="1" applyAlignment="1">
      <alignment horizontal="right" vertical="top" wrapText="1"/>
    </xf>
    <xf numFmtId="3" fontId="26" fillId="0" borderId="6" xfId="0" applyNumberFormat="1" applyFont="1" applyBorder="1" applyAlignment="1">
      <alignment horizontal="right" vertical="top" wrapText="1"/>
    </xf>
    <xf numFmtId="0" fontId="25" fillId="0" borderId="49" xfId="0" applyFont="1" applyBorder="1" applyAlignment="1">
      <alignment horizontal="justify" vertical="top" wrapText="1"/>
    </xf>
    <xf numFmtId="3" fontId="25" fillId="0" borderId="15" xfId="0" applyNumberFormat="1" applyFont="1" applyBorder="1" applyAlignment="1">
      <alignment horizontal="right" vertical="top" wrapText="1"/>
    </xf>
    <xf numFmtId="0" fontId="26" fillId="0" borderId="50" xfId="0" applyFont="1" applyBorder="1" applyAlignment="1">
      <alignment horizontal="justify" vertical="top" wrapText="1"/>
    </xf>
    <xf numFmtId="3" fontId="26" fillId="0" borderId="28" xfId="0" applyNumberFormat="1" applyFont="1" applyBorder="1" applyAlignment="1">
      <alignment horizontal="right" vertical="top" wrapText="1"/>
    </xf>
    <xf numFmtId="1" fontId="25" fillId="0" borderId="15" xfId="0" applyNumberFormat="1" applyFont="1" applyBorder="1" applyAlignment="1">
      <alignment horizontal="right" vertical="top" wrapText="1"/>
    </xf>
    <xf numFmtId="3" fontId="25" fillId="0" borderId="51" xfId="0" applyNumberFormat="1" applyFont="1" applyBorder="1" applyAlignment="1">
      <alignment horizontal="right" vertical="top" wrapText="1"/>
    </xf>
    <xf numFmtId="3" fontId="27" fillId="0" borderId="28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top" wrapText="1"/>
    </xf>
    <xf numFmtId="0" fontId="26" fillId="0" borderId="46" xfId="0" applyFont="1" applyBorder="1" applyAlignment="1">
      <alignment horizontal="left" vertical="top" wrapText="1"/>
    </xf>
    <xf numFmtId="0" fontId="25" fillId="0" borderId="49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 wrapText="1"/>
    </xf>
    <xf numFmtId="3" fontId="28" fillId="0" borderId="53" xfId="0" applyNumberFormat="1" applyFont="1" applyBorder="1" applyAlignment="1">
      <alignment horizontal="right" vertical="top" wrapText="1"/>
    </xf>
    <xf numFmtId="3" fontId="28" fillId="0" borderId="54" xfId="0" applyNumberFormat="1" applyFont="1" applyBorder="1" applyAlignment="1">
      <alignment horizontal="right" vertical="top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28" fillId="0" borderId="1" xfId="1" applyFont="1" applyBorder="1" applyAlignment="1" applyProtection="1">
      <alignment horizontal="left" wrapText="1"/>
      <protection locked="0"/>
    </xf>
    <xf numFmtId="0" fontId="28" fillId="0" borderId="1" xfId="1" applyFont="1" applyFill="1" applyBorder="1" applyAlignment="1" applyProtection="1">
      <alignment horizontal="left" wrapText="1"/>
      <protection locked="0"/>
    </xf>
    <xf numFmtId="3" fontId="28" fillId="0" borderId="1" xfId="1" applyNumberFormat="1" applyFont="1" applyBorder="1" applyAlignment="1" applyProtection="1">
      <alignment horizontal="left" wrapText="1"/>
      <protection locked="0"/>
    </xf>
    <xf numFmtId="3" fontId="28" fillId="0" borderId="1" xfId="1" applyNumberFormat="1" applyFont="1" applyFill="1" applyBorder="1" applyAlignment="1" applyProtection="1">
      <alignment horizontal="left" wrapText="1"/>
      <protection locked="0"/>
    </xf>
    <xf numFmtId="0" fontId="0" fillId="0" borderId="22" xfId="0" applyBorder="1"/>
    <xf numFmtId="0" fontId="16" fillId="0" borderId="1" xfId="0" applyNumberFormat="1" applyFont="1" applyFill="1" applyBorder="1" applyAlignment="1" applyProtection="1"/>
    <xf numFmtId="0" fontId="24" fillId="0" borderId="76" xfId="0" applyFont="1" applyBorder="1" applyAlignment="1">
      <alignment horizontal="center" vertical="center" wrapText="1"/>
    </xf>
    <xf numFmtId="16" fontId="24" fillId="0" borderId="77" xfId="0" applyNumberFormat="1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79" xfId="0" applyFont="1" applyBorder="1" applyAlignment="1">
      <alignment vertical="center" wrapText="1"/>
    </xf>
    <xf numFmtId="0" fontId="29" fillId="0" borderId="78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24" fillId="0" borderId="80" xfId="0" applyFont="1" applyBorder="1" applyAlignment="1">
      <alignment horizontal="center" vertical="center" wrapText="1"/>
    </xf>
    <xf numFmtId="0" fontId="33" fillId="0" borderId="81" xfId="0" applyFont="1" applyBorder="1" applyAlignment="1">
      <alignment vertical="center" wrapText="1"/>
    </xf>
    <xf numFmtId="0" fontId="32" fillId="0" borderId="8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37" fillId="0" borderId="0" xfId="0" applyNumberFormat="1" applyFont="1"/>
    <xf numFmtId="0" fontId="37" fillId="0" borderId="0" xfId="0" applyFont="1" applyAlignment="1">
      <alignment wrapText="1"/>
    </xf>
    <xf numFmtId="0" fontId="37" fillId="0" borderId="0" xfId="0" applyFont="1"/>
    <xf numFmtId="3" fontId="28" fillId="0" borderId="1" xfId="1" applyNumberFormat="1" applyFont="1" applyFill="1" applyBorder="1" applyAlignment="1" applyProtection="1">
      <alignment horizontal="center" vertical="center" textRotation="180" wrapText="1"/>
      <protection locked="0"/>
    </xf>
    <xf numFmtId="3" fontId="26" fillId="0" borderId="1" xfId="1" applyNumberFormat="1" applyFont="1" applyFill="1" applyBorder="1" applyAlignment="1">
      <alignment horizontal="right"/>
    </xf>
    <xf numFmtId="3" fontId="28" fillId="2" borderId="1" xfId="1" applyNumberFormat="1" applyFont="1" applyFill="1" applyBorder="1" applyAlignment="1">
      <alignment horizontal="right"/>
    </xf>
    <xf numFmtId="3" fontId="28" fillId="0" borderId="1" xfId="1" applyNumberFormat="1" applyFont="1" applyFill="1" applyBorder="1" applyAlignment="1" applyProtection="1">
      <alignment horizontal="center"/>
      <protection locked="0"/>
    </xf>
    <xf numFmtId="3" fontId="26" fillId="3" borderId="1" xfId="1" applyNumberFormat="1" applyFont="1" applyFill="1" applyBorder="1" applyAlignment="1">
      <alignment horizontal="right"/>
    </xf>
    <xf numFmtId="3" fontId="28" fillId="3" borderId="1" xfId="1" applyNumberFormat="1" applyFont="1" applyFill="1" applyBorder="1" applyAlignment="1">
      <alignment horizontal="right"/>
    </xf>
    <xf numFmtId="3" fontId="28" fillId="4" borderId="1" xfId="1" applyNumberFormat="1" applyFont="1" applyFill="1" applyBorder="1" applyAlignment="1">
      <alignment horizontal="right"/>
    </xf>
    <xf numFmtId="0" fontId="28" fillId="3" borderId="56" xfId="1" applyFont="1" applyFill="1" applyBorder="1" applyAlignment="1" applyProtection="1">
      <alignment horizontal="center" wrapText="1"/>
      <protection locked="0"/>
    </xf>
    <xf numFmtId="0" fontId="28" fillId="3" borderId="22" xfId="1" applyFont="1" applyFill="1" applyBorder="1" applyAlignment="1" applyProtection="1">
      <alignment horizontal="center" wrapText="1"/>
      <protection locked="0"/>
    </xf>
    <xf numFmtId="0" fontId="28" fillId="3" borderId="22" xfId="1" applyFont="1" applyFill="1" applyBorder="1" applyAlignment="1" applyProtection="1">
      <alignment horizontal="center" vertical="center" wrapText="1"/>
      <protection locked="0"/>
    </xf>
    <xf numFmtId="0" fontId="28" fillId="3" borderId="22" xfId="1" applyFont="1" applyFill="1" applyBorder="1" applyAlignment="1">
      <alignment wrapText="1"/>
    </xf>
    <xf numFmtId="0" fontId="28" fillId="5" borderId="22" xfId="1" applyFont="1" applyFill="1" applyBorder="1" applyAlignment="1">
      <alignment wrapText="1"/>
    </xf>
    <xf numFmtId="3" fontId="28" fillId="3" borderId="57" xfId="1" applyNumberFormat="1" applyFont="1" applyFill="1" applyBorder="1" applyAlignment="1">
      <alignment horizontal="right"/>
    </xf>
    <xf numFmtId="3" fontId="28" fillId="4" borderId="57" xfId="1" applyNumberFormat="1" applyFont="1" applyFill="1" applyBorder="1" applyAlignment="1">
      <alignment horizontal="right"/>
    </xf>
    <xf numFmtId="3" fontId="28" fillId="6" borderId="1" xfId="1" applyNumberFormat="1" applyFont="1" applyFill="1" applyBorder="1" applyAlignment="1" applyProtection="1">
      <alignment horizontal="center"/>
      <protection locked="0"/>
    </xf>
    <xf numFmtId="3" fontId="28" fillId="6" borderId="1" xfId="1" applyNumberFormat="1" applyFont="1" applyFill="1" applyBorder="1" applyAlignment="1">
      <alignment horizontal="right"/>
    </xf>
    <xf numFmtId="3" fontId="28" fillId="3" borderId="47" xfId="1" applyNumberFormat="1" applyFont="1" applyFill="1" applyBorder="1" applyAlignment="1">
      <alignment horizontal="right"/>
    </xf>
    <xf numFmtId="0" fontId="28" fillId="0" borderId="0" xfId="0" applyFont="1" applyFill="1"/>
    <xf numFmtId="0" fontId="28" fillId="3" borderId="22" xfId="0" applyFont="1" applyFill="1" applyBorder="1" applyAlignment="1">
      <alignment horizontal="left" vertical="top" wrapText="1"/>
    </xf>
    <xf numFmtId="0" fontId="34" fillId="0" borderId="0" xfId="0" applyFont="1"/>
    <xf numFmtId="0" fontId="28" fillId="2" borderId="22" xfId="0" applyFont="1" applyFill="1" applyBorder="1" applyAlignment="1">
      <alignment horizontal="left" vertical="top" wrapText="1"/>
    </xf>
    <xf numFmtId="0" fontId="28" fillId="3" borderId="58" xfId="0" applyFont="1" applyFill="1" applyBorder="1" applyAlignment="1">
      <alignment horizontal="left" vertical="top" wrapText="1"/>
    </xf>
    <xf numFmtId="3" fontId="36" fillId="0" borderId="1" xfId="1" applyNumberFormat="1" applyFont="1" applyFill="1" applyBorder="1" applyAlignment="1">
      <alignment horizontal="right"/>
    </xf>
    <xf numFmtId="0" fontId="28" fillId="3" borderId="33" xfId="0" applyFont="1" applyFill="1" applyBorder="1" applyAlignment="1">
      <alignment horizontal="left" vertical="top" wrapText="1"/>
    </xf>
    <xf numFmtId="3" fontId="26" fillId="0" borderId="28" xfId="1" applyNumberFormat="1" applyFont="1" applyFill="1" applyBorder="1" applyAlignment="1">
      <alignment horizontal="right"/>
    </xf>
    <xf numFmtId="3" fontId="28" fillId="0" borderId="0" xfId="1" applyNumberFormat="1" applyFont="1" applyFill="1" applyBorder="1" applyAlignment="1">
      <alignment horizontal="right"/>
    </xf>
    <xf numFmtId="3" fontId="28" fillId="2" borderId="45" xfId="1" applyNumberFormat="1" applyFont="1" applyFill="1" applyBorder="1" applyAlignment="1">
      <alignment horizontal="left" wrapText="1"/>
    </xf>
    <xf numFmtId="0" fontId="28" fillId="7" borderId="33" xfId="0" applyFont="1" applyFill="1" applyBorder="1" applyAlignment="1">
      <alignment horizontal="left" vertical="top" wrapText="1"/>
    </xf>
    <xf numFmtId="3" fontId="28" fillId="7" borderId="59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3" fontId="28" fillId="0" borderId="60" xfId="1" applyNumberFormat="1" applyFont="1" applyFill="1" applyBorder="1" applyAlignment="1" applyProtection="1">
      <alignment horizontal="center"/>
      <protection locked="0"/>
    </xf>
    <xf numFmtId="3" fontId="28" fillId="6" borderId="60" xfId="1" applyNumberFormat="1" applyFont="1" applyFill="1" applyBorder="1" applyAlignment="1" applyProtection="1">
      <alignment horizontal="center"/>
      <protection locked="0"/>
    </xf>
    <xf numFmtId="3" fontId="28" fillId="6" borderId="60" xfId="1" applyNumberFormat="1" applyFont="1" applyFill="1" applyBorder="1" applyAlignment="1" applyProtection="1">
      <alignment horizontal="right"/>
      <protection locked="0"/>
    </xf>
    <xf numFmtId="3" fontId="28" fillId="4" borderId="61" xfId="1" applyNumberFormat="1" applyFont="1" applyFill="1" applyBorder="1" applyAlignment="1" applyProtection="1">
      <alignment horizontal="right"/>
      <protection locked="0"/>
    </xf>
    <xf numFmtId="3" fontId="28" fillId="6" borderId="1" xfId="1" applyNumberFormat="1" applyFont="1" applyFill="1" applyBorder="1" applyAlignment="1" applyProtection="1">
      <alignment horizontal="right"/>
      <protection locked="0"/>
    </xf>
    <xf numFmtId="3" fontId="28" fillId="4" borderId="57" xfId="1" applyNumberFormat="1" applyFont="1" applyFill="1" applyBorder="1" applyAlignment="1" applyProtection="1">
      <alignment horizontal="right"/>
      <protection locked="0"/>
    </xf>
    <xf numFmtId="3" fontId="28" fillId="6" borderId="1" xfId="1" applyNumberFormat="1" applyFont="1" applyFill="1" applyBorder="1" applyAlignment="1" applyProtection="1">
      <alignment horizontal="center" vertical="center" textRotation="180" wrapText="1"/>
      <protection locked="0"/>
    </xf>
    <xf numFmtId="3" fontId="28" fillId="6" borderId="1" xfId="1" applyNumberFormat="1" applyFont="1" applyFill="1" applyBorder="1" applyAlignment="1" applyProtection="1">
      <alignment horizontal="right" vertical="center" textRotation="180" wrapText="1"/>
      <protection locked="0"/>
    </xf>
    <xf numFmtId="3" fontId="28" fillId="4" borderId="57" xfId="1" applyNumberFormat="1" applyFont="1" applyFill="1" applyBorder="1" applyAlignment="1" applyProtection="1">
      <alignment horizontal="right" vertical="center" textRotation="180" wrapText="1"/>
      <protection locked="0"/>
    </xf>
    <xf numFmtId="3" fontId="26" fillId="0" borderId="1" xfId="0" applyNumberFormat="1" applyFont="1" applyFill="1" applyBorder="1" applyAlignment="1">
      <alignment horizontal="right"/>
    </xf>
    <xf numFmtId="3" fontId="28" fillId="5" borderId="1" xfId="1" applyNumberFormat="1" applyFont="1" applyFill="1" applyBorder="1" applyAlignment="1">
      <alignment horizontal="right"/>
    </xf>
    <xf numFmtId="3" fontId="28" fillId="5" borderId="57" xfId="1" applyNumberFormat="1" applyFont="1" applyFill="1" applyBorder="1" applyAlignment="1">
      <alignment horizontal="right"/>
    </xf>
    <xf numFmtId="3" fontId="35" fillId="0" borderId="1" xfId="0" applyNumberFormat="1" applyFont="1" applyFill="1" applyBorder="1" applyAlignment="1">
      <alignment horizontal="right"/>
    </xf>
    <xf numFmtId="3" fontId="26" fillId="0" borderId="28" xfId="0" applyNumberFormat="1" applyFont="1" applyFill="1" applyBorder="1"/>
    <xf numFmtId="3" fontId="28" fillId="6" borderId="28" xfId="0" applyNumberFormat="1" applyFont="1" applyFill="1" applyBorder="1"/>
    <xf numFmtId="3" fontId="28" fillId="8" borderId="62" xfId="0" applyNumberFormat="1" applyFont="1" applyFill="1" applyBorder="1"/>
    <xf numFmtId="3" fontId="26" fillId="0" borderId="1" xfId="0" applyNumberFormat="1" applyFont="1" applyFill="1" applyBorder="1"/>
    <xf numFmtId="3" fontId="28" fillId="6" borderId="1" xfId="0" applyNumberFormat="1" applyFont="1" applyFill="1" applyBorder="1"/>
    <xf numFmtId="3" fontId="28" fillId="8" borderId="55" xfId="0" applyNumberFormat="1" applyFont="1" applyFill="1" applyBorder="1"/>
    <xf numFmtId="3" fontId="28" fillId="3" borderId="47" xfId="0" applyNumberFormat="1" applyFont="1" applyFill="1" applyBorder="1"/>
    <xf numFmtId="3" fontId="34" fillId="0" borderId="0" xfId="0" applyNumberFormat="1" applyFont="1"/>
    <xf numFmtId="3" fontId="28" fillId="0" borderId="0" xfId="0" applyNumberFormat="1" applyFont="1" applyFill="1"/>
    <xf numFmtId="3" fontId="26" fillId="0" borderId="0" xfId="0" applyNumberFormat="1" applyFont="1" applyFill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89" xfId="0" applyBorder="1" applyAlignment="1">
      <alignment wrapText="1"/>
    </xf>
    <xf numFmtId="0" fontId="0" fillId="0" borderId="90" xfId="0" applyBorder="1" applyAlignment="1">
      <alignment wrapText="1"/>
    </xf>
    <xf numFmtId="3" fontId="0" fillId="0" borderId="90" xfId="0" applyNumberFormat="1" applyBorder="1" applyAlignment="1">
      <alignment wrapText="1"/>
    </xf>
    <xf numFmtId="3" fontId="0" fillId="0" borderId="91" xfId="0" applyNumberFormat="1" applyBorder="1" applyAlignment="1">
      <alignment wrapText="1"/>
    </xf>
    <xf numFmtId="0" fontId="4" fillId="0" borderId="89" xfId="0" applyFont="1" applyBorder="1" applyAlignment="1">
      <alignment wrapText="1"/>
    </xf>
    <xf numFmtId="0" fontId="5" fillId="0" borderId="89" xfId="0" applyFont="1" applyBorder="1" applyAlignment="1">
      <alignment wrapText="1"/>
    </xf>
    <xf numFmtId="0" fontId="5" fillId="0" borderId="90" xfId="0" applyFont="1" applyBorder="1" applyAlignment="1">
      <alignment wrapText="1"/>
    </xf>
    <xf numFmtId="3" fontId="5" fillId="0" borderId="91" xfId="0" applyNumberFormat="1" applyFont="1" applyBorder="1" applyAlignment="1">
      <alignment wrapText="1"/>
    </xf>
    <xf numFmtId="164" fontId="0" fillId="0" borderId="90" xfId="0" applyNumberFormat="1" applyBorder="1" applyAlignment="1">
      <alignment wrapText="1"/>
    </xf>
    <xf numFmtId="0" fontId="5" fillId="0" borderId="92" xfId="0" applyFont="1" applyBorder="1" applyAlignment="1">
      <alignment wrapText="1"/>
    </xf>
    <xf numFmtId="0" fontId="5" fillId="0" borderId="93" xfId="0" applyFont="1" applyBorder="1" applyAlignment="1">
      <alignment wrapText="1"/>
    </xf>
    <xf numFmtId="3" fontId="5" fillId="0" borderId="94" xfId="0" applyNumberFormat="1" applyFont="1" applyBorder="1" applyAlignment="1">
      <alignment wrapText="1"/>
    </xf>
    <xf numFmtId="0" fontId="39" fillId="0" borderId="80" xfId="0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/>
    </xf>
    <xf numFmtId="0" fontId="8" fillId="0" borderId="90" xfId="2" applyFont="1" applyBorder="1"/>
    <xf numFmtId="3" fontId="0" fillId="0" borderId="90" xfId="0" applyNumberFormat="1" applyBorder="1"/>
    <xf numFmtId="0" fontId="6" fillId="0" borderId="89" xfId="0" applyFont="1" applyBorder="1" applyAlignment="1">
      <alignment horizontal="right"/>
    </xf>
    <xf numFmtId="0" fontId="28" fillId="0" borderId="90" xfId="1" applyFont="1" applyFill="1" applyBorder="1" applyAlignment="1" applyProtection="1">
      <alignment horizontal="left" wrapText="1"/>
      <protection locked="0"/>
    </xf>
    <xf numFmtId="3" fontId="17" fillId="0" borderId="90" xfId="0" applyNumberFormat="1" applyFont="1" applyFill="1" applyBorder="1" applyAlignment="1" applyProtection="1">
      <alignment horizontal="right"/>
    </xf>
    <xf numFmtId="0" fontId="4" fillId="0" borderId="1" xfId="0" applyFont="1" applyBorder="1"/>
    <xf numFmtId="164" fontId="26" fillId="0" borderId="1" xfId="1" applyNumberFormat="1" applyFont="1" applyFill="1" applyBorder="1" applyAlignment="1">
      <alignment horizontal="right"/>
    </xf>
    <xf numFmtId="164" fontId="28" fillId="5" borderId="1" xfId="1" applyNumberFormat="1" applyFont="1" applyFill="1" applyBorder="1" applyAlignment="1">
      <alignment horizontal="right"/>
    </xf>
    <xf numFmtId="164" fontId="28" fillId="6" borderId="1" xfId="1" applyNumberFormat="1" applyFont="1" applyFill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18" fillId="0" borderId="13" xfId="0" applyNumberFormat="1" applyFont="1" applyFill="1" applyBorder="1" applyAlignment="1" applyProtection="1"/>
    <xf numFmtId="3" fontId="18" fillId="0" borderId="13" xfId="0" applyNumberFormat="1" applyFont="1" applyFill="1" applyBorder="1" applyAlignment="1" applyProtection="1">
      <alignment horizontal="right"/>
    </xf>
    <xf numFmtId="3" fontId="18" fillId="0" borderId="6" xfId="0" applyNumberFormat="1" applyFont="1" applyFill="1" applyBorder="1" applyAlignment="1" applyProtection="1">
      <alignment horizontal="right"/>
    </xf>
    <xf numFmtId="3" fontId="17" fillId="0" borderId="2" xfId="0" applyNumberFormat="1" applyFont="1" applyFill="1" applyBorder="1" applyAlignment="1" applyProtection="1">
      <alignment horizontal="right"/>
    </xf>
    <xf numFmtId="3" fontId="17" fillId="0" borderId="6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/>
    <xf numFmtId="4" fontId="17" fillId="0" borderId="95" xfId="0" applyNumberFormat="1" applyFont="1" applyFill="1" applyBorder="1" applyAlignment="1" applyProtection="1"/>
    <xf numFmtId="3" fontId="4" fillId="0" borderId="1" xfId="0" applyNumberFormat="1" applyFont="1" applyBorder="1" applyAlignment="1">
      <alignment horizontal="right" wrapText="1"/>
    </xf>
    <xf numFmtId="0" fontId="0" fillId="0" borderId="0" xfId="0" applyAlignment="1"/>
    <xf numFmtId="3" fontId="22" fillId="0" borderId="6" xfId="0" applyNumberFormat="1" applyFont="1" applyFill="1" applyBorder="1" applyAlignment="1" applyProtection="1">
      <alignment horizontal="right"/>
    </xf>
    <xf numFmtId="3" fontId="12" fillId="0" borderId="1" xfId="0" applyNumberFormat="1" applyFont="1" applyBorder="1" applyAlignment="1">
      <alignment horizontal="right"/>
    </xf>
    <xf numFmtId="0" fontId="16" fillId="0" borderId="16" xfId="0" applyNumberFormat="1" applyFont="1" applyFill="1" applyBorder="1" applyAlignment="1" applyProtection="1">
      <alignment horizontal="left"/>
    </xf>
    <xf numFmtId="0" fontId="16" fillId="0" borderId="63" xfId="0" applyNumberFormat="1" applyFont="1" applyFill="1" applyBorder="1" applyAlignment="1" applyProtection="1">
      <alignment horizontal="left"/>
    </xf>
    <xf numFmtId="0" fontId="16" fillId="0" borderId="21" xfId="0" applyNumberFormat="1" applyFont="1" applyFill="1" applyBorder="1" applyAlignment="1" applyProtection="1">
      <alignment horizontal="left"/>
    </xf>
    <xf numFmtId="0" fontId="13" fillId="0" borderId="64" xfId="0" applyFont="1" applyBorder="1" applyAlignment="1" applyProtection="1">
      <alignment horizontal="center"/>
    </xf>
    <xf numFmtId="0" fontId="13" fillId="0" borderId="65" xfId="0" applyFont="1" applyBorder="1" applyAlignment="1" applyProtection="1">
      <alignment horizontal="center"/>
    </xf>
    <xf numFmtId="0" fontId="13" fillId="0" borderId="66" xfId="0" applyFont="1" applyBorder="1" applyAlignment="1" applyProtection="1">
      <alignment horizontal="center"/>
    </xf>
    <xf numFmtId="3" fontId="17" fillId="0" borderId="67" xfId="0" applyNumberFormat="1" applyFont="1" applyFill="1" applyBorder="1" applyAlignment="1" applyProtection="1">
      <alignment horizontal="center"/>
    </xf>
    <xf numFmtId="3" fontId="17" fillId="0" borderId="68" xfId="0" applyNumberFormat="1" applyFont="1" applyFill="1" applyBorder="1" applyAlignment="1" applyProtection="1">
      <alignment horizontal="center"/>
    </xf>
    <xf numFmtId="3" fontId="17" fillId="0" borderId="69" xfId="0" applyNumberFormat="1" applyFont="1" applyFill="1" applyBorder="1" applyAlignment="1" applyProtection="1">
      <alignment horizontal="center"/>
    </xf>
    <xf numFmtId="0" fontId="13" fillId="0" borderId="67" xfId="0" applyFont="1" applyBorder="1" applyAlignment="1" applyProtection="1">
      <alignment horizontal="right"/>
    </xf>
    <xf numFmtId="0" fontId="13" fillId="0" borderId="68" xfId="0" applyFont="1" applyBorder="1" applyAlignment="1" applyProtection="1">
      <alignment horizontal="right"/>
    </xf>
    <xf numFmtId="0" fontId="13" fillId="0" borderId="69" xfId="0" applyFont="1" applyBorder="1" applyAlignment="1" applyProtection="1">
      <alignment horizontal="right"/>
    </xf>
    <xf numFmtId="0" fontId="5" fillId="0" borderId="56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89" xfId="0" applyFont="1" applyBorder="1" applyAlignment="1">
      <alignment horizontal="center" wrapText="1"/>
    </xf>
    <xf numFmtId="0" fontId="5" fillId="0" borderId="90" xfId="0" applyFont="1" applyBorder="1" applyAlignment="1">
      <alignment horizontal="center" wrapText="1"/>
    </xf>
    <xf numFmtId="0" fontId="5" fillId="0" borderId="91" xfId="0" applyFont="1" applyBorder="1" applyAlignment="1">
      <alignment horizontal="center" wrapText="1"/>
    </xf>
    <xf numFmtId="0" fontId="4" fillId="0" borderId="96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97" xfId="0" applyFont="1" applyBorder="1" applyAlignment="1">
      <alignment horizontal="right" wrapText="1"/>
    </xf>
    <xf numFmtId="0" fontId="38" fillId="0" borderId="0" xfId="0" applyFont="1" applyAlignment="1">
      <alignment horizontal="center" vertical="center"/>
    </xf>
    <xf numFmtId="0" fontId="30" fillId="0" borderId="84" xfId="0" applyFont="1" applyBorder="1" applyAlignment="1">
      <alignment vertical="center" wrapText="1"/>
    </xf>
    <xf numFmtId="0" fontId="30" fillId="0" borderId="85" xfId="0" applyFont="1" applyBorder="1" applyAlignment="1">
      <alignment vertical="center" wrapText="1"/>
    </xf>
    <xf numFmtId="0" fontId="30" fillId="0" borderId="79" xfId="0" applyFont="1" applyBorder="1" applyAlignment="1">
      <alignment vertical="center" wrapText="1"/>
    </xf>
    <xf numFmtId="0" fontId="24" fillId="0" borderId="86" xfId="0" applyFont="1" applyBorder="1" applyAlignment="1">
      <alignment vertical="center" wrapText="1"/>
    </xf>
    <xf numFmtId="0" fontId="24" fillId="0" borderId="87" xfId="0" applyFont="1" applyBorder="1" applyAlignment="1">
      <alignment vertical="center" wrapText="1"/>
    </xf>
    <xf numFmtId="0" fontId="24" fillId="0" borderId="88" xfId="0" applyFont="1" applyBorder="1" applyAlignment="1">
      <alignment vertical="center" wrapText="1"/>
    </xf>
    <xf numFmtId="0" fontId="4" fillId="0" borderId="98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70" xfId="0" applyFont="1" applyBorder="1" applyAlignment="1">
      <alignment horizontal="center" wrapText="1"/>
    </xf>
    <xf numFmtId="0" fontId="25" fillId="0" borderId="71" xfId="0" applyFont="1" applyBorder="1" applyAlignment="1">
      <alignment horizontal="center" wrapText="1"/>
    </xf>
    <xf numFmtId="0" fontId="25" fillId="0" borderId="37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72" xfId="0" applyFont="1" applyBorder="1" applyAlignment="1">
      <alignment horizontal="center" wrapText="1"/>
    </xf>
    <xf numFmtId="0" fontId="25" fillId="0" borderId="68" xfId="0" applyFont="1" applyBorder="1" applyAlignment="1">
      <alignment horizontal="center" wrapText="1"/>
    </xf>
    <xf numFmtId="0" fontId="26" fillId="0" borderId="73" xfId="0" applyFont="1" applyBorder="1" applyAlignment="1">
      <alignment horizontal="right" wrapText="1"/>
    </xf>
    <xf numFmtId="0" fontId="26" fillId="0" borderId="74" xfId="0" applyFont="1" applyBorder="1" applyAlignment="1">
      <alignment horizontal="right" wrapText="1"/>
    </xf>
    <xf numFmtId="0" fontId="26" fillId="0" borderId="75" xfId="0" applyFont="1" applyBorder="1" applyAlignment="1">
      <alignment horizontal="right" wrapText="1"/>
    </xf>
  </cellXfs>
  <cellStyles count="3">
    <cellStyle name="Normál" xfId="0" builtinId="0"/>
    <cellStyle name="Normál 2" xfId="1"/>
    <cellStyle name="Normál_11 sz. melléklet Általános Iskola 2006.évi ktgvet.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1"/>
  <sheetViews>
    <sheetView zoomScale="99" zoomScaleNormal="99" workbookViewId="0">
      <selection activeCell="U32" sqref="U32"/>
    </sheetView>
  </sheetViews>
  <sheetFormatPr defaultRowHeight="12.75" x14ac:dyDescent="0.2"/>
  <cols>
    <col min="1" max="1" width="23.140625" style="199" customWidth="1"/>
    <col min="2" max="2" width="9.28515625" style="235" customWidth="1"/>
    <col min="3" max="3" width="9" style="235" bestFit="1" customWidth="1"/>
    <col min="4" max="5" width="10.28515625" style="235" bestFit="1" customWidth="1"/>
    <col min="6" max="19" width="9" style="235" bestFit="1" customWidth="1"/>
    <col min="20" max="20" width="10" style="234" bestFit="1" customWidth="1"/>
    <col min="21" max="24" width="9" style="235" bestFit="1" customWidth="1"/>
    <col min="25" max="25" width="9" style="234" bestFit="1" customWidth="1"/>
    <col min="26" max="26" width="9" style="234" customWidth="1"/>
    <col min="27" max="27" width="8.85546875" style="6"/>
  </cols>
  <sheetData>
    <row r="1" spans="1:27" s="7" customFormat="1" ht="13.5" thickTop="1" x14ac:dyDescent="0.2">
      <c r="A1" s="189" t="s">
        <v>234</v>
      </c>
      <c r="B1" s="213" t="s">
        <v>235</v>
      </c>
      <c r="C1" s="213" t="s">
        <v>236</v>
      </c>
      <c r="D1" s="213" t="s">
        <v>237</v>
      </c>
      <c r="E1" s="213" t="s">
        <v>250</v>
      </c>
      <c r="F1" s="213" t="s">
        <v>238</v>
      </c>
      <c r="G1" s="213" t="s">
        <v>239</v>
      </c>
      <c r="H1" s="213" t="s">
        <v>240</v>
      </c>
      <c r="I1" s="213" t="s">
        <v>241</v>
      </c>
      <c r="J1" s="213" t="s">
        <v>242</v>
      </c>
      <c r="K1" s="213" t="s">
        <v>243</v>
      </c>
      <c r="L1" s="213" t="s">
        <v>244</v>
      </c>
      <c r="M1" s="213" t="s">
        <v>245</v>
      </c>
      <c r="N1" s="213" t="s">
        <v>246</v>
      </c>
      <c r="O1" s="213" t="s">
        <v>247</v>
      </c>
      <c r="P1" s="213" t="s">
        <v>248</v>
      </c>
      <c r="Q1" s="213" t="s">
        <v>249</v>
      </c>
      <c r="R1" s="213" t="s">
        <v>251</v>
      </c>
      <c r="S1" s="213" t="s">
        <v>252</v>
      </c>
      <c r="T1" s="214"/>
      <c r="U1" s="213" t="s">
        <v>253</v>
      </c>
      <c r="V1" s="213" t="s">
        <v>254</v>
      </c>
      <c r="W1" s="213" t="s">
        <v>255</v>
      </c>
      <c r="X1" s="213" t="s">
        <v>245</v>
      </c>
      <c r="Y1" s="215"/>
      <c r="Z1" s="216"/>
      <c r="AA1" s="8"/>
    </row>
    <row r="2" spans="1:27" s="7" customFormat="1" x14ac:dyDescent="0.2">
      <c r="A2" s="190" t="s">
        <v>256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>
        <v>889921</v>
      </c>
      <c r="N2" s="185">
        <v>889928</v>
      </c>
      <c r="O2" s="185"/>
      <c r="P2" s="185"/>
      <c r="Q2" s="185"/>
      <c r="R2" s="185"/>
      <c r="S2" s="185"/>
      <c r="T2" s="196"/>
      <c r="U2" s="185"/>
      <c r="V2" s="185">
        <v>562912</v>
      </c>
      <c r="W2" s="185">
        <v>562913</v>
      </c>
      <c r="X2" s="185">
        <v>889921</v>
      </c>
      <c r="Y2" s="217"/>
      <c r="Z2" s="218"/>
      <c r="AA2" s="8"/>
    </row>
    <row r="3" spans="1:27" s="7" customFormat="1" ht="105.75" x14ac:dyDescent="0.2">
      <c r="A3" s="191" t="s">
        <v>337</v>
      </c>
      <c r="B3" s="182" t="s">
        <v>151</v>
      </c>
      <c r="C3" s="182" t="s">
        <v>160</v>
      </c>
      <c r="D3" s="182" t="s">
        <v>152</v>
      </c>
      <c r="E3" s="182" t="s">
        <v>161</v>
      </c>
      <c r="F3" s="182" t="s">
        <v>148</v>
      </c>
      <c r="G3" s="182" t="s">
        <v>147</v>
      </c>
      <c r="H3" s="182" t="s">
        <v>150</v>
      </c>
      <c r="I3" s="182" t="s">
        <v>94</v>
      </c>
      <c r="J3" s="182" t="s">
        <v>155</v>
      </c>
      <c r="K3" s="182" t="s">
        <v>95</v>
      </c>
      <c r="L3" s="182" t="s">
        <v>103</v>
      </c>
      <c r="M3" s="182" t="s">
        <v>104</v>
      </c>
      <c r="N3" s="182" t="s">
        <v>156</v>
      </c>
      <c r="O3" s="182" t="s">
        <v>157</v>
      </c>
      <c r="P3" s="182" t="s">
        <v>158</v>
      </c>
      <c r="Q3" s="182" t="s">
        <v>159</v>
      </c>
      <c r="R3" s="182" t="s">
        <v>225</v>
      </c>
      <c r="S3" s="182" t="s">
        <v>153</v>
      </c>
      <c r="T3" s="219" t="s">
        <v>257</v>
      </c>
      <c r="U3" s="182" t="s">
        <v>21</v>
      </c>
      <c r="V3" s="182" t="s">
        <v>108</v>
      </c>
      <c r="W3" s="182" t="s">
        <v>149</v>
      </c>
      <c r="X3" s="182" t="s">
        <v>104</v>
      </c>
      <c r="Y3" s="220" t="s">
        <v>258</v>
      </c>
      <c r="Z3" s="221" t="s">
        <v>259</v>
      </c>
      <c r="AA3" s="8"/>
    </row>
    <row r="4" spans="1:27" x14ac:dyDescent="0.2">
      <c r="A4" s="192" t="s">
        <v>260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97">
        <f t="shared" ref="T4:T10" si="0">SUM(B4:S4)</f>
        <v>0</v>
      </c>
      <c r="U4" s="259"/>
      <c r="V4" s="259"/>
      <c r="W4" s="183"/>
      <c r="X4" s="183"/>
      <c r="Y4" s="261">
        <f>SUM(U4:X4)</f>
        <v>0</v>
      </c>
      <c r="Z4" s="195">
        <f>SUM(T4+Y4)</f>
        <v>0</v>
      </c>
    </row>
    <row r="5" spans="1:27" x14ac:dyDescent="0.2">
      <c r="A5" s="192" t="s">
        <v>261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97">
        <f t="shared" si="0"/>
        <v>0</v>
      </c>
      <c r="U5" s="259"/>
      <c r="V5" s="259"/>
      <c r="W5" s="183"/>
      <c r="X5" s="183"/>
      <c r="Y5" s="261">
        <f t="shared" ref="Y5:Y10" si="1">SUM(U5:X5)</f>
        <v>0</v>
      </c>
      <c r="Z5" s="195">
        <f t="shared" ref="Z5:Z10" si="2">SUM(T5+Y5)</f>
        <v>0</v>
      </c>
    </row>
    <row r="6" spans="1:27" x14ac:dyDescent="0.2">
      <c r="A6" s="192" t="s">
        <v>262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>
        <v>1</v>
      </c>
      <c r="O6" s="183"/>
      <c r="P6" s="183"/>
      <c r="Q6" s="183"/>
      <c r="R6" s="183"/>
      <c r="S6" s="183"/>
      <c r="T6" s="197">
        <f t="shared" si="0"/>
        <v>1</v>
      </c>
      <c r="U6" s="259">
        <v>2.5</v>
      </c>
      <c r="V6" s="259">
        <v>0.5</v>
      </c>
      <c r="W6" s="183"/>
      <c r="X6" s="183"/>
      <c r="Y6" s="261">
        <f t="shared" si="1"/>
        <v>3</v>
      </c>
      <c r="Z6" s="195">
        <f t="shared" si="2"/>
        <v>4</v>
      </c>
    </row>
    <row r="7" spans="1:27" x14ac:dyDescent="0.2">
      <c r="A7" s="192" t="s">
        <v>263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97">
        <f t="shared" si="0"/>
        <v>0</v>
      </c>
      <c r="U7" s="259"/>
      <c r="V7" s="259"/>
      <c r="W7" s="183"/>
      <c r="X7" s="183"/>
      <c r="Y7" s="261">
        <f t="shared" si="1"/>
        <v>0</v>
      </c>
      <c r="Z7" s="195">
        <f t="shared" si="2"/>
        <v>0</v>
      </c>
    </row>
    <row r="8" spans="1:27" ht="21.75" x14ac:dyDescent="0.2">
      <c r="A8" s="192" t="s">
        <v>338</v>
      </c>
      <c r="B8" s="183"/>
      <c r="C8" s="183"/>
      <c r="D8" s="183"/>
      <c r="E8" s="222">
        <v>18</v>
      </c>
      <c r="F8" s="183"/>
      <c r="G8" s="183"/>
      <c r="H8" s="183" t="s">
        <v>264</v>
      </c>
      <c r="I8" s="183"/>
      <c r="J8" s="183"/>
      <c r="K8" s="222"/>
      <c r="L8" s="222"/>
      <c r="M8" s="183"/>
      <c r="N8" s="183"/>
      <c r="O8" s="183"/>
      <c r="P8" s="183"/>
      <c r="Q8" s="183"/>
      <c r="R8" s="222"/>
      <c r="S8" s="183"/>
      <c r="T8" s="197">
        <f t="shared" si="0"/>
        <v>18</v>
      </c>
      <c r="U8" s="259">
        <v>1</v>
      </c>
      <c r="V8" s="259"/>
      <c r="W8" s="183"/>
      <c r="X8" s="183"/>
      <c r="Y8" s="261">
        <f t="shared" si="1"/>
        <v>1</v>
      </c>
      <c r="Z8" s="195">
        <f t="shared" si="2"/>
        <v>19</v>
      </c>
    </row>
    <row r="9" spans="1:27" ht="21.75" x14ac:dyDescent="0.2">
      <c r="A9" s="192" t="s">
        <v>339</v>
      </c>
      <c r="B9" s="183"/>
      <c r="C9" s="183"/>
      <c r="D9" s="183"/>
      <c r="E9" s="183"/>
      <c r="F9" s="183"/>
      <c r="G9" s="183"/>
      <c r="H9" s="183" t="s">
        <v>264</v>
      </c>
      <c r="I9" s="183"/>
      <c r="J9" s="183"/>
      <c r="K9" s="183" t="s">
        <v>264</v>
      </c>
      <c r="L9" s="183"/>
      <c r="M9" s="183"/>
      <c r="N9" s="183"/>
      <c r="O9" s="183"/>
      <c r="P9" s="183"/>
      <c r="Q9" s="183"/>
      <c r="R9" s="183"/>
      <c r="S9" s="183"/>
      <c r="T9" s="197">
        <f t="shared" si="0"/>
        <v>0</v>
      </c>
      <c r="U9" s="259"/>
      <c r="V9" s="259"/>
      <c r="W9" s="183"/>
      <c r="X9" s="183"/>
      <c r="Y9" s="261">
        <f t="shared" si="1"/>
        <v>0</v>
      </c>
      <c r="Z9" s="195">
        <f t="shared" si="2"/>
        <v>0</v>
      </c>
    </row>
    <row r="10" spans="1:27" x14ac:dyDescent="0.2">
      <c r="A10" s="192" t="s">
        <v>265</v>
      </c>
      <c r="B10" s="183">
        <v>1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97">
        <f t="shared" si="0"/>
        <v>1</v>
      </c>
      <c r="U10" s="259"/>
      <c r="V10" s="259"/>
      <c r="W10" s="183"/>
      <c r="X10" s="183"/>
      <c r="Y10" s="261">
        <f t="shared" si="1"/>
        <v>0</v>
      </c>
      <c r="Z10" s="195">
        <f t="shared" si="2"/>
        <v>1</v>
      </c>
    </row>
    <row r="11" spans="1:27" s="7" customFormat="1" x14ac:dyDescent="0.2">
      <c r="A11" s="193" t="s">
        <v>266</v>
      </c>
      <c r="B11" s="223">
        <f>SUM(B4:B10)</f>
        <v>1</v>
      </c>
      <c r="C11" s="223">
        <f t="shared" ref="C11:Z11" si="3">SUM(C4:C10)</f>
        <v>0</v>
      </c>
      <c r="D11" s="223">
        <f t="shared" si="3"/>
        <v>0</v>
      </c>
      <c r="E11" s="223">
        <f>SUM(E4:E10)</f>
        <v>18</v>
      </c>
      <c r="F11" s="223">
        <f t="shared" si="3"/>
        <v>0</v>
      </c>
      <c r="G11" s="223">
        <f t="shared" si="3"/>
        <v>0</v>
      </c>
      <c r="H11" s="223">
        <f t="shared" si="3"/>
        <v>0</v>
      </c>
      <c r="I11" s="223">
        <f t="shared" si="3"/>
        <v>0</v>
      </c>
      <c r="J11" s="223">
        <f t="shared" si="3"/>
        <v>0</v>
      </c>
      <c r="K11" s="223">
        <f t="shared" si="3"/>
        <v>0</v>
      </c>
      <c r="L11" s="223">
        <f t="shared" si="3"/>
        <v>0</v>
      </c>
      <c r="M11" s="223">
        <f t="shared" si="3"/>
        <v>0</v>
      </c>
      <c r="N11" s="223">
        <f t="shared" si="3"/>
        <v>1</v>
      </c>
      <c r="O11" s="223">
        <f t="shared" si="3"/>
        <v>0</v>
      </c>
      <c r="P11" s="223">
        <f t="shared" si="3"/>
        <v>0</v>
      </c>
      <c r="Q11" s="223">
        <f t="shared" si="3"/>
        <v>0</v>
      </c>
      <c r="R11" s="223">
        <f t="shared" si="3"/>
        <v>0</v>
      </c>
      <c r="S11" s="223">
        <f t="shared" si="3"/>
        <v>0</v>
      </c>
      <c r="T11" s="223">
        <f t="shared" si="3"/>
        <v>20</v>
      </c>
      <c r="U11" s="260">
        <f>SUM(U4:U10)</f>
        <v>3.5</v>
      </c>
      <c r="V11" s="260">
        <f t="shared" si="3"/>
        <v>0.5</v>
      </c>
      <c r="W11" s="223">
        <f t="shared" si="3"/>
        <v>0</v>
      </c>
      <c r="X11" s="223">
        <f t="shared" si="3"/>
        <v>0</v>
      </c>
      <c r="Y11" s="260">
        <f t="shared" si="3"/>
        <v>4</v>
      </c>
      <c r="Z11" s="224">
        <f t="shared" si="3"/>
        <v>24</v>
      </c>
      <c r="AA11" s="8"/>
    </row>
    <row r="12" spans="1:27" ht="31.5" x14ac:dyDescent="0.2">
      <c r="A12" s="200" t="s">
        <v>336</v>
      </c>
      <c r="B12" s="183"/>
      <c r="C12" s="183"/>
      <c r="D12" s="183"/>
      <c r="E12" s="183">
        <f>SUM('Kiadások és bevételek alakulása'!C20)</f>
        <v>0</v>
      </c>
      <c r="F12" s="183"/>
      <c r="G12" s="183"/>
      <c r="H12" s="183"/>
      <c r="I12" s="183"/>
      <c r="J12" s="183"/>
      <c r="K12" s="183"/>
      <c r="L12" s="183"/>
      <c r="M12" s="183"/>
      <c r="N12" s="183">
        <f>SUM(Munka3!C4+Munka3!C5+Munka3!C6)</f>
        <v>4089480</v>
      </c>
      <c r="O12" s="183"/>
      <c r="P12" s="183"/>
      <c r="Q12" s="183"/>
      <c r="R12" s="183"/>
      <c r="S12" s="183"/>
      <c r="T12" s="197">
        <f t="shared" ref="T12:T24" si="4">SUM(B12:S12)</f>
        <v>4089480</v>
      </c>
      <c r="U12" s="183">
        <f>SUM('Óvoda 2a'!B5)</f>
        <v>10464360</v>
      </c>
      <c r="V12" s="183">
        <f>SUM('Óvoda 2a'!C5)</f>
        <v>1117200</v>
      </c>
      <c r="W12" s="183"/>
      <c r="X12" s="183"/>
      <c r="Y12" s="197">
        <f>SUM(U12:X12)</f>
        <v>11581560</v>
      </c>
      <c r="Z12" s="195">
        <f>SUM(T12+Y12)</f>
        <v>15671040</v>
      </c>
    </row>
    <row r="13" spans="1:27" x14ac:dyDescent="0.2">
      <c r="A13" s="200" t="s">
        <v>267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97">
        <f t="shared" si="4"/>
        <v>0</v>
      </c>
      <c r="U13" s="183"/>
      <c r="V13" s="183"/>
      <c r="W13" s="183"/>
      <c r="X13" s="183"/>
      <c r="Y13" s="197">
        <f t="shared" ref="Y13:Y24" si="5">SUM(U13:X13)</f>
        <v>0</v>
      </c>
      <c r="Z13" s="195">
        <f t="shared" ref="Z13:Z24" si="6">SUM(T13+Y13)</f>
        <v>0</v>
      </c>
    </row>
    <row r="14" spans="1:27" ht="21" x14ac:dyDescent="0.2">
      <c r="A14" s="200" t="s">
        <v>268</v>
      </c>
      <c r="B14" s="183"/>
      <c r="C14" s="183"/>
      <c r="D14" s="222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97">
        <f t="shared" si="4"/>
        <v>0</v>
      </c>
      <c r="U14" s="183"/>
      <c r="V14" s="183"/>
      <c r="W14" s="183"/>
      <c r="X14" s="183"/>
      <c r="Y14" s="197">
        <f t="shared" si="5"/>
        <v>0</v>
      </c>
      <c r="Z14" s="195">
        <f t="shared" si="6"/>
        <v>0</v>
      </c>
    </row>
    <row r="15" spans="1:27" ht="31.5" x14ac:dyDescent="0.2">
      <c r="A15" s="200" t="s">
        <v>269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97">
        <f t="shared" si="4"/>
        <v>0</v>
      </c>
      <c r="U15" s="183"/>
      <c r="V15" s="183"/>
      <c r="W15" s="183"/>
      <c r="X15" s="183"/>
      <c r="Y15" s="197">
        <f t="shared" si="5"/>
        <v>0</v>
      </c>
      <c r="Z15" s="195">
        <f t="shared" si="6"/>
        <v>0</v>
      </c>
    </row>
    <row r="16" spans="1:27" x14ac:dyDescent="0.2">
      <c r="A16" s="200" t="s">
        <v>270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97">
        <f t="shared" si="4"/>
        <v>0</v>
      </c>
      <c r="U16" s="183"/>
      <c r="V16" s="183"/>
      <c r="W16" s="183"/>
      <c r="X16" s="183"/>
      <c r="Y16" s="197">
        <f t="shared" si="5"/>
        <v>0</v>
      </c>
      <c r="Z16" s="195">
        <f t="shared" si="6"/>
        <v>0</v>
      </c>
    </row>
    <row r="17" spans="1:27" x14ac:dyDescent="0.2">
      <c r="A17" s="200" t="s">
        <v>271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97">
        <f t="shared" si="4"/>
        <v>0</v>
      </c>
      <c r="U17" s="183"/>
      <c r="V17" s="183"/>
      <c r="W17" s="183"/>
      <c r="X17" s="183"/>
      <c r="Y17" s="197">
        <f t="shared" si="5"/>
        <v>0</v>
      </c>
      <c r="Z17" s="195">
        <f t="shared" si="6"/>
        <v>0</v>
      </c>
    </row>
    <row r="18" spans="1:27" ht="21" x14ac:dyDescent="0.2">
      <c r="A18" s="200" t="s">
        <v>272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>
        <f>SUM(Munka3!E4)</f>
        <v>200000</v>
      </c>
      <c r="O18" s="183"/>
      <c r="P18" s="183"/>
      <c r="Q18" s="183"/>
      <c r="R18" s="183"/>
      <c r="S18" s="183"/>
      <c r="T18" s="197">
        <f t="shared" si="4"/>
        <v>200000</v>
      </c>
      <c r="U18" s="183">
        <f>SUM(Munka3!E9+Munka3!E11,Munka3!E13/2)</f>
        <v>500000</v>
      </c>
      <c r="V18" s="183">
        <f>SUM('Óvoda 2a'!C6)</f>
        <v>100000</v>
      </c>
      <c r="W18" s="183"/>
      <c r="X18" s="183"/>
      <c r="Y18" s="197">
        <f t="shared" si="5"/>
        <v>600000</v>
      </c>
      <c r="Z18" s="195">
        <f t="shared" si="6"/>
        <v>800000</v>
      </c>
    </row>
    <row r="19" spans="1:27" ht="21" x14ac:dyDescent="0.2">
      <c r="A19" s="200" t="s">
        <v>273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97">
        <f t="shared" si="4"/>
        <v>0</v>
      </c>
      <c r="U19" s="183"/>
      <c r="V19" s="183"/>
      <c r="W19" s="183"/>
      <c r="X19" s="183"/>
      <c r="Y19" s="197">
        <f t="shared" si="5"/>
        <v>0</v>
      </c>
      <c r="Z19" s="195">
        <f t="shared" si="6"/>
        <v>0</v>
      </c>
    </row>
    <row r="20" spans="1:27" ht="21" x14ac:dyDescent="0.2">
      <c r="A20" s="200" t="s">
        <v>274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97">
        <f t="shared" si="4"/>
        <v>0</v>
      </c>
      <c r="U20" s="183"/>
      <c r="V20" s="183"/>
      <c r="W20" s="183"/>
      <c r="X20" s="183"/>
      <c r="Y20" s="197">
        <f t="shared" si="5"/>
        <v>0</v>
      </c>
      <c r="Z20" s="195">
        <f t="shared" si="6"/>
        <v>0</v>
      </c>
    </row>
    <row r="21" spans="1:27" ht="21" x14ac:dyDescent="0.2">
      <c r="A21" s="200" t="s">
        <v>275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225"/>
      <c r="N21" s="222"/>
      <c r="O21" s="222"/>
      <c r="P21" s="183"/>
      <c r="Q21" s="183"/>
      <c r="R21" s="183"/>
      <c r="S21" s="183"/>
      <c r="T21" s="197">
        <f t="shared" si="4"/>
        <v>0</v>
      </c>
      <c r="U21" s="183"/>
      <c r="V21" s="183"/>
      <c r="W21" s="183"/>
      <c r="X21" s="183"/>
      <c r="Y21" s="197">
        <f t="shared" si="5"/>
        <v>0</v>
      </c>
      <c r="Z21" s="195">
        <f t="shared" si="6"/>
        <v>0</v>
      </c>
    </row>
    <row r="22" spans="1:27" ht="21" x14ac:dyDescent="0.2">
      <c r="A22" s="200" t="s">
        <v>276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222"/>
      <c r="Q22" s="183"/>
      <c r="R22" s="183"/>
      <c r="S22" s="183"/>
      <c r="T22" s="197">
        <f t="shared" si="4"/>
        <v>0</v>
      </c>
      <c r="U22" s="183"/>
      <c r="V22" s="183"/>
      <c r="W22" s="183"/>
      <c r="X22" s="183"/>
      <c r="Y22" s="197">
        <f t="shared" si="5"/>
        <v>0</v>
      </c>
      <c r="Z22" s="195">
        <f t="shared" si="6"/>
        <v>0</v>
      </c>
    </row>
    <row r="23" spans="1:27" ht="21" x14ac:dyDescent="0.2">
      <c r="A23" s="200" t="s">
        <v>277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97">
        <f t="shared" si="4"/>
        <v>0</v>
      </c>
      <c r="U23" s="183"/>
      <c r="V23" s="183"/>
      <c r="W23" s="183"/>
      <c r="X23" s="183"/>
      <c r="Y23" s="197">
        <f t="shared" si="5"/>
        <v>0</v>
      </c>
      <c r="Z23" s="195">
        <f t="shared" si="6"/>
        <v>0</v>
      </c>
    </row>
    <row r="24" spans="1:27" ht="21" x14ac:dyDescent="0.2">
      <c r="A24" s="200" t="s">
        <v>278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97">
        <f t="shared" si="4"/>
        <v>0</v>
      </c>
      <c r="U24" s="183"/>
      <c r="V24" s="183"/>
      <c r="W24" s="183"/>
      <c r="X24" s="183"/>
      <c r="Y24" s="197">
        <f t="shared" si="5"/>
        <v>0</v>
      </c>
      <c r="Z24" s="195">
        <f t="shared" si="6"/>
        <v>0</v>
      </c>
    </row>
    <row r="25" spans="1:27" s="7" customFormat="1" ht="21" x14ac:dyDescent="0.2">
      <c r="A25" s="200" t="s">
        <v>279</v>
      </c>
      <c r="B25" s="187">
        <f>SUM(B12:B24)</f>
        <v>0</v>
      </c>
      <c r="C25" s="187">
        <f t="shared" ref="C25:S25" si="7">SUM(C12:C24)</f>
        <v>0</v>
      </c>
      <c r="D25" s="187">
        <f t="shared" si="7"/>
        <v>0</v>
      </c>
      <c r="E25" s="187">
        <f>SUM(E12:E24)</f>
        <v>0</v>
      </c>
      <c r="F25" s="187">
        <f t="shared" si="7"/>
        <v>0</v>
      </c>
      <c r="G25" s="187">
        <f t="shared" si="7"/>
        <v>0</v>
      </c>
      <c r="H25" s="187">
        <f t="shared" si="7"/>
        <v>0</v>
      </c>
      <c r="I25" s="187">
        <f t="shared" si="7"/>
        <v>0</v>
      </c>
      <c r="J25" s="187">
        <f t="shared" si="7"/>
        <v>0</v>
      </c>
      <c r="K25" s="187">
        <f t="shared" si="7"/>
        <v>0</v>
      </c>
      <c r="L25" s="187">
        <f t="shared" si="7"/>
        <v>0</v>
      </c>
      <c r="M25" s="187">
        <f t="shared" si="7"/>
        <v>0</v>
      </c>
      <c r="N25" s="187">
        <f t="shared" si="7"/>
        <v>4289480</v>
      </c>
      <c r="O25" s="187">
        <f t="shared" si="7"/>
        <v>0</v>
      </c>
      <c r="P25" s="187">
        <f t="shared" si="7"/>
        <v>0</v>
      </c>
      <c r="Q25" s="187">
        <f t="shared" si="7"/>
        <v>0</v>
      </c>
      <c r="R25" s="187">
        <f t="shared" si="7"/>
        <v>0</v>
      </c>
      <c r="S25" s="187">
        <f t="shared" si="7"/>
        <v>0</v>
      </c>
      <c r="T25" s="187">
        <f t="shared" ref="T25:Z25" si="8">SUM(T12:T24)</f>
        <v>4289480</v>
      </c>
      <c r="U25" s="187">
        <f t="shared" si="8"/>
        <v>10964360</v>
      </c>
      <c r="V25" s="187">
        <f t="shared" si="8"/>
        <v>1217200</v>
      </c>
      <c r="W25" s="187">
        <f t="shared" si="8"/>
        <v>0</v>
      </c>
      <c r="X25" s="187">
        <f t="shared" si="8"/>
        <v>0</v>
      </c>
      <c r="Y25" s="187">
        <f t="shared" si="8"/>
        <v>12181560</v>
      </c>
      <c r="Z25" s="187">
        <f t="shared" si="8"/>
        <v>16471040</v>
      </c>
      <c r="AA25" s="8"/>
    </row>
    <row r="26" spans="1:27" ht="21" x14ac:dyDescent="0.2">
      <c r="A26" s="200" t="s">
        <v>280</v>
      </c>
      <c r="B26" s="183">
        <f>SUM(Munka3!C2+Munka3!C3)</f>
        <v>2064000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97">
        <f>SUM(B26:S26)</f>
        <v>2064000</v>
      </c>
      <c r="U26" s="183"/>
      <c r="V26" s="183"/>
      <c r="W26" s="183"/>
      <c r="X26" s="183"/>
      <c r="Y26" s="197">
        <f>SUM(U26:X26)</f>
        <v>0</v>
      </c>
      <c r="Z26" s="195">
        <f>SUM(T26+Y26)</f>
        <v>2064000</v>
      </c>
    </row>
    <row r="27" spans="1:27" ht="42" x14ac:dyDescent="0.2">
      <c r="A27" s="200" t="s">
        <v>281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97">
        <f>SUM(B27:S27)</f>
        <v>0</v>
      </c>
      <c r="U27" s="183"/>
      <c r="V27" s="183"/>
      <c r="W27" s="183"/>
      <c r="X27" s="183"/>
      <c r="Y27" s="197">
        <f>SUM(U27:X27)</f>
        <v>0</v>
      </c>
      <c r="Z27" s="195">
        <f>SUM(T27+Y27)</f>
        <v>0</v>
      </c>
    </row>
    <row r="28" spans="1:27" ht="21" x14ac:dyDescent="0.2">
      <c r="A28" s="200" t="s">
        <v>282</v>
      </c>
      <c r="B28" s="183">
        <v>300000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97">
        <f>SUM(B28:S28)</f>
        <v>300000</v>
      </c>
      <c r="U28" s="183"/>
      <c r="V28" s="183"/>
      <c r="W28" s="183"/>
      <c r="X28" s="183"/>
      <c r="Y28" s="197">
        <f>SUM(U28:X28)</f>
        <v>0</v>
      </c>
      <c r="Z28" s="195">
        <f>SUM(T28+Y28)</f>
        <v>300000</v>
      </c>
    </row>
    <row r="29" spans="1:27" s="7" customFormat="1" ht="21" x14ac:dyDescent="0.2">
      <c r="A29" s="200" t="s">
        <v>283</v>
      </c>
      <c r="B29" s="187">
        <f>SUM(B26:B28)</f>
        <v>2364000</v>
      </c>
      <c r="C29" s="187">
        <f t="shared" ref="C29:S29" si="9">SUM(C26:C28)</f>
        <v>0</v>
      </c>
      <c r="D29" s="187">
        <f t="shared" si="9"/>
        <v>0</v>
      </c>
      <c r="E29" s="187">
        <f>SUM(E26:E28)</f>
        <v>0</v>
      </c>
      <c r="F29" s="187">
        <f t="shared" si="9"/>
        <v>0</v>
      </c>
      <c r="G29" s="187">
        <f t="shared" si="9"/>
        <v>0</v>
      </c>
      <c r="H29" s="187">
        <f t="shared" si="9"/>
        <v>0</v>
      </c>
      <c r="I29" s="187">
        <f t="shared" si="9"/>
        <v>0</v>
      </c>
      <c r="J29" s="187">
        <f t="shared" si="9"/>
        <v>0</v>
      </c>
      <c r="K29" s="187">
        <f t="shared" si="9"/>
        <v>0</v>
      </c>
      <c r="L29" s="187">
        <f t="shared" si="9"/>
        <v>0</v>
      </c>
      <c r="M29" s="187">
        <f t="shared" si="9"/>
        <v>0</v>
      </c>
      <c r="N29" s="187">
        <f t="shared" si="9"/>
        <v>0</v>
      </c>
      <c r="O29" s="187">
        <f t="shared" si="9"/>
        <v>0</v>
      </c>
      <c r="P29" s="187">
        <f t="shared" si="9"/>
        <v>0</v>
      </c>
      <c r="Q29" s="187">
        <f t="shared" si="9"/>
        <v>0</v>
      </c>
      <c r="R29" s="187">
        <f t="shared" si="9"/>
        <v>0</v>
      </c>
      <c r="S29" s="187">
        <f t="shared" si="9"/>
        <v>0</v>
      </c>
      <c r="T29" s="187">
        <f t="shared" ref="T29:Z29" si="10">SUM(T26:T28)</f>
        <v>2364000</v>
      </c>
      <c r="U29" s="187">
        <f t="shared" si="10"/>
        <v>0</v>
      </c>
      <c r="V29" s="187">
        <f t="shared" si="10"/>
        <v>0</v>
      </c>
      <c r="W29" s="187">
        <f t="shared" si="10"/>
        <v>0</v>
      </c>
      <c r="X29" s="187">
        <f t="shared" si="10"/>
        <v>0</v>
      </c>
      <c r="Y29" s="187">
        <f t="shared" si="10"/>
        <v>0</v>
      </c>
      <c r="Z29" s="187">
        <f t="shared" si="10"/>
        <v>2364000</v>
      </c>
      <c r="AA29" s="8"/>
    </row>
    <row r="30" spans="1:27" s="7" customFormat="1" ht="21" x14ac:dyDescent="0.2">
      <c r="A30" s="202" t="s">
        <v>284</v>
      </c>
      <c r="B30" s="188">
        <f>SUM(B25+B29)</f>
        <v>2364000</v>
      </c>
      <c r="C30" s="188">
        <f t="shared" ref="C30:S30" si="11">SUM(C25+C29)</f>
        <v>0</v>
      </c>
      <c r="D30" s="188">
        <f t="shared" si="11"/>
        <v>0</v>
      </c>
      <c r="E30" s="188">
        <f>SUM(E25+E29)</f>
        <v>0</v>
      </c>
      <c r="F30" s="188">
        <f t="shared" si="11"/>
        <v>0</v>
      </c>
      <c r="G30" s="188">
        <f t="shared" si="11"/>
        <v>0</v>
      </c>
      <c r="H30" s="188">
        <f t="shared" si="11"/>
        <v>0</v>
      </c>
      <c r="I30" s="188">
        <f t="shared" si="11"/>
        <v>0</v>
      </c>
      <c r="J30" s="188">
        <f t="shared" si="11"/>
        <v>0</v>
      </c>
      <c r="K30" s="188">
        <f t="shared" si="11"/>
        <v>0</v>
      </c>
      <c r="L30" s="188">
        <f t="shared" si="11"/>
        <v>0</v>
      </c>
      <c r="M30" s="188">
        <f t="shared" si="11"/>
        <v>0</v>
      </c>
      <c r="N30" s="188">
        <f t="shared" si="11"/>
        <v>4289480</v>
      </c>
      <c r="O30" s="188">
        <f t="shared" si="11"/>
        <v>0</v>
      </c>
      <c r="P30" s="188">
        <f t="shared" si="11"/>
        <v>0</v>
      </c>
      <c r="Q30" s="188">
        <f t="shared" si="11"/>
        <v>0</v>
      </c>
      <c r="R30" s="188">
        <f t="shared" si="11"/>
        <v>0</v>
      </c>
      <c r="S30" s="188">
        <f t="shared" si="11"/>
        <v>0</v>
      </c>
      <c r="T30" s="188">
        <f t="shared" ref="T30:Z30" si="12">SUM(T25+T29)</f>
        <v>6653480</v>
      </c>
      <c r="U30" s="188">
        <f t="shared" si="12"/>
        <v>10964360</v>
      </c>
      <c r="V30" s="188">
        <f t="shared" si="12"/>
        <v>1217200</v>
      </c>
      <c r="W30" s="188">
        <f t="shared" si="12"/>
        <v>0</v>
      </c>
      <c r="X30" s="188">
        <f t="shared" si="12"/>
        <v>0</v>
      </c>
      <c r="Y30" s="188">
        <f t="shared" si="12"/>
        <v>12181560</v>
      </c>
      <c r="Z30" s="188">
        <f t="shared" si="12"/>
        <v>18835040</v>
      </c>
      <c r="AA30" s="8"/>
    </row>
    <row r="31" spans="1:27" s="7" customFormat="1" ht="31.5" x14ac:dyDescent="0.2">
      <c r="A31" s="200" t="s">
        <v>285</v>
      </c>
      <c r="B31" s="187">
        <f>SUM('Kiadások és bevételek alakulása'!D8)</f>
        <v>783900</v>
      </c>
      <c r="C31" s="187"/>
      <c r="D31" s="187"/>
      <c r="E31" s="187">
        <f>SUM('Kiadások és bevételek alakulása'!D20)</f>
        <v>0</v>
      </c>
      <c r="F31" s="187"/>
      <c r="G31" s="187"/>
      <c r="H31" s="187"/>
      <c r="I31" s="187"/>
      <c r="J31" s="187"/>
      <c r="K31" s="187"/>
      <c r="L31" s="187"/>
      <c r="M31" s="187"/>
      <c r="N31" s="187">
        <f>SUM('Kiadások és bevételek alakulása'!D14)</f>
        <v>474528.60000000003</v>
      </c>
      <c r="O31" s="187"/>
      <c r="P31" s="187"/>
      <c r="Q31" s="187"/>
      <c r="R31" s="187"/>
      <c r="S31" s="187"/>
      <c r="T31" s="187">
        <f>SUM(B31:S31)</f>
        <v>1258428.6000000001</v>
      </c>
      <c r="U31" s="187">
        <f>SUM('Óvoda 2a'!B7)</f>
        <v>2040550.2</v>
      </c>
      <c r="V31" s="187">
        <f>SUM('Óvoda 2a'!C7)</f>
        <v>217854</v>
      </c>
      <c r="W31" s="187">
        <f>SUM(W25*27%)</f>
        <v>0</v>
      </c>
      <c r="X31" s="187">
        <f>SUM(X25*27%)</f>
        <v>0</v>
      </c>
      <c r="Y31" s="187">
        <f>SUM(U31:X31)</f>
        <v>2258404.2000000002</v>
      </c>
      <c r="Z31" s="194">
        <f>SUM(T31+Y31)</f>
        <v>3516832.8000000003</v>
      </c>
      <c r="AA31" s="8"/>
    </row>
    <row r="32" spans="1:27" ht="21" x14ac:dyDescent="0.2">
      <c r="A32" s="200" t="s">
        <v>286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97">
        <f>SUM(B32:S32)</f>
        <v>0</v>
      </c>
      <c r="U32" s="183"/>
      <c r="V32" s="183"/>
      <c r="W32" s="183"/>
      <c r="X32" s="183"/>
      <c r="Y32" s="197">
        <f>SUM(U32:X32)</f>
        <v>0</v>
      </c>
      <c r="Z32" s="195">
        <f>SUM(T32+Y32)</f>
        <v>0</v>
      </c>
    </row>
    <row r="33" spans="1:27" ht="21" x14ac:dyDescent="0.2">
      <c r="A33" s="200" t="s">
        <v>287</v>
      </c>
      <c r="B33" s="183"/>
      <c r="C33" s="183">
        <v>15000</v>
      </c>
      <c r="D33" s="183"/>
      <c r="E33" s="183">
        <f>SUM('Kiadások és bevételek alakulása'!E20)</f>
        <v>0</v>
      </c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97">
        <f>SUM(B33:S33)</f>
        <v>15000</v>
      </c>
      <c r="U33" s="183"/>
      <c r="V33" s="183"/>
      <c r="W33" s="183"/>
      <c r="X33" s="183"/>
      <c r="Y33" s="197">
        <f>SUM(U33:X33)</f>
        <v>0</v>
      </c>
      <c r="Z33" s="195">
        <f>SUM(T33+Y33)</f>
        <v>15000</v>
      </c>
    </row>
    <row r="34" spans="1:27" x14ac:dyDescent="0.2">
      <c r="A34" s="200" t="s">
        <v>288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97">
        <f>SUM(B34:S34)</f>
        <v>0</v>
      </c>
      <c r="U34" s="183"/>
      <c r="V34" s="183"/>
      <c r="W34" s="183"/>
      <c r="X34" s="183"/>
      <c r="Y34" s="197">
        <f>SUM(U34:X34)</f>
        <v>0</v>
      </c>
      <c r="Z34" s="195">
        <f>SUM(T34+Y34)</f>
        <v>0</v>
      </c>
    </row>
    <row r="35" spans="1:27" s="7" customFormat="1" ht="21" x14ac:dyDescent="0.2">
      <c r="A35" s="200" t="s">
        <v>289</v>
      </c>
      <c r="B35" s="187">
        <f>SUM(B32:B34)</f>
        <v>0</v>
      </c>
      <c r="C35" s="187">
        <f t="shared" ref="C35:S35" si="13">SUM(C32:C34)</f>
        <v>15000</v>
      </c>
      <c r="D35" s="187">
        <f t="shared" si="13"/>
        <v>0</v>
      </c>
      <c r="E35" s="187">
        <f>SUM(E32:E34)</f>
        <v>0</v>
      </c>
      <c r="F35" s="187">
        <f t="shared" si="13"/>
        <v>0</v>
      </c>
      <c r="G35" s="187">
        <f t="shared" si="13"/>
        <v>0</v>
      </c>
      <c r="H35" s="187">
        <f t="shared" si="13"/>
        <v>0</v>
      </c>
      <c r="I35" s="187">
        <f t="shared" si="13"/>
        <v>0</v>
      </c>
      <c r="J35" s="187">
        <f t="shared" si="13"/>
        <v>0</v>
      </c>
      <c r="K35" s="187">
        <f t="shared" si="13"/>
        <v>0</v>
      </c>
      <c r="L35" s="187">
        <f t="shared" si="13"/>
        <v>0</v>
      </c>
      <c r="M35" s="187">
        <f t="shared" si="13"/>
        <v>0</v>
      </c>
      <c r="N35" s="187">
        <f t="shared" si="13"/>
        <v>0</v>
      </c>
      <c r="O35" s="187">
        <f t="shared" si="13"/>
        <v>0</v>
      </c>
      <c r="P35" s="187">
        <f t="shared" si="13"/>
        <v>0</v>
      </c>
      <c r="Q35" s="187">
        <f t="shared" si="13"/>
        <v>0</v>
      </c>
      <c r="R35" s="187">
        <f t="shared" si="13"/>
        <v>0</v>
      </c>
      <c r="S35" s="187">
        <f t="shared" si="13"/>
        <v>0</v>
      </c>
      <c r="T35" s="187">
        <f t="shared" ref="T35:Z35" si="14">SUM(T32:T34)</f>
        <v>15000</v>
      </c>
      <c r="U35" s="187">
        <f t="shared" si="14"/>
        <v>0</v>
      </c>
      <c r="V35" s="187">
        <f t="shared" si="14"/>
        <v>0</v>
      </c>
      <c r="W35" s="187">
        <f t="shared" si="14"/>
        <v>0</v>
      </c>
      <c r="X35" s="187">
        <f t="shared" si="14"/>
        <v>0</v>
      </c>
      <c r="Y35" s="187">
        <f t="shared" si="14"/>
        <v>0</v>
      </c>
      <c r="Z35" s="187">
        <f t="shared" si="14"/>
        <v>15000</v>
      </c>
      <c r="AA35" s="8"/>
    </row>
    <row r="36" spans="1:27" ht="21" x14ac:dyDescent="0.2">
      <c r="A36" s="200" t="s">
        <v>290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97">
        <f>SUM(B36:S36)</f>
        <v>0</v>
      </c>
      <c r="U36" s="183"/>
      <c r="V36" s="183"/>
      <c r="W36" s="183"/>
      <c r="X36" s="183"/>
      <c r="Y36" s="197">
        <f>SUM(U36:X36)</f>
        <v>0</v>
      </c>
      <c r="Z36" s="195">
        <f>SUM(T36+Y36)</f>
        <v>0</v>
      </c>
    </row>
    <row r="37" spans="1:27" ht="21" x14ac:dyDescent="0.2">
      <c r="A37" s="200" t="s">
        <v>291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97">
        <f>SUM(B37:S37)</f>
        <v>0</v>
      </c>
      <c r="U37" s="183"/>
      <c r="V37" s="183"/>
      <c r="W37" s="183"/>
      <c r="X37" s="183"/>
      <c r="Y37" s="197">
        <f>SUM(U37:X37)</f>
        <v>0</v>
      </c>
      <c r="Z37" s="195">
        <f>SUM(T37+Y37)</f>
        <v>0</v>
      </c>
    </row>
    <row r="38" spans="1:27" s="7" customFormat="1" ht="31.5" x14ac:dyDescent="0.2">
      <c r="A38" s="200" t="s">
        <v>292</v>
      </c>
      <c r="B38" s="187">
        <f>SUM(B36:B37)</f>
        <v>0</v>
      </c>
      <c r="C38" s="187">
        <f t="shared" ref="C38:S38" si="15">SUM(C36:C37)</f>
        <v>0</v>
      </c>
      <c r="D38" s="187">
        <f t="shared" si="15"/>
        <v>0</v>
      </c>
      <c r="E38" s="187">
        <f>SUM(E36:E37)</f>
        <v>0</v>
      </c>
      <c r="F38" s="187">
        <f t="shared" si="15"/>
        <v>0</v>
      </c>
      <c r="G38" s="187">
        <f t="shared" si="15"/>
        <v>0</v>
      </c>
      <c r="H38" s="187">
        <f t="shared" si="15"/>
        <v>0</v>
      </c>
      <c r="I38" s="187">
        <f t="shared" si="15"/>
        <v>0</v>
      </c>
      <c r="J38" s="187">
        <f t="shared" si="15"/>
        <v>0</v>
      </c>
      <c r="K38" s="187">
        <f t="shared" si="15"/>
        <v>0</v>
      </c>
      <c r="L38" s="187">
        <f t="shared" si="15"/>
        <v>0</v>
      </c>
      <c r="M38" s="187">
        <f t="shared" si="15"/>
        <v>0</v>
      </c>
      <c r="N38" s="187">
        <f t="shared" si="15"/>
        <v>0</v>
      </c>
      <c r="O38" s="187">
        <f t="shared" si="15"/>
        <v>0</v>
      </c>
      <c r="P38" s="187">
        <f t="shared" si="15"/>
        <v>0</v>
      </c>
      <c r="Q38" s="187">
        <f t="shared" si="15"/>
        <v>0</v>
      </c>
      <c r="R38" s="187">
        <f t="shared" si="15"/>
        <v>0</v>
      </c>
      <c r="S38" s="187">
        <f t="shared" si="15"/>
        <v>0</v>
      </c>
      <c r="T38" s="187">
        <f t="shared" ref="T38:Z38" si="16">SUM(T36:T37)</f>
        <v>0</v>
      </c>
      <c r="U38" s="187">
        <f t="shared" si="16"/>
        <v>0</v>
      </c>
      <c r="V38" s="187">
        <f t="shared" si="16"/>
        <v>0</v>
      </c>
      <c r="W38" s="187">
        <f t="shared" si="16"/>
        <v>0</v>
      </c>
      <c r="X38" s="187">
        <f t="shared" si="16"/>
        <v>0</v>
      </c>
      <c r="Y38" s="187">
        <f t="shared" si="16"/>
        <v>0</v>
      </c>
      <c r="Z38" s="187">
        <f t="shared" si="16"/>
        <v>0</v>
      </c>
      <c r="AA38" s="8"/>
    </row>
    <row r="39" spans="1:27" x14ac:dyDescent="0.2">
      <c r="A39" s="200" t="s">
        <v>293</v>
      </c>
      <c r="B39" s="183"/>
      <c r="C39" s="183">
        <v>25000</v>
      </c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97">
        <f t="shared" ref="T39:T45" si="17">SUM(B39:S39)</f>
        <v>25000</v>
      </c>
      <c r="U39" s="183"/>
      <c r="V39" s="183"/>
      <c r="W39" s="183"/>
      <c r="X39" s="183"/>
      <c r="Y39" s="197">
        <f>SUM(U39:X39)</f>
        <v>0</v>
      </c>
      <c r="Z39" s="195">
        <f>SUM(T39+Y39)</f>
        <v>25000</v>
      </c>
    </row>
    <row r="40" spans="1:27" x14ac:dyDescent="0.2">
      <c r="A40" s="200" t="s">
        <v>294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97">
        <f t="shared" si="17"/>
        <v>0</v>
      </c>
      <c r="U40" s="183"/>
      <c r="V40" s="183"/>
      <c r="W40" s="183"/>
      <c r="X40" s="183"/>
      <c r="Y40" s="197">
        <f t="shared" ref="Y40:Y45" si="18">SUM(U40:X40)</f>
        <v>0</v>
      </c>
      <c r="Z40" s="195">
        <f t="shared" ref="Z40:Z45" si="19">SUM(T40+Y40)</f>
        <v>0</v>
      </c>
    </row>
    <row r="41" spans="1:27" x14ac:dyDescent="0.2">
      <c r="A41" s="200" t="s">
        <v>295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97">
        <f t="shared" si="17"/>
        <v>0</v>
      </c>
      <c r="U41" s="183"/>
      <c r="V41" s="183"/>
      <c r="W41" s="183"/>
      <c r="X41" s="183"/>
      <c r="Y41" s="197">
        <f t="shared" si="18"/>
        <v>0</v>
      </c>
      <c r="Z41" s="195">
        <f t="shared" si="19"/>
        <v>0</v>
      </c>
    </row>
    <row r="42" spans="1:27" ht="21" x14ac:dyDescent="0.2">
      <c r="A42" s="200" t="s">
        <v>296</v>
      </c>
      <c r="B42" s="183"/>
      <c r="C42" s="183">
        <v>80000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97">
        <f t="shared" si="17"/>
        <v>80000</v>
      </c>
      <c r="U42" s="183"/>
      <c r="V42" s="183"/>
      <c r="W42" s="183"/>
      <c r="X42" s="183"/>
      <c r="Y42" s="197">
        <f t="shared" si="18"/>
        <v>0</v>
      </c>
      <c r="Z42" s="195">
        <f t="shared" si="19"/>
        <v>80000</v>
      </c>
    </row>
    <row r="43" spans="1:27" ht="21" x14ac:dyDescent="0.2">
      <c r="A43" s="200" t="s">
        <v>297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97">
        <f t="shared" si="17"/>
        <v>0</v>
      </c>
      <c r="U43" s="183"/>
      <c r="V43" s="183"/>
      <c r="W43" s="183"/>
      <c r="X43" s="183"/>
      <c r="Y43" s="197">
        <f t="shared" si="18"/>
        <v>0</v>
      </c>
      <c r="Z43" s="195">
        <f t="shared" si="19"/>
        <v>0</v>
      </c>
    </row>
    <row r="44" spans="1:27" ht="21" x14ac:dyDescent="0.2">
      <c r="A44" s="200" t="s">
        <v>298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97">
        <f t="shared" si="17"/>
        <v>0</v>
      </c>
      <c r="U44" s="183"/>
      <c r="V44" s="183"/>
      <c r="W44" s="183"/>
      <c r="X44" s="183"/>
      <c r="Y44" s="197">
        <f t="shared" si="18"/>
        <v>0</v>
      </c>
      <c r="Z44" s="195">
        <f t="shared" si="19"/>
        <v>0</v>
      </c>
    </row>
    <row r="45" spans="1:27" x14ac:dyDescent="0.2">
      <c r="A45" s="200" t="s">
        <v>299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97">
        <f t="shared" si="17"/>
        <v>0</v>
      </c>
      <c r="U45" s="183"/>
      <c r="V45" s="183"/>
      <c r="W45" s="183"/>
      <c r="X45" s="183"/>
      <c r="Y45" s="197">
        <f t="shared" si="18"/>
        <v>0</v>
      </c>
      <c r="Z45" s="195">
        <f t="shared" si="19"/>
        <v>0</v>
      </c>
    </row>
    <row r="46" spans="1:27" s="7" customFormat="1" ht="21" x14ac:dyDescent="0.2">
      <c r="A46" s="200" t="s">
        <v>300</v>
      </c>
      <c r="B46" s="187">
        <f>SUM(B39:B45)</f>
        <v>0</v>
      </c>
      <c r="C46" s="187">
        <f t="shared" ref="C46:S46" si="20">SUM(C39:C45)</f>
        <v>105000</v>
      </c>
      <c r="D46" s="187">
        <f t="shared" si="20"/>
        <v>0</v>
      </c>
      <c r="E46" s="187">
        <f>SUM(E39:E45)</f>
        <v>0</v>
      </c>
      <c r="F46" s="187">
        <f t="shared" si="20"/>
        <v>0</v>
      </c>
      <c r="G46" s="187">
        <f t="shared" si="20"/>
        <v>0</v>
      </c>
      <c r="H46" s="187">
        <f t="shared" si="20"/>
        <v>0</v>
      </c>
      <c r="I46" s="187">
        <f t="shared" si="20"/>
        <v>0</v>
      </c>
      <c r="J46" s="187">
        <f t="shared" si="20"/>
        <v>0</v>
      </c>
      <c r="K46" s="187">
        <f t="shared" si="20"/>
        <v>0</v>
      </c>
      <c r="L46" s="187">
        <f t="shared" si="20"/>
        <v>0</v>
      </c>
      <c r="M46" s="187">
        <f t="shared" si="20"/>
        <v>0</v>
      </c>
      <c r="N46" s="187">
        <f t="shared" si="20"/>
        <v>0</v>
      </c>
      <c r="O46" s="187">
        <f t="shared" si="20"/>
        <v>0</v>
      </c>
      <c r="P46" s="187">
        <f t="shared" si="20"/>
        <v>0</v>
      </c>
      <c r="Q46" s="187">
        <f t="shared" si="20"/>
        <v>0</v>
      </c>
      <c r="R46" s="187">
        <f t="shared" si="20"/>
        <v>0</v>
      </c>
      <c r="S46" s="187">
        <f t="shared" si="20"/>
        <v>0</v>
      </c>
      <c r="T46" s="187">
        <f t="shared" ref="T46:Z46" si="21">SUM(T39:T45)</f>
        <v>105000</v>
      </c>
      <c r="U46" s="187">
        <f t="shared" si="21"/>
        <v>0</v>
      </c>
      <c r="V46" s="187">
        <f t="shared" si="21"/>
        <v>0</v>
      </c>
      <c r="W46" s="187">
        <f t="shared" si="21"/>
        <v>0</v>
      </c>
      <c r="X46" s="187">
        <f t="shared" si="21"/>
        <v>0</v>
      </c>
      <c r="Y46" s="187">
        <f t="shared" si="21"/>
        <v>0</v>
      </c>
      <c r="Z46" s="187">
        <f t="shared" si="21"/>
        <v>105000</v>
      </c>
      <c r="AA46" s="8"/>
    </row>
    <row r="47" spans="1:27" ht="21" x14ac:dyDescent="0.2">
      <c r="A47" s="200" t="s">
        <v>301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97">
        <f t="shared" ref="T47:T78" si="22">SUM(B47:S47)</f>
        <v>0</v>
      </c>
      <c r="U47" s="183"/>
      <c r="V47" s="183"/>
      <c r="W47" s="183"/>
      <c r="X47" s="183"/>
      <c r="Y47" s="197">
        <f>SUM(U47:X47)</f>
        <v>0</v>
      </c>
      <c r="Z47" s="195">
        <f>SUM(T47+Y47)</f>
        <v>0</v>
      </c>
    </row>
    <row r="48" spans="1:27" ht="21" x14ac:dyDescent="0.2">
      <c r="A48" s="200" t="s">
        <v>302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97">
        <f t="shared" si="22"/>
        <v>0</v>
      </c>
      <c r="U48" s="183"/>
      <c r="V48" s="183"/>
      <c r="W48" s="183"/>
      <c r="X48" s="183"/>
      <c r="Y48" s="197">
        <f t="shared" ref="Y48:Y54" si="23">SUM(U48:X48)</f>
        <v>0</v>
      </c>
      <c r="Z48" s="195">
        <f t="shared" ref="Z48:Z54" si="24">SUM(T48+Y48)</f>
        <v>0</v>
      </c>
    </row>
    <row r="49" spans="1:27" ht="31.5" x14ac:dyDescent="0.2">
      <c r="A49" s="200" t="s">
        <v>303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97">
        <f t="shared" si="22"/>
        <v>0</v>
      </c>
      <c r="U49" s="183"/>
      <c r="V49" s="183"/>
      <c r="W49" s="183"/>
      <c r="X49" s="183"/>
      <c r="Y49" s="197">
        <f t="shared" si="23"/>
        <v>0</v>
      </c>
      <c r="Z49" s="195">
        <f t="shared" si="24"/>
        <v>0</v>
      </c>
    </row>
    <row r="50" spans="1:27" ht="31.5" x14ac:dyDescent="0.2">
      <c r="A50" s="200" t="s">
        <v>304</v>
      </c>
      <c r="B50" s="183"/>
      <c r="C50" s="183">
        <v>32000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97">
        <f t="shared" si="22"/>
        <v>32000</v>
      </c>
      <c r="U50" s="183"/>
      <c r="V50" s="183"/>
      <c r="W50" s="183"/>
      <c r="X50" s="183"/>
      <c r="Y50" s="197">
        <f t="shared" si="23"/>
        <v>0</v>
      </c>
      <c r="Z50" s="195">
        <f t="shared" si="24"/>
        <v>32000</v>
      </c>
    </row>
    <row r="51" spans="1:27" ht="21" x14ac:dyDescent="0.2">
      <c r="A51" s="200" t="s">
        <v>305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97">
        <f t="shared" si="22"/>
        <v>0</v>
      </c>
      <c r="U51" s="183"/>
      <c r="V51" s="183"/>
      <c r="W51" s="183"/>
      <c r="X51" s="183"/>
      <c r="Y51" s="197">
        <f t="shared" si="23"/>
        <v>0</v>
      </c>
      <c r="Z51" s="195">
        <f t="shared" si="24"/>
        <v>0</v>
      </c>
    </row>
    <row r="52" spans="1:27" x14ac:dyDescent="0.2">
      <c r="A52" s="200" t="s">
        <v>306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97">
        <f t="shared" si="22"/>
        <v>0</v>
      </c>
      <c r="U52" s="183"/>
      <c r="V52" s="183"/>
      <c r="W52" s="183"/>
      <c r="X52" s="183"/>
      <c r="Y52" s="197">
        <f t="shared" si="23"/>
        <v>0</v>
      </c>
      <c r="Z52" s="195">
        <f t="shared" si="24"/>
        <v>0</v>
      </c>
    </row>
    <row r="53" spans="1:27" ht="21" x14ac:dyDescent="0.2">
      <c r="A53" s="200" t="s">
        <v>307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97">
        <f t="shared" si="22"/>
        <v>0</v>
      </c>
      <c r="U53" s="183"/>
      <c r="V53" s="183"/>
      <c r="W53" s="183"/>
      <c r="X53" s="183"/>
      <c r="Y53" s="197">
        <f t="shared" si="23"/>
        <v>0</v>
      </c>
      <c r="Z53" s="195">
        <f t="shared" si="24"/>
        <v>0</v>
      </c>
    </row>
    <row r="54" spans="1:27" x14ac:dyDescent="0.2">
      <c r="A54" s="200" t="s">
        <v>308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97">
        <f t="shared" si="22"/>
        <v>0</v>
      </c>
      <c r="U54" s="183"/>
      <c r="V54" s="183"/>
      <c r="W54" s="183"/>
      <c r="X54" s="183"/>
      <c r="Y54" s="197">
        <f t="shared" si="23"/>
        <v>0</v>
      </c>
      <c r="Z54" s="195">
        <f t="shared" si="24"/>
        <v>0</v>
      </c>
    </row>
    <row r="55" spans="1:27" s="7" customFormat="1" ht="31.5" x14ac:dyDescent="0.2">
      <c r="A55" s="200" t="s">
        <v>309</v>
      </c>
      <c r="B55" s="187">
        <f>SUM(B47:B54)</f>
        <v>0</v>
      </c>
      <c r="C55" s="187">
        <f t="shared" ref="C55:Z55" si="25">SUM(C47:C54)</f>
        <v>32000</v>
      </c>
      <c r="D55" s="187">
        <f t="shared" si="25"/>
        <v>0</v>
      </c>
      <c r="E55" s="187">
        <f>SUM(E47:E54)</f>
        <v>0</v>
      </c>
      <c r="F55" s="187">
        <f t="shared" si="25"/>
        <v>0</v>
      </c>
      <c r="G55" s="187">
        <f t="shared" si="25"/>
        <v>0</v>
      </c>
      <c r="H55" s="187">
        <f t="shared" si="25"/>
        <v>0</v>
      </c>
      <c r="I55" s="187">
        <f t="shared" si="25"/>
        <v>0</v>
      </c>
      <c r="J55" s="187">
        <f t="shared" si="25"/>
        <v>0</v>
      </c>
      <c r="K55" s="187">
        <f t="shared" si="25"/>
        <v>0</v>
      </c>
      <c r="L55" s="187">
        <f t="shared" si="25"/>
        <v>0</v>
      </c>
      <c r="M55" s="187">
        <f t="shared" si="25"/>
        <v>0</v>
      </c>
      <c r="N55" s="187">
        <f t="shared" si="25"/>
        <v>0</v>
      </c>
      <c r="O55" s="187">
        <f t="shared" si="25"/>
        <v>0</v>
      </c>
      <c r="P55" s="187">
        <f t="shared" si="25"/>
        <v>0</v>
      </c>
      <c r="Q55" s="187">
        <f t="shared" si="25"/>
        <v>0</v>
      </c>
      <c r="R55" s="187">
        <f t="shared" si="25"/>
        <v>0</v>
      </c>
      <c r="S55" s="187">
        <f t="shared" si="25"/>
        <v>0</v>
      </c>
      <c r="T55" s="187">
        <f t="shared" si="25"/>
        <v>32000</v>
      </c>
      <c r="U55" s="187">
        <f t="shared" si="25"/>
        <v>0</v>
      </c>
      <c r="V55" s="187">
        <f t="shared" si="25"/>
        <v>0</v>
      </c>
      <c r="W55" s="187">
        <f t="shared" si="25"/>
        <v>0</v>
      </c>
      <c r="X55" s="187">
        <f t="shared" si="25"/>
        <v>0</v>
      </c>
      <c r="Y55" s="187">
        <f t="shared" si="25"/>
        <v>0</v>
      </c>
      <c r="Z55" s="187">
        <f t="shared" si="25"/>
        <v>32000</v>
      </c>
      <c r="AA55" s="8"/>
    </row>
    <row r="56" spans="1:27" s="7" customFormat="1" ht="21" x14ac:dyDescent="0.2">
      <c r="A56" s="202" t="s">
        <v>310</v>
      </c>
      <c r="B56" s="184">
        <f>SUM(B35+B38+B46+B55)</f>
        <v>0</v>
      </c>
      <c r="C56" s="184">
        <f t="shared" ref="C56:Z56" si="26">SUM(C35+C38+C46+C55)</f>
        <v>152000</v>
      </c>
      <c r="D56" s="184">
        <f t="shared" si="26"/>
        <v>0</v>
      </c>
      <c r="E56" s="184">
        <f>SUM(E35+E38+E46+E55)</f>
        <v>0</v>
      </c>
      <c r="F56" s="184">
        <f t="shared" si="26"/>
        <v>0</v>
      </c>
      <c r="G56" s="184">
        <f t="shared" si="26"/>
        <v>0</v>
      </c>
      <c r="H56" s="184">
        <f t="shared" si="26"/>
        <v>0</v>
      </c>
      <c r="I56" s="184">
        <f t="shared" si="26"/>
        <v>0</v>
      </c>
      <c r="J56" s="184">
        <f t="shared" si="26"/>
        <v>0</v>
      </c>
      <c r="K56" s="184">
        <f t="shared" si="26"/>
        <v>0</v>
      </c>
      <c r="L56" s="184">
        <f t="shared" si="26"/>
        <v>0</v>
      </c>
      <c r="M56" s="184">
        <f t="shared" si="26"/>
        <v>0</v>
      </c>
      <c r="N56" s="184">
        <f t="shared" si="26"/>
        <v>0</v>
      </c>
      <c r="O56" s="184">
        <f t="shared" si="26"/>
        <v>0</v>
      </c>
      <c r="P56" s="184">
        <f t="shared" si="26"/>
        <v>0</v>
      </c>
      <c r="Q56" s="184">
        <f t="shared" si="26"/>
        <v>0</v>
      </c>
      <c r="R56" s="184">
        <f t="shared" si="26"/>
        <v>0</v>
      </c>
      <c r="S56" s="184">
        <f t="shared" si="26"/>
        <v>0</v>
      </c>
      <c r="T56" s="184">
        <f t="shared" si="26"/>
        <v>152000</v>
      </c>
      <c r="U56" s="184">
        <f t="shared" si="26"/>
        <v>0</v>
      </c>
      <c r="V56" s="184">
        <f t="shared" si="26"/>
        <v>0</v>
      </c>
      <c r="W56" s="184">
        <f t="shared" si="26"/>
        <v>0</v>
      </c>
      <c r="X56" s="184">
        <f t="shared" si="26"/>
        <v>0</v>
      </c>
      <c r="Y56" s="184">
        <f t="shared" si="26"/>
        <v>0</v>
      </c>
      <c r="Z56" s="184">
        <f t="shared" si="26"/>
        <v>152000</v>
      </c>
      <c r="AA56" s="8"/>
    </row>
    <row r="57" spans="1:27" ht="21" x14ac:dyDescent="0.2">
      <c r="A57" s="200" t="s">
        <v>311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97">
        <f t="shared" si="22"/>
        <v>0</v>
      </c>
      <c r="U57" s="183"/>
      <c r="V57" s="183"/>
      <c r="W57" s="183"/>
      <c r="X57" s="183"/>
      <c r="Y57" s="197">
        <f>SUM(U57:X57)</f>
        <v>0</v>
      </c>
      <c r="Z57" s="195">
        <f>SUM(T57+Y57)</f>
        <v>0</v>
      </c>
    </row>
    <row r="58" spans="1:27" s="7" customFormat="1" ht="21" x14ac:dyDescent="0.2">
      <c r="A58" s="200" t="s">
        <v>312</v>
      </c>
      <c r="B58" s="187">
        <f>SUM(B57)</f>
        <v>0</v>
      </c>
      <c r="C58" s="187">
        <f t="shared" ref="C58:Z58" si="27">SUM(C57)</f>
        <v>0</v>
      </c>
      <c r="D58" s="187">
        <f t="shared" si="27"/>
        <v>0</v>
      </c>
      <c r="E58" s="187">
        <f>SUM(E57)</f>
        <v>0</v>
      </c>
      <c r="F58" s="187">
        <f t="shared" si="27"/>
        <v>0</v>
      </c>
      <c r="G58" s="187">
        <f t="shared" si="27"/>
        <v>0</v>
      </c>
      <c r="H58" s="187">
        <f t="shared" si="27"/>
        <v>0</v>
      </c>
      <c r="I58" s="187">
        <f t="shared" si="27"/>
        <v>0</v>
      </c>
      <c r="J58" s="187">
        <f t="shared" si="27"/>
        <v>0</v>
      </c>
      <c r="K58" s="187">
        <f t="shared" si="27"/>
        <v>0</v>
      </c>
      <c r="L58" s="187">
        <f t="shared" si="27"/>
        <v>0</v>
      </c>
      <c r="M58" s="187">
        <f t="shared" si="27"/>
        <v>0</v>
      </c>
      <c r="N58" s="187">
        <f t="shared" si="27"/>
        <v>0</v>
      </c>
      <c r="O58" s="187">
        <f t="shared" si="27"/>
        <v>0</v>
      </c>
      <c r="P58" s="187">
        <f t="shared" si="27"/>
        <v>0</v>
      </c>
      <c r="Q58" s="187">
        <f t="shared" si="27"/>
        <v>0</v>
      </c>
      <c r="R58" s="187">
        <f t="shared" si="27"/>
        <v>0</v>
      </c>
      <c r="S58" s="187">
        <f t="shared" si="27"/>
        <v>0</v>
      </c>
      <c r="T58" s="187">
        <f t="shared" si="27"/>
        <v>0</v>
      </c>
      <c r="U58" s="187">
        <f t="shared" si="27"/>
        <v>0</v>
      </c>
      <c r="V58" s="187">
        <f t="shared" si="27"/>
        <v>0</v>
      </c>
      <c r="W58" s="187">
        <f t="shared" si="27"/>
        <v>0</v>
      </c>
      <c r="X58" s="187">
        <f t="shared" si="27"/>
        <v>0</v>
      </c>
      <c r="Y58" s="187">
        <f t="shared" si="27"/>
        <v>0</v>
      </c>
      <c r="Z58" s="187">
        <f t="shared" si="27"/>
        <v>0</v>
      </c>
      <c r="AA58" s="8"/>
    </row>
    <row r="59" spans="1:27" ht="31.5" x14ac:dyDescent="0.2">
      <c r="A59" s="200" t="s">
        <v>313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97">
        <f t="shared" si="22"/>
        <v>0</v>
      </c>
      <c r="U59" s="183"/>
      <c r="V59" s="183"/>
      <c r="W59" s="183"/>
      <c r="X59" s="183"/>
      <c r="Y59" s="197">
        <f>SUM(U59:X59)</f>
        <v>0</v>
      </c>
      <c r="Z59" s="195">
        <f>SUM(T59+Y59)</f>
        <v>0</v>
      </c>
    </row>
    <row r="60" spans="1:27" ht="31.5" x14ac:dyDescent="0.2">
      <c r="A60" s="200" t="s">
        <v>314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97">
        <f t="shared" si="22"/>
        <v>0</v>
      </c>
      <c r="U60" s="183"/>
      <c r="V60" s="183"/>
      <c r="W60" s="183"/>
      <c r="X60" s="183"/>
      <c r="Y60" s="197">
        <f>SUM(U60:X60)</f>
        <v>0</v>
      </c>
      <c r="Z60" s="195">
        <f>SUM(T60+Y60)</f>
        <v>0</v>
      </c>
    </row>
    <row r="61" spans="1:27" ht="21" x14ac:dyDescent="0.2">
      <c r="A61" s="200" t="s">
        <v>315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97">
        <f t="shared" si="22"/>
        <v>0</v>
      </c>
      <c r="U61" s="183"/>
      <c r="V61" s="183"/>
      <c r="W61" s="183"/>
      <c r="X61" s="183"/>
      <c r="Y61" s="197">
        <f>SUM(U61:X61)</f>
        <v>0</v>
      </c>
      <c r="Z61" s="195">
        <f>SUM(T61+Y61)</f>
        <v>0</v>
      </c>
    </row>
    <row r="62" spans="1:27" s="7" customFormat="1" ht="21" x14ac:dyDescent="0.2">
      <c r="A62" s="200" t="s">
        <v>316</v>
      </c>
      <c r="B62" s="187">
        <f>SUM(B59:B61)</f>
        <v>0</v>
      </c>
      <c r="C62" s="187">
        <f t="shared" ref="C62:Z62" si="28">SUM(C59:C61)</f>
        <v>0</v>
      </c>
      <c r="D62" s="187">
        <f t="shared" si="28"/>
        <v>0</v>
      </c>
      <c r="E62" s="187">
        <f>SUM(E59:E61)</f>
        <v>0</v>
      </c>
      <c r="F62" s="187">
        <f t="shared" si="28"/>
        <v>0</v>
      </c>
      <c r="G62" s="187">
        <f t="shared" si="28"/>
        <v>0</v>
      </c>
      <c r="H62" s="187">
        <f t="shared" si="28"/>
        <v>0</v>
      </c>
      <c r="I62" s="187">
        <f t="shared" si="28"/>
        <v>0</v>
      </c>
      <c r="J62" s="187">
        <f t="shared" si="28"/>
        <v>0</v>
      </c>
      <c r="K62" s="187">
        <f t="shared" si="28"/>
        <v>0</v>
      </c>
      <c r="L62" s="187">
        <f t="shared" si="28"/>
        <v>0</v>
      </c>
      <c r="M62" s="187">
        <f t="shared" si="28"/>
        <v>0</v>
      </c>
      <c r="N62" s="187">
        <f t="shared" si="28"/>
        <v>0</v>
      </c>
      <c r="O62" s="187">
        <f t="shared" si="28"/>
        <v>0</v>
      </c>
      <c r="P62" s="187">
        <f t="shared" si="28"/>
        <v>0</v>
      </c>
      <c r="Q62" s="187">
        <f t="shared" si="28"/>
        <v>0</v>
      </c>
      <c r="R62" s="187">
        <f t="shared" si="28"/>
        <v>0</v>
      </c>
      <c r="S62" s="187">
        <f t="shared" si="28"/>
        <v>0</v>
      </c>
      <c r="T62" s="187">
        <f t="shared" si="28"/>
        <v>0</v>
      </c>
      <c r="U62" s="187">
        <f t="shared" si="28"/>
        <v>0</v>
      </c>
      <c r="V62" s="187">
        <f t="shared" si="28"/>
        <v>0</v>
      </c>
      <c r="W62" s="187">
        <f t="shared" si="28"/>
        <v>0</v>
      </c>
      <c r="X62" s="187">
        <f t="shared" si="28"/>
        <v>0</v>
      </c>
      <c r="Y62" s="187">
        <f t="shared" si="28"/>
        <v>0</v>
      </c>
      <c r="Z62" s="187">
        <f t="shared" si="28"/>
        <v>0</v>
      </c>
      <c r="AA62" s="8"/>
    </row>
    <row r="63" spans="1:27" ht="42" x14ac:dyDescent="0.2">
      <c r="A63" s="200" t="s">
        <v>317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97">
        <f t="shared" si="22"/>
        <v>0</v>
      </c>
      <c r="U63" s="183"/>
      <c r="V63" s="183"/>
      <c r="W63" s="183"/>
      <c r="X63" s="183"/>
      <c r="Y63" s="197">
        <f>SUM(U63:X63)</f>
        <v>0</v>
      </c>
      <c r="Z63" s="195">
        <f>SUM(T63+Y63)</f>
        <v>0</v>
      </c>
    </row>
    <row r="64" spans="1:27" x14ac:dyDescent="0.2">
      <c r="A64" s="200" t="s">
        <v>318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97">
        <f t="shared" si="22"/>
        <v>0</v>
      </c>
      <c r="U64" s="183"/>
      <c r="V64" s="183"/>
      <c r="W64" s="183"/>
      <c r="X64" s="183"/>
      <c r="Y64" s="197">
        <f>SUM(U64:X64)</f>
        <v>0</v>
      </c>
      <c r="Z64" s="195">
        <f>SUM(T64+Y64)</f>
        <v>0</v>
      </c>
    </row>
    <row r="65" spans="1:27" ht="42" x14ac:dyDescent="0.2">
      <c r="A65" s="200" t="s">
        <v>319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97">
        <f t="shared" si="22"/>
        <v>0</v>
      </c>
      <c r="U65" s="183"/>
      <c r="V65" s="183"/>
      <c r="W65" s="183"/>
      <c r="X65" s="183"/>
      <c r="Y65" s="197">
        <f>SUM(U65:X65)</f>
        <v>0</v>
      </c>
      <c r="Z65" s="195">
        <f>SUM(T65+Y65)</f>
        <v>0</v>
      </c>
    </row>
    <row r="66" spans="1:27" x14ac:dyDescent="0.2">
      <c r="A66" s="200" t="s">
        <v>320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97">
        <f t="shared" si="22"/>
        <v>0</v>
      </c>
      <c r="U66" s="183"/>
      <c r="V66" s="183"/>
      <c r="W66" s="183"/>
      <c r="X66" s="183"/>
      <c r="Y66" s="197">
        <f>SUM(U66:X66)</f>
        <v>0</v>
      </c>
      <c r="Z66" s="195">
        <f>SUM(T66+Y66)</f>
        <v>0</v>
      </c>
    </row>
    <row r="67" spans="1:27" s="7" customFormat="1" ht="31.5" x14ac:dyDescent="0.2">
      <c r="A67" s="200" t="s">
        <v>321</v>
      </c>
      <c r="B67" s="187">
        <f>SUM(B63:B66)</f>
        <v>0</v>
      </c>
      <c r="C67" s="187">
        <f t="shared" ref="C67:Z67" si="29">SUM(C63:C66)</f>
        <v>0</v>
      </c>
      <c r="D67" s="187">
        <f t="shared" si="29"/>
        <v>0</v>
      </c>
      <c r="E67" s="187">
        <f>SUM(E63:E66)</f>
        <v>0</v>
      </c>
      <c r="F67" s="187">
        <f t="shared" si="29"/>
        <v>0</v>
      </c>
      <c r="G67" s="187">
        <f t="shared" si="29"/>
        <v>0</v>
      </c>
      <c r="H67" s="187">
        <f t="shared" si="29"/>
        <v>0</v>
      </c>
      <c r="I67" s="187">
        <f t="shared" si="29"/>
        <v>0</v>
      </c>
      <c r="J67" s="187">
        <f t="shared" si="29"/>
        <v>0</v>
      </c>
      <c r="K67" s="187">
        <f t="shared" si="29"/>
        <v>0</v>
      </c>
      <c r="L67" s="187">
        <f t="shared" si="29"/>
        <v>0</v>
      </c>
      <c r="M67" s="187">
        <f t="shared" si="29"/>
        <v>0</v>
      </c>
      <c r="N67" s="187">
        <f t="shared" si="29"/>
        <v>0</v>
      </c>
      <c r="O67" s="187">
        <f t="shared" si="29"/>
        <v>0</v>
      </c>
      <c r="P67" s="187">
        <f t="shared" si="29"/>
        <v>0</v>
      </c>
      <c r="Q67" s="187">
        <f t="shared" si="29"/>
        <v>0</v>
      </c>
      <c r="R67" s="187">
        <f t="shared" si="29"/>
        <v>0</v>
      </c>
      <c r="S67" s="187">
        <f t="shared" si="29"/>
        <v>0</v>
      </c>
      <c r="T67" s="187">
        <f t="shared" si="29"/>
        <v>0</v>
      </c>
      <c r="U67" s="187">
        <f t="shared" si="29"/>
        <v>0</v>
      </c>
      <c r="V67" s="187">
        <f t="shared" si="29"/>
        <v>0</v>
      </c>
      <c r="W67" s="187">
        <f t="shared" si="29"/>
        <v>0</v>
      </c>
      <c r="X67" s="187">
        <f t="shared" si="29"/>
        <v>0</v>
      </c>
      <c r="Y67" s="187">
        <f t="shared" si="29"/>
        <v>0</v>
      </c>
      <c r="Z67" s="187">
        <f t="shared" si="29"/>
        <v>0</v>
      </c>
      <c r="AA67" s="8"/>
    </row>
    <row r="68" spans="1:27" ht="21" x14ac:dyDescent="0.2">
      <c r="A68" s="200" t="s">
        <v>322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97">
        <f t="shared" si="22"/>
        <v>0</v>
      </c>
      <c r="U68" s="183"/>
      <c r="V68" s="183"/>
      <c r="W68" s="183"/>
      <c r="X68" s="183"/>
      <c r="Y68" s="197">
        <f>SUM(U68:X68)</f>
        <v>0</v>
      </c>
      <c r="Z68" s="195">
        <f>SUM(T68+Y68)</f>
        <v>0</v>
      </c>
    </row>
    <row r="69" spans="1:27" ht="21" x14ac:dyDescent="0.2">
      <c r="A69" s="200" t="s">
        <v>323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97">
        <f t="shared" si="22"/>
        <v>0</v>
      </c>
      <c r="U69" s="183"/>
      <c r="V69" s="183"/>
      <c r="W69" s="183"/>
      <c r="X69" s="183"/>
      <c r="Y69" s="197">
        <f>SUM(U69:X69)</f>
        <v>0</v>
      </c>
      <c r="Z69" s="195">
        <f>SUM(T69+Y69)</f>
        <v>0</v>
      </c>
    </row>
    <row r="70" spans="1:27" ht="21" x14ac:dyDescent="0.2">
      <c r="A70" s="200" t="s">
        <v>324</v>
      </c>
      <c r="B70" s="183"/>
      <c r="C70" s="183"/>
      <c r="D70" s="183"/>
      <c r="E70" s="183">
        <f>SUM('Kiadások és bevételek alakulása'!L20)</f>
        <v>0</v>
      </c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97">
        <f t="shared" si="22"/>
        <v>0</v>
      </c>
      <c r="U70" s="183"/>
      <c r="V70" s="183"/>
      <c r="W70" s="183"/>
      <c r="X70" s="183"/>
      <c r="Y70" s="197">
        <f>SUM(U70:X70)</f>
        <v>0</v>
      </c>
      <c r="Z70" s="195">
        <f>SUM(T70+Y70)</f>
        <v>0</v>
      </c>
    </row>
    <row r="71" spans="1:27" ht="31.5" x14ac:dyDescent="0.2">
      <c r="A71" s="200" t="s">
        <v>325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97">
        <f t="shared" si="22"/>
        <v>0</v>
      </c>
      <c r="U71" s="183"/>
      <c r="V71" s="183"/>
      <c r="W71" s="183"/>
      <c r="X71" s="183"/>
      <c r="Y71" s="197">
        <f>SUM(U71:X71)</f>
        <v>0</v>
      </c>
      <c r="Z71" s="195">
        <f>SUM(T71+Y71)</f>
        <v>0</v>
      </c>
    </row>
    <row r="72" spans="1:27" s="7" customFormat="1" ht="21" x14ac:dyDescent="0.2">
      <c r="A72" s="200" t="s">
        <v>326</v>
      </c>
      <c r="B72" s="187">
        <f>SUM(B68:B71)</f>
        <v>0</v>
      </c>
      <c r="C72" s="187">
        <f t="shared" ref="C72:Z72" si="30">SUM(C68:C71)</f>
        <v>0</v>
      </c>
      <c r="D72" s="187">
        <f t="shared" si="30"/>
        <v>0</v>
      </c>
      <c r="E72" s="187">
        <f>SUM(E68:E71)</f>
        <v>0</v>
      </c>
      <c r="F72" s="187">
        <f t="shared" si="30"/>
        <v>0</v>
      </c>
      <c r="G72" s="187">
        <f t="shared" si="30"/>
        <v>0</v>
      </c>
      <c r="H72" s="187">
        <f t="shared" si="30"/>
        <v>0</v>
      </c>
      <c r="I72" s="187">
        <f t="shared" si="30"/>
        <v>0</v>
      </c>
      <c r="J72" s="187">
        <f t="shared" si="30"/>
        <v>0</v>
      </c>
      <c r="K72" s="187">
        <f t="shared" si="30"/>
        <v>0</v>
      </c>
      <c r="L72" s="187">
        <f t="shared" si="30"/>
        <v>0</v>
      </c>
      <c r="M72" s="187">
        <f t="shared" si="30"/>
        <v>0</v>
      </c>
      <c r="N72" s="187">
        <f t="shared" si="30"/>
        <v>0</v>
      </c>
      <c r="O72" s="187">
        <f t="shared" si="30"/>
        <v>0</v>
      </c>
      <c r="P72" s="187">
        <f t="shared" si="30"/>
        <v>0</v>
      </c>
      <c r="Q72" s="187">
        <f t="shared" si="30"/>
        <v>0</v>
      </c>
      <c r="R72" s="187">
        <f t="shared" si="30"/>
        <v>0</v>
      </c>
      <c r="S72" s="187">
        <f t="shared" si="30"/>
        <v>0</v>
      </c>
      <c r="T72" s="187">
        <f t="shared" si="30"/>
        <v>0</v>
      </c>
      <c r="U72" s="187">
        <f t="shared" si="30"/>
        <v>0</v>
      </c>
      <c r="V72" s="187">
        <f t="shared" si="30"/>
        <v>0</v>
      </c>
      <c r="W72" s="187">
        <f t="shared" si="30"/>
        <v>0</v>
      </c>
      <c r="X72" s="187">
        <f t="shared" si="30"/>
        <v>0</v>
      </c>
      <c r="Y72" s="187">
        <f t="shared" si="30"/>
        <v>0</v>
      </c>
      <c r="Z72" s="187">
        <f t="shared" si="30"/>
        <v>0</v>
      </c>
      <c r="AA72" s="8"/>
    </row>
    <row r="73" spans="1:27" x14ac:dyDescent="0.2">
      <c r="A73" s="200" t="s">
        <v>327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197">
        <f t="shared" si="22"/>
        <v>0</v>
      </c>
      <c r="U73" s="204"/>
      <c r="V73" s="204"/>
      <c r="W73" s="204"/>
      <c r="X73" s="204"/>
      <c r="Y73" s="197">
        <f>SUM(U73:X73)</f>
        <v>0</v>
      </c>
      <c r="Z73" s="195">
        <f>SUM(T73+Y73)</f>
        <v>0</v>
      </c>
    </row>
    <row r="74" spans="1:27" ht="21" x14ac:dyDescent="0.2">
      <c r="A74" s="200" t="s">
        <v>328</v>
      </c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197">
        <f t="shared" si="22"/>
        <v>0</v>
      </c>
      <c r="U74" s="183"/>
      <c r="V74" s="204"/>
      <c r="W74" s="204"/>
      <c r="X74" s="204"/>
      <c r="Y74" s="197">
        <f>SUM(U74:X74)</f>
        <v>0</v>
      </c>
      <c r="Z74" s="195">
        <f>SUM(T74+Y74)</f>
        <v>0</v>
      </c>
    </row>
    <row r="75" spans="1:27" ht="21" x14ac:dyDescent="0.2">
      <c r="A75" s="200" t="s">
        <v>329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97">
        <f t="shared" si="22"/>
        <v>0</v>
      </c>
      <c r="U75" s="183"/>
      <c r="V75" s="183"/>
      <c r="W75" s="183"/>
      <c r="X75" s="183"/>
      <c r="Y75" s="197">
        <f>SUM(U75:X75)</f>
        <v>0</v>
      </c>
      <c r="Z75" s="195">
        <f>SUM(T75+Y75)</f>
        <v>0</v>
      </c>
    </row>
    <row r="76" spans="1:27" ht="31.5" x14ac:dyDescent="0.2">
      <c r="A76" s="200" t="s">
        <v>330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97">
        <f t="shared" si="22"/>
        <v>0</v>
      </c>
      <c r="U76" s="183"/>
      <c r="V76" s="183"/>
      <c r="W76" s="183"/>
      <c r="X76" s="183"/>
      <c r="Y76" s="197">
        <f>SUM(U76:X76)</f>
        <v>0</v>
      </c>
      <c r="Z76" s="195">
        <f>SUM(T76+Y76)</f>
        <v>0</v>
      </c>
    </row>
    <row r="77" spans="1:27" x14ac:dyDescent="0.2">
      <c r="A77" s="200" t="s">
        <v>331</v>
      </c>
      <c r="B77" s="186">
        <f>SUM(B73:B76)</f>
        <v>0</v>
      </c>
      <c r="C77" s="186">
        <f t="shared" ref="C77:Z77" si="31">SUM(C73:C76)</f>
        <v>0</v>
      </c>
      <c r="D77" s="186">
        <f t="shared" si="31"/>
        <v>0</v>
      </c>
      <c r="E77" s="186">
        <f>SUM(E73:E76)</f>
        <v>0</v>
      </c>
      <c r="F77" s="186">
        <f t="shared" si="31"/>
        <v>0</v>
      </c>
      <c r="G77" s="186">
        <f t="shared" si="31"/>
        <v>0</v>
      </c>
      <c r="H77" s="186">
        <f t="shared" si="31"/>
        <v>0</v>
      </c>
      <c r="I77" s="186">
        <f t="shared" si="31"/>
        <v>0</v>
      </c>
      <c r="J77" s="186">
        <f t="shared" si="31"/>
        <v>0</v>
      </c>
      <c r="K77" s="186">
        <f t="shared" si="31"/>
        <v>0</v>
      </c>
      <c r="L77" s="186">
        <f t="shared" si="31"/>
        <v>0</v>
      </c>
      <c r="M77" s="186">
        <f t="shared" si="31"/>
        <v>0</v>
      </c>
      <c r="N77" s="186">
        <f t="shared" si="31"/>
        <v>0</v>
      </c>
      <c r="O77" s="186">
        <f t="shared" si="31"/>
        <v>0</v>
      </c>
      <c r="P77" s="186">
        <f t="shared" si="31"/>
        <v>0</v>
      </c>
      <c r="Q77" s="186">
        <f t="shared" si="31"/>
        <v>0</v>
      </c>
      <c r="R77" s="186">
        <f t="shared" si="31"/>
        <v>0</v>
      </c>
      <c r="S77" s="186">
        <f t="shared" si="31"/>
        <v>0</v>
      </c>
      <c r="T77" s="186">
        <f t="shared" si="31"/>
        <v>0</v>
      </c>
      <c r="U77" s="186">
        <f t="shared" si="31"/>
        <v>0</v>
      </c>
      <c r="V77" s="186">
        <f t="shared" si="31"/>
        <v>0</v>
      </c>
      <c r="W77" s="186">
        <f t="shared" si="31"/>
        <v>0</v>
      </c>
      <c r="X77" s="186">
        <f t="shared" si="31"/>
        <v>0</v>
      </c>
      <c r="Y77" s="186">
        <f t="shared" si="31"/>
        <v>0</v>
      </c>
      <c r="Z77" s="186">
        <f t="shared" si="31"/>
        <v>0</v>
      </c>
    </row>
    <row r="78" spans="1:27" x14ac:dyDescent="0.2">
      <c r="A78" s="200" t="s">
        <v>332</v>
      </c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97">
        <f t="shared" si="22"/>
        <v>0</v>
      </c>
      <c r="U78" s="183"/>
      <c r="V78" s="183"/>
      <c r="W78" s="183"/>
      <c r="X78" s="183"/>
      <c r="Y78" s="197">
        <f>SUM(U78:X78)</f>
        <v>0</v>
      </c>
      <c r="Z78" s="195">
        <f>SUM(T78+Y78)</f>
        <v>0</v>
      </c>
    </row>
    <row r="79" spans="1:27" ht="42" x14ac:dyDescent="0.2">
      <c r="A79" s="200" t="s">
        <v>333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97">
        <f t="shared" ref="T79:T110" si="32">SUM(B79:S79)</f>
        <v>0</v>
      </c>
      <c r="U79" s="183"/>
      <c r="V79" s="183"/>
      <c r="W79" s="183"/>
      <c r="X79" s="183"/>
      <c r="Y79" s="197">
        <f>SUM(U79:X79)</f>
        <v>0</v>
      </c>
      <c r="Z79" s="195">
        <f>SUM(T79+Y79)</f>
        <v>0</v>
      </c>
    </row>
    <row r="80" spans="1:27" s="7" customFormat="1" ht="21" x14ac:dyDescent="0.2">
      <c r="A80" s="203" t="s">
        <v>334</v>
      </c>
      <c r="B80" s="198">
        <f>SUM(B78:B79)</f>
        <v>0</v>
      </c>
      <c r="C80" s="198">
        <f t="shared" ref="C80:Z80" si="33">SUM(C78:C79)</f>
        <v>0</v>
      </c>
      <c r="D80" s="198">
        <f t="shared" si="33"/>
        <v>0</v>
      </c>
      <c r="E80" s="198">
        <f>SUM(E78:E79)</f>
        <v>0</v>
      </c>
      <c r="F80" s="198">
        <f t="shared" si="33"/>
        <v>0</v>
      </c>
      <c r="G80" s="198">
        <f t="shared" si="33"/>
        <v>0</v>
      </c>
      <c r="H80" s="198">
        <f t="shared" si="33"/>
        <v>0</v>
      </c>
      <c r="I80" s="198">
        <f t="shared" si="33"/>
        <v>0</v>
      </c>
      <c r="J80" s="198">
        <f t="shared" si="33"/>
        <v>0</v>
      </c>
      <c r="K80" s="198">
        <f t="shared" si="33"/>
        <v>0</v>
      </c>
      <c r="L80" s="198">
        <f t="shared" si="33"/>
        <v>0</v>
      </c>
      <c r="M80" s="198">
        <f t="shared" si="33"/>
        <v>0</v>
      </c>
      <c r="N80" s="198">
        <f t="shared" si="33"/>
        <v>0</v>
      </c>
      <c r="O80" s="198">
        <f t="shared" si="33"/>
        <v>0</v>
      </c>
      <c r="P80" s="198">
        <f t="shared" si="33"/>
        <v>0</v>
      </c>
      <c r="Q80" s="198">
        <f t="shared" si="33"/>
        <v>0</v>
      </c>
      <c r="R80" s="198">
        <f t="shared" si="33"/>
        <v>0</v>
      </c>
      <c r="S80" s="198">
        <f t="shared" si="33"/>
        <v>0</v>
      </c>
      <c r="T80" s="198">
        <f t="shared" si="33"/>
        <v>0</v>
      </c>
      <c r="U80" s="198">
        <f t="shared" si="33"/>
        <v>0</v>
      </c>
      <c r="V80" s="198">
        <f t="shared" si="33"/>
        <v>0</v>
      </c>
      <c r="W80" s="198">
        <f t="shared" si="33"/>
        <v>0</v>
      </c>
      <c r="X80" s="198">
        <f t="shared" si="33"/>
        <v>0</v>
      </c>
      <c r="Y80" s="198">
        <f t="shared" si="33"/>
        <v>0</v>
      </c>
      <c r="Z80" s="198">
        <f t="shared" si="33"/>
        <v>0</v>
      </c>
      <c r="AA80" s="8"/>
    </row>
    <row r="81" spans="1:27" s="207" customFormat="1" ht="31.5" x14ac:dyDescent="0.15">
      <c r="A81" s="208" t="s">
        <v>335</v>
      </c>
      <c r="B81" s="184">
        <f>SUM(B30+B31+B56+B58+B62+B67+B72+B77+B80)</f>
        <v>3147900</v>
      </c>
      <c r="C81" s="184">
        <f t="shared" ref="C81:Z81" si="34">SUM(C30+C31+C56+C58+C62+C67+C72+C77+C80)</f>
        <v>152000</v>
      </c>
      <c r="D81" s="184">
        <f t="shared" si="34"/>
        <v>0</v>
      </c>
      <c r="E81" s="184">
        <f>SUM(E30+E31+E56+E58+E62+E67+E72+E77+E80)</f>
        <v>0</v>
      </c>
      <c r="F81" s="184">
        <f t="shared" si="34"/>
        <v>0</v>
      </c>
      <c r="G81" s="184">
        <f t="shared" si="34"/>
        <v>0</v>
      </c>
      <c r="H81" s="184">
        <f t="shared" si="34"/>
        <v>0</v>
      </c>
      <c r="I81" s="184">
        <f t="shared" si="34"/>
        <v>0</v>
      </c>
      <c r="J81" s="184">
        <f t="shared" si="34"/>
        <v>0</v>
      </c>
      <c r="K81" s="184">
        <f t="shared" si="34"/>
        <v>0</v>
      </c>
      <c r="L81" s="184">
        <f t="shared" si="34"/>
        <v>0</v>
      </c>
      <c r="M81" s="184">
        <f t="shared" si="34"/>
        <v>0</v>
      </c>
      <c r="N81" s="184">
        <f t="shared" si="34"/>
        <v>4764008.5999999996</v>
      </c>
      <c r="O81" s="184">
        <f t="shared" si="34"/>
        <v>0</v>
      </c>
      <c r="P81" s="184">
        <f t="shared" si="34"/>
        <v>0</v>
      </c>
      <c r="Q81" s="184">
        <f t="shared" si="34"/>
        <v>0</v>
      </c>
      <c r="R81" s="184">
        <f t="shared" si="34"/>
        <v>0</v>
      </c>
      <c r="S81" s="184">
        <f t="shared" si="34"/>
        <v>0</v>
      </c>
      <c r="T81" s="184">
        <f t="shared" si="34"/>
        <v>8063908.5999999996</v>
      </c>
      <c r="U81" s="184">
        <f t="shared" si="34"/>
        <v>13004910.199999999</v>
      </c>
      <c r="V81" s="184">
        <f t="shared" si="34"/>
        <v>1435054</v>
      </c>
      <c r="W81" s="184">
        <f t="shared" si="34"/>
        <v>0</v>
      </c>
      <c r="X81" s="184">
        <f t="shared" si="34"/>
        <v>0</v>
      </c>
      <c r="Y81" s="184">
        <f t="shared" si="34"/>
        <v>14439964.199999999</v>
      </c>
      <c r="Z81" s="184">
        <f t="shared" si="34"/>
        <v>22503872.800000001</v>
      </c>
    </row>
    <row r="82" spans="1:27" ht="31.5" x14ac:dyDescent="0.2">
      <c r="A82" s="205" t="s">
        <v>378</v>
      </c>
      <c r="B82" s="226"/>
      <c r="C82" s="226"/>
      <c r="D82" s="206">
        <f>SUM('Állami bevételek alakulása'!F13)</f>
        <v>18012308</v>
      </c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7">
        <f t="shared" si="32"/>
        <v>18012308</v>
      </c>
      <c r="U82" s="226"/>
      <c r="V82" s="226"/>
      <c r="W82" s="226"/>
      <c r="X82" s="226"/>
      <c r="Y82" s="227">
        <f t="shared" ref="Y82:Y87" si="35">SUM(U82:X82)</f>
        <v>0</v>
      </c>
      <c r="Z82" s="228">
        <f t="shared" ref="Z82:Z87" si="36">SUM(T82+Y82)</f>
        <v>18012308</v>
      </c>
    </row>
    <row r="83" spans="1:27" ht="42" x14ac:dyDescent="0.2">
      <c r="A83" s="200" t="s">
        <v>340</v>
      </c>
      <c r="B83" s="229"/>
      <c r="C83" s="229"/>
      <c r="D83" s="183">
        <f>SUM('Állami bevételek alakulása'!F21)</f>
        <v>12431900</v>
      </c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30">
        <f t="shared" si="32"/>
        <v>12431900</v>
      </c>
      <c r="U83" s="229"/>
      <c r="V83" s="229"/>
      <c r="W83" s="229"/>
      <c r="X83" s="229"/>
      <c r="Y83" s="227">
        <f t="shared" si="35"/>
        <v>0</v>
      </c>
      <c r="Z83" s="228">
        <f t="shared" si="36"/>
        <v>12431900</v>
      </c>
    </row>
    <row r="84" spans="1:27" ht="52.5" x14ac:dyDescent="0.2">
      <c r="A84" s="200" t="s">
        <v>341</v>
      </c>
      <c r="B84" s="229"/>
      <c r="C84" s="229"/>
      <c r="D84" s="183">
        <f>SUM('Állami bevételek alakulása'!F28)</f>
        <v>11304312</v>
      </c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30">
        <f t="shared" si="32"/>
        <v>11304312</v>
      </c>
      <c r="U84" s="229"/>
      <c r="V84" s="229"/>
      <c r="W84" s="229"/>
      <c r="X84" s="229"/>
      <c r="Y84" s="227">
        <f t="shared" si="35"/>
        <v>0</v>
      </c>
      <c r="Z84" s="228">
        <f t="shared" si="36"/>
        <v>11304312</v>
      </c>
    </row>
    <row r="85" spans="1:27" ht="31.5" x14ac:dyDescent="0.2">
      <c r="A85" s="200" t="s">
        <v>342</v>
      </c>
      <c r="B85" s="229"/>
      <c r="C85" s="229"/>
      <c r="D85" s="183">
        <f>SUM('Állami bevételek alakulása'!F30)</f>
        <v>1800000</v>
      </c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30">
        <f t="shared" si="32"/>
        <v>1800000</v>
      </c>
      <c r="U85" s="229"/>
      <c r="V85" s="229"/>
      <c r="W85" s="229"/>
      <c r="X85" s="229"/>
      <c r="Y85" s="227">
        <f t="shared" si="35"/>
        <v>0</v>
      </c>
      <c r="Z85" s="228">
        <f t="shared" si="36"/>
        <v>1800000</v>
      </c>
    </row>
    <row r="86" spans="1:27" ht="31.5" x14ac:dyDescent="0.2">
      <c r="A86" s="200" t="s">
        <v>343</v>
      </c>
      <c r="B86" s="229"/>
      <c r="C86" s="229"/>
      <c r="D86" s="183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30">
        <f t="shared" si="32"/>
        <v>0</v>
      </c>
      <c r="U86" s="229"/>
      <c r="V86" s="229"/>
      <c r="W86" s="229"/>
      <c r="X86" s="229"/>
      <c r="Y86" s="227">
        <f t="shared" si="35"/>
        <v>0</v>
      </c>
      <c r="Z86" s="228">
        <f t="shared" si="36"/>
        <v>0</v>
      </c>
    </row>
    <row r="87" spans="1:27" ht="21" x14ac:dyDescent="0.2">
      <c r="A87" s="200" t="s">
        <v>344</v>
      </c>
      <c r="B87" s="229"/>
      <c r="C87" s="229"/>
      <c r="D87" s="183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30">
        <f t="shared" si="32"/>
        <v>0</v>
      </c>
      <c r="U87" s="229"/>
      <c r="V87" s="229"/>
      <c r="W87" s="229"/>
      <c r="X87" s="229"/>
      <c r="Y87" s="227">
        <f t="shared" si="35"/>
        <v>0</v>
      </c>
      <c r="Z87" s="228">
        <f t="shared" si="36"/>
        <v>0</v>
      </c>
    </row>
    <row r="88" spans="1:27" s="7" customFormat="1" ht="31.5" x14ac:dyDescent="0.2">
      <c r="A88" s="200" t="s">
        <v>345</v>
      </c>
      <c r="B88" s="187">
        <f>SUM(B82:B87)</f>
        <v>0</v>
      </c>
      <c r="C88" s="187">
        <f t="shared" ref="C88:Z88" si="37">SUM(C82:C87)</f>
        <v>0</v>
      </c>
      <c r="D88" s="187">
        <f t="shared" si="37"/>
        <v>43548520</v>
      </c>
      <c r="E88" s="187">
        <f>SUM(E82:E87)</f>
        <v>0</v>
      </c>
      <c r="F88" s="187">
        <f t="shared" si="37"/>
        <v>0</v>
      </c>
      <c r="G88" s="187">
        <f t="shared" si="37"/>
        <v>0</v>
      </c>
      <c r="H88" s="187">
        <f t="shared" si="37"/>
        <v>0</v>
      </c>
      <c r="I88" s="187">
        <f t="shared" si="37"/>
        <v>0</v>
      </c>
      <c r="J88" s="187">
        <f t="shared" si="37"/>
        <v>0</v>
      </c>
      <c r="K88" s="187">
        <f t="shared" si="37"/>
        <v>0</v>
      </c>
      <c r="L88" s="187">
        <f t="shared" si="37"/>
        <v>0</v>
      </c>
      <c r="M88" s="187">
        <f t="shared" si="37"/>
        <v>0</v>
      </c>
      <c r="N88" s="187">
        <f t="shared" si="37"/>
        <v>0</v>
      </c>
      <c r="O88" s="187">
        <f t="shared" si="37"/>
        <v>0</v>
      </c>
      <c r="P88" s="187">
        <f t="shared" si="37"/>
        <v>0</v>
      </c>
      <c r="Q88" s="187">
        <f t="shared" si="37"/>
        <v>0</v>
      </c>
      <c r="R88" s="187">
        <f t="shared" si="37"/>
        <v>0</v>
      </c>
      <c r="S88" s="187">
        <f t="shared" si="37"/>
        <v>0</v>
      </c>
      <c r="T88" s="187">
        <f t="shared" si="37"/>
        <v>43548520</v>
      </c>
      <c r="U88" s="187">
        <f t="shared" si="37"/>
        <v>0</v>
      </c>
      <c r="V88" s="187">
        <f t="shared" si="37"/>
        <v>0</v>
      </c>
      <c r="W88" s="187">
        <f t="shared" si="37"/>
        <v>0</v>
      </c>
      <c r="X88" s="187">
        <f t="shared" si="37"/>
        <v>0</v>
      </c>
      <c r="Y88" s="187">
        <f t="shared" si="37"/>
        <v>0</v>
      </c>
      <c r="Z88" s="187">
        <f t="shared" si="37"/>
        <v>43548520</v>
      </c>
      <c r="AA88" s="8"/>
    </row>
    <row r="89" spans="1:27" ht="21" x14ac:dyDescent="0.2">
      <c r="A89" s="200" t="s">
        <v>346</v>
      </c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30">
        <f t="shared" si="32"/>
        <v>0</v>
      </c>
      <c r="U89" s="229"/>
      <c r="V89" s="229"/>
      <c r="W89" s="229"/>
      <c r="X89" s="229"/>
      <c r="Y89" s="230">
        <f>SUM(U92:X92)</f>
        <v>0</v>
      </c>
      <c r="Z89" s="231">
        <f>SUM(T89+Y89)</f>
        <v>0</v>
      </c>
    </row>
    <row r="90" spans="1:27" ht="42" x14ac:dyDescent="0.2">
      <c r="A90" s="200" t="s">
        <v>347</v>
      </c>
      <c r="B90" s="229"/>
      <c r="C90" s="229"/>
      <c r="D90" s="229"/>
      <c r="E90" s="183">
        <f>SUM('Kiadások és bevételek alakulása'!R20)</f>
        <v>0</v>
      </c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30">
        <f t="shared" si="32"/>
        <v>0</v>
      </c>
      <c r="U90" s="229"/>
      <c r="V90" s="229"/>
      <c r="W90" s="229"/>
      <c r="X90" s="229"/>
      <c r="Y90" s="230">
        <f>SUM(U93:X93)</f>
        <v>0</v>
      </c>
      <c r="Z90" s="231">
        <f>SUM(T90+Y90)</f>
        <v>0</v>
      </c>
    </row>
    <row r="91" spans="1:27" s="7" customFormat="1" ht="31.5" x14ac:dyDescent="0.2">
      <c r="A91" s="200" t="s">
        <v>348</v>
      </c>
      <c r="B91" s="187">
        <f>SUM(B89:B90)</f>
        <v>0</v>
      </c>
      <c r="C91" s="187">
        <f t="shared" ref="C91:Z91" si="38">SUM(C89:C90)</f>
        <v>0</v>
      </c>
      <c r="D91" s="187">
        <f t="shared" si="38"/>
        <v>0</v>
      </c>
      <c r="E91" s="187">
        <f>SUM(E89:E90)</f>
        <v>0</v>
      </c>
      <c r="F91" s="187">
        <f t="shared" si="38"/>
        <v>0</v>
      </c>
      <c r="G91" s="187">
        <f t="shared" si="38"/>
        <v>0</v>
      </c>
      <c r="H91" s="187">
        <f t="shared" si="38"/>
        <v>0</v>
      </c>
      <c r="I91" s="187">
        <f t="shared" si="38"/>
        <v>0</v>
      </c>
      <c r="J91" s="187">
        <f t="shared" si="38"/>
        <v>0</v>
      </c>
      <c r="K91" s="187">
        <f t="shared" si="38"/>
        <v>0</v>
      </c>
      <c r="L91" s="187">
        <f t="shared" si="38"/>
        <v>0</v>
      </c>
      <c r="M91" s="187">
        <f t="shared" si="38"/>
        <v>0</v>
      </c>
      <c r="N91" s="187">
        <f t="shared" si="38"/>
        <v>0</v>
      </c>
      <c r="O91" s="187">
        <f t="shared" si="38"/>
        <v>0</v>
      </c>
      <c r="P91" s="187">
        <f t="shared" si="38"/>
        <v>0</v>
      </c>
      <c r="Q91" s="187">
        <f t="shared" si="38"/>
        <v>0</v>
      </c>
      <c r="R91" s="187">
        <f t="shared" si="38"/>
        <v>0</v>
      </c>
      <c r="S91" s="187">
        <f t="shared" si="38"/>
        <v>0</v>
      </c>
      <c r="T91" s="187">
        <f t="shared" si="38"/>
        <v>0</v>
      </c>
      <c r="U91" s="187">
        <f t="shared" si="38"/>
        <v>0</v>
      </c>
      <c r="V91" s="187">
        <f t="shared" si="38"/>
        <v>0</v>
      </c>
      <c r="W91" s="187">
        <f t="shared" si="38"/>
        <v>0</v>
      </c>
      <c r="X91" s="187">
        <f t="shared" si="38"/>
        <v>0</v>
      </c>
      <c r="Y91" s="187">
        <f t="shared" si="38"/>
        <v>0</v>
      </c>
      <c r="Z91" s="187">
        <f t="shared" si="38"/>
        <v>0</v>
      </c>
      <c r="AA91" s="8"/>
    </row>
    <row r="92" spans="1:27" ht="31.5" x14ac:dyDescent="0.2">
      <c r="A92" s="200" t="s">
        <v>349</v>
      </c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30">
        <f t="shared" si="32"/>
        <v>0</v>
      </c>
      <c r="U92" s="229"/>
      <c r="V92" s="229"/>
      <c r="W92" s="229"/>
      <c r="X92" s="229"/>
      <c r="Y92" s="230">
        <f>SUM(U92:X92)</f>
        <v>0</v>
      </c>
      <c r="Z92" s="231">
        <f>SUM(T92+Y92)</f>
        <v>0</v>
      </c>
    </row>
    <row r="93" spans="1:27" ht="42" x14ac:dyDescent="0.2">
      <c r="A93" s="200" t="s">
        <v>350</v>
      </c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30">
        <f t="shared" si="32"/>
        <v>0</v>
      </c>
      <c r="U93" s="229"/>
      <c r="V93" s="229"/>
      <c r="W93" s="229"/>
      <c r="X93" s="229"/>
      <c r="Y93" s="230">
        <f>SUM(U93:X93)</f>
        <v>0</v>
      </c>
      <c r="Z93" s="231">
        <f>SUM(T93+Y93)</f>
        <v>0</v>
      </c>
    </row>
    <row r="94" spans="1:27" s="7" customFormat="1" ht="42" x14ac:dyDescent="0.2">
      <c r="A94" s="200" t="s">
        <v>351</v>
      </c>
      <c r="B94" s="187">
        <f>SUM(B92:B93)</f>
        <v>0</v>
      </c>
      <c r="C94" s="187">
        <f t="shared" ref="C94:Z94" si="39">SUM(C92:C93)</f>
        <v>0</v>
      </c>
      <c r="D94" s="187">
        <f t="shared" si="39"/>
        <v>0</v>
      </c>
      <c r="E94" s="187">
        <f>SUM(E92:E93)</f>
        <v>0</v>
      </c>
      <c r="F94" s="187">
        <f t="shared" si="39"/>
        <v>0</v>
      </c>
      <c r="G94" s="187">
        <f t="shared" si="39"/>
        <v>0</v>
      </c>
      <c r="H94" s="187">
        <f t="shared" si="39"/>
        <v>0</v>
      </c>
      <c r="I94" s="187">
        <f t="shared" si="39"/>
        <v>0</v>
      </c>
      <c r="J94" s="187">
        <f t="shared" si="39"/>
        <v>0</v>
      </c>
      <c r="K94" s="187">
        <f t="shared" si="39"/>
        <v>0</v>
      </c>
      <c r="L94" s="187">
        <f t="shared" si="39"/>
        <v>0</v>
      </c>
      <c r="M94" s="187">
        <f t="shared" si="39"/>
        <v>0</v>
      </c>
      <c r="N94" s="187">
        <f t="shared" si="39"/>
        <v>0</v>
      </c>
      <c r="O94" s="187">
        <f t="shared" si="39"/>
        <v>0</v>
      </c>
      <c r="P94" s="187">
        <f t="shared" si="39"/>
        <v>0</v>
      </c>
      <c r="Q94" s="187">
        <f t="shared" si="39"/>
        <v>0</v>
      </c>
      <c r="R94" s="187">
        <f t="shared" si="39"/>
        <v>0</v>
      </c>
      <c r="S94" s="187">
        <f t="shared" si="39"/>
        <v>0</v>
      </c>
      <c r="T94" s="187">
        <f t="shared" si="39"/>
        <v>0</v>
      </c>
      <c r="U94" s="187">
        <f t="shared" si="39"/>
        <v>0</v>
      </c>
      <c r="V94" s="187">
        <f t="shared" si="39"/>
        <v>0</v>
      </c>
      <c r="W94" s="187">
        <f t="shared" si="39"/>
        <v>0</v>
      </c>
      <c r="X94" s="187">
        <f t="shared" si="39"/>
        <v>0</v>
      </c>
      <c r="Y94" s="187">
        <f t="shared" si="39"/>
        <v>0</v>
      </c>
      <c r="Z94" s="187">
        <f t="shared" si="39"/>
        <v>0</v>
      </c>
      <c r="AA94" s="8"/>
    </row>
    <row r="95" spans="1:27" x14ac:dyDescent="0.2">
      <c r="A95" s="200" t="s">
        <v>352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30">
        <f t="shared" si="32"/>
        <v>0</v>
      </c>
      <c r="U95" s="229"/>
      <c r="V95" s="229"/>
      <c r="W95" s="229"/>
      <c r="X95" s="229"/>
      <c r="Y95" s="230">
        <f>SUM(U95:X95)</f>
        <v>0</v>
      </c>
      <c r="Z95" s="231">
        <f>T95+Y95</f>
        <v>0</v>
      </c>
    </row>
    <row r="96" spans="1:27" ht="21" x14ac:dyDescent="0.2">
      <c r="A96" s="200" t="s">
        <v>353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30">
        <f t="shared" si="32"/>
        <v>0</v>
      </c>
      <c r="U96" s="229"/>
      <c r="V96" s="229"/>
      <c r="W96" s="229"/>
      <c r="X96" s="229"/>
      <c r="Y96" s="230">
        <f>SUM(U96:X96)</f>
        <v>0</v>
      </c>
      <c r="Z96" s="231">
        <f>T96+Y96</f>
        <v>0</v>
      </c>
    </row>
    <row r="97" spans="1:27" x14ac:dyDescent="0.2">
      <c r="A97" s="200" t="s">
        <v>354</v>
      </c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30">
        <f t="shared" si="32"/>
        <v>0</v>
      </c>
      <c r="U97" s="229"/>
      <c r="V97" s="229"/>
      <c r="W97" s="229"/>
      <c r="X97" s="229"/>
      <c r="Y97" s="230">
        <f>SUM(U97:X97)</f>
        <v>0</v>
      </c>
      <c r="Z97" s="231">
        <f>T97+Y97</f>
        <v>0</v>
      </c>
    </row>
    <row r="98" spans="1:27" x14ac:dyDescent="0.2">
      <c r="A98" s="200" t="s">
        <v>355</v>
      </c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30">
        <f t="shared" si="32"/>
        <v>0</v>
      </c>
      <c r="U98" s="229"/>
      <c r="V98" s="229"/>
      <c r="W98" s="229"/>
      <c r="X98" s="229"/>
      <c r="Y98" s="230">
        <f>SUM(U98:X98)</f>
        <v>0</v>
      </c>
      <c r="Z98" s="231">
        <f>T98+Y98</f>
        <v>0</v>
      </c>
    </row>
    <row r="99" spans="1:27" ht="21" x14ac:dyDescent="0.2">
      <c r="A99" s="200" t="s">
        <v>356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30">
        <f t="shared" si="32"/>
        <v>0</v>
      </c>
      <c r="U99" s="229"/>
      <c r="V99" s="229"/>
      <c r="W99" s="229"/>
      <c r="X99" s="229"/>
      <c r="Y99" s="230">
        <f>SUM(U99:X99)</f>
        <v>0</v>
      </c>
      <c r="Z99" s="231">
        <f>T99+Y99</f>
        <v>0</v>
      </c>
    </row>
    <row r="100" spans="1:27" s="7" customFormat="1" ht="21" x14ac:dyDescent="0.2">
      <c r="A100" s="200" t="s">
        <v>357</v>
      </c>
      <c r="B100" s="187">
        <f>SUM(B95:B99)</f>
        <v>0</v>
      </c>
      <c r="C100" s="187">
        <f t="shared" ref="C100:Z100" si="40">SUM(C95:C99)</f>
        <v>0</v>
      </c>
      <c r="D100" s="187">
        <f t="shared" si="40"/>
        <v>0</v>
      </c>
      <c r="E100" s="187">
        <f>SUM(E95:E99)</f>
        <v>0</v>
      </c>
      <c r="F100" s="187">
        <f t="shared" si="40"/>
        <v>0</v>
      </c>
      <c r="G100" s="187">
        <f t="shared" si="40"/>
        <v>0</v>
      </c>
      <c r="H100" s="187">
        <f t="shared" si="40"/>
        <v>0</v>
      </c>
      <c r="I100" s="187">
        <f t="shared" si="40"/>
        <v>0</v>
      </c>
      <c r="J100" s="187">
        <f t="shared" si="40"/>
        <v>0</v>
      </c>
      <c r="K100" s="187">
        <f t="shared" si="40"/>
        <v>0</v>
      </c>
      <c r="L100" s="187">
        <f t="shared" si="40"/>
        <v>0</v>
      </c>
      <c r="M100" s="187">
        <f t="shared" si="40"/>
        <v>0</v>
      </c>
      <c r="N100" s="187">
        <f t="shared" si="40"/>
        <v>0</v>
      </c>
      <c r="O100" s="187">
        <f t="shared" si="40"/>
        <v>0</v>
      </c>
      <c r="P100" s="187">
        <f t="shared" si="40"/>
        <v>0</v>
      </c>
      <c r="Q100" s="187">
        <f t="shared" si="40"/>
        <v>0</v>
      </c>
      <c r="R100" s="187">
        <f t="shared" si="40"/>
        <v>0</v>
      </c>
      <c r="S100" s="187">
        <f t="shared" si="40"/>
        <v>0</v>
      </c>
      <c r="T100" s="187">
        <f t="shared" si="40"/>
        <v>0</v>
      </c>
      <c r="U100" s="187">
        <f t="shared" si="40"/>
        <v>0</v>
      </c>
      <c r="V100" s="187">
        <f t="shared" si="40"/>
        <v>0</v>
      </c>
      <c r="W100" s="187">
        <f t="shared" si="40"/>
        <v>0</v>
      </c>
      <c r="X100" s="187">
        <f t="shared" si="40"/>
        <v>0</v>
      </c>
      <c r="Y100" s="187">
        <f t="shared" si="40"/>
        <v>0</v>
      </c>
      <c r="Z100" s="187">
        <f t="shared" si="40"/>
        <v>0</v>
      </c>
      <c r="AA100" s="8"/>
    </row>
    <row r="101" spans="1:27" ht="21" x14ac:dyDescent="0.2">
      <c r="A101" s="200" t="s">
        <v>358</v>
      </c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30">
        <f t="shared" si="32"/>
        <v>0</v>
      </c>
      <c r="U101" s="229"/>
      <c r="V101" s="229"/>
      <c r="W101" s="229"/>
      <c r="X101" s="229"/>
      <c r="Y101" s="230">
        <f>SUM(U101:X101)</f>
        <v>0</v>
      </c>
      <c r="Z101" s="231">
        <f>T101+Y101</f>
        <v>0</v>
      </c>
    </row>
    <row r="102" spans="1:27" s="7" customFormat="1" ht="21" x14ac:dyDescent="0.2">
      <c r="A102" s="200" t="s">
        <v>359</v>
      </c>
      <c r="B102" s="187">
        <f>SUM(B101)</f>
        <v>0</v>
      </c>
      <c r="C102" s="187">
        <f t="shared" ref="C102:Z102" si="41">SUM(C101)</f>
        <v>0</v>
      </c>
      <c r="D102" s="187">
        <f t="shared" si="41"/>
        <v>0</v>
      </c>
      <c r="E102" s="187">
        <f>SUM(E101)</f>
        <v>0</v>
      </c>
      <c r="F102" s="187">
        <f t="shared" si="41"/>
        <v>0</v>
      </c>
      <c r="G102" s="187">
        <f t="shared" si="41"/>
        <v>0</v>
      </c>
      <c r="H102" s="187">
        <f t="shared" si="41"/>
        <v>0</v>
      </c>
      <c r="I102" s="187">
        <f t="shared" si="41"/>
        <v>0</v>
      </c>
      <c r="J102" s="187">
        <f t="shared" si="41"/>
        <v>0</v>
      </c>
      <c r="K102" s="187">
        <f t="shared" si="41"/>
        <v>0</v>
      </c>
      <c r="L102" s="187">
        <f t="shared" si="41"/>
        <v>0</v>
      </c>
      <c r="M102" s="187">
        <f t="shared" si="41"/>
        <v>0</v>
      </c>
      <c r="N102" s="187">
        <f t="shared" si="41"/>
        <v>0</v>
      </c>
      <c r="O102" s="187">
        <f t="shared" si="41"/>
        <v>0</v>
      </c>
      <c r="P102" s="187">
        <f t="shared" si="41"/>
        <v>0</v>
      </c>
      <c r="Q102" s="187">
        <f t="shared" si="41"/>
        <v>0</v>
      </c>
      <c r="R102" s="187">
        <f t="shared" si="41"/>
        <v>0</v>
      </c>
      <c r="S102" s="187">
        <f t="shared" si="41"/>
        <v>0</v>
      </c>
      <c r="T102" s="187">
        <f t="shared" si="41"/>
        <v>0</v>
      </c>
      <c r="U102" s="187">
        <f t="shared" si="41"/>
        <v>0</v>
      </c>
      <c r="V102" s="187">
        <f t="shared" si="41"/>
        <v>0</v>
      </c>
      <c r="W102" s="187">
        <f t="shared" si="41"/>
        <v>0</v>
      </c>
      <c r="X102" s="187">
        <f t="shared" si="41"/>
        <v>0</v>
      </c>
      <c r="Y102" s="187">
        <f t="shared" si="41"/>
        <v>0</v>
      </c>
      <c r="Z102" s="187">
        <f t="shared" si="41"/>
        <v>0</v>
      </c>
      <c r="AA102" s="8"/>
    </row>
    <row r="103" spans="1:27" ht="21" x14ac:dyDescent="0.2">
      <c r="A103" s="200" t="s">
        <v>360</v>
      </c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30">
        <f t="shared" si="32"/>
        <v>0</v>
      </c>
      <c r="U103" s="229"/>
      <c r="V103" s="229"/>
      <c r="W103" s="229"/>
      <c r="X103" s="229"/>
      <c r="Y103" s="230">
        <f>SUM(U103:X103)</f>
        <v>0</v>
      </c>
      <c r="Z103" s="231">
        <f>T103+Y103</f>
        <v>0</v>
      </c>
    </row>
    <row r="104" spans="1:27" ht="21" x14ac:dyDescent="0.2">
      <c r="A104" s="200" t="s">
        <v>361</v>
      </c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30">
        <f t="shared" si="32"/>
        <v>0</v>
      </c>
      <c r="U104" s="229"/>
      <c r="V104" s="229"/>
      <c r="W104" s="229"/>
      <c r="X104" s="229"/>
      <c r="Y104" s="230">
        <f t="shared" ref="Y104:Y110" si="42">SUM(U104:X104)</f>
        <v>0</v>
      </c>
      <c r="Z104" s="231">
        <f t="shared" ref="Z104:Z110" si="43">T104+Y104</f>
        <v>0</v>
      </c>
    </row>
    <row r="105" spans="1:27" ht="21" x14ac:dyDescent="0.2">
      <c r="A105" s="200" t="s">
        <v>362</v>
      </c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30">
        <f t="shared" si="32"/>
        <v>0</v>
      </c>
      <c r="U105" s="229"/>
      <c r="V105" s="229"/>
      <c r="W105" s="229"/>
      <c r="X105" s="229"/>
      <c r="Y105" s="230">
        <f t="shared" si="42"/>
        <v>0</v>
      </c>
      <c r="Z105" s="231">
        <f t="shared" si="43"/>
        <v>0</v>
      </c>
    </row>
    <row r="106" spans="1:27" x14ac:dyDescent="0.2">
      <c r="A106" s="200" t="s">
        <v>363</v>
      </c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30">
        <f t="shared" si="32"/>
        <v>0</v>
      </c>
      <c r="U106" s="229"/>
      <c r="V106" s="229"/>
      <c r="W106" s="229"/>
      <c r="X106" s="229"/>
      <c r="Y106" s="230">
        <f t="shared" si="42"/>
        <v>0</v>
      </c>
      <c r="Z106" s="231">
        <f t="shared" si="43"/>
        <v>0</v>
      </c>
    </row>
    <row r="107" spans="1:27" x14ac:dyDescent="0.2">
      <c r="A107" s="200" t="s">
        <v>364</v>
      </c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30">
        <f t="shared" si="32"/>
        <v>0</v>
      </c>
      <c r="U107" s="229"/>
      <c r="V107" s="229"/>
      <c r="W107" s="229"/>
      <c r="X107" s="229"/>
      <c r="Y107" s="230">
        <f t="shared" si="42"/>
        <v>0</v>
      </c>
      <c r="Z107" s="231">
        <f t="shared" si="43"/>
        <v>0</v>
      </c>
    </row>
    <row r="108" spans="1:27" ht="21" x14ac:dyDescent="0.2">
      <c r="A108" s="200" t="s">
        <v>365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30">
        <f t="shared" si="32"/>
        <v>0</v>
      </c>
      <c r="U108" s="229"/>
      <c r="V108" s="229"/>
      <c r="W108" s="229"/>
      <c r="X108" s="229"/>
      <c r="Y108" s="230">
        <f t="shared" si="42"/>
        <v>0</v>
      </c>
      <c r="Z108" s="231">
        <f t="shared" si="43"/>
        <v>0</v>
      </c>
    </row>
    <row r="109" spans="1:27" ht="21" x14ac:dyDescent="0.2">
      <c r="A109" s="200" t="s">
        <v>366</v>
      </c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30">
        <f t="shared" si="32"/>
        <v>0</v>
      </c>
      <c r="U109" s="229"/>
      <c r="V109" s="229"/>
      <c r="W109" s="229"/>
      <c r="X109" s="229"/>
      <c r="Y109" s="230">
        <f t="shared" si="42"/>
        <v>0</v>
      </c>
      <c r="Z109" s="231">
        <f t="shared" si="43"/>
        <v>0</v>
      </c>
    </row>
    <row r="110" spans="1:27" ht="31.5" x14ac:dyDescent="0.2">
      <c r="A110" s="200" t="s">
        <v>367</v>
      </c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30">
        <f t="shared" si="32"/>
        <v>0</v>
      </c>
      <c r="U110" s="229"/>
      <c r="V110" s="229"/>
      <c r="W110" s="229"/>
      <c r="X110" s="229"/>
      <c r="Y110" s="230">
        <f t="shared" si="42"/>
        <v>0</v>
      </c>
      <c r="Z110" s="231">
        <f t="shared" si="43"/>
        <v>0</v>
      </c>
    </row>
    <row r="111" spans="1:27" s="201" customFormat="1" ht="21" x14ac:dyDescent="0.2">
      <c r="A111" s="203" t="s">
        <v>368</v>
      </c>
      <c r="B111" s="232">
        <f>SUM(B103:B110)</f>
        <v>0</v>
      </c>
      <c r="C111" s="232">
        <f t="shared" ref="C111:Z111" si="44">SUM(C103:C110)</f>
        <v>0</v>
      </c>
      <c r="D111" s="232">
        <f t="shared" si="44"/>
        <v>0</v>
      </c>
      <c r="E111" s="232">
        <f>SUM(E103:E110)</f>
        <v>0</v>
      </c>
      <c r="F111" s="232">
        <f t="shared" si="44"/>
        <v>0</v>
      </c>
      <c r="G111" s="232">
        <f t="shared" si="44"/>
        <v>0</v>
      </c>
      <c r="H111" s="232">
        <f t="shared" si="44"/>
        <v>0</v>
      </c>
      <c r="I111" s="232">
        <f t="shared" si="44"/>
        <v>0</v>
      </c>
      <c r="J111" s="232">
        <f t="shared" si="44"/>
        <v>0</v>
      </c>
      <c r="K111" s="232">
        <f t="shared" si="44"/>
        <v>0</v>
      </c>
      <c r="L111" s="232">
        <f t="shared" si="44"/>
        <v>0</v>
      </c>
      <c r="M111" s="232">
        <f t="shared" si="44"/>
        <v>0</v>
      </c>
      <c r="N111" s="232">
        <f t="shared" si="44"/>
        <v>0</v>
      </c>
      <c r="O111" s="232">
        <f t="shared" si="44"/>
        <v>0</v>
      </c>
      <c r="P111" s="232">
        <f t="shared" si="44"/>
        <v>0</v>
      </c>
      <c r="Q111" s="232">
        <f t="shared" si="44"/>
        <v>0</v>
      </c>
      <c r="R111" s="232">
        <f t="shared" si="44"/>
        <v>0</v>
      </c>
      <c r="S111" s="232">
        <f t="shared" si="44"/>
        <v>0</v>
      </c>
      <c r="T111" s="232">
        <f t="shared" si="44"/>
        <v>0</v>
      </c>
      <c r="U111" s="232">
        <f t="shared" si="44"/>
        <v>0</v>
      </c>
      <c r="V111" s="232">
        <f t="shared" si="44"/>
        <v>0</v>
      </c>
      <c r="W111" s="232">
        <f t="shared" si="44"/>
        <v>0</v>
      </c>
      <c r="X111" s="232">
        <f t="shared" si="44"/>
        <v>0</v>
      </c>
      <c r="Y111" s="232">
        <f t="shared" si="44"/>
        <v>0</v>
      </c>
      <c r="Z111" s="232">
        <f t="shared" si="44"/>
        <v>0</v>
      </c>
      <c r="AA111" s="233"/>
    </row>
    <row r="112" spans="1:27" s="207" customFormat="1" ht="31.5" x14ac:dyDescent="0.15">
      <c r="A112" s="208" t="s">
        <v>369</v>
      </c>
      <c r="B112" s="184">
        <f>SUM(B88+B91+B94+B100+B102+B111)</f>
        <v>0</v>
      </c>
      <c r="C112" s="184">
        <f t="shared" ref="C112:Z112" si="45">SUM(C88+C91+C94+C100+C102+C111)</f>
        <v>0</v>
      </c>
      <c r="D112" s="184">
        <f t="shared" si="45"/>
        <v>43548520</v>
      </c>
      <c r="E112" s="184">
        <f>SUM(E88+E91+E94+E100+E102+E111)</f>
        <v>0</v>
      </c>
      <c r="F112" s="184">
        <f t="shared" si="45"/>
        <v>0</v>
      </c>
      <c r="G112" s="184">
        <f t="shared" si="45"/>
        <v>0</v>
      </c>
      <c r="H112" s="184">
        <f t="shared" si="45"/>
        <v>0</v>
      </c>
      <c r="I112" s="184">
        <f t="shared" si="45"/>
        <v>0</v>
      </c>
      <c r="J112" s="184">
        <f t="shared" si="45"/>
        <v>0</v>
      </c>
      <c r="K112" s="184">
        <f t="shared" si="45"/>
        <v>0</v>
      </c>
      <c r="L112" s="184">
        <f t="shared" si="45"/>
        <v>0</v>
      </c>
      <c r="M112" s="184">
        <f t="shared" si="45"/>
        <v>0</v>
      </c>
      <c r="N112" s="184">
        <f t="shared" si="45"/>
        <v>0</v>
      </c>
      <c r="O112" s="184">
        <f t="shared" si="45"/>
        <v>0</v>
      </c>
      <c r="P112" s="184">
        <f t="shared" si="45"/>
        <v>0</v>
      </c>
      <c r="Q112" s="184">
        <f t="shared" si="45"/>
        <v>0</v>
      </c>
      <c r="R112" s="184">
        <f t="shared" si="45"/>
        <v>0</v>
      </c>
      <c r="S112" s="184">
        <f t="shared" si="45"/>
        <v>0</v>
      </c>
      <c r="T112" s="184">
        <f t="shared" si="45"/>
        <v>43548520</v>
      </c>
      <c r="U112" s="184">
        <f t="shared" si="45"/>
        <v>0</v>
      </c>
      <c r="V112" s="184">
        <f t="shared" si="45"/>
        <v>0</v>
      </c>
      <c r="W112" s="184">
        <f t="shared" si="45"/>
        <v>0</v>
      </c>
      <c r="X112" s="184">
        <f t="shared" si="45"/>
        <v>0</v>
      </c>
      <c r="Y112" s="184">
        <f t="shared" si="45"/>
        <v>0</v>
      </c>
      <c r="Z112" s="184">
        <f t="shared" si="45"/>
        <v>43548520</v>
      </c>
    </row>
    <row r="113" spans="1:27" ht="21" x14ac:dyDescent="0.2">
      <c r="A113" s="205" t="s">
        <v>370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7">
        <f>SUM(B113:S113)</f>
        <v>0</v>
      </c>
      <c r="U113" s="226"/>
      <c r="V113" s="226"/>
      <c r="W113" s="226"/>
      <c r="X113" s="226"/>
      <c r="Y113" s="227">
        <f>SUM(U113:X113)</f>
        <v>0</v>
      </c>
      <c r="Z113" s="228">
        <f>T113+Y113</f>
        <v>0</v>
      </c>
    </row>
    <row r="114" spans="1:27" ht="21" x14ac:dyDescent="0.2">
      <c r="A114" s="200" t="s">
        <v>371</v>
      </c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30">
        <f>SUM(B114:S114)</f>
        <v>0</v>
      </c>
      <c r="U114" s="229"/>
      <c r="V114" s="229"/>
      <c r="W114" s="229"/>
      <c r="X114" s="229"/>
      <c r="Y114" s="227">
        <f>SUM(U114:X114)</f>
        <v>0</v>
      </c>
      <c r="Z114" s="228">
        <f>T114+Y114</f>
        <v>0</v>
      </c>
    </row>
    <row r="115" spans="1:27" s="7" customFormat="1" ht="21" x14ac:dyDescent="0.2">
      <c r="A115" s="200" t="s">
        <v>372</v>
      </c>
      <c r="B115" s="187">
        <f>SUM(B113:B114)</f>
        <v>0</v>
      </c>
      <c r="C115" s="187">
        <f t="shared" ref="C115:Z115" si="46">SUM(C113:C114)</f>
        <v>0</v>
      </c>
      <c r="D115" s="187">
        <f t="shared" si="46"/>
        <v>0</v>
      </c>
      <c r="E115" s="187">
        <f>SUM(E113:E114)</f>
        <v>0</v>
      </c>
      <c r="F115" s="187">
        <f t="shared" si="46"/>
        <v>0</v>
      </c>
      <c r="G115" s="187">
        <f t="shared" si="46"/>
        <v>0</v>
      </c>
      <c r="H115" s="187">
        <f t="shared" si="46"/>
        <v>0</v>
      </c>
      <c r="I115" s="187">
        <f t="shared" si="46"/>
        <v>0</v>
      </c>
      <c r="J115" s="187">
        <f t="shared" si="46"/>
        <v>0</v>
      </c>
      <c r="K115" s="187">
        <f t="shared" si="46"/>
        <v>0</v>
      </c>
      <c r="L115" s="187">
        <f t="shared" si="46"/>
        <v>0</v>
      </c>
      <c r="M115" s="187">
        <f t="shared" si="46"/>
        <v>0</v>
      </c>
      <c r="N115" s="187">
        <f t="shared" si="46"/>
        <v>0</v>
      </c>
      <c r="O115" s="187">
        <f t="shared" si="46"/>
        <v>0</v>
      </c>
      <c r="P115" s="187">
        <f t="shared" si="46"/>
        <v>0</v>
      </c>
      <c r="Q115" s="187">
        <f t="shared" si="46"/>
        <v>0</v>
      </c>
      <c r="R115" s="187">
        <f t="shared" si="46"/>
        <v>0</v>
      </c>
      <c r="S115" s="187">
        <f t="shared" si="46"/>
        <v>0</v>
      </c>
      <c r="T115" s="187">
        <f t="shared" si="46"/>
        <v>0</v>
      </c>
      <c r="U115" s="187">
        <f t="shared" si="46"/>
        <v>0</v>
      </c>
      <c r="V115" s="187">
        <f t="shared" si="46"/>
        <v>0</v>
      </c>
      <c r="W115" s="187">
        <f t="shared" si="46"/>
        <v>0</v>
      </c>
      <c r="X115" s="187">
        <f t="shared" si="46"/>
        <v>0</v>
      </c>
      <c r="Y115" s="187">
        <f t="shared" si="46"/>
        <v>0</v>
      </c>
      <c r="Z115" s="187">
        <f t="shared" si="46"/>
        <v>0</v>
      </c>
      <c r="AA115" s="8"/>
    </row>
    <row r="116" spans="1:27" ht="21" x14ac:dyDescent="0.2">
      <c r="A116" s="200" t="s">
        <v>373</v>
      </c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30">
        <f>SUM(B116:S116)</f>
        <v>0</v>
      </c>
      <c r="U116" s="229"/>
      <c r="V116" s="229"/>
      <c r="W116" s="229"/>
      <c r="X116" s="229"/>
      <c r="Y116" s="230">
        <f>SUM(U116:X116)</f>
        <v>0</v>
      </c>
      <c r="Z116" s="231">
        <f>T116+Y116</f>
        <v>0</v>
      </c>
    </row>
    <row r="117" spans="1:27" s="7" customFormat="1" ht="31.5" x14ac:dyDescent="0.2">
      <c r="A117" s="200" t="s">
        <v>374</v>
      </c>
      <c r="B117" s="187">
        <f>SUM(B116)</f>
        <v>0</v>
      </c>
      <c r="C117" s="187">
        <f t="shared" ref="C117:Z117" si="47">SUM(C116)</f>
        <v>0</v>
      </c>
      <c r="D117" s="187">
        <f t="shared" si="47"/>
        <v>0</v>
      </c>
      <c r="E117" s="187">
        <f>SUM(E116)</f>
        <v>0</v>
      </c>
      <c r="F117" s="187">
        <f t="shared" si="47"/>
        <v>0</v>
      </c>
      <c r="G117" s="187">
        <f t="shared" si="47"/>
        <v>0</v>
      </c>
      <c r="H117" s="187">
        <f t="shared" si="47"/>
        <v>0</v>
      </c>
      <c r="I117" s="187">
        <f t="shared" si="47"/>
        <v>0</v>
      </c>
      <c r="J117" s="187">
        <f t="shared" si="47"/>
        <v>0</v>
      </c>
      <c r="K117" s="187">
        <f t="shared" si="47"/>
        <v>0</v>
      </c>
      <c r="L117" s="187">
        <f t="shared" si="47"/>
        <v>0</v>
      </c>
      <c r="M117" s="187">
        <f t="shared" si="47"/>
        <v>0</v>
      </c>
      <c r="N117" s="187">
        <f t="shared" si="47"/>
        <v>0</v>
      </c>
      <c r="O117" s="187">
        <f t="shared" si="47"/>
        <v>0</v>
      </c>
      <c r="P117" s="187">
        <f t="shared" si="47"/>
        <v>0</v>
      </c>
      <c r="Q117" s="187">
        <f t="shared" si="47"/>
        <v>0</v>
      </c>
      <c r="R117" s="187">
        <f t="shared" si="47"/>
        <v>0</v>
      </c>
      <c r="S117" s="187">
        <f t="shared" si="47"/>
        <v>0</v>
      </c>
      <c r="T117" s="187">
        <f t="shared" si="47"/>
        <v>0</v>
      </c>
      <c r="U117" s="187">
        <f t="shared" si="47"/>
        <v>0</v>
      </c>
      <c r="V117" s="187">
        <f t="shared" si="47"/>
        <v>0</v>
      </c>
      <c r="W117" s="187">
        <f t="shared" si="47"/>
        <v>0</v>
      </c>
      <c r="X117" s="187">
        <f t="shared" si="47"/>
        <v>0</v>
      </c>
      <c r="Y117" s="187">
        <f t="shared" si="47"/>
        <v>0</v>
      </c>
      <c r="Z117" s="187">
        <f t="shared" si="47"/>
        <v>0</v>
      </c>
      <c r="AA117" s="8"/>
    </row>
    <row r="118" spans="1:27" ht="21" x14ac:dyDescent="0.2">
      <c r="A118" s="200" t="s">
        <v>375</v>
      </c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30">
        <f>SUM(B118:S118)</f>
        <v>0</v>
      </c>
      <c r="U118" s="229"/>
      <c r="V118" s="229"/>
      <c r="W118" s="229"/>
      <c r="X118" s="229"/>
      <c r="Y118" s="230">
        <f>SUM(U118:X118)</f>
        <v>0</v>
      </c>
      <c r="Z118" s="231">
        <f>T118+Y118</f>
        <v>0</v>
      </c>
    </row>
    <row r="119" spans="1:27" s="7" customFormat="1" ht="31.5" x14ac:dyDescent="0.2">
      <c r="A119" s="203" t="s">
        <v>376</v>
      </c>
      <c r="B119" s="198">
        <f>SUM(B118)</f>
        <v>0</v>
      </c>
      <c r="C119" s="198">
        <f t="shared" ref="C119:Z119" si="48">SUM(C118)</f>
        <v>0</v>
      </c>
      <c r="D119" s="198">
        <f t="shared" si="48"/>
        <v>0</v>
      </c>
      <c r="E119" s="198">
        <f>SUM(E118)</f>
        <v>0</v>
      </c>
      <c r="F119" s="198">
        <f t="shared" si="48"/>
        <v>0</v>
      </c>
      <c r="G119" s="198">
        <f t="shared" si="48"/>
        <v>0</v>
      </c>
      <c r="H119" s="198">
        <f t="shared" si="48"/>
        <v>0</v>
      </c>
      <c r="I119" s="198">
        <f t="shared" si="48"/>
        <v>0</v>
      </c>
      <c r="J119" s="198">
        <f t="shared" si="48"/>
        <v>0</v>
      </c>
      <c r="K119" s="198">
        <f t="shared" si="48"/>
        <v>0</v>
      </c>
      <c r="L119" s="198">
        <f t="shared" si="48"/>
        <v>0</v>
      </c>
      <c r="M119" s="198">
        <f t="shared" si="48"/>
        <v>0</v>
      </c>
      <c r="N119" s="198">
        <f t="shared" si="48"/>
        <v>0</v>
      </c>
      <c r="O119" s="198">
        <f t="shared" si="48"/>
        <v>0</v>
      </c>
      <c r="P119" s="198">
        <f t="shared" si="48"/>
        <v>0</v>
      </c>
      <c r="Q119" s="198">
        <f t="shared" si="48"/>
        <v>0</v>
      </c>
      <c r="R119" s="198">
        <f t="shared" si="48"/>
        <v>0</v>
      </c>
      <c r="S119" s="198">
        <f t="shared" si="48"/>
        <v>0</v>
      </c>
      <c r="T119" s="198">
        <f t="shared" si="48"/>
        <v>0</v>
      </c>
      <c r="U119" s="198">
        <f t="shared" si="48"/>
        <v>0</v>
      </c>
      <c r="V119" s="198">
        <f t="shared" si="48"/>
        <v>0</v>
      </c>
      <c r="W119" s="198">
        <f t="shared" si="48"/>
        <v>0</v>
      </c>
      <c r="X119" s="198">
        <f t="shared" si="48"/>
        <v>0</v>
      </c>
      <c r="Y119" s="198">
        <f t="shared" si="48"/>
        <v>0</v>
      </c>
      <c r="Z119" s="198">
        <f t="shared" si="48"/>
        <v>0</v>
      </c>
      <c r="AA119" s="8"/>
    </row>
    <row r="120" spans="1:27" s="207" customFormat="1" ht="31.5" x14ac:dyDescent="0.15">
      <c r="A120" s="208" t="s">
        <v>377</v>
      </c>
      <c r="B120" s="184">
        <f>SUM(B112+B115+B117+B119)</f>
        <v>0</v>
      </c>
      <c r="C120" s="184">
        <f t="shared" ref="C120:Z120" si="49">SUM(C112+C115+C117+C119)</f>
        <v>0</v>
      </c>
      <c r="D120" s="184">
        <f t="shared" si="49"/>
        <v>43548520</v>
      </c>
      <c r="E120" s="184">
        <f>SUM(E112+E115+E117+E119)</f>
        <v>0</v>
      </c>
      <c r="F120" s="184">
        <f t="shared" si="49"/>
        <v>0</v>
      </c>
      <c r="G120" s="184">
        <f t="shared" si="49"/>
        <v>0</v>
      </c>
      <c r="H120" s="184">
        <f t="shared" si="49"/>
        <v>0</v>
      </c>
      <c r="I120" s="184">
        <f t="shared" si="49"/>
        <v>0</v>
      </c>
      <c r="J120" s="184">
        <f t="shared" si="49"/>
        <v>0</v>
      </c>
      <c r="K120" s="184">
        <f t="shared" si="49"/>
        <v>0</v>
      </c>
      <c r="L120" s="184">
        <f t="shared" si="49"/>
        <v>0</v>
      </c>
      <c r="M120" s="184">
        <f t="shared" si="49"/>
        <v>0</v>
      </c>
      <c r="N120" s="184">
        <f t="shared" si="49"/>
        <v>0</v>
      </c>
      <c r="O120" s="184">
        <f t="shared" si="49"/>
        <v>0</v>
      </c>
      <c r="P120" s="184">
        <f t="shared" si="49"/>
        <v>0</v>
      </c>
      <c r="Q120" s="184">
        <f t="shared" si="49"/>
        <v>0</v>
      </c>
      <c r="R120" s="184">
        <f t="shared" si="49"/>
        <v>0</v>
      </c>
      <c r="S120" s="184">
        <f t="shared" si="49"/>
        <v>0</v>
      </c>
      <c r="T120" s="184">
        <f t="shared" si="49"/>
        <v>43548520</v>
      </c>
      <c r="U120" s="184">
        <f t="shared" si="49"/>
        <v>0</v>
      </c>
      <c r="V120" s="184">
        <f t="shared" si="49"/>
        <v>0</v>
      </c>
      <c r="W120" s="184">
        <f t="shared" si="49"/>
        <v>0</v>
      </c>
      <c r="X120" s="184">
        <f t="shared" si="49"/>
        <v>0</v>
      </c>
      <c r="Y120" s="184">
        <f t="shared" si="49"/>
        <v>0</v>
      </c>
      <c r="Z120" s="184">
        <f t="shared" si="49"/>
        <v>43548520</v>
      </c>
    </row>
    <row r="121" spans="1:27" s="199" customFormat="1" ht="34.15" customHeight="1" thickBot="1" x14ac:dyDescent="0.2">
      <c r="A121" s="209" t="s">
        <v>379</v>
      </c>
      <c r="B121" s="210">
        <f>SUM(B120-B81)</f>
        <v>-3147900</v>
      </c>
      <c r="C121" s="210">
        <f t="shared" ref="C121:Z121" si="50">SUM(C120-C81)</f>
        <v>-152000</v>
      </c>
      <c r="D121" s="210">
        <f t="shared" si="50"/>
        <v>43548520</v>
      </c>
      <c r="E121" s="210">
        <f>SUM(E120-E81)</f>
        <v>0</v>
      </c>
      <c r="F121" s="210">
        <f t="shared" si="50"/>
        <v>0</v>
      </c>
      <c r="G121" s="210">
        <f t="shared" si="50"/>
        <v>0</v>
      </c>
      <c r="H121" s="210">
        <f t="shared" si="50"/>
        <v>0</v>
      </c>
      <c r="I121" s="210">
        <f t="shared" si="50"/>
        <v>0</v>
      </c>
      <c r="J121" s="210">
        <f t="shared" si="50"/>
        <v>0</v>
      </c>
      <c r="K121" s="210">
        <f t="shared" si="50"/>
        <v>0</v>
      </c>
      <c r="L121" s="210">
        <f t="shared" si="50"/>
        <v>0</v>
      </c>
      <c r="M121" s="210">
        <f t="shared" si="50"/>
        <v>0</v>
      </c>
      <c r="N121" s="210">
        <f t="shared" si="50"/>
        <v>-4764008.5999999996</v>
      </c>
      <c r="O121" s="210">
        <f t="shared" si="50"/>
        <v>0</v>
      </c>
      <c r="P121" s="210">
        <f t="shared" si="50"/>
        <v>0</v>
      </c>
      <c r="Q121" s="210">
        <f t="shared" si="50"/>
        <v>0</v>
      </c>
      <c r="R121" s="210">
        <f t="shared" si="50"/>
        <v>0</v>
      </c>
      <c r="S121" s="210">
        <f t="shared" si="50"/>
        <v>0</v>
      </c>
      <c r="T121" s="210">
        <f t="shared" si="50"/>
        <v>35484611.399999999</v>
      </c>
      <c r="U121" s="210">
        <f t="shared" si="50"/>
        <v>-13004910.199999999</v>
      </c>
      <c r="V121" s="210">
        <f t="shared" si="50"/>
        <v>-1435054</v>
      </c>
      <c r="W121" s="210">
        <f t="shared" si="50"/>
        <v>0</v>
      </c>
      <c r="X121" s="210">
        <f t="shared" si="50"/>
        <v>0</v>
      </c>
      <c r="Y121" s="210">
        <f t="shared" si="50"/>
        <v>-14439964.199999999</v>
      </c>
      <c r="Z121" s="210">
        <f t="shared" si="50"/>
        <v>21044647.199999999</v>
      </c>
      <c r="AA121" s="234"/>
    </row>
  </sheetData>
  <pageMargins left="0.70866141732283472" right="0.70866141732283472" top="0.74803149606299213" bottom="0.74803149606299213" header="0.31496062992125984" footer="0.31496062992125984"/>
  <pageSetup paperSize="8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8" sqref="C18"/>
    </sheetView>
  </sheetViews>
  <sheetFormatPr defaultRowHeight="12.75" x14ac:dyDescent="0.2"/>
  <cols>
    <col min="1" max="1" width="27.140625" customWidth="1"/>
    <col min="2" max="2" width="16" customWidth="1"/>
    <col min="3" max="3" width="15.7109375" customWidth="1"/>
    <col min="4" max="4" width="13.7109375" customWidth="1"/>
  </cols>
  <sheetData>
    <row r="1" spans="1:5" x14ac:dyDescent="0.2">
      <c r="A1" t="s">
        <v>180</v>
      </c>
      <c r="B1" t="s">
        <v>181</v>
      </c>
      <c r="C1" t="s">
        <v>182</v>
      </c>
      <c r="D1" t="s">
        <v>183</v>
      </c>
      <c r="E1" s="211" t="s">
        <v>444</v>
      </c>
    </row>
    <row r="2" spans="1:5" x14ac:dyDescent="0.2">
      <c r="A2" t="s">
        <v>184</v>
      </c>
      <c r="B2" s="6">
        <v>172000</v>
      </c>
      <c r="C2" s="6">
        <f>SUM(B2*12)</f>
        <v>2064000</v>
      </c>
      <c r="D2" s="6">
        <f>SUM(C2*19.5%)</f>
        <v>402480</v>
      </c>
    </row>
    <row r="3" spans="1:5" x14ac:dyDescent="0.2">
      <c r="A3" t="s">
        <v>414</v>
      </c>
      <c r="B3" s="6"/>
      <c r="C3" s="6">
        <f>SUM(B3*12)</f>
        <v>0</v>
      </c>
      <c r="D3" s="6"/>
    </row>
    <row r="4" spans="1:5" x14ac:dyDescent="0.2">
      <c r="A4" t="s">
        <v>413</v>
      </c>
      <c r="B4" s="6">
        <v>202790</v>
      </c>
      <c r="C4" s="6">
        <f>SUM(B4*12)</f>
        <v>2433480</v>
      </c>
      <c r="D4" s="6">
        <f t="shared" ref="D4:D14" si="0">SUM(C4*19.5%)</f>
        <v>474528.60000000003</v>
      </c>
      <c r="E4">
        <v>200000</v>
      </c>
    </row>
    <row r="5" spans="1:5" x14ac:dyDescent="0.2">
      <c r="A5" s="211" t="s">
        <v>468</v>
      </c>
      <c r="B5" s="6">
        <v>138000</v>
      </c>
      <c r="C5" s="6">
        <f t="shared" ref="C5:C13" si="1">SUM(B5*12)</f>
        <v>1656000</v>
      </c>
      <c r="D5" s="6">
        <f t="shared" si="0"/>
        <v>322920</v>
      </c>
      <c r="E5">
        <v>200000</v>
      </c>
    </row>
    <row r="6" spans="1:5" x14ac:dyDescent="0.2">
      <c r="B6" s="6"/>
      <c r="C6" s="6">
        <f t="shared" si="1"/>
        <v>0</v>
      </c>
      <c r="D6" s="6">
        <f t="shared" si="0"/>
        <v>0</v>
      </c>
    </row>
    <row r="7" spans="1:5" x14ac:dyDescent="0.2">
      <c r="B7" s="6"/>
      <c r="C7" s="6"/>
      <c r="D7" s="6">
        <f t="shared" si="0"/>
        <v>0</v>
      </c>
    </row>
    <row r="8" spans="1:5" x14ac:dyDescent="0.2">
      <c r="B8" s="6"/>
      <c r="C8" s="6"/>
      <c r="D8" s="6">
        <f t="shared" si="0"/>
        <v>0</v>
      </c>
    </row>
    <row r="9" spans="1:5" x14ac:dyDescent="0.2">
      <c r="A9" t="s">
        <v>185</v>
      </c>
      <c r="B9" s="6">
        <v>347130</v>
      </c>
      <c r="C9" s="6">
        <f t="shared" si="1"/>
        <v>4165560</v>
      </c>
      <c r="D9" s="6">
        <f t="shared" si="0"/>
        <v>812284.20000000007</v>
      </c>
      <c r="E9">
        <v>200000</v>
      </c>
    </row>
    <row r="10" spans="1:5" x14ac:dyDescent="0.2">
      <c r="A10" s="211" t="s">
        <v>469</v>
      </c>
      <c r="B10" s="6">
        <v>240000</v>
      </c>
      <c r="C10" s="6">
        <f t="shared" si="1"/>
        <v>2880000</v>
      </c>
      <c r="D10" s="6">
        <f t="shared" si="0"/>
        <v>561600</v>
      </c>
    </row>
    <row r="11" spans="1:5" x14ac:dyDescent="0.2">
      <c r="A11" t="s">
        <v>186</v>
      </c>
      <c r="B11" s="6">
        <v>191800</v>
      </c>
      <c r="C11" s="6">
        <f t="shared" si="1"/>
        <v>2301600</v>
      </c>
      <c r="D11" s="6">
        <f t="shared" si="0"/>
        <v>448812</v>
      </c>
      <c r="E11">
        <v>200000</v>
      </c>
    </row>
    <row r="12" spans="1:5" x14ac:dyDescent="0.2">
      <c r="B12" s="6"/>
      <c r="C12" s="6"/>
      <c r="D12" s="6">
        <f t="shared" si="0"/>
        <v>0</v>
      </c>
    </row>
    <row r="13" spans="1:5" x14ac:dyDescent="0.2">
      <c r="A13" t="s">
        <v>187</v>
      </c>
      <c r="B13" s="6">
        <v>186200</v>
      </c>
      <c r="C13" s="6">
        <f t="shared" si="1"/>
        <v>2234400</v>
      </c>
      <c r="D13" s="6">
        <f t="shared" si="0"/>
        <v>435708</v>
      </c>
      <c r="E13">
        <v>200000</v>
      </c>
    </row>
    <row r="14" spans="1:5" x14ac:dyDescent="0.2">
      <c r="B14" s="6"/>
      <c r="C14" s="6"/>
      <c r="D14" s="6">
        <f t="shared" si="0"/>
        <v>0</v>
      </c>
    </row>
    <row r="15" spans="1:5" x14ac:dyDescent="0.2">
      <c r="B15" s="6"/>
      <c r="C15" s="6"/>
      <c r="D15" s="6"/>
    </row>
    <row r="16" spans="1:5" x14ac:dyDescent="0.2">
      <c r="D16" s="6"/>
    </row>
    <row r="17" spans="3:4" x14ac:dyDescent="0.2">
      <c r="D17" s="6"/>
    </row>
    <row r="18" spans="3:4" x14ac:dyDescent="0.2">
      <c r="C18" s="6">
        <f>SUM(C9:C11,C13/2,C14)</f>
        <v>10464360</v>
      </c>
      <c r="D18" s="6"/>
    </row>
    <row r="19" spans="3:4" x14ac:dyDescent="0.2">
      <c r="D19" s="6"/>
    </row>
    <row r="20" spans="3:4" x14ac:dyDescent="0.2">
      <c r="C20" s="6">
        <f>SUM(C13/2)</f>
        <v>1117200</v>
      </c>
      <c r="D2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0" sqref="C10"/>
    </sheetView>
  </sheetViews>
  <sheetFormatPr defaultRowHeight="12.75" x14ac:dyDescent="0.2"/>
  <cols>
    <col min="1" max="1" width="25.42578125" style="132" customWidth="1"/>
    <col min="2" max="2" width="13.7109375" customWidth="1"/>
    <col min="3" max="3" width="9.140625" bestFit="1" customWidth="1"/>
    <col min="4" max="4" width="10.85546875" customWidth="1"/>
  </cols>
  <sheetData>
    <row r="1" spans="1:5" s="236" customFormat="1" ht="63.75" x14ac:dyDescent="0.2">
      <c r="A1" s="236" t="s">
        <v>412</v>
      </c>
      <c r="B1" s="237" t="s">
        <v>449</v>
      </c>
      <c r="C1" s="237" t="s">
        <v>448</v>
      </c>
      <c r="D1" s="237" t="s">
        <v>130</v>
      </c>
    </row>
    <row r="2" spans="1:5" ht="15" x14ac:dyDescent="0.25">
      <c r="A2" s="132" t="s">
        <v>226</v>
      </c>
      <c r="B2" s="178"/>
      <c r="C2" s="178"/>
      <c r="D2" s="179">
        <f>SUM(B2:C2)</f>
        <v>0</v>
      </c>
    </row>
    <row r="3" spans="1:5" ht="15" x14ac:dyDescent="0.25">
      <c r="A3" s="132" t="s">
        <v>447</v>
      </c>
      <c r="B3" s="178">
        <f>SUM(B2*11%)</f>
        <v>0</v>
      </c>
      <c r="C3" s="178">
        <f>SUM(C2*11%)</f>
        <v>0</v>
      </c>
      <c r="D3" s="179">
        <f t="shared" ref="D3:D10" si="0">SUM(B3:C3)</f>
        <v>0</v>
      </c>
    </row>
    <row r="4" spans="1:5" ht="26.25" x14ac:dyDescent="0.25">
      <c r="A4" s="132" t="s">
        <v>227</v>
      </c>
      <c r="B4" s="178"/>
      <c r="C4" s="178"/>
      <c r="D4" s="179">
        <f t="shared" si="0"/>
        <v>0</v>
      </c>
    </row>
    <row r="5" spans="1:5" ht="26.25" x14ac:dyDescent="0.25">
      <c r="A5" s="132" t="s">
        <v>228</v>
      </c>
      <c r="B5" s="178"/>
      <c r="C5" s="178"/>
      <c r="D5" s="179">
        <f t="shared" si="0"/>
        <v>0</v>
      </c>
    </row>
    <row r="6" spans="1:5" ht="26.25" x14ac:dyDescent="0.25">
      <c r="A6" s="132" t="s">
        <v>229</v>
      </c>
      <c r="B6" s="178"/>
      <c r="C6" s="178"/>
      <c r="D6" s="179">
        <f t="shared" si="0"/>
        <v>0</v>
      </c>
    </row>
    <row r="7" spans="1:5" ht="15" x14ac:dyDescent="0.25">
      <c r="A7" s="132" t="s">
        <v>230</v>
      </c>
      <c r="B7" s="178"/>
      <c r="C7" s="178"/>
      <c r="D7" s="179">
        <f t="shared" si="0"/>
        <v>0</v>
      </c>
    </row>
    <row r="8" spans="1:5" ht="15" x14ac:dyDescent="0.25">
      <c r="A8" s="132" t="s">
        <v>231</v>
      </c>
      <c r="B8" s="178"/>
      <c r="C8" s="178"/>
      <c r="D8" s="179">
        <f t="shared" si="0"/>
        <v>0</v>
      </c>
    </row>
    <row r="9" spans="1:5" ht="15" x14ac:dyDescent="0.25">
      <c r="A9" s="132" t="s">
        <v>232</v>
      </c>
      <c r="B9" s="178"/>
      <c r="C9" s="178"/>
      <c r="D9" s="179">
        <f t="shared" si="0"/>
        <v>0</v>
      </c>
    </row>
    <row r="10" spans="1:5" ht="26.25" x14ac:dyDescent="0.25">
      <c r="A10" s="132" t="s">
        <v>233</v>
      </c>
      <c r="B10" s="178"/>
      <c r="C10" s="178"/>
      <c r="D10" s="179">
        <f t="shared" si="0"/>
        <v>0</v>
      </c>
    </row>
    <row r="11" spans="1:5" ht="15" x14ac:dyDescent="0.25">
      <c r="A11" s="180"/>
      <c r="B11" s="179">
        <f>SUM(B2:B10)</f>
        <v>0</v>
      </c>
      <c r="C11" s="179">
        <f>SUM(C2:C10)</f>
        <v>0</v>
      </c>
      <c r="D11" s="179">
        <f>SUM(D2:D10)</f>
        <v>0</v>
      </c>
      <c r="E11" s="181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B4" sqref="B4"/>
    </sheetView>
  </sheetViews>
  <sheetFormatPr defaultRowHeight="12.75" x14ac:dyDescent="0.2"/>
  <cols>
    <col min="7" max="7" width="9.140625" bestFit="1" customWidth="1"/>
    <col min="8" max="8" width="9.140625" customWidth="1"/>
    <col min="9" max="9" width="17.42578125" style="6" bestFit="1" customWidth="1"/>
    <col min="10" max="10" width="13.7109375" customWidth="1"/>
    <col min="15" max="15" width="9.140625" bestFit="1" customWidth="1"/>
  </cols>
  <sheetData>
    <row r="1" spans="1:15" x14ac:dyDescent="0.2">
      <c r="A1" t="s">
        <v>380</v>
      </c>
    </row>
    <row r="3" spans="1:15" x14ac:dyDescent="0.2">
      <c r="B3" t="s">
        <v>385</v>
      </c>
      <c r="C3" t="s">
        <v>386</v>
      </c>
      <c r="D3" s="211" t="s">
        <v>387</v>
      </c>
      <c r="E3" s="211" t="s">
        <v>440</v>
      </c>
      <c r="I3" s="212" t="s">
        <v>388</v>
      </c>
      <c r="J3" s="6" t="s">
        <v>389</v>
      </c>
      <c r="K3" s="6" t="s">
        <v>407</v>
      </c>
      <c r="L3" s="6"/>
      <c r="M3" s="6" t="s">
        <v>442</v>
      </c>
      <c r="O3" s="6" t="s">
        <v>443</v>
      </c>
    </row>
    <row r="4" spans="1:15" x14ac:dyDescent="0.2">
      <c r="A4" t="s">
        <v>167</v>
      </c>
      <c r="B4">
        <v>14</v>
      </c>
      <c r="C4">
        <v>220</v>
      </c>
      <c r="D4">
        <f>SUM(B4*C4)</f>
        <v>3080</v>
      </c>
      <c r="E4">
        <v>425</v>
      </c>
      <c r="G4">
        <f>SUM(D4*E4)</f>
        <v>1309000</v>
      </c>
      <c r="I4" s="6">
        <f>SUM(((Munka3!C13/2)/Munka1!D14)*Munka1!D4)</f>
        <v>430337.16858429211</v>
      </c>
      <c r="J4" s="6">
        <f>SUM(I4*19.5%)</f>
        <v>83915.747873936969</v>
      </c>
      <c r="M4">
        <v>213</v>
      </c>
    </row>
    <row r="5" spans="1:15" x14ac:dyDescent="0.2">
      <c r="A5" t="s">
        <v>381</v>
      </c>
      <c r="B5">
        <v>8</v>
      </c>
      <c r="C5">
        <v>185</v>
      </c>
      <c r="D5">
        <f t="shared" ref="D5:D12" si="0">SUM(B5*C5)</f>
        <v>1480</v>
      </c>
      <c r="E5">
        <v>425</v>
      </c>
      <c r="G5">
        <f t="shared" ref="G5:G6" si="1">SUM(D5*E5)</f>
        <v>629000</v>
      </c>
      <c r="I5" s="6">
        <f>SUM(((Munka3!C13/2)/Munka1!D14)*Munka1!D5)</f>
        <v>206785.39269634816</v>
      </c>
      <c r="J5" s="6">
        <f t="shared" ref="J5:J14" si="2">SUM(I5*19.5%)</f>
        <v>40323.151575787895</v>
      </c>
      <c r="M5">
        <v>213</v>
      </c>
      <c r="O5" s="6">
        <f>SUM(M5*127%*3*185)</f>
        <v>150133.04999999999</v>
      </c>
    </row>
    <row r="6" spans="1:15" x14ac:dyDescent="0.2">
      <c r="A6" t="s">
        <v>382</v>
      </c>
      <c r="B6">
        <v>3</v>
      </c>
      <c r="C6">
        <v>220</v>
      </c>
      <c r="D6">
        <f t="shared" si="0"/>
        <v>660</v>
      </c>
      <c r="E6">
        <v>349</v>
      </c>
      <c r="G6">
        <f t="shared" si="1"/>
        <v>230340</v>
      </c>
      <c r="I6" s="6">
        <f>SUM(((Munka3!C13/2)/Munka1!D14)*Munka1!D6)</f>
        <v>92215.107553776877</v>
      </c>
      <c r="J6" s="6">
        <f t="shared" si="2"/>
        <v>17981.94597298649</v>
      </c>
      <c r="M6">
        <v>349</v>
      </c>
      <c r="O6" s="6">
        <f>SUM(349*127%*660)</f>
        <v>292531.8</v>
      </c>
    </row>
    <row r="7" spans="1:15" x14ac:dyDescent="0.2">
      <c r="A7" t="s">
        <v>383</v>
      </c>
      <c r="B7">
        <v>8</v>
      </c>
      <c r="C7">
        <v>251</v>
      </c>
      <c r="D7">
        <f t="shared" si="0"/>
        <v>2008</v>
      </c>
      <c r="E7">
        <v>444</v>
      </c>
      <c r="H7">
        <f>SUM(D7*E7)</f>
        <v>891552</v>
      </c>
      <c r="I7" s="6">
        <f>SUM(((Munka3!C13/2)/Munka1!D14)*Munka1!D7)</f>
        <v>280557.47873936966</v>
      </c>
      <c r="J7" s="6">
        <f t="shared" si="2"/>
        <v>54708.708354177084</v>
      </c>
      <c r="M7">
        <v>444</v>
      </c>
      <c r="O7" s="6">
        <f>SUM(M7*127%*D7)</f>
        <v>1132271.04</v>
      </c>
    </row>
    <row r="8" spans="1:15" x14ac:dyDescent="0.2">
      <c r="J8" s="6">
        <f t="shared" si="2"/>
        <v>0</v>
      </c>
    </row>
    <row r="9" spans="1:15" x14ac:dyDescent="0.2">
      <c r="A9" t="s">
        <v>384</v>
      </c>
      <c r="J9" s="6">
        <f t="shared" si="2"/>
        <v>0</v>
      </c>
    </row>
    <row r="10" spans="1:15" x14ac:dyDescent="0.2">
      <c r="A10" t="s">
        <v>167</v>
      </c>
      <c r="B10">
        <v>16</v>
      </c>
      <c r="C10">
        <v>32</v>
      </c>
      <c r="D10">
        <f t="shared" si="0"/>
        <v>512</v>
      </c>
      <c r="E10">
        <v>449</v>
      </c>
      <c r="H10">
        <f t="shared" ref="H10:H12" si="3">SUM(D10*E10)</f>
        <v>229888</v>
      </c>
      <c r="I10" s="6">
        <f>SUM(((Munka3!C13/2)/Munka1!D14)*Munka1!D10)</f>
        <v>71536.568284142064</v>
      </c>
      <c r="J10" s="6">
        <f t="shared" si="2"/>
        <v>13949.630815407703</v>
      </c>
    </row>
    <row r="11" spans="1:15" x14ac:dyDescent="0.2">
      <c r="A11" t="s">
        <v>381</v>
      </c>
      <c r="B11">
        <v>4</v>
      </c>
      <c r="C11">
        <v>64</v>
      </c>
      <c r="D11">
        <f t="shared" si="0"/>
        <v>256</v>
      </c>
      <c r="E11">
        <v>449</v>
      </c>
      <c r="H11">
        <f t="shared" si="3"/>
        <v>114944</v>
      </c>
      <c r="I11" s="6">
        <f>SUM(((Munka3!C13/2)/Munka1!D14)*Munka1!D11)</f>
        <v>35768.284142071032</v>
      </c>
      <c r="J11" s="6">
        <f t="shared" si="2"/>
        <v>6974.8154077038516</v>
      </c>
    </row>
    <row r="12" spans="1:15" x14ac:dyDescent="0.2">
      <c r="A12" s="211" t="s">
        <v>439</v>
      </c>
      <c r="C12">
        <v>68</v>
      </c>
      <c r="D12">
        <f t="shared" si="0"/>
        <v>0</v>
      </c>
      <c r="E12">
        <v>449</v>
      </c>
      <c r="H12">
        <f t="shared" si="3"/>
        <v>0</v>
      </c>
      <c r="I12" s="6">
        <f>SUM(((Munka3!C13/2)/Munka1!D14)*Munka1!D12)</f>
        <v>0</v>
      </c>
      <c r="J12" s="6">
        <f t="shared" si="2"/>
        <v>0</v>
      </c>
    </row>
    <row r="13" spans="1:15" x14ac:dyDescent="0.2">
      <c r="A13" s="211"/>
      <c r="D13">
        <f>SUM(D10:D12)</f>
        <v>768</v>
      </c>
      <c r="H13">
        <f>SUM(H10:H12)</f>
        <v>344832</v>
      </c>
      <c r="J13" s="6">
        <f t="shared" si="2"/>
        <v>0</v>
      </c>
    </row>
    <row r="14" spans="1:15" x14ac:dyDescent="0.2">
      <c r="D14">
        <f>SUM(D4:D11)</f>
        <v>7996</v>
      </c>
      <c r="F14" s="6"/>
      <c r="G14" s="6">
        <f>SUM(G4:G7,G13)</f>
        <v>2168340</v>
      </c>
      <c r="H14" s="6">
        <f>SUM(H4:H7,H13)</f>
        <v>1236384</v>
      </c>
      <c r="I14" s="6">
        <f>SUM(I4:I11)</f>
        <v>1117200</v>
      </c>
      <c r="J14" s="6">
        <f t="shared" si="2"/>
        <v>217854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17" sqref="F17"/>
    </sheetView>
  </sheetViews>
  <sheetFormatPr defaultRowHeight="12.75" x14ac:dyDescent="0.2"/>
  <cols>
    <col min="1" max="1" width="21.85546875" customWidth="1"/>
    <col min="2" max="2" width="9.140625" style="6" bestFit="1" customWidth="1"/>
    <col min="3" max="4" width="8.85546875" style="6"/>
    <col min="5" max="5" width="9.140625" style="6" bestFit="1" customWidth="1"/>
  </cols>
  <sheetData>
    <row r="1" spans="1:6" x14ac:dyDescent="0.2">
      <c r="A1" t="s">
        <v>390</v>
      </c>
      <c r="E1" s="6" t="s">
        <v>406</v>
      </c>
    </row>
    <row r="2" spans="1:6" x14ac:dyDescent="0.2">
      <c r="A2" t="s">
        <v>391</v>
      </c>
      <c r="B2" s="6">
        <v>50000</v>
      </c>
      <c r="F2" s="6">
        <f>SUM(B2:E2)</f>
        <v>50000</v>
      </c>
    </row>
    <row r="3" spans="1:6" x14ac:dyDescent="0.2">
      <c r="A3" t="s">
        <v>392</v>
      </c>
      <c r="B3" s="6">
        <v>28570</v>
      </c>
      <c r="F3" s="6">
        <f t="shared" ref="F3:F17" si="0">SUM(B3:E3)</f>
        <v>28570</v>
      </c>
    </row>
    <row r="4" spans="1:6" x14ac:dyDescent="0.2">
      <c r="A4" t="s">
        <v>393</v>
      </c>
      <c r="B4" s="6">
        <v>39370</v>
      </c>
      <c r="E4" s="6">
        <v>19690</v>
      </c>
      <c r="F4" s="6">
        <f t="shared" si="0"/>
        <v>59060</v>
      </c>
    </row>
    <row r="5" spans="1:6" x14ac:dyDescent="0.2">
      <c r="A5" t="s">
        <v>392</v>
      </c>
      <c r="B5" s="6">
        <v>28570</v>
      </c>
      <c r="F5" s="6">
        <f t="shared" si="0"/>
        <v>28570</v>
      </c>
    </row>
    <row r="6" spans="1:6" x14ac:dyDescent="0.2">
      <c r="A6" t="s">
        <v>394</v>
      </c>
      <c r="B6" s="6">
        <v>118110</v>
      </c>
      <c r="E6" s="6">
        <v>28570</v>
      </c>
      <c r="F6" s="6">
        <f t="shared" si="0"/>
        <v>146680</v>
      </c>
    </row>
    <row r="7" spans="1:6" x14ac:dyDescent="0.2">
      <c r="A7" t="s">
        <v>395</v>
      </c>
      <c r="B7" s="6">
        <v>23620</v>
      </c>
      <c r="E7" s="6">
        <v>15750</v>
      </c>
      <c r="F7" s="6">
        <f t="shared" si="0"/>
        <v>39370</v>
      </c>
    </row>
    <row r="8" spans="1:6" x14ac:dyDescent="0.2">
      <c r="A8" t="s">
        <v>396</v>
      </c>
      <c r="B8" s="6">
        <v>315960</v>
      </c>
      <c r="E8" s="6">
        <v>118110</v>
      </c>
      <c r="F8" s="6">
        <f t="shared" si="0"/>
        <v>434070</v>
      </c>
    </row>
    <row r="9" spans="1:6" x14ac:dyDescent="0.2">
      <c r="A9" t="s">
        <v>403</v>
      </c>
      <c r="B9" s="6">
        <v>50000</v>
      </c>
      <c r="F9" s="6">
        <f t="shared" si="0"/>
        <v>50000</v>
      </c>
    </row>
    <row r="10" spans="1:6" x14ac:dyDescent="0.2">
      <c r="A10" t="s">
        <v>397</v>
      </c>
      <c r="B10" s="6">
        <v>27560</v>
      </c>
      <c r="E10" s="6">
        <v>27560</v>
      </c>
      <c r="F10" s="6">
        <f t="shared" si="0"/>
        <v>55120</v>
      </c>
    </row>
    <row r="11" spans="1:6" x14ac:dyDescent="0.2">
      <c r="A11" t="s">
        <v>398</v>
      </c>
      <c r="B11" s="6">
        <v>51180</v>
      </c>
      <c r="E11" s="6">
        <v>51180</v>
      </c>
      <c r="F11" s="6">
        <f t="shared" si="0"/>
        <v>102360</v>
      </c>
    </row>
    <row r="12" spans="1:6" x14ac:dyDescent="0.2">
      <c r="A12" t="s">
        <v>399</v>
      </c>
      <c r="B12" s="6">
        <v>23620</v>
      </c>
      <c r="E12" s="6">
        <v>23620</v>
      </c>
      <c r="F12" s="6">
        <f t="shared" si="0"/>
        <v>47240</v>
      </c>
    </row>
    <row r="13" spans="1:6" x14ac:dyDescent="0.2">
      <c r="A13" t="s">
        <v>400</v>
      </c>
      <c r="B13" s="6">
        <v>125990</v>
      </c>
      <c r="E13" s="6">
        <v>125990</v>
      </c>
      <c r="F13" s="6">
        <f t="shared" si="0"/>
        <v>251980</v>
      </c>
    </row>
    <row r="14" spans="1:6" x14ac:dyDescent="0.2">
      <c r="A14" t="s">
        <v>401</v>
      </c>
      <c r="B14" s="6">
        <v>168000</v>
      </c>
      <c r="F14" s="6">
        <f t="shared" si="0"/>
        <v>168000</v>
      </c>
    </row>
    <row r="15" spans="1:6" x14ac:dyDescent="0.2">
      <c r="A15" t="s">
        <v>441</v>
      </c>
      <c r="E15" s="6">
        <v>2168340</v>
      </c>
      <c r="F15" s="6">
        <f t="shared" si="0"/>
        <v>2168340</v>
      </c>
    </row>
    <row r="16" spans="1:6" x14ac:dyDescent="0.2">
      <c r="A16" t="s">
        <v>402</v>
      </c>
      <c r="B16" s="6">
        <v>393700</v>
      </c>
      <c r="F16" s="6">
        <f t="shared" si="0"/>
        <v>393700</v>
      </c>
    </row>
    <row r="17" spans="1:6" x14ac:dyDescent="0.2">
      <c r="A17" t="s">
        <v>484</v>
      </c>
      <c r="B17" s="6">
        <v>303750</v>
      </c>
      <c r="E17" s="6">
        <v>689982</v>
      </c>
      <c r="F17" s="6">
        <f t="shared" si="0"/>
        <v>993732</v>
      </c>
    </row>
    <row r="18" spans="1:6" x14ac:dyDescent="0.2">
      <c r="B18" s="6">
        <f>SUM(B2:B17)</f>
        <v>1748000</v>
      </c>
      <c r="E18" s="6">
        <f>SUM(E2:E17)</f>
        <v>3268792</v>
      </c>
      <c r="F18" s="6">
        <f>SUM(F2:F17)</f>
        <v>5016792</v>
      </c>
    </row>
    <row r="21" spans="1:6" x14ac:dyDescent="0.2">
      <c r="A21" t="s">
        <v>409</v>
      </c>
      <c r="B21" s="6">
        <v>930210</v>
      </c>
    </row>
    <row r="22" spans="1:6" x14ac:dyDescent="0.2">
      <c r="A22" t="s">
        <v>410</v>
      </c>
      <c r="B22" s="6">
        <v>912473</v>
      </c>
    </row>
    <row r="23" spans="1:6" x14ac:dyDescent="0.2">
      <c r="A23" t="s">
        <v>166</v>
      </c>
      <c r="B23" s="6">
        <v>464700</v>
      </c>
    </row>
    <row r="24" spans="1:6" x14ac:dyDescent="0.2">
      <c r="A24" t="s">
        <v>411</v>
      </c>
      <c r="B24" s="6">
        <v>30000</v>
      </c>
    </row>
    <row r="25" spans="1:6" x14ac:dyDescent="0.2">
      <c r="B25" s="6">
        <f>SUM(B21:B24)</f>
        <v>2337383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10" zoomScale="90" zoomScaleNormal="90" workbookViewId="0">
      <selection activeCell="C28" sqref="C28"/>
    </sheetView>
  </sheetViews>
  <sheetFormatPr defaultRowHeight="12.75" x14ac:dyDescent="0.2"/>
  <cols>
    <col min="1" max="1" width="3" customWidth="1"/>
    <col min="2" max="2" width="28.5703125" customWidth="1"/>
    <col min="3" max="3" width="10.28515625" customWidth="1"/>
    <col min="4" max="4" width="10.140625" customWidth="1"/>
    <col min="5" max="5" width="9.85546875" customWidth="1"/>
    <col min="7" max="8" width="9.5703125" customWidth="1"/>
    <col min="10" max="10" width="9.7109375" customWidth="1"/>
    <col min="11" max="11" width="10.42578125" customWidth="1"/>
    <col min="13" max="13" width="9.7109375" customWidth="1"/>
    <col min="14" max="14" width="11.140625" customWidth="1"/>
    <col min="15" max="15" width="10.42578125" customWidth="1"/>
    <col min="17" max="17" width="9.5703125" customWidth="1"/>
    <col min="18" max="18" width="10.28515625" customWidth="1"/>
    <col min="19" max="19" width="10" customWidth="1"/>
    <col min="20" max="20" width="10.28515625" customWidth="1"/>
    <col min="21" max="21" width="10" customWidth="1"/>
  </cols>
  <sheetData>
    <row r="1" spans="1:21" ht="16.5" thickTop="1" x14ac:dyDescent="0.25">
      <c r="A1" s="277" t="s">
        <v>470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9"/>
    </row>
    <row r="2" spans="1:21" ht="16.5" thickBot="1" x14ac:dyDescent="0.3">
      <c r="A2" s="283" t="s">
        <v>462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5"/>
    </row>
    <row r="3" spans="1:21" ht="69.599999999999994" customHeight="1" thickBot="1" x14ac:dyDescent="0.25">
      <c r="A3" s="67"/>
      <c r="B3" s="157" t="s">
        <v>146</v>
      </c>
      <c r="C3" s="68" t="s">
        <v>1</v>
      </c>
      <c r="D3" s="68" t="s">
        <v>86</v>
      </c>
      <c r="E3" s="68" t="s">
        <v>3</v>
      </c>
      <c r="F3" s="68" t="s">
        <v>2</v>
      </c>
      <c r="G3" s="69" t="s">
        <v>47</v>
      </c>
      <c r="H3" s="69" t="s">
        <v>460</v>
      </c>
      <c r="I3" s="69" t="s">
        <v>4</v>
      </c>
      <c r="J3" s="70" t="s">
        <v>471</v>
      </c>
      <c r="K3" s="71" t="s">
        <v>0</v>
      </c>
      <c r="L3" s="69" t="s">
        <v>23</v>
      </c>
      <c r="M3" s="72" t="s">
        <v>472</v>
      </c>
      <c r="N3" s="70" t="s">
        <v>473</v>
      </c>
      <c r="O3" s="73" t="s">
        <v>88</v>
      </c>
      <c r="P3" s="68" t="s">
        <v>89</v>
      </c>
      <c r="Q3" s="68" t="s">
        <v>163</v>
      </c>
      <c r="R3" s="69" t="s">
        <v>90</v>
      </c>
      <c r="S3" s="70" t="s">
        <v>474</v>
      </c>
      <c r="T3" s="74" t="s">
        <v>91</v>
      </c>
      <c r="U3" s="75" t="s">
        <v>475</v>
      </c>
    </row>
    <row r="4" spans="1:21" ht="13.5" thickBot="1" x14ac:dyDescent="0.25">
      <c r="A4" s="76" t="s">
        <v>92</v>
      </c>
      <c r="B4" s="274" t="s">
        <v>93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6"/>
    </row>
    <row r="5" spans="1:21" x14ac:dyDescent="0.2">
      <c r="A5" s="77" t="s">
        <v>5</v>
      </c>
      <c r="B5" s="158" t="s">
        <v>147</v>
      </c>
      <c r="C5" s="78"/>
      <c r="D5" s="78"/>
      <c r="E5" s="78"/>
      <c r="F5" s="78"/>
      <c r="G5" s="79"/>
      <c r="H5" s="79"/>
      <c r="I5" s="79"/>
      <c r="J5" s="80">
        <f t="shared" ref="J5:J31" si="0">SUM(C5:I5)</f>
        <v>0</v>
      </c>
      <c r="K5" s="81"/>
      <c r="L5" s="79"/>
      <c r="M5" s="82">
        <f>SUM(K5:L5)</f>
        <v>0</v>
      </c>
      <c r="N5" s="80">
        <f>J5+M5</f>
        <v>0</v>
      </c>
      <c r="O5" s="81"/>
      <c r="P5" s="78"/>
      <c r="Q5" s="78"/>
      <c r="R5" s="84"/>
      <c r="S5" s="85">
        <f t="shared" ref="S5:S21" si="1">SUM(O5:R5)</f>
        <v>0</v>
      </c>
      <c r="T5" s="86">
        <f t="shared" ref="T5:T24" si="2">S5-N5</f>
        <v>0</v>
      </c>
      <c r="U5" s="87"/>
    </row>
    <row r="6" spans="1:21" x14ac:dyDescent="0.2">
      <c r="A6" s="77" t="s">
        <v>6</v>
      </c>
      <c r="B6" s="158" t="s">
        <v>148</v>
      </c>
      <c r="C6" s="88"/>
      <c r="D6" s="88"/>
      <c r="E6" s="78">
        <v>1593540</v>
      </c>
      <c r="F6" s="78"/>
      <c r="G6" s="79"/>
      <c r="H6" s="79"/>
      <c r="I6" s="89"/>
      <c r="J6" s="80">
        <f t="shared" si="0"/>
        <v>1593540</v>
      </c>
      <c r="K6" s="90">
        <f>SUM('felhalm 2d'!C15)</f>
        <v>18208302</v>
      </c>
      <c r="L6" s="89"/>
      <c r="M6" s="82">
        <f t="shared" ref="M6:M21" si="3">SUM(K6:L6)</f>
        <v>18208302</v>
      </c>
      <c r="N6" s="80">
        <f t="shared" ref="N6:N31" si="4">J6+M6</f>
        <v>19801842</v>
      </c>
      <c r="O6" s="90">
        <f>SUM('Állami bevételek alakulása'!F7)</f>
        <v>1593540</v>
      </c>
      <c r="P6" s="78"/>
      <c r="Q6" s="78"/>
      <c r="R6" s="84">
        <f>SUM('felhalm 2d'!C10)</f>
        <v>15000000</v>
      </c>
      <c r="S6" s="85">
        <f t="shared" si="1"/>
        <v>16593540</v>
      </c>
      <c r="T6" s="86">
        <f t="shared" si="2"/>
        <v>-3208302</v>
      </c>
      <c r="U6" s="87"/>
    </row>
    <row r="7" spans="1:21" x14ac:dyDescent="0.2">
      <c r="A7" s="77" t="s">
        <v>10</v>
      </c>
      <c r="B7" s="158" t="s">
        <v>150</v>
      </c>
      <c r="C7" s="78"/>
      <c r="D7" s="78"/>
      <c r="E7" s="78">
        <v>1532010</v>
      </c>
      <c r="F7" s="78"/>
      <c r="G7" s="79"/>
      <c r="H7" s="79"/>
      <c r="I7" s="79"/>
      <c r="J7" s="80">
        <f t="shared" si="0"/>
        <v>1532010</v>
      </c>
      <c r="K7" s="81"/>
      <c r="L7" s="79"/>
      <c r="M7" s="82">
        <f t="shared" si="3"/>
        <v>0</v>
      </c>
      <c r="N7" s="80">
        <f t="shared" si="4"/>
        <v>1532010</v>
      </c>
      <c r="O7" s="81">
        <f>SUM('Állami bevételek alakulása'!F5)</f>
        <v>1532010</v>
      </c>
      <c r="P7" s="78"/>
      <c r="Q7" s="78">
        <v>13561181</v>
      </c>
      <c r="R7" s="84"/>
      <c r="S7" s="85">
        <f t="shared" si="1"/>
        <v>15093191</v>
      </c>
      <c r="T7" s="86">
        <f t="shared" si="2"/>
        <v>13561181</v>
      </c>
      <c r="U7" s="87"/>
    </row>
    <row r="8" spans="1:21" ht="39" customHeight="1" x14ac:dyDescent="0.2">
      <c r="A8" s="77" t="s">
        <v>11</v>
      </c>
      <c r="B8" s="158" t="s">
        <v>151</v>
      </c>
      <c r="C8" s="78">
        <f>SUM(Munka3!C2+Munka3!C5+Munka3!E5+300000)</f>
        <v>4220000</v>
      </c>
      <c r="D8" s="78">
        <f>SUM(Munka3!D2+Munka3!D5+300000*19.5%)</f>
        <v>783900</v>
      </c>
      <c r="E8" s="78">
        <v>5200000</v>
      </c>
      <c r="F8" s="78"/>
      <c r="G8" s="79"/>
      <c r="H8" s="79">
        <v>1576181</v>
      </c>
      <c r="I8" s="79"/>
      <c r="J8" s="80">
        <f t="shared" si="0"/>
        <v>11780081</v>
      </c>
      <c r="K8" s="81"/>
      <c r="L8" s="79"/>
      <c r="M8" s="82">
        <f t="shared" si="3"/>
        <v>0</v>
      </c>
      <c r="N8" s="80">
        <f t="shared" si="4"/>
        <v>11780081</v>
      </c>
      <c r="O8" s="81">
        <f>SUM('Állami bevételek alakulása'!F8+'Állami bevételek alakulása'!F9+'Állami bevételek alakulása'!F10+'Állami bevételek alakulása'!F11+'Állami bevételek alakulása'!F12)</f>
        <v>12326758</v>
      </c>
      <c r="P8" s="78">
        <v>700000</v>
      </c>
      <c r="Q8" s="78"/>
      <c r="R8" s="81"/>
      <c r="S8" s="85">
        <f t="shared" si="1"/>
        <v>13026758</v>
      </c>
      <c r="T8" s="86">
        <f t="shared" si="2"/>
        <v>1246677</v>
      </c>
      <c r="U8" s="87">
        <v>1</v>
      </c>
    </row>
    <row r="9" spans="1:21" ht="12.6" customHeight="1" x14ac:dyDescent="0.2">
      <c r="A9" s="77" t="s">
        <v>12</v>
      </c>
      <c r="B9" s="160" t="s">
        <v>94</v>
      </c>
      <c r="C9" s="88"/>
      <c r="D9" s="88"/>
      <c r="E9" s="88">
        <v>2560000</v>
      </c>
      <c r="F9" s="88"/>
      <c r="G9" s="89"/>
      <c r="H9" s="89"/>
      <c r="I9" s="89"/>
      <c r="J9" s="80">
        <f t="shared" si="0"/>
        <v>2560000</v>
      </c>
      <c r="K9" s="90"/>
      <c r="L9" s="89"/>
      <c r="M9" s="82">
        <f t="shared" si="3"/>
        <v>0</v>
      </c>
      <c r="N9" s="80">
        <f t="shared" si="4"/>
        <v>2560000</v>
      </c>
      <c r="O9" s="90">
        <f>SUM('Állami bevételek alakulása'!F6)</f>
        <v>2560000</v>
      </c>
      <c r="P9" s="88"/>
      <c r="Q9" s="88"/>
      <c r="R9" s="84"/>
      <c r="S9" s="85">
        <f t="shared" si="1"/>
        <v>2560000</v>
      </c>
      <c r="T9" s="86">
        <f t="shared" si="2"/>
        <v>0</v>
      </c>
      <c r="U9" s="87"/>
    </row>
    <row r="10" spans="1:21" ht="23.45" customHeight="1" x14ac:dyDescent="0.2">
      <c r="A10" s="77" t="s">
        <v>154</v>
      </c>
      <c r="B10" s="158" t="s">
        <v>408</v>
      </c>
      <c r="C10" s="88"/>
      <c r="D10" s="88"/>
      <c r="E10" s="88"/>
      <c r="F10" s="88"/>
      <c r="G10" s="89">
        <v>8325483</v>
      </c>
      <c r="H10" s="89"/>
      <c r="I10" s="89"/>
      <c r="J10" s="80">
        <f t="shared" si="0"/>
        <v>8325483</v>
      </c>
      <c r="K10" s="90"/>
      <c r="L10" s="89"/>
      <c r="M10" s="82">
        <f t="shared" si="3"/>
        <v>0</v>
      </c>
      <c r="N10" s="80">
        <f t="shared" si="4"/>
        <v>8325483</v>
      </c>
      <c r="O10" s="90"/>
      <c r="P10" s="88">
        <f>SUM(Munka5!B25)</f>
        <v>2337383</v>
      </c>
      <c r="Q10" s="88"/>
      <c r="R10" s="84"/>
      <c r="S10" s="85">
        <f t="shared" si="1"/>
        <v>2337383</v>
      </c>
      <c r="T10" s="86">
        <f t="shared" si="2"/>
        <v>-5988100</v>
      </c>
      <c r="U10" s="87"/>
    </row>
    <row r="11" spans="1:21" x14ac:dyDescent="0.2">
      <c r="A11" s="77" t="s">
        <v>13</v>
      </c>
      <c r="B11" s="159" t="s">
        <v>95</v>
      </c>
      <c r="C11" s="83"/>
      <c r="D11" s="83"/>
      <c r="E11" s="83">
        <v>250000</v>
      </c>
      <c r="F11" s="83"/>
      <c r="G11" s="84"/>
      <c r="H11" s="84"/>
      <c r="I11" s="84"/>
      <c r="J11" s="80">
        <f t="shared" si="0"/>
        <v>250000</v>
      </c>
      <c r="K11" s="92"/>
      <c r="L11" s="84"/>
      <c r="M11" s="82">
        <f t="shared" si="3"/>
        <v>0</v>
      </c>
      <c r="N11" s="80">
        <f t="shared" si="4"/>
        <v>250000</v>
      </c>
      <c r="O11" s="92"/>
      <c r="P11" s="83"/>
      <c r="Q11" s="83"/>
      <c r="R11" s="84"/>
      <c r="S11" s="85">
        <f t="shared" si="1"/>
        <v>0</v>
      </c>
      <c r="T11" s="86">
        <f t="shared" si="2"/>
        <v>-250000</v>
      </c>
      <c r="U11" s="87"/>
    </row>
    <row r="12" spans="1:21" x14ac:dyDescent="0.2">
      <c r="A12" s="77" t="s">
        <v>102</v>
      </c>
      <c r="B12" s="159" t="s">
        <v>103</v>
      </c>
      <c r="C12" s="88"/>
      <c r="D12" s="88"/>
      <c r="E12" s="88"/>
      <c r="F12" s="88">
        <v>600000</v>
      </c>
      <c r="G12" s="89"/>
      <c r="H12" s="89"/>
      <c r="I12" s="89"/>
      <c r="J12" s="80">
        <f t="shared" si="0"/>
        <v>600000</v>
      </c>
      <c r="K12" s="90"/>
      <c r="L12" s="89"/>
      <c r="M12" s="82">
        <f t="shared" si="3"/>
        <v>0</v>
      </c>
      <c r="N12" s="80">
        <f t="shared" si="4"/>
        <v>600000</v>
      </c>
      <c r="O12" s="90"/>
      <c r="P12" s="88"/>
      <c r="Q12" s="88"/>
      <c r="R12" s="84"/>
      <c r="S12" s="85">
        <f t="shared" si="1"/>
        <v>0</v>
      </c>
      <c r="T12" s="86">
        <f t="shared" si="2"/>
        <v>-600000</v>
      </c>
      <c r="U12" s="87"/>
    </row>
    <row r="13" spans="1:21" x14ac:dyDescent="0.2">
      <c r="A13" s="77" t="s">
        <v>14</v>
      </c>
      <c r="B13" s="161" t="s">
        <v>104</v>
      </c>
      <c r="C13" s="88"/>
      <c r="D13" s="88"/>
      <c r="E13" s="88">
        <f>SUM((Munka1!I7*122%)+(Munka1!H7*127%))</f>
        <v>1474551.1640620311</v>
      </c>
      <c r="F13" s="88"/>
      <c r="G13" s="89"/>
      <c r="H13" s="89"/>
      <c r="I13" s="89"/>
      <c r="J13" s="80">
        <f t="shared" si="0"/>
        <v>1474551.1640620311</v>
      </c>
      <c r="K13" s="90"/>
      <c r="L13" s="89"/>
      <c r="M13" s="82">
        <f t="shared" si="3"/>
        <v>0</v>
      </c>
      <c r="N13" s="80">
        <f t="shared" si="4"/>
        <v>1474551.1640620311</v>
      </c>
      <c r="O13" s="90">
        <f>SUM('Állami bevételek alakulása'!F23)</f>
        <v>442880</v>
      </c>
      <c r="P13" s="83">
        <f>SUM(Munka1!O7)</f>
        <v>1132271.04</v>
      </c>
      <c r="Q13" s="83"/>
      <c r="R13" s="84"/>
      <c r="S13" s="85">
        <f t="shared" si="1"/>
        <v>1575151.04</v>
      </c>
      <c r="T13" s="86">
        <f t="shared" si="2"/>
        <v>100599.87593796896</v>
      </c>
      <c r="U13" s="87"/>
    </row>
    <row r="14" spans="1:21" x14ac:dyDescent="0.2">
      <c r="A14" s="77" t="s">
        <v>15</v>
      </c>
      <c r="B14" s="159" t="s">
        <v>156</v>
      </c>
      <c r="C14" s="88">
        <f>SUM(Munka3!C4+Munka3!E4)</f>
        <v>2633480</v>
      </c>
      <c r="D14" s="88">
        <f>SUM(Munka3!D4)</f>
        <v>474528.60000000003</v>
      </c>
      <c r="E14" s="88">
        <v>1200000</v>
      </c>
      <c r="F14" s="88"/>
      <c r="G14" s="89"/>
      <c r="H14" s="89"/>
      <c r="I14" s="89"/>
      <c r="J14" s="80">
        <f t="shared" si="0"/>
        <v>4308008.5999999996</v>
      </c>
      <c r="K14" s="90"/>
      <c r="L14" s="89"/>
      <c r="M14" s="82">
        <f t="shared" si="3"/>
        <v>0</v>
      </c>
      <c r="N14" s="80">
        <f>J14+M14</f>
        <v>4308008.5999999996</v>
      </c>
      <c r="O14" s="90">
        <f>SUM('Állami bevételek alakulása'!F24)</f>
        <v>3100000</v>
      </c>
      <c r="P14" s="88"/>
      <c r="Q14" s="88"/>
      <c r="R14" s="84"/>
      <c r="S14" s="85">
        <f>SUM(O14:R14)</f>
        <v>3100000</v>
      </c>
      <c r="T14" s="86">
        <f t="shared" si="2"/>
        <v>-1208008.5999999996</v>
      </c>
      <c r="U14" s="87">
        <v>1</v>
      </c>
    </row>
    <row r="15" spans="1:21" ht="21.75" x14ac:dyDescent="0.2">
      <c r="A15" s="255"/>
      <c r="B15" s="256" t="s">
        <v>446</v>
      </c>
      <c r="C15" s="257"/>
      <c r="D15" s="257"/>
      <c r="E15" s="257">
        <v>606480</v>
      </c>
      <c r="F15" s="257"/>
      <c r="G15" s="89"/>
      <c r="H15" s="89"/>
      <c r="I15" s="89"/>
      <c r="J15" s="80">
        <f t="shared" si="0"/>
        <v>606480</v>
      </c>
      <c r="K15" s="90"/>
      <c r="L15" s="89"/>
      <c r="M15" s="82"/>
      <c r="N15" s="80">
        <f>J15+M15</f>
        <v>606480</v>
      </c>
      <c r="O15" s="90">
        <f>SUM('Állami bevételek alakulása'!F27)</f>
        <v>437760</v>
      </c>
      <c r="P15" s="257"/>
      <c r="Q15" s="257"/>
      <c r="R15" s="84"/>
      <c r="S15" s="85">
        <f t="shared" ref="S15:S16" si="5">SUM(O15:R15)</f>
        <v>437760</v>
      </c>
      <c r="T15" s="86">
        <f t="shared" si="2"/>
        <v>-168720</v>
      </c>
      <c r="U15" s="86"/>
    </row>
    <row r="16" spans="1:21" x14ac:dyDescent="0.2">
      <c r="A16" s="77" t="s">
        <v>16</v>
      </c>
      <c r="B16" s="159" t="s">
        <v>157</v>
      </c>
      <c r="C16" s="88"/>
      <c r="D16" s="88"/>
      <c r="E16" s="88">
        <v>600000</v>
      </c>
      <c r="F16" s="88"/>
      <c r="G16" s="89"/>
      <c r="H16" s="89"/>
      <c r="I16" s="89"/>
      <c r="J16" s="80">
        <f t="shared" si="0"/>
        <v>600000</v>
      </c>
      <c r="K16" s="90"/>
      <c r="L16" s="89"/>
      <c r="M16" s="82">
        <f t="shared" si="3"/>
        <v>0</v>
      </c>
      <c r="N16" s="80">
        <f t="shared" si="4"/>
        <v>600000</v>
      </c>
      <c r="O16" s="90"/>
      <c r="P16" s="88"/>
      <c r="Q16" s="88"/>
      <c r="R16" s="84"/>
      <c r="S16" s="85">
        <f t="shared" si="5"/>
        <v>0</v>
      </c>
      <c r="T16" s="86">
        <f t="shared" si="2"/>
        <v>-600000</v>
      </c>
      <c r="U16" s="86"/>
    </row>
    <row r="17" spans="1:21" x14ac:dyDescent="0.2">
      <c r="A17" s="77" t="s">
        <v>17</v>
      </c>
      <c r="B17" s="158" t="s">
        <v>158</v>
      </c>
      <c r="C17" s="88"/>
      <c r="D17" s="83"/>
      <c r="E17" s="88">
        <v>250000</v>
      </c>
      <c r="F17" s="88"/>
      <c r="G17" s="89"/>
      <c r="H17" s="89"/>
      <c r="I17" s="89"/>
      <c r="J17" s="80">
        <f t="shared" si="0"/>
        <v>250000</v>
      </c>
      <c r="K17" s="90"/>
      <c r="L17" s="89"/>
      <c r="M17" s="82">
        <f t="shared" si="3"/>
        <v>0</v>
      </c>
      <c r="N17" s="80">
        <f t="shared" si="4"/>
        <v>250000</v>
      </c>
      <c r="O17" s="90"/>
      <c r="P17" s="88"/>
      <c r="Q17" s="88"/>
      <c r="R17" s="91"/>
      <c r="S17" s="85">
        <f t="shared" si="1"/>
        <v>0</v>
      </c>
      <c r="T17" s="86">
        <f t="shared" si="2"/>
        <v>-250000</v>
      </c>
      <c r="U17" s="87"/>
    </row>
    <row r="18" spans="1:21" x14ac:dyDescent="0.2">
      <c r="A18" s="77" t="s">
        <v>18</v>
      </c>
      <c r="B18" s="158" t="s">
        <v>159</v>
      </c>
      <c r="C18" s="88"/>
      <c r="D18" s="83"/>
      <c r="E18" s="88">
        <v>1500000</v>
      </c>
      <c r="F18" s="88"/>
      <c r="G18" s="89"/>
      <c r="H18" s="89"/>
      <c r="I18" s="89"/>
      <c r="J18" s="80">
        <f t="shared" si="0"/>
        <v>1500000</v>
      </c>
      <c r="K18" s="90">
        <f>SUM('felhalm 2d'!C44)</f>
        <v>1524000</v>
      </c>
      <c r="L18" s="89"/>
      <c r="M18" s="82">
        <f t="shared" si="3"/>
        <v>1524000</v>
      </c>
      <c r="N18" s="80">
        <f t="shared" si="4"/>
        <v>3024000</v>
      </c>
      <c r="O18" s="92">
        <f>SUM('Állami bevételek alakulása'!F29)</f>
        <v>1800000</v>
      </c>
      <c r="P18" s="88"/>
      <c r="Q18" s="92">
        <f>SUM('felhalm 2d'!C34)</f>
        <v>1524000</v>
      </c>
      <c r="R18" s="84"/>
      <c r="S18" s="85">
        <f t="shared" si="1"/>
        <v>3324000</v>
      </c>
      <c r="T18" s="86">
        <f t="shared" si="2"/>
        <v>300000</v>
      </c>
      <c r="U18" s="87"/>
    </row>
    <row r="19" spans="1:21" x14ac:dyDescent="0.2">
      <c r="A19" s="77" t="s">
        <v>19</v>
      </c>
      <c r="B19" s="158" t="s">
        <v>160</v>
      </c>
      <c r="C19" s="88"/>
      <c r="D19" s="83"/>
      <c r="E19" s="83">
        <v>150000</v>
      </c>
      <c r="F19" s="83"/>
      <c r="G19" s="84"/>
      <c r="H19" s="84"/>
      <c r="I19" s="84"/>
      <c r="J19" s="80">
        <f t="shared" si="0"/>
        <v>150000</v>
      </c>
      <c r="K19" s="92"/>
      <c r="L19" s="84"/>
      <c r="M19" s="82">
        <f t="shared" si="3"/>
        <v>0</v>
      </c>
      <c r="N19" s="80">
        <f t="shared" si="4"/>
        <v>150000</v>
      </c>
      <c r="O19" s="92"/>
      <c r="P19" s="88"/>
      <c r="Q19" s="88"/>
      <c r="R19" s="84"/>
      <c r="S19" s="85">
        <f t="shared" si="1"/>
        <v>0</v>
      </c>
      <c r="T19" s="86">
        <f>S19-O20</f>
        <v>0</v>
      </c>
      <c r="U19" s="87"/>
    </row>
    <row r="20" spans="1:21" ht="27" customHeight="1" x14ac:dyDescent="0.2">
      <c r="A20" s="77" t="s">
        <v>22</v>
      </c>
      <c r="B20" s="161" t="s">
        <v>161</v>
      </c>
      <c r="C20" s="88">
        <f>SUM(Munka4!D2)</f>
        <v>0</v>
      </c>
      <c r="D20" s="83">
        <f>SUM(Munka4!D3)</f>
        <v>0</v>
      </c>
      <c r="E20" s="83">
        <f>SUM(Munka4!D4+Munka4!D8+Munka4!D10)</f>
        <v>0</v>
      </c>
      <c r="F20" s="83"/>
      <c r="G20" s="84"/>
      <c r="H20" s="84"/>
      <c r="I20" s="84"/>
      <c r="J20" s="80">
        <f t="shared" si="0"/>
        <v>0</v>
      </c>
      <c r="K20" s="92"/>
      <c r="L20" s="84">
        <f>SUM(Munka4!D9)</f>
        <v>0</v>
      </c>
      <c r="M20" s="82">
        <f t="shared" si="3"/>
        <v>0</v>
      </c>
      <c r="N20" s="80">
        <f t="shared" si="4"/>
        <v>0</v>
      </c>
      <c r="O20" s="80"/>
      <c r="P20" s="88"/>
      <c r="Q20" s="88"/>
      <c r="R20" s="84">
        <f>SUM(Munka4!D11)</f>
        <v>0</v>
      </c>
      <c r="S20" s="85">
        <f>SUM(O20:R20)</f>
        <v>0</v>
      </c>
      <c r="T20" s="86">
        <f t="shared" si="2"/>
        <v>0</v>
      </c>
      <c r="U20" s="87">
        <v>22</v>
      </c>
    </row>
    <row r="21" spans="1:21" ht="33" thickBot="1" x14ac:dyDescent="0.25">
      <c r="A21" s="77" t="s">
        <v>20</v>
      </c>
      <c r="B21" s="161" t="s">
        <v>225</v>
      </c>
      <c r="C21" s="88"/>
      <c r="D21" s="88"/>
      <c r="E21" s="88"/>
      <c r="F21" s="88"/>
      <c r="G21" s="89"/>
      <c r="H21" s="89"/>
      <c r="I21" s="93">
        <v>4000000</v>
      </c>
      <c r="J21" s="80">
        <f t="shared" si="0"/>
        <v>4000000</v>
      </c>
      <c r="K21" s="81"/>
      <c r="L21" s="79"/>
      <c r="M21" s="82">
        <f t="shared" si="3"/>
        <v>0</v>
      </c>
      <c r="N21" s="80">
        <f t="shared" si="4"/>
        <v>4000000</v>
      </c>
      <c r="O21" s="81">
        <f>SUM('Állami bevételek alakulása'!F22)</f>
        <v>4806000</v>
      </c>
      <c r="P21" s="78"/>
      <c r="Q21" s="78"/>
      <c r="R21" s="91"/>
      <c r="S21" s="85">
        <f t="shared" si="1"/>
        <v>4806000</v>
      </c>
      <c r="T21" s="86">
        <f t="shared" si="2"/>
        <v>806000</v>
      </c>
      <c r="U21" s="87"/>
    </row>
    <row r="22" spans="1:21" ht="13.5" thickBot="1" x14ac:dyDescent="0.25">
      <c r="A22" s="94" t="s">
        <v>92</v>
      </c>
      <c r="B22" s="95" t="s">
        <v>105</v>
      </c>
      <c r="C22" s="96">
        <f t="shared" ref="C22:H22" si="6">SUM(C5:C21)</f>
        <v>6853480</v>
      </c>
      <c r="D22" s="96">
        <f t="shared" si="6"/>
        <v>1258428.6000000001</v>
      </c>
      <c r="E22" s="96">
        <f t="shared" si="6"/>
        <v>16916581.164062031</v>
      </c>
      <c r="F22" s="96">
        <f t="shared" si="6"/>
        <v>600000</v>
      </c>
      <c r="G22" s="96">
        <f t="shared" si="6"/>
        <v>8325483</v>
      </c>
      <c r="H22" s="96">
        <f t="shared" si="6"/>
        <v>1576181</v>
      </c>
      <c r="I22" s="96">
        <f t="shared" ref="I22:N22" si="7">SUM(I5:I21)</f>
        <v>4000000</v>
      </c>
      <c r="J22" s="96">
        <f t="shared" si="7"/>
        <v>39530153.764062032</v>
      </c>
      <c r="K22" s="96">
        <f t="shared" si="7"/>
        <v>19732302</v>
      </c>
      <c r="L22" s="96">
        <f t="shared" si="7"/>
        <v>0</v>
      </c>
      <c r="M22" s="96">
        <f t="shared" si="7"/>
        <v>19732302</v>
      </c>
      <c r="N22" s="96">
        <f t="shared" si="7"/>
        <v>59262455.764062032</v>
      </c>
      <c r="O22" s="96">
        <f>SUM(O5:O21)</f>
        <v>28598948</v>
      </c>
      <c r="P22" s="96">
        <f>SUM(P5:P21)</f>
        <v>4169654.04</v>
      </c>
      <c r="Q22" s="96">
        <f>SUM(Q5:Q21)</f>
        <v>15085181</v>
      </c>
      <c r="R22" s="96">
        <f>SUM(R5:R21)</f>
        <v>15000000</v>
      </c>
      <c r="S22" s="96">
        <f>SUM(S5:S21)</f>
        <v>62853783.039999999</v>
      </c>
      <c r="T22" s="86">
        <f t="shared" si="2"/>
        <v>3591327.275937967</v>
      </c>
      <c r="U22" s="97">
        <f>SUM(U5:U21)</f>
        <v>24</v>
      </c>
    </row>
    <row r="23" spans="1:21" ht="13.5" thickBot="1" x14ac:dyDescent="0.25">
      <c r="A23" s="162"/>
      <c r="B23" s="163"/>
      <c r="C23" s="88"/>
      <c r="D23" s="88"/>
      <c r="E23" s="88"/>
      <c r="F23" s="88"/>
      <c r="G23" s="89"/>
      <c r="H23" s="89"/>
      <c r="I23" s="89"/>
      <c r="J23" s="80">
        <f t="shared" si="0"/>
        <v>0</v>
      </c>
      <c r="K23" s="81"/>
      <c r="L23" s="89"/>
      <c r="M23" s="82">
        <f>SUM(K23:L23)</f>
        <v>0</v>
      </c>
      <c r="N23" s="80">
        <f t="shared" si="4"/>
        <v>0</v>
      </c>
      <c r="O23" s="81"/>
      <c r="P23" s="88"/>
      <c r="Q23" s="88"/>
      <c r="R23" s="91"/>
      <c r="S23" s="85">
        <f>SUM(O23:R23)</f>
        <v>0</v>
      </c>
      <c r="T23" s="86">
        <f t="shared" si="2"/>
        <v>0</v>
      </c>
      <c r="U23" s="106"/>
    </row>
    <row r="24" spans="1:21" ht="13.5" thickBot="1" x14ac:dyDescent="0.25">
      <c r="A24" s="162"/>
      <c r="B24" s="163"/>
      <c r="C24" s="88"/>
      <c r="D24" s="88"/>
      <c r="E24" s="88"/>
      <c r="F24" s="88"/>
      <c r="G24" s="89"/>
      <c r="H24" s="89"/>
      <c r="I24" s="89"/>
      <c r="J24" s="80">
        <f t="shared" si="0"/>
        <v>0</v>
      </c>
      <c r="K24" s="81"/>
      <c r="L24" s="89"/>
      <c r="M24" s="82">
        <f>SUM(K24:L24)</f>
        <v>0</v>
      </c>
      <c r="N24" s="80">
        <f t="shared" si="4"/>
        <v>0</v>
      </c>
      <c r="O24" s="81"/>
      <c r="P24" s="88"/>
      <c r="Q24" s="88"/>
      <c r="R24" s="91"/>
      <c r="S24" s="85">
        <f>SUM(O24:R24)</f>
        <v>0</v>
      </c>
      <c r="T24" s="86">
        <f t="shared" si="2"/>
        <v>0</v>
      </c>
      <c r="U24" s="106"/>
    </row>
    <row r="25" spans="1:21" ht="13.5" thickBot="1" x14ac:dyDescent="0.2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2"/>
    </row>
    <row r="26" spans="1:21" ht="13.5" thickBot="1" x14ac:dyDescent="0.25">
      <c r="A26" s="76" t="s">
        <v>106</v>
      </c>
      <c r="B26" s="274" t="s">
        <v>107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6"/>
    </row>
    <row r="27" spans="1:21" x14ac:dyDescent="0.2">
      <c r="A27" s="107" t="s">
        <v>5</v>
      </c>
      <c r="B27" s="108" t="s">
        <v>21</v>
      </c>
      <c r="C27" s="98">
        <f>SUM('Óvoda 2a'!B5+'Óvoda 2a'!B6)</f>
        <v>10964360</v>
      </c>
      <c r="D27" s="98">
        <f>SUM('Óvoda 2a'!B7)</f>
        <v>2040550.2</v>
      </c>
      <c r="E27" s="98">
        <f>SUM('Óvoda 2a'!B8)</f>
        <v>1748000</v>
      </c>
      <c r="F27" s="98"/>
      <c r="G27" s="99"/>
      <c r="H27" s="99"/>
      <c r="I27" s="99"/>
      <c r="J27" s="100">
        <f t="shared" si="0"/>
        <v>14752910.199999999</v>
      </c>
      <c r="K27" s="101"/>
      <c r="L27" s="99"/>
      <c r="M27" s="102">
        <f>SUM(K27:L27)</f>
        <v>0</v>
      </c>
      <c r="N27" s="100">
        <f t="shared" si="4"/>
        <v>14752910.199999999</v>
      </c>
      <c r="O27" s="101">
        <f>SUM('Állami bevételek alakulása'!F21)</f>
        <v>12431900</v>
      </c>
      <c r="P27" s="98"/>
      <c r="Q27" s="98"/>
      <c r="R27" s="103"/>
      <c r="S27" s="104">
        <f>SUM(O27:R27)</f>
        <v>12431900</v>
      </c>
      <c r="T27" s="105">
        <f>S27-N27</f>
        <v>-2321010.1999999993</v>
      </c>
      <c r="U27" s="109">
        <v>3.5</v>
      </c>
    </row>
    <row r="28" spans="1:21" x14ac:dyDescent="0.2">
      <c r="A28" s="177" t="s">
        <v>6</v>
      </c>
      <c r="B28" s="108" t="s">
        <v>108</v>
      </c>
      <c r="C28" s="88">
        <f>SUM('Óvoda 2a'!C5+'Óvoda 2a'!C6)</f>
        <v>1217200</v>
      </c>
      <c r="D28" s="88">
        <f>SUM('Óvoda 2a'!C7)</f>
        <v>217854</v>
      </c>
      <c r="E28" s="78">
        <f>SUM('Óvoda 2a'!C8)</f>
        <v>3268792</v>
      </c>
      <c r="F28" s="78"/>
      <c r="G28" s="79"/>
      <c r="H28" s="79"/>
      <c r="I28" s="89"/>
      <c r="J28" s="80">
        <f>SUM(C28:I28)</f>
        <v>4703846</v>
      </c>
      <c r="K28" s="90"/>
      <c r="L28" s="89"/>
      <c r="M28" s="82"/>
      <c r="N28" s="80">
        <f>J28+M28</f>
        <v>4703846</v>
      </c>
      <c r="O28" s="90">
        <f>SUM('Állami bevételek alakulása'!F25+'Állami bevételek alakulása'!F26)</f>
        <v>2517672</v>
      </c>
      <c r="P28" s="78">
        <f>SUM('Óvoda 2a'!C16)</f>
        <v>915856.89402201097</v>
      </c>
      <c r="Q28" s="78"/>
      <c r="R28" s="84"/>
      <c r="S28" s="85">
        <f>SUM(O28:R28)</f>
        <v>3433528.8940220112</v>
      </c>
      <c r="T28" s="86">
        <f>S28-N28</f>
        <v>-1270317.1059779888</v>
      </c>
      <c r="U28" s="109">
        <v>0.5</v>
      </c>
    </row>
    <row r="29" spans="1:21" ht="13.5" thickBot="1" x14ac:dyDescent="0.25">
      <c r="A29" s="262">
        <v>3</v>
      </c>
      <c r="B29" s="263" t="s">
        <v>454</v>
      </c>
      <c r="C29" s="117"/>
      <c r="D29" s="117"/>
      <c r="E29" s="264"/>
      <c r="F29" s="264"/>
      <c r="G29" s="265"/>
      <c r="H29" s="265"/>
      <c r="I29" s="118"/>
      <c r="J29" s="119"/>
      <c r="K29" s="266"/>
      <c r="L29" s="118"/>
      <c r="M29" s="121"/>
      <c r="N29" s="119"/>
      <c r="O29" s="266"/>
      <c r="P29" s="264"/>
      <c r="Q29" s="264"/>
      <c r="R29" s="267"/>
      <c r="S29" s="123"/>
      <c r="T29" s="268"/>
      <c r="U29" s="269"/>
    </row>
    <row r="30" spans="1:21" ht="22.5" thickBot="1" x14ac:dyDescent="0.25">
      <c r="A30" s="94" t="s">
        <v>106</v>
      </c>
      <c r="B30" s="110" t="s">
        <v>109</v>
      </c>
      <c r="C30" s="96">
        <f>SUM(C27:C28)</f>
        <v>12181560</v>
      </c>
      <c r="D30" s="96">
        <f>SUM(D27:D28)</f>
        <v>2258404.2000000002</v>
      </c>
      <c r="E30" s="96">
        <f>SUM(E27:E28)</f>
        <v>5016792</v>
      </c>
      <c r="F30" s="96">
        <f>SUM(F27:F28)</f>
        <v>0</v>
      </c>
      <c r="G30" s="96">
        <f>SUM(G27:G28)</f>
        <v>0</v>
      </c>
      <c r="H30" s="111"/>
      <c r="I30" s="111">
        <f t="shared" ref="I30:Q30" si="8">SUM(I27:I28)</f>
        <v>0</v>
      </c>
      <c r="J30" s="112">
        <f t="shared" si="8"/>
        <v>19456756.199999999</v>
      </c>
      <c r="K30" s="113">
        <f t="shared" si="8"/>
        <v>0</v>
      </c>
      <c r="L30" s="111">
        <f t="shared" si="8"/>
        <v>0</v>
      </c>
      <c r="M30" s="112">
        <f t="shared" si="8"/>
        <v>0</v>
      </c>
      <c r="N30" s="112">
        <f t="shared" si="8"/>
        <v>19456756.199999999</v>
      </c>
      <c r="O30" s="113">
        <f t="shared" si="8"/>
        <v>14949572</v>
      </c>
      <c r="P30" s="96">
        <f t="shared" si="8"/>
        <v>915856.89402201097</v>
      </c>
      <c r="Q30" s="96">
        <f t="shared" si="8"/>
        <v>0</v>
      </c>
      <c r="R30" s="111">
        <f>SUM(R27:R28)</f>
        <v>0</v>
      </c>
      <c r="S30" s="112">
        <f>SUM(S27:S28)</f>
        <v>15865428.89402201</v>
      </c>
      <c r="T30" s="113">
        <f>SUM(T27:T28)</f>
        <v>-3591327.3059779881</v>
      </c>
      <c r="U30" s="114">
        <f>SUM(U27:U28)</f>
        <v>4</v>
      </c>
    </row>
    <row r="31" spans="1:21" ht="13.5" thickBot="1" x14ac:dyDescent="0.25">
      <c r="A31" s="115"/>
      <c r="B31" s="116"/>
      <c r="C31" s="117"/>
      <c r="D31" s="117"/>
      <c r="E31" s="117"/>
      <c r="F31" s="96">
        <f>SUM(F28:F29)</f>
        <v>0</v>
      </c>
      <c r="G31" s="96">
        <f>SUM(G28:G29)</f>
        <v>0</v>
      </c>
      <c r="H31" s="272"/>
      <c r="I31" s="118"/>
      <c r="J31" s="119">
        <f t="shared" si="0"/>
        <v>0</v>
      </c>
      <c r="K31" s="120"/>
      <c r="L31" s="118"/>
      <c r="M31" s="121">
        <f>SUM(K31:L31)</f>
        <v>0</v>
      </c>
      <c r="N31" s="119">
        <f t="shared" si="4"/>
        <v>0</v>
      </c>
      <c r="O31" s="120"/>
      <c r="P31" s="117"/>
      <c r="Q31" s="117"/>
      <c r="R31" s="122"/>
      <c r="S31" s="123">
        <f>SUM(O31:R31)</f>
        <v>0</v>
      </c>
      <c r="T31" s="124">
        <f>S31-N31</f>
        <v>0</v>
      </c>
      <c r="U31" s="106"/>
    </row>
    <row r="32" spans="1:21" ht="13.5" thickBot="1" x14ac:dyDescent="0.25">
      <c r="A32" s="125"/>
      <c r="B32" s="126" t="s">
        <v>110</v>
      </c>
      <c r="C32" s="127">
        <f t="shared" ref="C32:H32" si="9">C22+C30</f>
        <v>19035040</v>
      </c>
      <c r="D32" s="127">
        <f t="shared" si="9"/>
        <v>3516832.8000000003</v>
      </c>
      <c r="E32" s="127">
        <f t="shared" si="9"/>
        <v>21933373.164062031</v>
      </c>
      <c r="F32" s="127">
        <f t="shared" si="9"/>
        <v>600000</v>
      </c>
      <c r="G32" s="127">
        <f t="shared" si="9"/>
        <v>8325483</v>
      </c>
      <c r="H32" s="127">
        <f t="shared" si="9"/>
        <v>1576181</v>
      </c>
      <c r="I32" s="128">
        <f t="shared" ref="I32:Q32" si="10">I22+I30</f>
        <v>4000000</v>
      </c>
      <c r="J32" s="129">
        <f t="shared" si="10"/>
        <v>58986909.964062035</v>
      </c>
      <c r="K32" s="130">
        <f t="shared" si="10"/>
        <v>19732302</v>
      </c>
      <c r="L32" s="128">
        <f t="shared" si="10"/>
        <v>0</v>
      </c>
      <c r="M32" s="129">
        <f t="shared" si="10"/>
        <v>19732302</v>
      </c>
      <c r="N32" s="129">
        <f t="shared" si="10"/>
        <v>78719211.964062035</v>
      </c>
      <c r="O32" s="130">
        <f t="shared" si="10"/>
        <v>43548520</v>
      </c>
      <c r="P32" s="127">
        <f t="shared" si="10"/>
        <v>5085510.9340220112</v>
      </c>
      <c r="Q32" s="127">
        <f t="shared" si="10"/>
        <v>15085181</v>
      </c>
      <c r="R32" s="128">
        <f>R22+R30</f>
        <v>15000000</v>
      </c>
      <c r="S32" s="129">
        <f>S22+S30</f>
        <v>78719211.934022009</v>
      </c>
      <c r="T32" s="129">
        <f>T22+T30</f>
        <v>-3.0040021054446697E-2</v>
      </c>
      <c r="U32" s="131">
        <f>U22+U30</f>
        <v>28</v>
      </c>
    </row>
    <row r="33" ht="13.5" thickTop="1" x14ac:dyDescent="0.2"/>
  </sheetData>
  <mergeCells count="5">
    <mergeCell ref="B26:U26"/>
    <mergeCell ref="A1:U1"/>
    <mergeCell ref="B4:U4"/>
    <mergeCell ref="A25:U25"/>
    <mergeCell ref="A2:U2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16" workbookViewId="0">
      <selection activeCell="F37" sqref="F37"/>
    </sheetView>
  </sheetViews>
  <sheetFormatPr defaultRowHeight="12.75" x14ac:dyDescent="0.2"/>
  <cols>
    <col min="1" max="1" width="8" style="132" customWidth="1"/>
    <col min="2" max="2" width="43.28515625" style="132" customWidth="1"/>
    <col min="3" max="3" width="17.85546875" style="132" customWidth="1"/>
    <col min="4" max="4" width="9.140625" style="132" bestFit="1" customWidth="1"/>
    <col min="5" max="5" width="8.85546875" style="132"/>
    <col min="6" max="6" width="11.5703125" style="251" bestFit="1" customWidth="1"/>
  </cols>
  <sheetData>
    <row r="1" spans="1:6" ht="13.15" customHeight="1" thickTop="1" x14ac:dyDescent="0.2">
      <c r="A1" s="286" t="s">
        <v>415</v>
      </c>
      <c r="B1" s="287"/>
      <c r="C1" s="287"/>
      <c r="D1" s="287"/>
      <c r="E1" s="287"/>
      <c r="F1" s="288"/>
    </row>
    <row r="2" spans="1:6" x14ac:dyDescent="0.2">
      <c r="A2" s="289"/>
      <c r="B2" s="290"/>
      <c r="C2" s="290"/>
      <c r="D2" s="290"/>
      <c r="E2" s="290"/>
      <c r="F2" s="291"/>
    </row>
    <row r="3" spans="1:6" x14ac:dyDescent="0.2">
      <c r="A3" s="292" t="s">
        <v>461</v>
      </c>
      <c r="B3" s="293"/>
      <c r="C3" s="293"/>
      <c r="D3" s="293"/>
      <c r="E3" s="293"/>
      <c r="F3" s="294"/>
    </row>
    <row r="4" spans="1:6" ht="25.5" x14ac:dyDescent="0.2">
      <c r="A4" s="238" t="s">
        <v>189</v>
      </c>
      <c r="B4" s="239" t="s">
        <v>416</v>
      </c>
      <c r="C4" s="239" t="s">
        <v>190</v>
      </c>
      <c r="D4" s="239" t="s">
        <v>191</v>
      </c>
      <c r="E4" s="239" t="s">
        <v>98</v>
      </c>
      <c r="F4" s="241" t="s">
        <v>417</v>
      </c>
    </row>
    <row r="5" spans="1:6" ht="25.5" x14ac:dyDescent="0.2">
      <c r="A5" s="238" t="s">
        <v>192</v>
      </c>
      <c r="B5" s="239" t="s">
        <v>418</v>
      </c>
      <c r="C5" s="239" t="s">
        <v>193</v>
      </c>
      <c r="D5" s="240">
        <v>22300</v>
      </c>
      <c r="E5" s="239" t="s">
        <v>188</v>
      </c>
      <c r="F5" s="241">
        <v>1532010</v>
      </c>
    </row>
    <row r="6" spans="1:6" x14ac:dyDescent="0.2">
      <c r="A6" s="238" t="s">
        <v>194</v>
      </c>
      <c r="B6" s="239" t="s">
        <v>419</v>
      </c>
      <c r="C6" s="239" t="s">
        <v>195</v>
      </c>
      <c r="D6" s="239" t="s">
        <v>188</v>
      </c>
      <c r="E6" s="239" t="s">
        <v>188</v>
      </c>
      <c r="F6" s="241">
        <v>2560000</v>
      </c>
    </row>
    <row r="7" spans="1:6" x14ac:dyDescent="0.2">
      <c r="A7" s="238" t="s">
        <v>196</v>
      </c>
      <c r="B7" s="239" t="s">
        <v>420</v>
      </c>
      <c r="C7" s="239" t="s">
        <v>195</v>
      </c>
      <c r="D7" s="239" t="s">
        <v>188</v>
      </c>
      <c r="E7" s="239" t="s">
        <v>188</v>
      </c>
      <c r="F7" s="241">
        <v>1593540</v>
      </c>
    </row>
    <row r="8" spans="1:6" x14ac:dyDescent="0.2">
      <c r="A8" s="238" t="s">
        <v>197</v>
      </c>
      <c r="B8" s="239" t="s">
        <v>198</v>
      </c>
      <c r="C8" s="239" t="s">
        <v>99</v>
      </c>
      <c r="D8" s="240">
        <v>2700</v>
      </c>
      <c r="E8" s="239" t="s">
        <v>188</v>
      </c>
      <c r="F8" s="241">
        <v>5000000</v>
      </c>
    </row>
    <row r="9" spans="1:6" ht="25.5" x14ac:dyDescent="0.2">
      <c r="A9" s="242" t="s">
        <v>199</v>
      </c>
      <c r="B9" s="239" t="s">
        <v>200</v>
      </c>
      <c r="C9" s="239" t="s">
        <v>201</v>
      </c>
      <c r="D9" s="240">
        <v>2550</v>
      </c>
      <c r="E9" s="239" t="s">
        <v>188</v>
      </c>
      <c r="F9" s="241">
        <v>30600</v>
      </c>
    </row>
    <row r="10" spans="1:6" ht="25.5" x14ac:dyDescent="0.2">
      <c r="A10" s="238" t="s">
        <v>202</v>
      </c>
      <c r="B10" s="239" t="s">
        <v>203</v>
      </c>
      <c r="C10" s="239" t="s">
        <v>204</v>
      </c>
      <c r="D10" s="240">
        <v>1</v>
      </c>
      <c r="E10" s="239" t="s">
        <v>188</v>
      </c>
      <c r="F10" s="241">
        <v>1010200</v>
      </c>
    </row>
    <row r="11" spans="1:6" ht="38.25" x14ac:dyDescent="0.2">
      <c r="A11" s="238" t="s">
        <v>205</v>
      </c>
      <c r="B11" s="239" t="s">
        <v>206</v>
      </c>
      <c r="C11" s="239" t="s">
        <v>207</v>
      </c>
      <c r="D11" s="239" t="s">
        <v>188</v>
      </c>
      <c r="E11" s="239" t="s">
        <v>188</v>
      </c>
      <c r="F11" s="241">
        <v>5276858</v>
      </c>
    </row>
    <row r="12" spans="1:6" x14ac:dyDescent="0.2">
      <c r="A12" t="s">
        <v>476</v>
      </c>
      <c r="B12" t="s">
        <v>477</v>
      </c>
      <c r="C12" t="s">
        <v>207</v>
      </c>
      <c r="D12" t="s">
        <v>188</v>
      </c>
      <c r="E12" s="6">
        <v>0</v>
      </c>
      <c r="F12" s="241">
        <v>1009100</v>
      </c>
    </row>
    <row r="13" spans="1:6" ht="25.5" x14ac:dyDescent="0.2">
      <c r="A13" s="243" t="s">
        <v>421</v>
      </c>
      <c r="B13" s="244" t="s">
        <v>422</v>
      </c>
      <c r="C13" s="244" t="s">
        <v>207</v>
      </c>
      <c r="D13" s="244" t="s">
        <v>188</v>
      </c>
      <c r="E13" s="244" t="s">
        <v>188</v>
      </c>
      <c r="F13" s="245">
        <f>SUM(F5:F12)</f>
        <v>18012308</v>
      </c>
    </row>
    <row r="14" spans="1:6" ht="25.5" x14ac:dyDescent="0.2">
      <c r="A14" s="238" t="s">
        <v>208</v>
      </c>
      <c r="B14" s="239" t="s">
        <v>423</v>
      </c>
      <c r="C14" s="239" t="s">
        <v>99</v>
      </c>
      <c r="D14" s="239">
        <v>4469900</v>
      </c>
      <c r="E14" s="246">
        <v>1.7</v>
      </c>
      <c r="F14" s="241">
        <v>5892000</v>
      </c>
    </row>
    <row r="15" spans="1:6" ht="38.25" x14ac:dyDescent="0.2">
      <c r="A15" s="238" t="s">
        <v>209</v>
      </c>
      <c r="B15" s="239" t="s">
        <v>424</v>
      </c>
      <c r="C15" s="239" t="s">
        <v>99</v>
      </c>
      <c r="D15" s="240">
        <v>1800000</v>
      </c>
      <c r="E15" s="246">
        <v>1</v>
      </c>
      <c r="F15" s="241">
        <v>1470000</v>
      </c>
    </row>
    <row r="16" spans="1:6" x14ac:dyDescent="0.2">
      <c r="A16" s="238"/>
      <c r="B16" s="239"/>
      <c r="C16" s="239"/>
      <c r="D16" s="239"/>
      <c r="E16" s="239"/>
      <c r="F16" s="241"/>
    </row>
    <row r="17" spans="1:6" ht="25.5" x14ac:dyDescent="0.2">
      <c r="A17" s="238" t="s">
        <v>210</v>
      </c>
      <c r="B17" s="239" t="s">
        <v>423</v>
      </c>
      <c r="C17" s="239" t="s">
        <v>99</v>
      </c>
      <c r="D17" s="240">
        <v>4469900</v>
      </c>
      <c r="E17" s="246">
        <v>1.7</v>
      </c>
      <c r="F17" s="241">
        <v>2946000</v>
      </c>
    </row>
    <row r="18" spans="1:6" ht="38.25" x14ac:dyDescent="0.2">
      <c r="A18" s="238" t="s">
        <v>211</v>
      </c>
      <c r="B18" s="239" t="s">
        <v>424</v>
      </c>
      <c r="C18" s="239" t="s">
        <v>99</v>
      </c>
      <c r="D18" s="240">
        <v>1800000</v>
      </c>
      <c r="E18" s="246">
        <v>1</v>
      </c>
      <c r="F18" s="241">
        <v>735000</v>
      </c>
    </row>
    <row r="19" spans="1:6" ht="25.5" x14ac:dyDescent="0.2">
      <c r="A19" s="238" t="s">
        <v>425</v>
      </c>
      <c r="B19" s="239" t="s">
        <v>426</v>
      </c>
      <c r="C19" s="239" t="s">
        <v>99</v>
      </c>
      <c r="D19" s="239">
        <v>81700</v>
      </c>
      <c r="E19" s="239">
        <v>12</v>
      </c>
      <c r="F19" s="241">
        <v>925933</v>
      </c>
    </row>
    <row r="20" spans="1:6" ht="25.5" x14ac:dyDescent="0.2">
      <c r="A20" s="238" t="s">
        <v>427</v>
      </c>
      <c r="B20" s="239" t="s">
        <v>426</v>
      </c>
      <c r="C20" s="239" t="s">
        <v>99</v>
      </c>
      <c r="D20" s="239">
        <v>81700</v>
      </c>
      <c r="E20" s="239">
        <v>13</v>
      </c>
      <c r="F20" s="241">
        <v>462967</v>
      </c>
    </row>
    <row r="21" spans="1:6" ht="25.5" x14ac:dyDescent="0.2">
      <c r="A21" s="243" t="s">
        <v>212</v>
      </c>
      <c r="B21" s="244" t="s">
        <v>213</v>
      </c>
      <c r="C21" s="244" t="s">
        <v>207</v>
      </c>
      <c r="D21" s="244" t="s">
        <v>188</v>
      </c>
      <c r="E21" s="244" t="s">
        <v>188</v>
      </c>
      <c r="F21" s="245">
        <f>SUM(F14:F20)</f>
        <v>12431900</v>
      </c>
    </row>
    <row r="22" spans="1:6" ht="25.5" x14ac:dyDescent="0.2">
      <c r="A22" s="238" t="s">
        <v>214</v>
      </c>
      <c r="B22" s="239" t="s">
        <v>215</v>
      </c>
      <c r="C22" s="239" t="s">
        <v>207</v>
      </c>
      <c r="D22" s="239" t="s">
        <v>188</v>
      </c>
      <c r="E22" s="239" t="s">
        <v>188</v>
      </c>
      <c r="F22" s="241">
        <v>4806000</v>
      </c>
    </row>
    <row r="23" spans="1:6" ht="25.5" x14ac:dyDescent="0.2">
      <c r="A23" s="238" t="s">
        <v>216</v>
      </c>
      <c r="B23" s="239" t="s">
        <v>428</v>
      </c>
      <c r="C23" s="239" t="s">
        <v>99</v>
      </c>
      <c r="D23" s="239">
        <v>55360</v>
      </c>
      <c r="E23" s="239">
        <v>12</v>
      </c>
      <c r="F23" s="241">
        <v>442880</v>
      </c>
    </row>
    <row r="24" spans="1:6" ht="25.5" x14ac:dyDescent="0.2">
      <c r="A24" s="238" t="s">
        <v>217</v>
      </c>
      <c r="B24" s="239" t="s">
        <v>429</v>
      </c>
      <c r="C24" s="239" t="s">
        <v>164</v>
      </c>
      <c r="D24" s="239">
        <v>2500000</v>
      </c>
      <c r="E24" s="239">
        <v>12</v>
      </c>
      <c r="F24" s="241">
        <v>3100000</v>
      </c>
    </row>
    <row r="25" spans="1:6" ht="25.5" x14ac:dyDescent="0.2">
      <c r="A25" s="238" t="s">
        <v>218</v>
      </c>
      <c r="B25" s="239" t="s">
        <v>430</v>
      </c>
      <c r="C25" s="239" t="s">
        <v>99</v>
      </c>
      <c r="D25" s="239">
        <v>1632000</v>
      </c>
      <c r="E25" s="239">
        <v>0.75</v>
      </c>
      <c r="F25" s="241">
        <v>1672000</v>
      </c>
    </row>
    <row r="26" spans="1:6" x14ac:dyDescent="0.2">
      <c r="A26" s="238" t="s">
        <v>219</v>
      </c>
      <c r="B26" s="239" t="s">
        <v>431</v>
      </c>
      <c r="C26" s="239" t="s">
        <v>207</v>
      </c>
      <c r="D26" s="239" t="s">
        <v>188</v>
      </c>
      <c r="E26" s="239" t="s">
        <v>188</v>
      </c>
      <c r="F26" s="241">
        <v>845672</v>
      </c>
    </row>
    <row r="27" spans="1:6" s="7" customFormat="1" ht="25.5" x14ac:dyDescent="0.2">
      <c r="A27" s="238" t="s">
        <v>432</v>
      </c>
      <c r="B27" s="239" t="s">
        <v>433</v>
      </c>
      <c r="C27" s="239" t="s">
        <v>207</v>
      </c>
      <c r="D27" s="239">
        <v>570</v>
      </c>
      <c r="E27" s="239">
        <v>1064</v>
      </c>
      <c r="F27" s="241">
        <v>437760</v>
      </c>
    </row>
    <row r="28" spans="1:6" ht="38.25" x14ac:dyDescent="0.2">
      <c r="A28" s="243" t="s">
        <v>220</v>
      </c>
      <c r="B28" s="244" t="s">
        <v>221</v>
      </c>
      <c r="C28" s="244" t="s">
        <v>207</v>
      </c>
      <c r="D28" s="244" t="s">
        <v>188</v>
      </c>
      <c r="E28" s="244" t="s">
        <v>188</v>
      </c>
      <c r="F28" s="245">
        <f>SUM(F22:F27)</f>
        <v>11304312</v>
      </c>
    </row>
    <row r="29" spans="1:6" ht="25.5" x14ac:dyDescent="0.2">
      <c r="A29" s="238" t="s">
        <v>222</v>
      </c>
      <c r="B29" s="239" t="s">
        <v>434</v>
      </c>
      <c r="C29" s="239" t="s">
        <v>207</v>
      </c>
      <c r="D29" s="239">
        <v>1210</v>
      </c>
      <c r="E29" s="239">
        <v>0</v>
      </c>
      <c r="F29" s="241">
        <v>1800000</v>
      </c>
    </row>
    <row r="30" spans="1:6" ht="25.5" x14ac:dyDescent="0.2">
      <c r="A30" s="243" t="s">
        <v>223</v>
      </c>
      <c r="B30" s="244" t="s">
        <v>224</v>
      </c>
      <c r="C30" s="244" t="s">
        <v>207</v>
      </c>
      <c r="D30" s="244" t="s">
        <v>188</v>
      </c>
      <c r="E30" s="244" t="s">
        <v>188</v>
      </c>
      <c r="F30" s="245">
        <f>SUM(F29)</f>
        <v>1800000</v>
      </c>
    </row>
    <row r="31" spans="1:6" ht="13.5" thickBot="1" x14ac:dyDescent="0.25">
      <c r="A31" s="247"/>
      <c r="B31" s="248" t="s">
        <v>435</v>
      </c>
      <c r="C31" s="248"/>
      <c r="D31" s="248"/>
      <c r="E31" s="248"/>
      <c r="F31" s="249">
        <f>SUM(F13+F21+F28+F30)</f>
        <v>43548520</v>
      </c>
    </row>
    <row r="32" spans="1:6" ht="13.5" thickTop="1" x14ac:dyDescent="0.2"/>
  </sheetData>
  <mergeCells count="2">
    <mergeCell ref="A1:F2"/>
    <mergeCell ref="A3:F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workbookViewId="0">
      <selection activeCell="G19" sqref="G19"/>
    </sheetView>
  </sheetViews>
  <sheetFormatPr defaultRowHeight="12.75" x14ac:dyDescent="0.2"/>
  <cols>
    <col min="1" max="1" width="32.85546875" customWidth="1"/>
    <col min="2" max="2" width="13.140625" customWidth="1"/>
    <col min="3" max="3" width="12.28515625" customWidth="1"/>
  </cols>
  <sheetData>
    <row r="1" spans="1:3" ht="18.75" x14ac:dyDescent="0.2">
      <c r="A1" s="295" t="s">
        <v>404</v>
      </c>
      <c r="B1" s="295"/>
      <c r="C1" s="295"/>
    </row>
    <row r="2" spans="1:3" ht="13.5" thickBot="1" x14ac:dyDescent="0.25">
      <c r="A2" s="302" t="s">
        <v>463</v>
      </c>
      <c r="B2" s="302"/>
      <c r="C2" s="302"/>
    </row>
    <row r="3" spans="1:3" ht="16.5" thickTop="1" x14ac:dyDescent="0.2">
      <c r="A3" s="296" t="s">
        <v>168</v>
      </c>
      <c r="B3" s="164" t="s">
        <v>405</v>
      </c>
      <c r="C3" s="299"/>
    </row>
    <row r="4" spans="1:3" ht="46.9" customHeight="1" x14ac:dyDescent="0.2">
      <c r="A4" s="297"/>
      <c r="B4" s="165">
        <v>42005</v>
      </c>
      <c r="C4" s="300"/>
    </row>
    <row r="5" spans="1:3" ht="16.5" thickBot="1" x14ac:dyDescent="0.25">
      <c r="A5" s="298"/>
      <c r="B5" s="166" t="s">
        <v>169</v>
      </c>
      <c r="C5" s="301"/>
    </row>
    <row r="6" spans="1:3" ht="32.25" thickBot="1" x14ac:dyDescent="0.25">
      <c r="A6" s="167" t="s">
        <v>170</v>
      </c>
      <c r="B6" s="168">
        <v>2.5</v>
      </c>
      <c r="C6" s="169" t="s">
        <v>436</v>
      </c>
    </row>
    <row r="7" spans="1:3" ht="24.75" thickBot="1" x14ac:dyDescent="0.25">
      <c r="A7" s="172" t="s">
        <v>179</v>
      </c>
      <c r="B7" s="168">
        <v>0.5</v>
      </c>
      <c r="C7" s="169" t="s">
        <v>453</v>
      </c>
    </row>
    <row r="8" spans="1:3" ht="16.5" thickBot="1" x14ac:dyDescent="0.25">
      <c r="A8" s="172" t="s">
        <v>478</v>
      </c>
      <c r="B8" s="168">
        <v>2</v>
      </c>
      <c r="C8" s="169" t="s">
        <v>479</v>
      </c>
    </row>
    <row r="9" spans="1:3" s="7" customFormat="1" ht="16.5" thickBot="1" x14ac:dyDescent="0.25">
      <c r="A9" s="167" t="s">
        <v>437</v>
      </c>
      <c r="B9" s="170">
        <f>SUM(B6:B8)</f>
        <v>5</v>
      </c>
      <c r="C9" s="250"/>
    </row>
    <row r="10" spans="1:3" ht="16.5" thickBot="1" x14ac:dyDescent="0.25">
      <c r="A10" s="167" t="s">
        <v>171</v>
      </c>
      <c r="B10" s="170"/>
      <c r="C10" s="171"/>
    </row>
    <row r="11" spans="1:3" ht="36.75" thickBot="1" x14ac:dyDescent="0.25">
      <c r="A11" s="172" t="s">
        <v>172</v>
      </c>
      <c r="B11" s="168">
        <v>1</v>
      </c>
      <c r="C11" s="169" t="s">
        <v>178</v>
      </c>
    </row>
    <row r="12" spans="1:3" ht="16.5" thickBot="1" x14ac:dyDescent="0.25">
      <c r="A12" s="172" t="s">
        <v>173</v>
      </c>
      <c r="B12" s="168"/>
      <c r="C12" s="169"/>
    </row>
    <row r="13" spans="1:3" ht="24.75" thickBot="1" x14ac:dyDescent="0.25">
      <c r="A13" s="172" t="s">
        <v>174</v>
      </c>
      <c r="B13" s="168">
        <v>1</v>
      </c>
      <c r="C13" s="169" t="s">
        <v>175</v>
      </c>
    </row>
    <row r="14" spans="1:3" ht="24.75" thickBot="1" x14ac:dyDescent="0.25">
      <c r="A14" s="172" t="s">
        <v>480</v>
      </c>
      <c r="B14" s="168">
        <v>1</v>
      </c>
      <c r="C14" s="169" t="s">
        <v>175</v>
      </c>
    </row>
    <row r="15" spans="1:3" ht="16.5" thickBot="1" x14ac:dyDescent="0.25">
      <c r="A15" s="167" t="s">
        <v>171</v>
      </c>
      <c r="B15" s="168">
        <f>SUM(B11:B14)</f>
        <v>3</v>
      </c>
      <c r="C15" s="169"/>
    </row>
    <row r="16" spans="1:3" ht="16.5" thickBot="1" x14ac:dyDescent="0.25">
      <c r="A16" s="167" t="s">
        <v>176</v>
      </c>
      <c r="B16" s="170">
        <f>SUM(B9+B15)</f>
        <v>8</v>
      </c>
      <c r="C16" s="173"/>
    </row>
    <row r="17" spans="1:3" ht="16.5" thickBot="1" x14ac:dyDescent="0.25">
      <c r="A17" s="167" t="s">
        <v>177</v>
      </c>
      <c r="B17" s="170">
        <v>22</v>
      </c>
      <c r="C17" s="173"/>
    </row>
    <row r="18" spans="1:3" ht="19.5" thickBot="1" x14ac:dyDescent="0.25">
      <c r="A18" s="174" t="s">
        <v>110</v>
      </c>
      <c r="B18" s="175">
        <f>SUM(B16:B17)</f>
        <v>30</v>
      </c>
      <c r="C18" s="176"/>
    </row>
    <row r="19" spans="1:3" ht="13.5" thickTop="1" x14ac:dyDescent="0.2"/>
  </sheetData>
  <mergeCells count="4">
    <mergeCell ref="A1:C1"/>
    <mergeCell ref="A3:A5"/>
    <mergeCell ref="C3:C5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6" workbookViewId="0">
      <selection activeCell="B5" sqref="B5"/>
    </sheetView>
  </sheetViews>
  <sheetFormatPr defaultRowHeight="12.75" x14ac:dyDescent="0.2"/>
  <cols>
    <col min="1" max="1" width="36.85546875" customWidth="1"/>
    <col min="2" max="2" width="19.7109375" customWidth="1"/>
    <col min="3" max="3" width="13.85546875" customWidth="1"/>
    <col min="4" max="4" width="16.42578125" customWidth="1"/>
    <col min="5" max="5" width="14.28515625" customWidth="1"/>
  </cols>
  <sheetData>
    <row r="1" spans="1:11" x14ac:dyDescent="0.2">
      <c r="A1" s="303" t="s">
        <v>162</v>
      </c>
      <c r="B1" s="304"/>
      <c r="C1" s="304"/>
      <c r="D1" s="7"/>
      <c r="E1" s="7"/>
      <c r="F1" s="7"/>
      <c r="G1" s="7"/>
      <c r="H1" s="7"/>
      <c r="I1" s="7"/>
      <c r="J1" s="7"/>
    </row>
    <row r="2" spans="1:11" x14ac:dyDescent="0.2">
      <c r="A2" s="305" t="s">
        <v>63</v>
      </c>
      <c r="B2" s="305"/>
      <c r="C2" s="305"/>
      <c r="D2" s="271"/>
    </row>
    <row r="3" spans="1:11" ht="25.5" x14ac:dyDescent="0.2">
      <c r="A3" s="32" t="s">
        <v>60</v>
      </c>
      <c r="B3" s="33" t="s">
        <v>481</v>
      </c>
      <c r="C3" s="33" t="s">
        <v>481</v>
      </c>
      <c r="D3" s="42"/>
      <c r="E3" s="42"/>
      <c r="F3" s="42"/>
      <c r="G3" s="43"/>
      <c r="H3" s="43"/>
      <c r="I3" s="43"/>
      <c r="J3" s="43"/>
      <c r="K3" s="44"/>
    </row>
    <row r="4" spans="1:11" x14ac:dyDescent="0.2">
      <c r="A4" s="32"/>
      <c r="B4" s="33" t="s">
        <v>167</v>
      </c>
      <c r="C4" s="33" t="s">
        <v>179</v>
      </c>
      <c r="D4" s="42"/>
      <c r="E4" s="42"/>
      <c r="F4" s="42"/>
      <c r="G4" s="43"/>
      <c r="H4" s="43"/>
      <c r="I4" s="43"/>
      <c r="J4" s="43"/>
      <c r="K4" s="44"/>
    </row>
    <row r="5" spans="1:11" x14ac:dyDescent="0.2">
      <c r="A5" s="34" t="s">
        <v>49</v>
      </c>
      <c r="B5" s="35">
        <f>SUM(Munka3!C9+Munka3!C10+Munka3!C11+(Munka3!C13/2))</f>
        <v>10464360</v>
      </c>
      <c r="C5" s="35">
        <f>SUM(Munka1!I14)</f>
        <v>1117200</v>
      </c>
      <c r="D5" s="5"/>
      <c r="E5" s="5"/>
      <c r="F5" s="5"/>
      <c r="G5" s="5"/>
      <c r="H5" s="5"/>
      <c r="I5" s="5"/>
      <c r="J5" s="5"/>
      <c r="K5" s="5"/>
    </row>
    <row r="6" spans="1:11" x14ac:dyDescent="0.2">
      <c r="A6" s="253" t="s">
        <v>445</v>
      </c>
      <c r="B6" s="254">
        <f>SUM(Munka3!E9+Munka3!E11+(Munka3!E13/2))</f>
        <v>500000</v>
      </c>
      <c r="C6" s="254">
        <f>SUM(Munka3!E13/2)</f>
        <v>100000</v>
      </c>
      <c r="D6" s="5"/>
      <c r="E6" s="5"/>
      <c r="F6" s="5"/>
      <c r="G6" s="5"/>
      <c r="H6" s="5"/>
      <c r="I6" s="5"/>
      <c r="J6" s="5"/>
      <c r="K6" s="5"/>
    </row>
    <row r="7" spans="1:11" x14ac:dyDescent="0.2">
      <c r="A7" s="34" t="s">
        <v>50</v>
      </c>
      <c r="B7" s="35">
        <f>SUM(B5*19.5%)</f>
        <v>2040550.2</v>
      </c>
      <c r="C7" s="35">
        <f>SUM(Munka1!J14)</f>
        <v>217854</v>
      </c>
      <c r="D7" s="5"/>
      <c r="E7" s="5"/>
      <c r="F7" s="5"/>
      <c r="G7" s="5"/>
      <c r="H7" s="5"/>
      <c r="I7" s="5"/>
      <c r="J7" s="5"/>
      <c r="K7" s="5"/>
    </row>
    <row r="8" spans="1:11" x14ac:dyDescent="0.2">
      <c r="A8" s="34" t="s">
        <v>51</v>
      </c>
      <c r="B8" s="35">
        <f>SUM(Munka5!B18)</f>
        <v>1748000</v>
      </c>
      <c r="C8" s="35">
        <f>SUM(Munka5!E18)</f>
        <v>3268792</v>
      </c>
      <c r="D8" s="5"/>
      <c r="E8" s="5"/>
      <c r="F8" s="5"/>
      <c r="G8" s="5"/>
      <c r="H8" s="5"/>
      <c r="I8" s="5"/>
      <c r="J8" s="5"/>
      <c r="K8" s="5"/>
    </row>
    <row r="9" spans="1:11" x14ac:dyDescent="0.2">
      <c r="A9" s="34"/>
      <c r="B9" s="35"/>
      <c r="C9" s="35"/>
      <c r="D9" s="5"/>
      <c r="E9" s="5"/>
      <c r="F9" s="5"/>
      <c r="G9" s="5"/>
      <c r="H9" s="5"/>
      <c r="I9" s="5"/>
      <c r="J9" s="5"/>
      <c r="K9" s="5"/>
    </row>
    <row r="10" spans="1:11" x14ac:dyDescent="0.2">
      <c r="A10" s="36" t="s">
        <v>59</v>
      </c>
      <c r="B10" s="37">
        <f>SUM(B5:B9)</f>
        <v>14752910.199999999</v>
      </c>
      <c r="C10" s="37">
        <f>SUM(C5:C9)</f>
        <v>4703846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1"/>
      <c r="B11" s="35"/>
      <c r="C11" s="35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38" t="s">
        <v>52</v>
      </c>
      <c r="B12" s="35"/>
      <c r="C12" s="3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34" t="s">
        <v>53</v>
      </c>
      <c r="B13" s="35"/>
      <c r="C13" s="35">
        <f>SUM(Munka1!O5:O6)</f>
        <v>442664.85</v>
      </c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34" t="s">
        <v>54</v>
      </c>
      <c r="B14" s="35"/>
      <c r="C14" s="35">
        <f>SUM((Munka1!I7+Munka1!I10+Munka1!I11+Munka1!I12)*122%)</f>
        <v>473192.04402201093</v>
      </c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34" t="s">
        <v>55</v>
      </c>
      <c r="B15" s="35"/>
      <c r="C15" s="3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38" t="s">
        <v>56</v>
      </c>
      <c r="B16" s="37">
        <f>SUM(B13:B15)</f>
        <v>0</v>
      </c>
      <c r="C16" s="37">
        <f>SUM(C13:C15)</f>
        <v>915856.89402201097</v>
      </c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38"/>
      <c r="B17" s="35"/>
      <c r="C17" s="3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34" t="s">
        <v>57</v>
      </c>
      <c r="B18" s="35">
        <f>SUM(B10-B16)</f>
        <v>14752910.199999999</v>
      </c>
      <c r="C18" s="35">
        <f>SUM(C10-C16)</f>
        <v>3787989.1059779888</v>
      </c>
      <c r="D18" s="5"/>
      <c r="E18" s="5"/>
      <c r="F18" s="5"/>
      <c r="G18" s="5"/>
      <c r="H18" s="46"/>
      <c r="I18" s="5"/>
      <c r="J18" s="5"/>
      <c r="K18" s="5"/>
    </row>
    <row r="19" spans="1:11" x14ac:dyDescent="0.2">
      <c r="A19" s="34"/>
      <c r="B19" s="35"/>
      <c r="C19" s="35"/>
      <c r="D19" s="5"/>
      <c r="E19" s="5"/>
      <c r="F19" s="5"/>
      <c r="G19" s="5"/>
      <c r="H19" s="46"/>
      <c r="I19" s="5"/>
      <c r="J19" s="5"/>
      <c r="K19" s="5"/>
    </row>
    <row r="20" spans="1:11" x14ac:dyDescent="0.2">
      <c r="A20" s="38" t="s">
        <v>58</v>
      </c>
      <c r="B20" s="37"/>
      <c r="C20" s="37"/>
      <c r="D20" s="45"/>
      <c r="E20" s="45"/>
      <c r="F20" s="45"/>
      <c r="G20" s="45"/>
      <c r="H20" s="47"/>
      <c r="I20" s="45"/>
      <c r="J20" s="45"/>
      <c r="K20" s="45"/>
    </row>
    <row r="21" spans="1:11" x14ac:dyDescent="0.2">
      <c r="A21" s="50"/>
      <c r="B21" s="37"/>
      <c r="C21" s="37"/>
      <c r="D21" s="45"/>
      <c r="E21" s="45"/>
      <c r="F21" s="45"/>
      <c r="G21" s="45"/>
      <c r="H21" s="47"/>
      <c r="I21" s="45"/>
      <c r="J21" s="45"/>
      <c r="K21" s="45"/>
    </row>
    <row r="22" spans="1:11" x14ac:dyDescent="0.2">
      <c r="A22" s="50"/>
      <c r="B22" s="37"/>
      <c r="C22" s="37"/>
      <c r="D22" s="45"/>
      <c r="E22" s="45"/>
      <c r="F22" s="45"/>
      <c r="G22" s="45"/>
      <c r="H22" s="47"/>
      <c r="I22" s="45"/>
      <c r="J22" s="45"/>
      <c r="K22" s="45"/>
    </row>
    <row r="23" spans="1:11" x14ac:dyDescent="0.2">
      <c r="A23" s="39" t="s">
        <v>68</v>
      </c>
      <c r="B23" s="1"/>
      <c r="C23" s="1"/>
      <c r="F23" s="7"/>
      <c r="G23" s="7"/>
      <c r="H23" s="7"/>
      <c r="I23" s="7"/>
    </row>
    <row r="24" spans="1:11" x14ac:dyDescent="0.2">
      <c r="A24" s="40" t="s">
        <v>61</v>
      </c>
      <c r="B24" s="41">
        <f>SUM('Állami bevételek alakulása'!F21)</f>
        <v>12431900</v>
      </c>
      <c r="C24" s="41">
        <f>SUM('Állami bevételek alakulása'!F25+'Állami bevételek alakulása'!F26)</f>
        <v>2517672</v>
      </c>
      <c r="D24" s="6"/>
    </row>
    <row r="25" spans="1:11" x14ac:dyDescent="0.2">
      <c r="A25" s="40" t="s">
        <v>67</v>
      </c>
      <c r="B25" s="41">
        <f>SUM(B10-B24)</f>
        <v>2321010.1999999993</v>
      </c>
      <c r="C25" s="41">
        <f>SUM(C18-C24)</f>
        <v>1270317.1059779888</v>
      </c>
      <c r="D25" s="6"/>
    </row>
    <row r="26" spans="1:11" x14ac:dyDescent="0.2">
      <c r="A26" s="32" t="s">
        <v>62</v>
      </c>
      <c r="B26" s="37">
        <f>SUM(B24:B25)</f>
        <v>14752910.199999999</v>
      </c>
      <c r="C26" s="37">
        <f>SUM(C24:C25)</f>
        <v>3787989.1059779888</v>
      </c>
      <c r="D26" s="8"/>
    </row>
    <row r="27" spans="1:11" x14ac:dyDescent="0.2">
      <c r="A27" s="48"/>
      <c r="B27" s="2"/>
      <c r="C27" s="2"/>
      <c r="D27" s="45"/>
    </row>
    <row r="30" spans="1:11" x14ac:dyDescent="0.2">
      <c r="A30" s="32" t="s">
        <v>64</v>
      </c>
      <c r="B30" s="49">
        <v>43101</v>
      </c>
    </row>
    <row r="31" spans="1:11" x14ac:dyDescent="0.2">
      <c r="A31" s="1" t="s">
        <v>65</v>
      </c>
      <c r="B31" s="9" t="s">
        <v>111</v>
      </c>
    </row>
    <row r="32" spans="1:11" x14ac:dyDescent="0.2">
      <c r="A32" s="1" t="s">
        <v>482</v>
      </c>
      <c r="B32" s="252" t="s">
        <v>479</v>
      </c>
    </row>
    <row r="33" spans="1:2" x14ac:dyDescent="0.2">
      <c r="A33" s="1" t="s">
        <v>112</v>
      </c>
      <c r="B33" s="252" t="s">
        <v>438</v>
      </c>
    </row>
    <row r="34" spans="1:2" x14ac:dyDescent="0.2">
      <c r="A34" s="1" t="s">
        <v>66</v>
      </c>
      <c r="B34" s="9">
        <v>1.5</v>
      </c>
    </row>
    <row r="35" spans="1:2" x14ac:dyDescent="0.2">
      <c r="A35" s="1" t="s">
        <v>113</v>
      </c>
      <c r="B35" s="252" t="s">
        <v>483</v>
      </c>
    </row>
  </sheetData>
  <mergeCells count="2">
    <mergeCell ref="A1:C1"/>
    <mergeCell ref="A2:C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"/>
  <sheetViews>
    <sheetView topLeftCell="A4" workbookViewId="0">
      <selection activeCell="Q23" sqref="Q23"/>
    </sheetView>
  </sheetViews>
  <sheetFormatPr defaultRowHeight="12.75" x14ac:dyDescent="0.2"/>
  <cols>
    <col min="6" max="6" width="13.42578125" customWidth="1"/>
    <col min="8" max="8" width="10.140625" bestFit="1" customWidth="1"/>
    <col min="12" max="12" width="11.7109375" customWidth="1"/>
    <col min="14" max="14" width="10.140625" bestFit="1" customWidth="1"/>
  </cols>
  <sheetData>
    <row r="1" spans="2:14" x14ac:dyDescent="0.2">
      <c r="B1" s="303" t="s">
        <v>165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t="s">
        <v>43</v>
      </c>
    </row>
    <row r="2" spans="2:14" x14ac:dyDescent="0.2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4" x14ac:dyDescent="0.2"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6" spans="2:14" x14ac:dyDescent="0.2">
      <c r="B6" s="309" t="s">
        <v>24</v>
      </c>
      <c r="C6" s="309"/>
      <c r="D6" s="309"/>
      <c r="E6" s="309"/>
      <c r="F6" s="309"/>
      <c r="G6" s="309" t="s">
        <v>25</v>
      </c>
      <c r="H6" s="310"/>
      <c r="I6" s="309" t="s">
        <v>26</v>
      </c>
      <c r="J6" s="309"/>
      <c r="K6" s="309"/>
      <c r="L6" s="309"/>
      <c r="M6" s="309"/>
      <c r="N6" s="9" t="s">
        <v>25</v>
      </c>
    </row>
    <row r="7" spans="2:14" x14ac:dyDescent="0.2">
      <c r="B7" s="10"/>
      <c r="C7" s="11"/>
      <c r="G7" s="10"/>
      <c r="I7" s="12"/>
      <c r="J7" s="2"/>
      <c r="K7" s="2"/>
      <c r="L7" s="2"/>
      <c r="M7" s="10"/>
      <c r="N7" s="14"/>
    </row>
    <row r="8" spans="2:14" x14ac:dyDescent="0.2">
      <c r="B8" s="23" t="s">
        <v>27</v>
      </c>
      <c r="C8" s="24"/>
      <c r="D8" s="7"/>
      <c r="E8" s="7"/>
      <c r="F8" s="7"/>
      <c r="G8" s="23"/>
      <c r="H8" s="8"/>
      <c r="I8" s="23" t="s">
        <v>42</v>
      </c>
      <c r="J8" s="24"/>
      <c r="K8" s="24"/>
      <c r="L8" s="24"/>
      <c r="M8" s="23"/>
      <c r="N8" s="25"/>
    </row>
    <row r="9" spans="2:14" x14ac:dyDescent="0.2">
      <c r="B9" s="12"/>
      <c r="C9" s="2"/>
      <c r="G9" s="12"/>
      <c r="I9" s="12"/>
      <c r="J9" s="2"/>
      <c r="K9" s="2"/>
      <c r="L9" s="2"/>
      <c r="M9" s="12"/>
      <c r="N9" s="3"/>
    </row>
    <row r="10" spans="2:14" x14ac:dyDescent="0.2">
      <c r="B10" s="12" t="s">
        <v>28</v>
      </c>
      <c r="C10" s="2"/>
      <c r="G10" s="22"/>
      <c r="H10" s="6">
        <f>SUM('Kiadások és bevételek alakulása'!S32-H12-H23)</f>
        <v>63634030.934022009</v>
      </c>
      <c r="I10" s="12" t="s">
        <v>29</v>
      </c>
      <c r="J10" s="2"/>
      <c r="K10" s="2"/>
      <c r="L10" s="2"/>
      <c r="M10" s="22"/>
      <c r="N10" s="15">
        <f>SUM('Kiadások és bevételek alakulása'!C32)</f>
        <v>19035040</v>
      </c>
    </row>
    <row r="11" spans="2:14" x14ac:dyDescent="0.2">
      <c r="B11" s="12" t="s">
        <v>96</v>
      </c>
      <c r="C11" s="2"/>
      <c r="G11" s="22"/>
      <c r="I11" s="12" t="s">
        <v>31</v>
      </c>
      <c r="J11" s="2"/>
      <c r="K11" s="2"/>
      <c r="L11" s="2"/>
      <c r="M11" s="22"/>
      <c r="N11" s="15">
        <f>SUM('Kiadások és bevételek alakulása'!D32)</f>
        <v>3516832.8000000003</v>
      </c>
    </row>
    <row r="12" spans="2:14" x14ac:dyDescent="0.2">
      <c r="B12" s="12" t="s">
        <v>97</v>
      </c>
      <c r="C12" s="2"/>
      <c r="G12" s="12"/>
      <c r="H12" s="6">
        <f>SUM(G17+'Kiadások és bevételek alakulása'!Q32-'mérleg 1'!H22)</f>
        <v>15085181</v>
      </c>
      <c r="I12" s="12" t="s">
        <v>32</v>
      </c>
      <c r="J12" s="2"/>
      <c r="K12" s="2"/>
      <c r="L12" s="2"/>
      <c r="M12" s="22"/>
      <c r="N12" s="15">
        <f>SUM('Kiadások és bevételek alakulása'!E32)</f>
        <v>21933373.164062031</v>
      </c>
    </row>
    <row r="13" spans="2:14" x14ac:dyDescent="0.2">
      <c r="B13" s="12"/>
      <c r="C13" s="2"/>
      <c r="G13" s="12"/>
      <c r="I13" s="26" t="s">
        <v>44</v>
      </c>
      <c r="J13" s="2"/>
      <c r="K13" s="2"/>
      <c r="L13" s="2"/>
      <c r="M13" s="22"/>
      <c r="N13" s="15">
        <f>SUM('Kiadások és bevételek alakulása'!F32)</f>
        <v>600000</v>
      </c>
    </row>
    <row r="14" spans="2:14" x14ac:dyDescent="0.2">
      <c r="B14" s="12"/>
      <c r="C14" s="2"/>
      <c r="G14" s="12"/>
      <c r="I14" s="26" t="s">
        <v>45</v>
      </c>
      <c r="J14" s="2"/>
      <c r="K14" s="2"/>
      <c r="L14" s="2"/>
      <c r="M14" s="22"/>
      <c r="N14" s="15">
        <f>SUM('Kiadások és bevételek alakulása'!I22)</f>
        <v>4000000</v>
      </c>
    </row>
    <row r="15" spans="2:14" x14ac:dyDescent="0.2">
      <c r="B15" s="12"/>
      <c r="C15" s="2"/>
      <c r="G15" s="12"/>
      <c r="I15" s="306" t="s">
        <v>46</v>
      </c>
      <c r="J15" s="307"/>
      <c r="K15" s="307"/>
      <c r="L15" s="308"/>
      <c r="M15" s="22"/>
      <c r="N15" s="15">
        <f>SUM('Kiadások és bevételek alakulása'!G32)</f>
        <v>8325483</v>
      </c>
    </row>
    <row r="16" spans="2:14" x14ac:dyDescent="0.2">
      <c r="B16" s="12"/>
      <c r="C16" s="2"/>
      <c r="G16" s="12"/>
      <c r="I16" s="306" t="s">
        <v>460</v>
      </c>
      <c r="J16" s="307"/>
      <c r="K16" s="307"/>
      <c r="L16" s="308"/>
      <c r="M16" s="22"/>
      <c r="N16" s="15">
        <f>SUM('Kiadások és bevételek alakulása'!H32)</f>
        <v>1576181</v>
      </c>
    </row>
    <row r="17" spans="2:14" x14ac:dyDescent="0.2">
      <c r="B17" s="12"/>
      <c r="C17" s="2"/>
      <c r="G17" s="12"/>
      <c r="H17" s="6"/>
      <c r="I17" s="12"/>
      <c r="J17" s="2"/>
      <c r="K17" s="2"/>
      <c r="L17" s="2"/>
      <c r="M17" s="12"/>
      <c r="N17" s="3"/>
    </row>
    <row r="18" spans="2:14" x14ac:dyDescent="0.2">
      <c r="B18" s="16" t="s">
        <v>33</v>
      </c>
      <c r="C18" s="17"/>
      <c r="D18" s="17"/>
      <c r="E18" s="17"/>
      <c r="F18" s="17"/>
      <c r="G18" s="16"/>
      <c r="H18" s="18">
        <f>SUM(H10:H17)</f>
        <v>78719211.934022009</v>
      </c>
      <c r="I18" s="16" t="s">
        <v>34</v>
      </c>
      <c r="J18" s="17"/>
      <c r="K18" s="17"/>
      <c r="L18" s="17"/>
      <c r="M18" s="16"/>
      <c r="N18" s="19">
        <f>SUM(N10:N17)</f>
        <v>58986909.964062035</v>
      </c>
    </row>
    <row r="19" spans="2:14" x14ac:dyDescent="0.2">
      <c r="B19" s="23" t="s">
        <v>35</v>
      </c>
      <c r="C19" s="24"/>
      <c r="D19" s="7"/>
      <c r="E19" s="7"/>
      <c r="F19" s="7"/>
      <c r="G19" s="23"/>
      <c r="H19" s="8"/>
      <c r="I19" s="23" t="s">
        <v>36</v>
      </c>
      <c r="J19" s="24"/>
      <c r="K19" s="24"/>
      <c r="L19" s="24"/>
      <c r="M19" s="23"/>
      <c r="N19" s="25"/>
    </row>
    <row r="20" spans="2:14" x14ac:dyDescent="0.2">
      <c r="B20" s="12" t="s">
        <v>37</v>
      </c>
      <c r="C20" s="2"/>
      <c r="G20" s="22"/>
      <c r="H20" s="6">
        <f>SUM(O27+'Kiadások és bevételek alakulása'!M20)</f>
        <v>0</v>
      </c>
      <c r="I20" s="12" t="s">
        <v>0</v>
      </c>
      <c r="J20" s="2"/>
      <c r="K20" s="2"/>
      <c r="L20" s="2"/>
      <c r="M20" s="12"/>
      <c r="N20" s="15">
        <f>SUM(O27+'Kiadások és bevételek alakulása'!K32)</f>
        <v>19732302</v>
      </c>
    </row>
    <row r="21" spans="2:14" x14ac:dyDescent="0.2">
      <c r="B21" s="12" t="s">
        <v>30</v>
      </c>
      <c r="C21" s="2"/>
      <c r="G21" s="22"/>
      <c r="I21" s="12" t="s">
        <v>48</v>
      </c>
      <c r="J21" s="2"/>
      <c r="K21" s="2"/>
      <c r="L21" s="2"/>
      <c r="M21" s="12"/>
      <c r="N21" s="15">
        <f>SUM(O27+'Kiadások és bevételek alakulása'!L32)</f>
        <v>0</v>
      </c>
    </row>
    <row r="22" spans="2:14" x14ac:dyDescent="0.2">
      <c r="B22" s="12" t="s">
        <v>97</v>
      </c>
      <c r="C22" s="2"/>
      <c r="G22" s="12"/>
      <c r="H22" s="6">
        <f>SUM('Kiadások és bevételek alakulása'!L8)</f>
        <v>0</v>
      </c>
      <c r="I22" s="12" t="s">
        <v>87</v>
      </c>
      <c r="J22" s="2"/>
      <c r="K22" s="2"/>
      <c r="L22" s="2"/>
      <c r="M22" s="12"/>
      <c r="N22" s="15"/>
    </row>
    <row r="23" spans="2:14" x14ac:dyDescent="0.2">
      <c r="B23" s="16" t="s">
        <v>38</v>
      </c>
      <c r="C23" s="17"/>
      <c r="D23" s="17"/>
      <c r="E23" s="17"/>
      <c r="F23" s="17"/>
      <c r="G23" s="16"/>
      <c r="H23" s="18">
        <f>SUM(H20:H22)</f>
        <v>0</v>
      </c>
      <c r="I23" s="16" t="s">
        <v>39</v>
      </c>
      <c r="J23" s="17"/>
      <c r="K23" s="17"/>
      <c r="L23" s="17"/>
      <c r="M23" s="16"/>
      <c r="N23" s="19">
        <f>SUM(N20:N22)</f>
        <v>19732302</v>
      </c>
    </row>
    <row r="24" spans="2:14" x14ac:dyDescent="0.2">
      <c r="B24" s="28"/>
      <c r="C24" s="29"/>
      <c r="D24" s="29"/>
      <c r="E24" s="29"/>
      <c r="F24" s="29"/>
      <c r="G24" s="28"/>
      <c r="H24" s="30"/>
      <c r="I24" s="28"/>
      <c r="J24" s="29"/>
      <c r="K24" s="29"/>
      <c r="L24" s="29"/>
      <c r="M24" s="28"/>
      <c r="N24" s="31"/>
    </row>
    <row r="25" spans="2:14" x14ac:dyDescent="0.2">
      <c r="B25" s="13"/>
      <c r="C25" s="4"/>
      <c r="D25" s="4"/>
      <c r="E25" s="4"/>
      <c r="F25" s="4"/>
      <c r="G25" s="13"/>
      <c r="H25" s="4"/>
      <c r="I25" s="13"/>
      <c r="J25" s="4"/>
      <c r="K25" s="4"/>
      <c r="L25" s="4"/>
      <c r="M25" s="13"/>
      <c r="N25" s="27"/>
    </row>
    <row r="26" spans="2:14" s="7" customFormat="1" x14ac:dyDescent="0.2">
      <c r="B26" s="20" t="s">
        <v>40</v>
      </c>
      <c r="C26" s="17"/>
      <c r="D26" s="17"/>
      <c r="E26" s="17"/>
      <c r="F26" s="17"/>
      <c r="G26" s="16"/>
      <c r="H26" s="18">
        <f>SUM(H18+H23+H24)</f>
        <v>78719211.934022009</v>
      </c>
      <c r="I26" s="16" t="s">
        <v>41</v>
      </c>
      <c r="J26" s="17"/>
      <c r="K26" s="17"/>
      <c r="L26" s="21"/>
      <c r="M26" s="16"/>
      <c r="N26" s="19">
        <f>SUM(N18+N23)</f>
        <v>78719211.964062035</v>
      </c>
    </row>
  </sheetData>
  <mergeCells count="6">
    <mergeCell ref="B1:L3"/>
    <mergeCell ref="I15:L15"/>
    <mergeCell ref="I16:L16"/>
    <mergeCell ref="B6:F6"/>
    <mergeCell ref="I6:M6"/>
    <mergeCell ref="G6:H6"/>
  </mergeCells>
  <phoneticPr fontId="2" type="noConversion"/>
  <pageMargins left="0.75" right="0.75" top="1" bottom="1" header="0.5" footer="0.5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25" workbookViewId="0">
      <selection activeCell="C34" sqref="C34"/>
    </sheetView>
  </sheetViews>
  <sheetFormatPr defaultRowHeight="12.75" x14ac:dyDescent="0.2"/>
  <cols>
    <col min="1" max="1" width="10.28515625" customWidth="1"/>
    <col min="2" max="2" width="37.5703125" customWidth="1"/>
    <col min="3" max="3" width="17.28515625" customWidth="1"/>
  </cols>
  <sheetData>
    <row r="1" spans="1:3" ht="15" x14ac:dyDescent="0.2">
      <c r="C1" s="65"/>
    </row>
    <row r="2" spans="1:3" ht="15.75" x14ac:dyDescent="0.25">
      <c r="A2" s="53"/>
      <c r="B2" s="54" t="s">
        <v>455</v>
      </c>
      <c r="C2" s="53"/>
    </row>
    <row r="3" spans="1:3" ht="15.75" x14ac:dyDescent="0.25">
      <c r="A3" s="54"/>
      <c r="B3" s="54" t="s">
        <v>69</v>
      </c>
      <c r="C3" s="54"/>
    </row>
    <row r="4" spans="1:3" ht="15.75" x14ac:dyDescent="0.25">
      <c r="A4" s="54"/>
      <c r="B4" s="54"/>
      <c r="C4" s="54"/>
    </row>
    <row r="5" spans="1:3" ht="15.75" x14ac:dyDescent="0.25">
      <c r="A5" s="54"/>
      <c r="B5" s="54"/>
      <c r="C5" s="65"/>
    </row>
    <row r="6" spans="1:3" ht="31.5" x14ac:dyDescent="0.25">
      <c r="A6" s="55"/>
      <c r="B6" s="55" t="s">
        <v>70</v>
      </c>
      <c r="C6" s="66" t="s">
        <v>464</v>
      </c>
    </row>
    <row r="7" spans="1:3" ht="15" x14ac:dyDescent="0.2">
      <c r="A7" s="57"/>
      <c r="B7" s="57" t="s">
        <v>466</v>
      </c>
      <c r="C7" s="58"/>
    </row>
    <row r="8" spans="1:3" ht="15.75" x14ac:dyDescent="0.25">
      <c r="A8" s="59"/>
      <c r="B8" s="55" t="s">
        <v>71</v>
      </c>
      <c r="C8" s="58"/>
    </row>
    <row r="9" spans="1:3" ht="30" x14ac:dyDescent="0.2">
      <c r="A9" s="59" t="s">
        <v>5</v>
      </c>
      <c r="B9" s="60" t="s">
        <v>72</v>
      </c>
      <c r="C9" s="58"/>
    </row>
    <row r="10" spans="1:3" ht="30" x14ac:dyDescent="0.2">
      <c r="A10" s="59" t="s">
        <v>6</v>
      </c>
      <c r="B10" s="60" t="s">
        <v>73</v>
      </c>
      <c r="C10" s="58">
        <v>15000000</v>
      </c>
    </row>
    <row r="11" spans="1:3" ht="30" x14ac:dyDescent="0.2">
      <c r="A11" s="59" t="s">
        <v>7</v>
      </c>
      <c r="B11" s="60" t="s">
        <v>74</v>
      </c>
      <c r="C11" s="58"/>
    </row>
    <row r="12" spans="1:3" ht="15" x14ac:dyDescent="0.2">
      <c r="A12" s="59"/>
      <c r="B12" s="60" t="s">
        <v>84</v>
      </c>
      <c r="C12" s="58"/>
    </row>
    <row r="13" spans="1:3" ht="15" x14ac:dyDescent="0.2">
      <c r="A13" s="59"/>
      <c r="B13" s="60" t="s">
        <v>85</v>
      </c>
      <c r="C13" s="58"/>
    </row>
    <row r="14" spans="1:3" ht="30" x14ac:dyDescent="0.2">
      <c r="A14" s="59" t="s">
        <v>12</v>
      </c>
      <c r="B14" s="60" t="s">
        <v>75</v>
      </c>
      <c r="C14" s="58">
        <v>3208302</v>
      </c>
    </row>
    <row r="15" spans="1:3" ht="15.75" x14ac:dyDescent="0.25">
      <c r="A15" s="57"/>
      <c r="B15" s="56" t="s">
        <v>76</v>
      </c>
      <c r="C15" s="61">
        <f>SUM(C9:C14)</f>
        <v>18208302</v>
      </c>
    </row>
    <row r="16" spans="1:3" ht="15" x14ac:dyDescent="0.2">
      <c r="A16" s="57"/>
      <c r="B16" s="57"/>
      <c r="C16" s="58"/>
    </row>
    <row r="17" spans="1:6" ht="30" x14ac:dyDescent="0.2">
      <c r="A17" s="59" t="s">
        <v>5</v>
      </c>
      <c r="B17" s="60" t="s">
        <v>77</v>
      </c>
      <c r="C17" s="58"/>
    </row>
    <row r="18" spans="1:6" ht="15" x14ac:dyDescent="0.2">
      <c r="A18" s="59" t="s">
        <v>6</v>
      </c>
      <c r="B18" s="60" t="s">
        <v>78</v>
      </c>
      <c r="C18" s="273">
        <v>18208302</v>
      </c>
    </row>
    <row r="19" spans="1:6" ht="15" x14ac:dyDescent="0.2">
      <c r="A19" s="59" t="s">
        <v>7</v>
      </c>
      <c r="B19" s="60" t="s">
        <v>79</v>
      </c>
      <c r="C19" s="58"/>
    </row>
    <row r="20" spans="1:6" ht="15" x14ac:dyDescent="0.2">
      <c r="A20" s="59" t="s">
        <v>8</v>
      </c>
      <c r="B20" s="60" t="s">
        <v>80</v>
      </c>
      <c r="C20" s="58"/>
    </row>
    <row r="21" spans="1:6" ht="15" x14ac:dyDescent="0.2">
      <c r="A21" s="59" t="s">
        <v>9</v>
      </c>
      <c r="B21" s="60" t="s">
        <v>81</v>
      </c>
      <c r="C21" s="58"/>
    </row>
    <row r="22" spans="1:6" ht="15" x14ac:dyDescent="0.2">
      <c r="A22" s="59" t="s">
        <v>10</v>
      </c>
      <c r="B22" s="60" t="s">
        <v>100</v>
      </c>
      <c r="C22" s="58"/>
    </row>
    <row r="23" spans="1:6" ht="15" x14ac:dyDescent="0.2">
      <c r="A23" s="59" t="s">
        <v>11</v>
      </c>
      <c r="B23" s="60"/>
      <c r="C23" s="58"/>
      <c r="F23" s="62"/>
    </row>
    <row r="24" spans="1:6" ht="15.75" x14ac:dyDescent="0.25">
      <c r="A24" s="57"/>
      <c r="B24" s="56" t="s">
        <v>82</v>
      </c>
      <c r="C24" s="61">
        <f>SUM(C17:C23)</f>
        <v>18208302</v>
      </c>
    </row>
    <row r="26" spans="1:6" ht="31.5" x14ac:dyDescent="0.25">
      <c r="A26" s="55"/>
      <c r="B26" s="55" t="s">
        <v>70</v>
      </c>
      <c r="C26" s="66" t="s">
        <v>464</v>
      </c>
    </row>
    <row r="27" spans="1:6" ht="15" x14ac:dyDescent="0.2">
      <c r="A27" s="57"/>
      <c r="B27" s="57" t="s">
        <v>465</v>
      </c>
      <c r="C27" s="58"/>
    </row>
    <row r="28" spans="1:6" ht="15.75" x14ac:dyDescent="0.25">
      <c r="A28" s="59"/>
      <c r="B28" s="55" t="s">
        <v>71</v>
      </c>
      <c r="C28" s="58"/>
    </row>
    <row r="29" spans="1:6" ht="30" x14ac:dyDescent="0.2">
      <c r="A29" s="59" t="s">
        <v>5</v>
      </c>
      <c r="B29" s="60" t="s">
        <v>72</v>
      </c>
      <c r="C29" s="58"/>
    </row>
    <row r="30" spans="1:6" ht="30" x14ac:dyDescent="0.2">
      <c r="A30" s="59" t="s">
        <v>6</v>
      </c>
      <c r="B30" s="60" t="s">
        <v>73</v>
      </c>
      <c r="C30" s="58"/>
    </row>
    <row r="31" spans="1:6" ht="30" x14ac:dyDescent="0.2">
      <c r="A31" s="59" t="s">
        <v>7</v>
      </c>
      <c r="B31" s="60" t="s">
        <v>74</v>
      </c>
      <c r="C31" s="58"/>
    </row>
    <row r="32" spans="1:6" ht="15" x14ac:dyDescent="0.2">
      <c r="A32" s="59"/>
      <c r="B32" s="60" t="s">
        <v>84</v>
      </c>
      <c r="C32" s="58"/>
    </row>
    <row r="33" spans="1:3" ht="15" x14ac:dyDescent="0.2">
      <c r="A33" s="59"/>
      <c r="B33" s="60" t="s">
        <v>85</v>
      </c>
      <c r="C33" s="58"/>
    </row>
    <row r="34" spans="1:3" ht="30" x14ac:dyDescent="0.2">
      <c r="A34" s="59" t="s">
        <v>12</v>
      </c>
      <c r="B34" s="60" t="s">
        <v>75</v>
      </c>
      <c r="C34" s="58">
        <v>1524000</v>
      </c>
    </row>
    <row r="35" spans="1:3" ht="15.75" x14ac:dyDescent="0.25">
      <c r="A35" s="57"/>
      <c r="B35" s="56" t="s">
        <v>76</v>
      </c>
      <c r="C35" s="61">
        <f>SUM(C29:C34)</f>
        <v>1524000</v>
      </c>
    </row>
    <row r="36" spans="1:3" ht="15" x14ac:dyDescent="0.2">
      <c r="A36" s="57"/>
      <c r="B36" s="57"/>
      <c r="C36" s="58"/>
    </row>
    <row r="37" spans="1:3" ht="30" x14ac:dyDescent="0.2">
      <c r="A37" s="59" t="s">
        <v>5</v>
      </c>
      <c r="B37" s="60" t="s">
        <v>77</v>
      </c>
      <c r="C37" s="58"/>
    </row>
    <row r="38" spans="1:3" ht="15" x14ac:dyDescent="0.2">
      <c r="A38" s="59" t="s">
        <v>6</v>
      </c>
      <c r="B38" s="60" t="s">
        <v>78</v>
      </c>
      <c r="C38" s="58">
        <v>1524000</v>
      </c>
    </row>
    <row r="39" spans="1:3" ht="15" x14ac:dyDescent="0.2">
      <c r="A39" s="59" t="s">
        <v>7</v>
      </c>
      <c r="B39" s="60" t="s">
        <v>79</v>
      </c>
      <c r="C39" s="58"/>
    </row>
    <row r="40" spans="1:3" ht="15" x14ac:dyDescent="0.2">
      <c r="A40" s="59" t="s">
        <v>8</v>
      </c>
      <c r="B40" s="60" t="s">
        <v>80</v>
      </c>
      <c r="C40" s="58"/>
    </row>
    <row r="41" spans="1:3" ht="15" x14ac:dyDescent="0.2">
      <c r="A41" s="59" t="s">
        <v>9</v>
      </c>
      <c r="B41" s="60" t="s">
        <v>81</v>
      </c>
      <c r="C41" s="58"/>
    </row>
    <row r="42" spans="1:3" ht="15" x14ac:dyDescent="0.2">
      <c r="A42" s="59" t="s">
        <v>10</v>
      </c>
      <c r="B42" s="60" t="s">
        <v>100</v>
      </c>
      <c r="C42" s="58"/>
    </row>
    <row r="43" spans="1:3" ht="15" x14ac:dyDescent="0.2">
      <c r="A43" s="59" t="s">
        <v>11</v>
      </c>
      <c r="B43" s="60"/>
      <c r="C43" s="58"/>
    </row>
    <row r="44" spans="1:3" ht="15.75" x14ac:dyDescent="0.25">
      <c r="A44" s="57"/>
      <c r="B44" s="56" t="s">
        <v>82</v>
      </c>
      <c r="C44" s="61">
        <f>SUM(C37:C43)</f>
        <v>1524000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7" workbookViewId="0">
      <selection activeCell="F27" sqref="F27"/>
    </sheetView>
  </sheetViews>
  <sheetFormatPr defaultRowHeight="12.75" x14ac:dyDescent="0.2"/>
  <cols>
    <col min="1" max="1" width="32.140625" customWidth="1"/>
  </cols>
  <sheetData>
    <row r="1" spans="1:15" x14ac:dyDescent="0.2">
      <c r="A1" s="311" t="s">
        <v>114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x14ac:dyDescent="0.2">
      <c r="A2" s="313" t="s">
        <v>115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15" ht="13.5" thickBot="1" x14ac:dyDescent="0.25">
      <c r="A3" s="315" t="s">
        <v>116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</row>
    <row r="4" spans="1:15" x14ac:dyDescent="0.2">
      <c r="A4" s="317" t="s">
        <v>117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9"/>
    </row>
    <row r="5" spans="1:15" ht="22.5" x14ac:dyDescent="0.2">
      <c r="A5" s="133" t="s">
        <v>70</v>
      </c>
      <c r="B5" s="134" t="s">
        <v>452</v>
      </c>
      <c r="C5" s="134" t="s">
        <v>118</v>
      </c>
      <c r="D5" s="134" t="s">
        <v>119</v>
      </c>
      <c r="E5" s="134" t="s">
        <v>120</v>
      </c>
      <c r="F5" s="134" t="s">
        <v>121</v>
      </c>
      <c r="G5" s="134" t="s">
        <v>122</v>
      </c>
      <c r="H5" s="134" t="s">
        <v>123</v>
      </c>
      <c r="I5" s="134" t="s">
        <v>124</v>
      </c>
      <c r="J5" s="134" t="s">
        <v>125</v>
      </c>
      <c r="K5" s="134" t="s">
        <v>126</v>
      </c>
      <c r="L5" s="134" t="s">
        <v>127</v>
      </c>
      <c r="M5" s="134" t="s">
        <v>128</v>
      </c>
      <c r="N5" s="134" t="s">
        <v>129</v>
      </c>
      <c r="O5" s="134" t="s">
        <v>130</v>
      </c>
    </row>
    <row r="6" spans="1:15" x14ac:dyDescent="0.2">
      <c r="A6" s="135" t="s">
        <v>456</v>
      </c>
      <c r="B6" s="136">
        <f>SUM('Kiadások és bevételek alakulása'!P10)</f>
        <v>2337383</v>
      </c>
      <c r="C6" s="136">
        <f>SUM($B6/12)</f>
        <v>194781.91666666666</v>
      </c>
      <c r="D6" s="136">
        <f t="shared" ref="C6:N23" si="0">SUM($B6/12)</f>
        <v>194781.91666666666</v>
      </c>
      <c r="E6" s="136">
        <f t="shared" si="0"/>
        <v>194781.91666666666</v>
      </c>
      <c r="F6" s="136">
        <f t="shared" si="0"/>
        <v>194781.91666666666</v>
      </c>
      <c r="G6" s="136">
        <f t="shared" si="0"/>
        <v>194781.91666666666</v>
      </c>
      <c r="H6" s="136">
        <f t="shared" si="0"/>
        <v>194781.91666666666</v>
      </c>
      <c r="I6" s="136">
        <f t="shared" si="0"/>
        <v>194781.91666666666</v>
      </c>
      <c r="J6" s="136">
        <f t="shared" si="0"/>
        <v>194781.91666666666</v>
      </c>
      <c r="K6" s="136">
        <f t="shared" si="0"/>
        <v>194781.91666666666</v>
      </c>
      <c r="L6" s="136">
        <f t="shared" si="0"/>
        <v>194781.91666666666</v>
      </c>
      <c r="M6" s="136">
        <f t="shared" si="0"/>
        <v>194781.91666666666</v>
      </c>
      <c r="N6" s="136">
        <f t="shared" si="0"/>
        <v>194781.91666666666</v>
      </c>
      <c r="O6" s="136">
        <f t="shared" ref="O6:O29" si="1">SUM(C6:N6)</f>
        <v>2337383</v>
      </c>
    </row>
    <row r="7" spans="1:15" x14ac:dyDescent="0.2">
      <c r="A7" s="135" t="s">
        <v>131</v>
      </c>
      <c r="B7" s="136">
        <f>SUM('Kiadások és bevételek alakulása'!P8+'Kiadások és bevételek alakulása'!P13+'Kiadások és bevételek alakulása'!P28)</f>
        <v>2748127.9340220112</v>
      </c>
      <c r="C7" s="136">
        <f t="shared" si="0"/>
        <v>229010.66116850093</v>
      </c>
      <c r="D7" s="136">
        <f t="shared" si="0"/>
        <v>229010.66116850093</v>
      </c>
      <c r="E7" s="136">
        <f t="shared" si="0"/>
        <v>229010.66116850093</v>
      </c>
      <c r="F7" s="136">
        <f t="shared" si="0"/>
        <v>229010.66116850093</v>
      </c>
      <c r="G7" s="136">
        <f t="shared" si="0"/>
        <v>229010.66116850093</v>
      </c>
      <c r="H7" s="136">
        <f t="shared" si="0"/>
        <v>229010.66116850093</v>
      </c>
      <c r="I7" s="136">
        <f t="shared" si="0"/>
        <v>229010.66116850093</v>
      </c>
      <c r="J7" s="136">
        <f t="shared" si="0"/>
        <v>229010.66116850093</v>
      </c>
      <c r="K7" s="136">
        <f t="shared" si="0"/>
        <v>229010.66116850093</v>
      </c>
      <c r="L7" s="136">
        <f t="shared" si="0"/>
        <v>229010.66116850093</v>
      </c>
      <c r="M7" s="136">
        <f t="shared" si="0"/>
        <v>229010.66116850093</v>
      </c>
      <c r="N7" s="136">
        <f t="shared" si="0"/>
        <v>229010.66116850093</v>
      </c>
      <c r="O7" s="136">
        <f t="shared" si="1"/>
        <v>2748127.9340220112</v>
      </c>
    </row>
    <row r="8" spans="1:15" x14ac:dyDescent="0.2">
      <c r="A8" s="135" t="s">
        <v>132</v>
      </c>
      <c r="B8" s="136">
        <f>SUM('Kiadások és bevételek alakulása'!R20-'Kiadások és bevételek alakulása'!M20)</f>
        <v>0</v>
      </c>
      <c r="C8" s="136">
        <f t="shared" si="0"/>
        <v>0</v>
      </c>
      <c r="D8" s="136">
        <f t="shared" si="0"/>
        <v>0</v>
      </c>
      <c r="E8" s="136">
        <f t="shared" si="0"/>
        <v>0</v>
      </c>
      <c r="F8" s="136">
        <f t="shared" si="0"/>
        <v>0</v>
      </c>
      <c r="G8" s="136">
        <f t="shared" si="0"/>
        <v>0</v>
      </c>
      <c r="H8" s="136">
        <f t="shared" si="0"/>
        <v>0</v>
      </c>
      <c r="I8" s="136">
        <f t="shared" si="0"/>
        <v>0</v>
      </c>
      <c r="J8" s="136">
        <f t="shared" si="0"/>
        <v>0</v>
      </c>
      <c r="K8" s="136">
        <f t="shared" si="0"/>
        <v>0</v>
      </c>
      <c r="L8" s="136">
        <f t="shared" si="0"/>
        <v>0</v>
      </c>
      <c r="M8" s="136">
        <f t="shared" si="0"/>
        <v>0</v>
      </c>
      <c r="N8" s="136">
        <f t="shared" si="0"/>
        <v>0</v>
      </c>
      <c r="O8" s="136">
        <f t="shared" si="1"/>
        <v>0</v>
      </c>
    </row>
    <row r="9" spans="1:15" x14ac:dyDescent="0.2">
      <c r="A9" s="135" t="s">
        <v>133</v>
      </c>
      <c r="B9" s="136">
        <f>SUM('Kiadások és bevételek alakulása'!O32)</f>
        <v>43548520</v>
      </c>
      <c r="C9" s="136">
        <f t="shared" si="0"/>
        <v>3629043.3333333335</v>
      </c>
      <c r="D9" s="136">
        <f t="shared" si="0"/>
        <v>3629043.3333333335</v>
      </c>
      <c r="E9" s="136">
        <f t="shared" si="0"/>
        <v>3629043.3333333335</v>
      </c>
      <c r="F9" s="136">
        <f t="shared" si="0"/>
        <v>3629043.3333333335</v>
      </c>
      <c r="G9" s="136">
        <f t="shared" si="0"/>
        <v>3629043.3333333335</v>
      </c>
      <c r="H9" s="136">
        <f t="shared" si="0"/>
        <v>3629043.3333333335</v>
      </c>
      <c r="I9" s="136">
        <f t="shared" si="0"/>
        <v>3629043.3333333335</v>
      </c>
      <c r="J9" s="136">
        <f t="shared" si="0"/>
        <v>3629043.3333333335</v>
      </c>
      <c r="K9" s="136">
        <f t="shared" si="0"/>
        <v>3629043.3333333335</v>
      </c>
      <c r="L9" s="136">
        <f t="shared" si="0"/>
        <v>3629043.3333333335</v>
      </c>
      <c r="M9" s="136">
        <f t="shared" si="0"/>
        <v>3629043.3333333335</v>
      </c>
      <c r="N9" s="136">
        <f>SUM($B9/12)</f>
        <v>3629043.3333333335</v>
      </c>
      <c r="O9" s="136">
        <f t="shared" si="1"/>
        <v>43548520</v>
      </c>
    </row>
    <row r="10" spans="1:15" x14ac:dyDescent="0.2">
      <c r="A10" s="135" t="s">
        <v>33</v>
      </c>
      <c r="B10" s="136">
        <f>SUM(B6:B9)</f>
        <v>48634030.934022009</v>
      </c>
      <c r="C10" s="136">
        <f t="shared" ref="C10:I10" si="2">SUM(C6:C9)</f>
        <v>4052835.9111685012</v>
      </c>
      <c r="D10" s="136">
        <f t="shared" si="2"/>
        <v>4052835.9111685012</v>
      </c>
      <c r="E10" s="136">
        <f t="shared" si="2"/>
        <v>4052835.9111685012</v>
      </c>
      <c r="F10" s="136">
        <f t="shared" si="2"/>
        <v>4052835.9111685012</v>
      </c>
      <c r="G10" s="136">
        <f t="shared" si="2"/>
        <v>4052835.9111685012</v>
      </c>
      <c r="H10" s="136">
        <f t="shared" si="2"/>
        <v>4052835.9111685012</v>
      </c>
      <c r="I10" s="136">
        <f t="shared" si="2"/>
        <v>4052835.9111685012</v>
      </c>
      <c r="J10" s="136">
        <f t="shared" ref="J10:N10" si="3">SUM(J6:J9)</f>
        <v>4052835.9111685012</v>
      </c>
      <c r="K10" s="136">
        <f t="shared" si="3"/>
        <v>4052835.9111685012</v>
      </c>
      <c r="L10" s="136">
        <f t="shared" si="3"/>
        <v>4052835.9111685012</v>
      </c>
      <c r="M10" s="136">
        <f t="shared" si="3"/>
        <v>4052835.9111685012</v>
      </c>
      <c r="N10" s="136">
        <f t="shared" si="3"/>
        <v>4052835.9111685012</v>
      </c>
      <c r="O10" s="136">
        <f>SUM(O6:O9)</f>
        <v>48634030.934022009</v>
      </c>
    </row>
    <row r="11" spans="1:15" x14ac:dyDescent="0.2">
      <c r="A11" s="135" t="s">
        <v>457</v>
      </c>
      <c r="B11" s="136">
        <f>SUM('Kiadások és bevételek alakulása'!Q7)</f>
        <v>13561181</v>
      </c>
      <c r="C11" s="136">
        <f t="shared" si="0"/>
        <v>1130098.4166666667</v>
      </c>
      <c r="D11" s="136">
        <f t="shared" si="0"/>
        <v>1130098.4166666667</v>
      </c>
      <c r="E11" s="136">
        <f t="shared" si="0"/>
        <v>1130098.4166666667</v>
      </c>
      <c r="F11" s="136">
        <f t="shared" si="0"/>
        <v>1130098.4166666667</v>
      </c>
      <c r="G11" s="136">
        <f t="shared" si="0"/>
        <v>1130098.4166666667</v>
      </c>
      <c r="H11" s="136">
        <f t="shared" si="0"/>
        <v>1130098.4166666667</v>
      </c>
      <c r="I11" s="136">
        <f t="shared" si="0"/>
        <v>1130098.4166666667</v>
      </c>
      <c r="J11" s="136">
        <f t="shared" si="0"/>
        <v>1130098.4166666667</v>
      </c>
      <c r="K11" s="136">
        <f t="shared" si="0"/>
        <v>1130098.4166666667</v>
      </c>
      <c r="L11" s="136">
        <f t="shared" si="0"/>
        <v>1130098.4166666667</v>
      </c>
      <c r="M11" s="136">
        <f t="shared" si="0"/>
        <v>1130098.4166666667</v>
      </c>
      <c r="N11" s="136">
        <f t="shared" si="0"/>
        <v>1130098.4166666667</v>
      </c>
      <c r="O11" s="136">
        <f t="shared" si="1"/>
        <v>13561180.999999998</v>
      </c>
    </row>
    <row r="12" spans="1:15" x14ac:dyDescent="0.2">
      <c r="A12" s="138" t="s">
        <v>458</v>
      </c>
      <c r="B12" s="140">
        <f>SUM('Kiadások és bevételek alakulása'!Q18)</f>
        <v>1524000</v>
      </c>
      <c r="C12" s="140"/>
      <c r="D12" s="140"/>
      <c r="E12" s="140">
        <v>1524000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>
        <f t="shared" si="1"/>
        <v>1524000</v>
      </c>
    </row>
    <row r="13" spans="1:15" x14ac:dyDescent="0.2">
      <c r="A13" s="141" t="s">
        <v>459</v>
      </c>
      <c r="B13" s="142">
        <f>SUM('Kiadások és bevételek alakulása'!R6)</f>
        <v>15000000</v>
      </c>
      <c r="C13" s="142"/>
      <c r="D13" s="142">
        <v>15000000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3">
        <f t="shared" si="1"/>
        <v>15000000</v>
      </c>
    </row>
    <row r="14" spans="1:15" ht="13.5" thickBot="1" x14ac:dyDescent="0.25">
      <c r="A14" s="141" t="s">
        <v>134</v>
      </c>
      <c r="B14" s="142">
        <f>SUM(B12:B13)</f>
        <v>16524000</v>
      </c>
      <c r="C14" s="142"/>
      <c r="D14" s="142">
        <f t="shared" ref="D14:O14" si="4">SUM(D12:D13)</f>
        <v>15000000</v>
      </c>
      <c r="E14" s="142">
        <f t="shared" si="4"/>
        <v>1524000</v>
      </c>
      <c r="F14" s="142">
        <f t="shared" si="4"/>
        <v>0</v>
      </c>
      <c r="G14" s="142">
        <f t="shared" si="4"/>
        <v>0</v>
      </c>
      <c r="H14" s="142">
        <f t="shared" si="4"/>
        <v>0</v>
      </c>
      <c r="I14" s="142">
        <f t="shared" si="4"/>
        <v>0</v>
      </c>
      <c r="J14" s="142">
        <f t="shared" si="4"/>
        <v>0</v>
      </c>
      <c r="K14" s="142">
        <f t="shared" si="4"/>
        <v>0</v>
      </c>
      <c r="L14" s="142">
        <f t="shared" si="4"/>
        <v>0</v>
      </c>
      <c r="M14" s="142">
        <f t="shared" si="4"/>
        <v>0</v>
      </c>
      <c r="N14" s="142">
        <f t="shared" si="4"/>
        <v>0</v>
      </c>
      <c r="O14" s="142">
        <f t="shared" si="4"/>
        <v>16524000</v>
      </c>
    </row>
    <row r="15" spans="1:15" ht="13.5" thickBot="1" x14ac:dyDescent="0.25">
      <c r="A15" s="144" t="s">
        <v>135</v>
      </c>
      <c r="B15" s="145">
        <f>SUM(B10+B11+B14)</f>
        <v>78719211.934022009</v>
      </c>
      <c r="C15" s="145">
        <f>SUM(C10+C11+C14)</f>
        <v>5182934.3278351678</v>
      </c>
      <c r="D15" s="145">
        <f t="shared" ref="D15:N15" si="5">SUM(D10+D11+D14)</f>
        <v>20182934.327835169</v>
      </c>
      <c r="E15" s="145">
        <f t="shared" si="5"/>
        <v>6706934.3278351678</v>
      </c>
      <c r="F15" s="145">
        <f t="shared" si="5"/>
        <v>5182934.3278351678</v>
      </c>
      <c r="G15" s="145">
        <f t="shared" si="5"/>
        <v>5182934.3278351678</v>
      </c>
      <c r="H15" s="145">
        <f t="shared" si="5"/>
        <v>5182934.3278351678</v>
      </c>
      <c r="I15" s="145">
        <f t="shared" si="5"/>
        <v>5182934.3278351678</v>
      </c>
      <c r="J15" s="145">
        <f t="shared" si="5"/>
        <v>5182934.3278351678</v>
      </c>
      <c r="K15" s="145">
        <f t="shared" si="5"/>
        <v>5182934.3278351678</v>
      </c>
      <c r="L15" s="145">
        <f t="shared" si="5"/>
        <v>5182934.3278351678</v>
      </c>
      <c r="M15" s="145">
        <f t="shared" si="5"/>
        <v>5182934.3278351678</v>
      </c>
      <c r="N15" s="145">
        <f t="shared" si="5"/>
        <v>5182934.3278351678</v>
      </c>
      <c r="O15" s="145">
        <f>SUM(O10+O11+O14)</f>
        <v>78719211.934022009</v>
      </c>
    </row>
    <row r="16" spans="1:15" x14ac:dyDescent="0.2">
      <c r="A16" s="146" t="s">
        <v>49</v>
      </c>
      <c r="B16" s="147">
        <f>SUM('Kiadások és bevételek alakulása'!C32)</f>
        <v>19035040</v>
      </c>
      <c r="C16" s="147">
        <f t="shared" si="0"/>
        <v>1586253.3333333333</v>
      </c>
      <c r="D16" s="147">
        <f t="shared" si="0"/>
        <v>1586253.3333333333</v>
      </c>
      <c r="E16" s="147">
        <f t="shared" si="0"/>
        <v>1586253.3333333333</v>
      </c>
      <c r="F16" s="147">
        <f t="shared" si="0"/>
        <v>1586253.3333333333</v>
      </c>
      <c r="G16" s="147">
        <f t="shared" si="0"/>
        <v>1586253.3333333333</v>
      </c>
      <c r="H16" s="147">
        <f t="shared" si="0"/>
        <v>1586253.3333333333</v>
      </c>
      <c r="I16" s="147">
        <f t="shared" si="0"/>
        <v>1586253.3333333333</v>
      </c>
      <c r="J16" s="147">
        <f t="shared" si="0"/>
        <v>1586253.3333333333</v>
      </c>
      <c r="K16" s="147">
        <f t="shared" si="0"/>
        <v>1586253.3333333333</v>
      </c>
      <c r="L16" s="147">
        <f t="shared" si="0"/>
        <v>1586253.3333333333</v>
      </c>
      <c r="M16" s="147">
        <f t="shared" si="0"/>
        <v>1586253.3333333333</v>
      </c>
      <c r="N16" s="147">
        <f t="shared" si="0"/>
        <v>1586253.3333333333</v>
      </c>
      <c r="O16" s="147">
        <f t="shared" si="1"/>
        <v>19035040</v>
      </c>
    </row>
    <row r="17" spans="1:15" x14ac:dyDescent="0.2">
      <c r="A17" s="135" t="s">
        <v>136</v>
      </c>
      <c r="B17" s="136">
        <f>SUM('Kiadások és bevételek alakulása'!D32)</f>
        <v>3516832.8000000003</v>
      </c>
      <c r="C17" s="136">
        <f t="shared" si="0"/>
        <v>293069.40000000002</v>
      </c>
      <c r="D17" s="136">
        <f t="shared" si="0"/>
        <v>293069.40000000002</v>
      </c>
      <c r="E17" s="136">
        <f t="shared" si="0"/>
        <v>293069.40000000002</v>
      </c>
      <c r="F17" s="136">
        <f t="shared" si="0"/>
        <v>293069.40000000002</v>
      </c>
      <c r="G17" s="136">
        <f t="shared" si="0"/>
        <v>293069.40000000002</v>
      </c>
      <c r="H17" s="136">
        <f t="shared" si="0"/>
        <v>293069.40000000002</v>
      </c>
      <c r="I17" s="136">
        <f t="shared" si="0"/>
        <v>293069.40000000002</v>
      </c>
      <c r="J17" s="136">
        <f t="shared" si="0"/>
        <v>293069.40000000002</v>
      </c>
      <c r="K17" s="136">
        <f t="shared" si="0"/>
        <v>293069.40000000002</v>
      </c>
      <c r="L17" s="136">
        <f t="shared" si="0"/>
        <v>293069.40000000002</v>
      </c>
      <c r="M17" s="136">
        <f t="shared" si="0"/>
        <v>293069.40000000002</v>
      </c>
      <c r="N17" s="136">
        <f t="shared" si="0"/>
        <v>293069.40000000002</v>
      </c>
      <c r="O17" s="136">
        <f t="shared" si="1"/>
        <v>3516832.7999999993</v>
      </c>
    </row>
    <row r="18" spans="1:15" x14ac:dyDescent="0.2">
      <c r="A18" s="135" t="s">
        <v>137</v>
      </c>
      <c r="B18" s="136">
        <f>SUM('Kiadások és bevételek alakulása'!E32)</f>
        <v>21933373.164062031</v>
      </c>
      <c r="C18" s="136">
        <f t="shared" si="0"/>
        <v>1827781.0970051691</v>
      </c>
      <c r="D18" s="136">
        <f t="shared" si="0"/>
        <v>1827781.0970051691</v>
      </c>
      <c r="E18" s="136">
        <f t="shared" si="0"/>
        <v>1827781.0970051691</v>
      </c>
      <c r="F18" s="136">
        <f t="shared" si="0"/>
        <v>1827781.0970051691</v>
      </c>
      <c r="G18" s="136">
        <f t="shared" si="0"/>
        <v>1827781.0970051691</v>
      </c>
      <c r="H18" s="136">
        <f t="shared" si="0"/>
        <v>1827781.0970051691</v>
      </c>
      <c r="I18" s="136">
        <f t="shared" si="0"/>
        <v>1827781.0970051691</v>
      </c>
      <c r="J18" s="136">
        <f t="shared" si="0"/>
        <v>1827781.0970051691</v>
      </c>
      <c r="K18" s="136">
        <f t="shared" si="0"/>
        <v>1827781.0970051691</v>
      </c>
      <c r="L18" s="136">
        <f t="shared" si="0"/>
        <v>1827781.0970051691</v>
      </c>
      <c r="M18" s="136">
        <f t="shared" si="0"/>
        <v>1827781.0970051691</v>
      </c>
      <c r="N18" s="136">
        <f t="shared" si="0"/>
        <v>1827781.0970051691</v>
      </c>
      <c r="O18" s="136">
        <f t="shared" si="1"/>
        <v>21933373.164062034</v>
      </c>
    </row>
    <row r="19" spans="1:15" ht="22.5" x14ac:dyDescent="0.2">
      <c r="A19" s="135" t="s">
        <v>138</v>
      </c>
      <c r="B19" s="136">
        <f>SUM('Kiadások és bevételek alakulása'!F32)</f>
        <v>600000</v>
      </c>
      <c r="C19" s="136">
        <f t="shared" si="0"/>
        <v>50000</v>
      </c>
      <c r="D19" s="136">
        <f t="shared" si="0"/>
        <v>50000</v>
      </c>
      <c r="E19" s="136">
        <f t="shared" si="0"/>
        <v>50000</v>
      </c>
      <c r="F19" s="136">
        <f t="shared" si="0"/>
        <v>50000</v>
      </c>
      <c r="G19" s="136">
        <f t="shared" si="0"/>
        <v>50000</v>
      </c>
      <c r="H19" s="136">
        <f t="shared" si="0"/>
        <v>50000</v>
      </c>
      <c r="I19" s="136">
        <f t="shared" si="0"/>
        <v>50000</v>
      </c>
      <c r="J19" s="136">
        <f t="shared" si="0"/>
        <v>50000</v>
      </c>
      <c r="K19" s="136">
        <f t="shared" si="0"/>
        <v>50000</v>
      </c>
      <c r="L19" s="136">
        <f t="shared" si="0"/>
        <v>50000</v>
      </c>
      <c r="M19" s="136">
        <f t="shared" si="0"/>
        <v>50000</v>
      </c>
      <c r="N19" s="136">
        <f t="shared" si="0"/>
        <v>50000</v>
      </c>
      <c r="O19" s="136">
        <f t="shared" si="1"/>
        <v>600000</v>
      </c>
    </row>
    <row r="20" spans="1:15" x14ac:dyDescent="0.2">
      <c r="A20" s="135" t="s">
        <v>139</v>
      </c>
      <c r="B20" s="136">
        <f>SUM('Kiadások és bevételek alakulása'!I21)</f>
        <v>4000000</v>
      </c>
      <c r="C20" s="136">
        <f t="shared" si="0"/>
        <v>333333.33333333331</v>
      </c>
      <c r="D20" s="136">
        <f t="shared" si="0"/>
        <v>333333.33333333331</v>
      </c>
      <c r="E20" s="136">
        <f t="shared" si="0"/>
        <v>333333.33333333331</v>
      </c>
      <c r="F20" s="136">
        <f t="shared" si="0"/>
        <v>333333.33333333331</v>
      </c>
      <c r="G20" s="136">
        <f t="shared" si="0"/>
        <v>333333.33333333331</v>
      </c>
      <c r="H20" s="136">
        <f t="shared" si="0"/>
        <v>333333.33333333331</v>
      </c>
      <c r="I20" s="136">
        <f t="shared" si="0"/>
        <v>333333.33333333331</v>
      </c>
      <c r="J20" s="136">
        <f t="shared" si="0"/>
        <v>333333.33333333331</v>
      </c>
      <c r="K20" s="136">
        <f t="shared" si="0"/>
        <v>333333.33333333331</v>
      </c>
      <c r="L20" s="136">
        <f t="shared" si="0"/>
        <v>333333.33333333331</v>
      </c>
      <c r="M20" s="136">
        <f t="shared" si="0"/>
        <v>333333.33333333331</v>
      </c>
      <c r="N20" s="136">
        <f t="shared" si="0"/>
        <v>333333.33333333331</v>
      </c>
      <c r="O20" s="136">
        <f t="shared" si="1"/>
        <v>4000000.0000000005</v>
      </c>
    </row>
    <row r="21" spans="1:15" x14ac:dyDescent="0.2">
      <c r="A21" s="135" t="s">
        <v>144</v>
      </c>
      <c r="B21" s="137"/>
      <c r="C21" s="136">
        <f t="shared" si="0"/>
        <v>0</v>
      </c>
      <c r="D21" s="136">
        <f t="shared" si="0"/>
        <v>0</v>
      </c>
      <c r="E21" s="136">
        <f t="shared" si="0"/>
        <v>0</v>
      </c>
      <c r="F21" s="136">
        <f t="shared" si="0"/>
        <v>0</v>
      </c>
      <c r="G21" s="136">
        <f t="shared" si="0"/>
        <v>0</v>
      </c>
      <c r="H21" s="136">
        <f t="shared" si="0"/>
        <v>0</v>
      </c>
      <c r="I21" s="136">
        <f t="shared" si="0"/>
        <v>0</v>
      </c>
      <c r="J21" s="136">
        <f t="shared" si="0"/>
        <v>0</v>
      </c>
      <c r="K21" s="136">
        <f t="shared" si="0"/>
        <v>0</v>
      </c>
      <c r="L21" s="136">
        <f t="shared" si="0"/>
        <v>0</v>
      </c>
      <c r="M21" s="136">
        <f t="shared" si="0"/>
        <v>0</v>
      </c>
      <c r="N21" s="136">
        <f t="shared" si="0"/>
        <v>0</v>
      </c>
      <c r="O21" s="136">
        <f t="shared" si="1"/>
        <v>0</v>
      </c>
    </row>
    <row r="22" spans="1:15" ht="22.5" x14ac:dyDescent="0.2">
      <c r="A22" s="135" t="s">
        <v>460</v>
      </c>
      <c r="B22" s="136">
        <f>SUM('Kiadások és bevételek alakulása'!H22)</f>
        <v>1576181</v>
      </c>
      <c r="C22" s="136">
        <v>1465737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>
        <f t="shared" si="1"/>
        <v>1465737</v>
      </c>
    </row>
    <row r="23" spans="1:15" ht="13.5" thickBot="1" x14ac:dyDescent="0.25">
      <c r="A23" s="138" t="s">
        <v>140</v>
      </c>
      <c r="B23" s="140">
        <f>SUM('Kiadások és bevételek alakulása'!G32)</f>
        <v>8325483</v>
      </c>
      <c r="C23" s="140">
        <f t="shared" si="0"/>
        <v>693790.25</v>
      </c>
      <c r="D23" s="140">
        <f t="shared" si="0"/>
        <v>693790.25</v>
      </c>
      <c r="E23" s="140">
        <f t="shared" si="0"/>
        <v>693790.25</v>
      </c>
      <c r="F23" s="140">
        <f t="shared" si="0"/>
        <v>693790.25</v>
      </c>
      <c r="G23" s="140">
        <f t="shared" si="0"/>
        <v>693790.25</v>
      </c>
      <c r="H23" s="140">
        <f t="shared" si="0"/>
        <v>693790.25</v>
      </c>
      <c r="I23" s="140">
        <f t="shared" si="0"/>
        <v>693790.25</v>
      </c>
      <c r="J23" s="140">
        <f t="shared" si="0"/>
        <v>693790.25</v>
      </c>
      <c r="K23" s="140">
        <f t="shared" si="0"/>
        <v>693790.25</v>
      </c>
      <c r="L23" s="140">
        <f t="shared" si="0"/>
        <v>693790.25</v>
      </c>
      <c r="M23" s="140">
        <f t="shared" si="0"/>
        <v>693790.25</v>
      </c>
      <c r="N23" s="140">
        <f t="shared" si="0"/>
        <v>693790.25</v>
      </c>
      <c r="O23" s="140">
        <f t="shared" si="1"/>
        <v>8325483</v>
      </c>
    </row>
    <row r="24" spans="1:15" ht="13.5" thickBot="1" x14ac:dyDescent="0.25">
      <c r="A24" s="144" t="s">
        <v>141</v>
      </c>
      <c r="B24" s="148">
        <f>SUM(B16:B23)</f>
        <v>58986909.964062035</v>
      </c>
      <c r="C24" s="145">
        <f>SUM($B24/12)</f>
        <v>4915575.8303385032</v>
      </c>
      <c r="D24" s="145">
        <f t="shared" ref="D24:N24" si="6">SUM($B24/12)</f>
        <v>4915575.8303385032</v>
      </c>
      <c r="E24" s="145">
        <f t="shared" si="6"/>
        <v>4915575.8303385032</v>
      </c>
      <c r="F24" s="145">
        <f t="shared" si="6"/>
        <v>4915575.8303385032</v>
      </c>
      <c r="G24" s="145">
        <f t="shared" si="6"/>
        <v>4915575.8303385032</v>
      </c>
      <c r="H24" s="145">
        <f t="shared" si="6"/>
        <v>4915575.8303385032</v>
      </c>
      <c r="I24" s="145">
        <f t="shared" si="6"/>
        <v>4915575.8303385032</v>
      </c>
      <c r="J24" s="145">
        <f t="shared" si="6"/>
        <v>4915575.8303385032</v>
      </c>
      <c r="K24" s="145">
        <f t="shared" si="6"/>
        <v>4915575.8303385032</v>
      </c>
      <c r="L24" s="145">
        <f t="shared" si="6"/>
        <v>4915575.8303385032</v>
      </c>
      <c r="M24" s="145">
        <f t="shared" si="6"/>
        <v>4915575.8303385032</v>
      </c>
      <c r="N24" s="145">
        <f t="shared" si="6"/>
        <v>4915575.8303385032</v>
      </c>
      <c r="O24" s="149">
        <f t="shared" si="1"/>
        <v>58986909.964062028</v>
      </c>
    </row>
    <row r="25" spans="1:15" ht="13.5" thickBot="1" x14ac:dyDescent="0.25">
      <c r="A25" s="146" t="s">
        <v>48</v>
      </c>
      <c r="B25" s="150">
        <f>SUM('Kiadások és bevételek alakulása'!L32)</f>
        <v>0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9">
        <f t="shared" si="1"/>
        <v>0</v>
      </c>
    </row>
    <row r="26" spans="1:15" x14ac:dyDescent="0.2">
      <c r="A26" s="135" t="s">
        <v>0</v>
      </c>
      <c r="B26" s="151">
        <f>SUM('Kiadások és bevételek alakulása'!K32)</f>
        <v>19732302</v>
      </c>
      <c r="C26" s="136"/>
      <c r="D26" s="136"/>
      <c r="E26" s="136">
        <v>1524000</v>
      </c>
      <c r="F26" s="136">
        <v>18208302</v>
      </c>
      <c r="G26" s="136"/>
      <c r="H26" s="136"/>
      <c r="I26" s="136"/>
      <c r="J26" s="136"/>
      <c r="K26" s="136"/>
      <c r="L26" s="136"/>
      <c r="M26" s="136"/>
      <c r="N26" s="136"/>
      <c r="O26" s="136">
        <f t="shared" si="1"/>
        <v>19732302</v>
      </c>
    </row>
    <row r="27" spans="1:15" ht="13.5" thickBot="1" x14ac:dyDescent="0.25">
      <c r="A27" s="152" t="s">
        <v>145</v>
      </c>
      <c r="B27" s="139"/>
      <c r="C27" s="140"/>
      <c r="D27" s="140"/>
      <c r="E27" s="140"/>
      <c r="F27" s="140"/>
      <c r="G27" s="140"/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f t="shared" si="1"/>
        <v>0</v>
      </c>
    </row>
    <row r="28" spans="1:15" ht="13.5" thickBot="1" x14ac:dyDescent="0.25">
      <c r="A28" s="153" t="s">
        <v>142</v>
      </c>
      <c r="B28" s="145">
        <f>SUM(B25:B27)</f>
        <v>19732302</v>
      </c>
      <c r="C28" s="145">
        <f t="shared" ref="C28:N28" si="7">SUM(C25:C27)</f>
        <v>0</v>
      </c>
      <c r="D28" s="145">
        <f t="shared" si="7"/>
        <v>0</v>
      </c>
      <c r="E28" s="145">
        <f t="shared" si="7"/>
        <v>1524000</v>
      </c>
      <c r="F28" s="145">
        <f t="shared" si="7"/>
        <v>18208302</v>
      </c>
      <c r="G28" s="145">
        <f t="shared" si="7"/>
        <v>0</v>
      </c>
      <c r="H28" s="145">
        <f t="shared" si="7"/>
        <v>0</v>
      </c>
      <c r="I28" s="145">
        <f t="shared" si="7"/>
        <v>0</v>
      </c>
      <c r="J28" s="145">
        <f t="shared" si="7"/>
        <v>0</v>
      </c>
      <c r="K28" s="145">
        <f t="shared" si="7"/>
        <v>0</v>
      </c>
      <c r="L28" s="145">
        <f t="shared" si="7"/>
        <v>0</v>
      </c>
      <c r="M28" s="145">
        <f t="shared" si="7"/>
        <v>0</v>
      </c>
      <c r="N28" s="145">
        <f t="shared" si="7"/>
        <v>0</v>
      </c>
      <c r="O28" s="149">
        <f t="shared" si="1"/>
        <v>19732302</v>
      </c>
    </row>
    <row r="29" spans="1:15" ht="13.5" thickBot="1" x14ac:dyDescent="0.25">
      <c r="A29" s="154" t="s">
        <v>143</v>
      </c>
      <c r="B29" s="145">
        <f t="shared" ref="B29:N29" si="8">SUM(B24+B28)</f>
        <v>78719211.964062035</v>
      </c>
      <c r="C29" s="145">
        <f t="shared" si="8"/>
        <v>4915575.8303385032</v>
      </c>
      <c r="D29" s="145">
        <f t="shared" si="8"/>
        <v>4915575.8303385032</v>
      </c>
      <c r="E29" s="145">
        <f t="shared" si="8"/>
        <v>6439575.8303385032</v>
      </c>
      <c r="F29" s="145">
        <f t="shared" si="8"/>
        <v>23123877.830338504</v>
      </c>
      <c r="G29" s="145">
        <f t="shared" si="8"/>
        <v>4915575.8303385032</v>
      </c>
      <c r="H29" s="145">
        <f t="shared" si="8"/>
        <v>4915575.8303385032</v>
      </c>
      <c r="I29" s="155">
        <f t="shared" si="8"/>
        <v>4915575.8303385032</v>
      </c>
      <c r="J29" s="155">
        <f t="shared" si="8"/>
        <v>4915575.8303385032</v>
      </c>
      <c r="K29" s="155">
        <f t="shared" si="8"/>
        <v>4915575.8303385032</v>
      </c>
      <c r="L29" s="155">
        <f t="shared" si="8"/>
        <v>4915575.8303385032</v>
      </c>
      <c r="M29" s="155">
        <f t="shared" si="8"/>
        <v>4915575.8303385032</v>
      </c>
      <c r="N29" s="155">
        <f t="shared" si="8"/>
        <v>4915575.8303385032</v>
      </c>
      <c r="O29" s="156">
        <f t="shared" si="1"/>
        <v>78719211.964062035</v>
      </c>
    </row>
  </sheetData>
  <mergeCells count="4">
    <mergeCell ref="A1:O1"/>
    <mergeCell ref="A2:O2"/>
    <mergeCell ref="A3:O3"/>
    <mergeCell ref="A4:O4"/>
  </mergeCells>
  <phoneticPr fontId="2" type="noConversion"/>
  <pageMargins left="0.75" right="0.75" top="1" bottom="1" header="0.5" footer="0.5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opLeftCell="A13" zoomScale="85" zoomScaleNormal="85" workbookViewId="0">
      <selection activeCell="B25" sqref="B25"/>
    </sheetView>
  </sheetViews>
  <sheetFormatPr defaultRowHeight="12.75" x14ac:dyDescent="0.2"/>
  <cols>
    <col min="1" max="1" width="53.140625" customWidth="1"/>
    <col min="2" max="2" width="23.7109375" customWidth="1"/>
  </cols>
  <sheetData>
    <row r="1" spans="1:2" x14ac:dyDescent="0.2">
      <c r="A1" s="303" t="s">
        <v>451</v>
      </c>
      <c r="B1" s="303"/>
    </row>
    <row r="2" spans="1:2" x14ac:dyDescent="0.2">
      <c r="A2" s="52"/>
      <c r="B2" s="52"/>
    </row>
    <row r="3" spans="1:2" x14ac:dyDescent="0.2">
      <c r="A3" s="303" t="s">
        <v>101</v>
      </c>
      <c r="B3" s="303"/>
    </row>
    <row r="4" spans="1:2" x14ac:dyDescent="0.2">
      <c r="A4" s="52"/>
      <c r="B4" s="52"/>
    </row>
    <row r="5" spans="1:2" x14ac:dyDescent="0.2">
      <c r="B5" s="62"/>
    </row>
    <row r="6" spans="1:2" x14ac:dyDescent="0.2">
      <c r="B6" s="62"/>
    </row>
    <row r="7" spans="1:2" x14ac:dyDescent="0.2">
      <c r="B7" s="62" t="s">
        <v>450</v>
      </c>
    </row>
    <row r="8" spans="1:2" ht="34.9" customHeight="1" x14ac:dyDescent="0.2">
      <c r="A8" s="63" t="s">
        <v>466</v>
      </c>
      <c r="B8" s="64"/>
    </row>
    <row r="9" spans="1:2" ht="15" x14ac:dyDescent="0.2">
      <c r="A9" s="60" t="s">
        <v>73</v>
      </c>
      <c r="B9" s="58">
        <v>15000000</v>
      </c>
    </row>
    <row r="10" spans="1:2" ht="30" x14ac:dyDescent="0.2">
      <c r="A10" s="60" t="s">
        <v>75</v>
      </c>
      <c r="B10" s="58">
        <v>3208302</v>
      </c>
    </row>
    <row r="11" spans="1:2" x14ac:dyDescent="0.2">
      <c r="A11" s="32" t="s">
        <v>83</v>
      </c>
      <c r="B11" s="37">
        <f>SUM(B9:B10)</f>
        <v>18208302</v>
      </c>
    </row>
    <row r="12" spans="1:2" x14ac:dyDescent="0.2">
      <c r="A12" s="32"/>
      <c r="B12" s="35"/>
    </row>
    <row r="13" spans="1:2" x14ac:dyDescent="0.2">
      <c r="A13" s="1" t="s">
        <v>0</v>
      </c>
      <c r="B13" s="35">
        <v>18208302</v>
      </c>
    </row>
    <row r="14" spans="1:2" x14ac:dyDescent="0.2">
      <c r="A14" s="1" t="s">
        <v>48</v>
      </c>
      <c r="B14" s="35"/>
    </row>
    <row r="15" spans="1:2" x14ac:dyDescent="0.2">
      <c r="A15" s="51" t="s">
        <v>41</v>
      </c>
      <c r="B15" s="19">
        <f>SUM(B13:B14)</f>
        <v>18208302</v>
      </c>
    </row>
    <row r="19" spans="1:2" ht="14.25" x14ac:dyDescent="0.2">
      <c r="A19" s="64" t="s">
        <v>467</v>
      </c>
      <c r="B19" s="64"/>
    </row>
    <row r="20" spans="1:2" ht="15" x14ac:dyDescent="0.2">
      <c r="A20" s="60" t="s">
        <v>73</v>
      </c>
      <c r="B20" s="270">
        <v>1000000</v>
      </c>
    </row>
    <row r="21" spans="1:2" ht="30" x14ac:dyDescent="0.2">
      <c r="A21" s="60" t="s">
        <v>75</v>
      </c>
      <c r="B21" s="35">
        <v>524000</v>
      </c>
    </row>
    <row r="22" spans="1:2" x14ac:dyDescent="0.2">
      <c r="A22" s="32" t="s">
        <v>83</v>
      </c>
      <c r="B22" s="37">
        <f>SUM(B20:B21)</f>
        <v>1524000</v>
      </c>
    </row>
    <row r="23" spans="1:2" x14ac:dyDescent="0.2">
      <c r="A23" s="32"/>
      <c r="B23" s="35"/>
    </row>
    <row r="24" spans="1:2" x14ac:dyDescent="0.2">
      <c r="A24" s="258" t="s">
        <v>0</v>
      </c>
      <c r="B24" s="35">
        <v>1524000</v>
      </c>
    </row>
    <row r="25" spans="1:2" x14ac:dyDescent="0.2">
      <c r="A25" s="1"/>
      <c r="B25" s="35">
        <v>0</v>
      </c>
    </row>
    <row r="26" spans="1:2" x14ac:dyDescent="0.2">
      <c r="A26" s="51" t="s">
        <v>41</v>
      </c>
      <c r="B26" s="19">
        <f>SUM(B24:B25)</f>
        <v>1524000</v>
      </c>
    </row>
  </sheetData>
  <mergeCells count="2">
    <mergeCell ref="A1:B1"/>
    <mergeCell ref="A3:B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részletes kiadás és bevétel</vt:lpstr>
      <vt:lpstr>Kiadások és bevételek alakulása</vt:lpstr>
      <vt:lpstr>Állami bevételek alakulása</vt:lpstr>
      <vt:lpstr>Létszám</vt:lpstr>
      <vt:lpstr>Óvoda 2a</vt:lpstr>
      <vt:lpstr>mérleg 1</vt:lpstr>
      <vt:lpstr>felhalm 2d</vt:lpstr>
      <vt:lpstr>előirányzat fehasználási ütemte</vt:lpstr>
      <vt:lpstr>Tervezett beruházások</vt:lpstr>
      <vt:lpstr>Munka3</vt:lpstr>
      <vt:lpstr>Munka4</vt:lpstr>
      <vt:lpstr>Munka1</vt:lpstr>
      <vt:lpstr>Munka5</vt:lpstr>
    </vt:vector>
  </TitlesOfParts>
  <Company>Vanyarc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IRODA2</dc:creator>
  <cp:lastModifiedBy>Felhasználó</cp:lastModifiedBy>
  <cp:lastPrinted>2018-03-19T13:39:11Z</cp:lastPrinted>
  <dcterms:created xsi:type="dcterms:W3CDTF">2007-02-07T09:23:09Z</dcterms:created>
  <dcterms:modified xsi:type="dcterms:W3CDTF">2018-03-19T13:39:19Z</dcterms:modified>
</cp:coreProperties>
</file>