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5281" windowWidth="9480" windowHeight="11760" tabRatio="903" activeTab="1"/>
  </bookViews>
  <sheets>
    <sheet name="1. info tábla" sheetId="1" r:id="rId1"/>
    <sheet name="2. info tábla" sheetId="2" r:id="rId2"/>
    <sheet name="3. info tábla" sheetId="3" r:id="rId3"/>
    <sheet name="4. info tábla" sheetId="4" r:id="rId4"/>
    <sheet name="5. info tábla" sheetId="5" r:id="rId5"/>
  </sheets>
  <definedNames>
    <definedName name="_xlnm.Print_Titles" localSheetId="0">'1. info tábla'!$A:$A,'1. info tábla'!$4:$4</definedName>
    <definedName name="_xlnm.Print_Titles" localSheetId="1">'2. info tábla'!$5:$6</definedName>
  </definedNames>
  <calcPr fullCalcOnLoad="1"/>
</workbook>
</file>

<file path=xl/sharedStrings.xml><?xml version="1.0" encoding="utf-8"?>
<sst xmlns="http://schemas.openxmlformats.org/spreadsheetml/2006/main" count="930" uniqueCount="413">
  <si>
    <t>Jogcím</t>
  </si>
  <si>
    <t>I.</t>
  </si>
  <si>
    <t>Összesen:</t>
  </si>
  <si>
    <t>1.</t>
  </si>
  <si>
    <t xml:space="preserve">II. </t>
  </si>
  <si>
    <t>III.</t>
  </si>
  <si>
    <t>IV.</t>
  </si>
  <si>
    <t>MINDÖSSZESEN:</t>
  </si>
  <si>
    <t>Dologi kiadások</t>
  </si>
  <si>
    <t>V.</t>
  </si>
  <si>
    <t>Összesen</t>
  </si>
  <si>
    <t>fő</t>
  </si>
  <si>
    <t>Ft</t>
  </si>
  <si>
    <t>ÖSSZESEN:</t>
  </si>
  <si>
    <t>Saját bevétel</t>
  </si>
  <si>
    <t>KIMUTATÁS</t>
  </si>
  <si>
    <t>Telekadó</t>
  </si>
  <si>
    <t>Kommunális adó</t>
  </si>
  <si>
    <t>Építményadó</t>
  </si>
  <si>
    <t>Működési célú pénzmaradvány</t>
  </si>
  <si>
    <t>Kőszeg Város Önkormányzata</t>
  </si>
  <si>
    <t>Megnevezés</t>
  </si>
  <si>
    <t>Bevétel</t>
  </si>
  <si>
    <t>Kiadás</t>
  </si>
  <si>
    <t>összeg</t>
  </si>
  <si>
    <t>megnevezés</t>
  </si>
  <si>
    <t>Polgári védelem</t>
  </si>
  <si>
    <t>dologi kiadás</t>
  </si>
  <si>
    <t>TÁMOGATÁSOK</t>
  </si>
  <si>
    <t>működési átadás</t>
  </si>
  <si>
    <t>Orvosi ügyelet (TKT-nak)</t>
  </si>
  <si>
    <t>(új szerződés alapján)</t>
  </si>
  <si>
    <t>Fitt Boksz Klub Kőszeg</t>
  </si>
  <si>
    <t>Kőszegfalvi SE</t>
  </si>
  <si>
    <t>KŐSZEG ÉS VIDÉKE</t>
  </si>
  <si>
    <t>saját bevétel</t>
  </si>
  <si>
    <t>személyi jutt.</t>
  </si>
  <si>
    <t>járulékok</t>
  </si>
  <si>
    <t>dologi kiadások</t>
  </si>
  <si>
    <t>Szociális Gondozási Központ</t>
  </si>
  <si>
    <t>Intézményi elszámolások</t>
  </si>
  <si>
    <t>Önkormányzati programok működtetése</t>
  </si>
  <si>
    <t>Munkavédelmi feladatok</t>
  </si>
  <si>
    <t>Tűzvédelmi feladatok</t>
  </si>
  <si>
    <t>Könyvvizsgálat</t>
  </si>
  <si>
    <t>Jogtanácsos</t>
  </si>
  <si>
    <t>Pályázati tanácsadó</t>
  </si>
  <si>
    <t>Pénzügyi szolgáltatások díja</t>
  </si>
  <si>
    <t>Áfa befizetés önkormányzati feladatok</t>
  </si>
  <si>
    <t>Dologi kiadások összesen</t>
  </si>
  <si>
    <t>VÁROS ÉS KÖZSÉGGAZDÁLKODÁS</t>
  </si>
  <si>
    <t xml:space="preserve">zsilipkezelési szolgáltatás </t>
  </si>
  <si>
    <t>közkutak vízdíja (várható teljesítés)</t>
  </si>
  <si>
    <t>Köztéri berendezések áramellátása</t>
  </si>
  <si>
    <t>Szúnyogirtás, rágcsálóírtás</t>
  </si>
  <si>
    <t>Különböző egyesületi tagdíjak</t>
  </si>
  <si>
    <t>Vagyonhasznosítás, működtetés</t>
  </si>
  <si>
    <t>Végrehajtási költségek</t>
  </si>
  <si>
    <t>közterülethasználati díjak</t>
  </si>
  <si>
    <t>üdülő, vendégszobák működtetése</t>
  </si>
  <si>
    <t>Üdülési díjak</t>
  </si>
  <si>
    <t>Önkormányzati vagyonbiztosítás</t>
  </si>
  <si>
    <t>TURISZTIKAI FELADATOK</t>
  </si>
  <si>
    <t>Naturpark tagdíj</t>
  </si>
  <si>
    <t>Céltartalék: turisztika elsz. Alapján</t>
  </si>
  <si>
    <t>KHT szolgáltatási díjak</t>
  </si>
  <si>
    <t>összesen:</t>
  </si>
  <si>
    <t>KÖZTEMETŐ FENNTARTÁS</t>
  </si>
  <si>
    <t>sírhely árbevétel</t>
  </si>
  <si>
    <t>temető fenntartási munkák</t>
  </si>
  <si>
    <t>KÖZVILÁGÍTÁS</t>
  </si>
  <si>
    <t>Helyi adók beszedése</t>
  </si>
  <si>
    <t xml:space="preserve">Idegenforgalmi adó </t>
  </si>
  <si>
    <t>Adóértesítések postázása</t>
  </si>
  <si>
    <t>Iparűzési adó</t>
  </si>
  <si>
    <t>Talajterhelési díj</t>
  </si>
  <si>
    <t>Finanszírozási műveletek</t>
  </si>
  <si>
    <t>pénzeszköz átadás (vérszállítás)</t>
  </si>
  <si>
    <t>PÉNZBELI ELLÁTÁSOK, SEGÉLYEK</t>
  </si>
  <si>
    <t>Hulladékgazdálkodási társulás</t>
  </si>
  <si>
    <t>Átvett pénzeszköz</t>
  </si>
  <si>
    <t>Pénzeszköz átadás (működési hozzájárulás)</t>
  </si>
  <si>
    <t>DIÁKSPORT</t>
  </si>
  <si>
    <t>Bölcsőde</t>
  </si>
  <si>
    <t>Központi Óvoda</t>
  </si>
  <si>
    <t>Újvárosi Óvoda</t>
  </si>
  <si>
    <t>Chernel Kálmán Városi Könyvtár</t>
  </si>
  <si>
    <t>I.) TELEPÜLÉSI ÖNKORMÁNYZATOK MŰKÖDÉSÉNEK TÁMOGATÁSA</t>
  </si>
  <si>
    <t>1. a) Önkormányzati hivatal működésének támogatása</t>
  </si>
  <si>
    <t>II.) TELEPÜLÉSI ÖNKORMÁNYZATOK EGYES KÖZNEVELÉSI FELADATAINAK TÁMOGATÁSA</t>
  </si>
  <si>
    <t>Köznevelési intézmények működtetési feladatai</t>
  </si>
  <si>
    <t>Intézményi étkeztetés gimnázium</t>
  </si>
  <si>
    <t>Vásárolt élelmezés</t>
  </si>
  <si>
    <t>Saját bevétel összesen:</t>
  </si>
  <si>
    <t>Intézményi étkeztetés Dr. Nagy László</t>
  </si>
  <si>
    <t>Saját bevétel:</t>
  </si>
  <si>
    <t>Személyi juttatás:</t>
  </si>
  <si>
    <t>Támogatás értékű bevétel</t>
  </si>
  <si>
    <t>Járulék:</t>
  </si>
  <si>
    <t>Pénzeszköz átvétel áht-n kívülről</t>
  </si>
  <si>
    <t>Dologi kiadás:</t>
  </si>
  <si>
    <t>Támogatás értékű kiadás:</t>
  </si>
  <si>
    <t>Pénzeszköz átadás áht-n kívülre:</t>
  </si>
  <si>
    <t>Működési tartalék:</t>
  </si>
  <si>
    <t>Finanszírozási műveletek (hiteltörlesztés)</t>
  </si>
  <si>
    <t>Társadalom és szociálpolitikai juttatás</t>
  </si>
  <si>
    <t>Mindösszesen:</t>
  </si>
  <si>
    <t>Intézményi étkeztetés (Balog  és Bersek Iskola)</t>
  </si>
  <si>
    <t xml:space="preserve">Főépítész </t>
  </si>
  <si>
    <t>Felsővárosi Óvoda</t>
  </si>
  <si>
    <t>Kőszegfalvi Óvoda</t>
  </si>
  <si>
    <t>Munkaszervezeti feladatok</t>
  </si>
  <si>
    <t>Társulási tagdíj</t>
  </si>
  <si>
    <t>kiegészítő gyerekvédelmi támogatás</t>
  </si>
  <si>
    <t>Egyszeri pénzbeli támogatás</t>
  </si>
  <si>
    <t>Kőszeg Város Önkormányzatának többéves kihatással járó kötelezettségeiről (E Ft)</t>
  </si>
  <si>
    <t xml:space="preserve">I. </t>
  </si>
  <si>
    <t>Digitális közműtérkép továbbvezetése</t>
  </si>
  <si>
    <t>Dologi kiadások összesen:</t>
  </si>
  <si>
    <t>Orvosi rendelők közüzemi költségei</t>
  </si>
  <si>
    <t>Járóbeteg ellátással kapcsolatos hozzájárulás</t>
  </si>
  <si>
    <t>Képviselői tiszteletdíjak és juttatások</t>
  </si>
  <si>
    <t>Munkaadói járulékok</t>
  </si>
  <si>
    <t xml:space="preserve">Támogatás értékű bevételek </t>
  </si>
  <si>
    <t>a.) Kőszeg Város Önkormányzata kötelező feladatai</t>
  </si>
  <si>
    <t>b.) Kőszeg Város Önkormányzata önként vállalt feladatai</t>
  </si>
  <si>
    <t>a.) Chernel Kálmán Városi Könyvtár kötelező feladatai</t>
  </si>
  <si>
    <t xml:space="preserve">Közgyűjteményi, könyvtári szolgáltatások nyújtása </t>
  </si>
  <si>
    <t>Könyvtári állomány gyarapítása</t>
  </si>
  <si>
    <t>b.) Chernel Kálmán Városi Könyvtár önként vállalt feladatai</t>
  </si>
  <si>
    <t>a.) Jurisics-vár Művelődési Központ és Várszínház kötelező feladatai</t>
  </si>
  <si>
    <t>b.) Jurisics-vár Művelődési Központ és Várszínház önként vállalt feladatai</t>
  </si>
  <si>
    <t>Közművelődési feladatok ellátása</t>
  </si>
  <si>
    <t>Közművelődési feladatok ellátása: városi rendezvények, ünnepek szervezése</t>
  </si>
  <si>
    <t>Várszínházi rendezvények</t>
  </si>
  <si>
    <t>a.) Kőszegi Városi Múzeum kötelező feladatai</t>
  </si>
  <si>
    <t>Múzeumi, közgyűjteményi feladatok ellátása</t>
  </si>
  <si>
    <t>b.) Kőszegi Városi Múzeum önként vállalt feladatai</t>
  </si>
  <si>
    <t xml:space="preserve">V. </t>
  </si>
  <si>
    <t>a.) Kőszegi Közös Önkormányzati Hivatal kötelező feladatai</t>
  </si>
  <si>
    <t>b.)Kőszegi Közös Önkormányzati Hivatal önként vállalt feladatai</t>
  </si>
  <si>
    <t>c.) Kőszegi Közös Önkormányzati Hivatal államigazgatási feladatai</t>
  </si>
  <si>
    <t>Önkormányzatok igazgatási tevékenysége</t>
  </si>
  <si>
    <t>Települési önkormányzatok hozzájárulása közös hivatalhoz</t>
  </si>
  <si>
    <t>Települési önkormányzatok hozzájárulása munkaszervezeti feladatokhoz</t>
  </si>
  <si>
    <t>Kőszeg Város Önkormányzata és intézményei kötelező feladatai mindösszesen (I.a.), II.a), III.a.), IV.a), V.a)</t>
  </si>
  <si>
    <t>Kőszeg Város Önkormányzata és intézményei önként vállalt feladatai mindösszesen (I.b.), II.b), III.b.), IV.b), V.b)</t>
  </si>
  <si>
    <t>Kőszeg Város Önkormányzata és intézményei államigazgatási feladatai mindösszesen (V.c)</t>
  </si>
  <si>
    <t>Kőszeg Város Önkormányzata által igényelhető állami támogatások</t>
  </si>
  <si>
    <t>Kőszegi Közös Önkormányzati Hivatal</t>
  </si>
  <si>
    <t>Jurisics-vár  Művelődési Központ és Várszínház</t>
  </si>
  <si>
    <t>Kőszegi Városi Múzeum</t>
  </si>
  <si>
    <t>Horvátzsidányi Óvoda</t>
  </si>
  <si>
    <t>Peresznyei Óvoda</t>
  </si>
  <si>
    <t>Bölcsöde</t>
  </si>
  <si>
    <t>Központi Óvdoda összesen:</t>
  </si>
  <si>
    <t>Bozsoki Óvoda</t>
  </si>
  <si>
    <t>Velemi Óvoda</t>
  </si>
  <si>
    <t xml:space="preserve">Újvárosi Óvoda összesen: </t>
  </si>
  <si>
    <t xml:space="preserve">Szociális Gondozási Központ </t>
  </si>
  <si>
    <t>Gyermekétkeztetés Balog</t>
  </si>
  <si>
    <t>Gyermekétkeztetés Bersek Iskolában</t>
  </si>
  <si>
    <t>Gyermekétkeztetés K.szerdahelyi  Iskolában</t>
  </si>
  <si>
    <t>Gyermekétkeztetés Horvátzsidányi Iskolában</t>
  </si>
  <si>
    <t>Gyermekétkeztetés TÁRSULÁS ÁLTAL  összesen:</t>
  </si>
  <si>
    <t>2. MELLÉKLET ÁLTALÁNOS MŰKÖDÉSI ÉS ÁGAZATI FELADATOK TÁMOGATÁSA</t>
  </si>
  <si>
    <t>Közös hivatal működésének támogatása)(4 580 000 Ft/fő)</t>
  </si>
  <si>
    <t xml:space="preserve">1.   Óvodapedagógusok átlagbérének és közterheinek  </t>
  </si>
  <si>
    <t xml:space="preserve">1.  Óvodapedagógusok átlagbérének és közterheinek </t>
  </si>
  <si>
    <t xml:space="preserve">1.  Óvodapedagógusok munkáját közvetlenül segítők      </t>
  </si>
  <si>
    <t xml:space="preserve">      bérének és járulékainak támogatása (8 hóra, 1800 E Ft /év)</t>
  </si>
  <si>
    <t>III.) TELEPÜLÉSI ÖNKORMÁNYZATOK SZOCIÁLIS, GYERMEKJÓLÉTI ÉS GYERMEKÉTKEZTETÉSI FELADATAINAK TÁMOGATÁSA</t>
  </si>
  <si>
    <t xml:space="preserve">2.        Hozzájárulás pénzbeli szociális ellátásokhoz </t>
  </si>
  <si>
    <t>3. c.)  Szociális étkeztetés</t>
  </si>
  <si>
    <t xml:space="preserve">           (55 360  Ft/ellátott )</t>
  </si>
  <si>
    <t xml:space="preserve">3. c.)    társulási kiegészítés - szociális étkeztetésehez </t>
  </si>
  <si>
    <t xml:space="preserve">           (5 536  Ft/ellátott )</t>
  </si>
  <si>
    <t>3.  d.)   Házi segítségnyújtás</t>
  </si>
  <si>
    <t xml:space="preserve">          (145 000 Ft/ellátott)</t>
  </si>
  <si>
    <t xml:space="preserve">3. d.)    társulási kiegészítés - házi segítségnyújtáshoz </t>
  </si>
  <si>
    <t xml:space="preserve">           (43 500 Ft/ellátott )</t>
  </si>
  <si>
    <t>3.  f. )   Időskorúak nappali intézményi ellátása</t>
  </si>
  <si>
    <t xml:space="preserve">           (109 000 Ft/ellátott )</t>
  </si>
  <si>
    <t xml:space="preserve">3.  f. )    társulási kiegészítés -időskorúak nappali </t>
  </si>
  <si>
    <t xml:space="preserve">          intézményi ellátása  (54 500 Ft/ellátott )</t>
  </si>
  <si>
    <t>3.  i.)  Hajléktalanok nappali intézményi ellátása</t>
  </si>
  <si>
    <t xml:space="preserve">           (206 100 Ft/ellátott )</t>
  </si>
  <si>
    <t xml:space="preserve">3.  i.)  társulási kiegészítés  -  Hajléktalanok </t>
  </si>
  <si>
    <t xml:space="preserve">            nappali intézményi ellátása  (41 220  Ft/ellátott )</t>
  </si>
  <si>
    <t>3.  ja.)  Bölcsödei ellátás-gyermekek napközbeni ellátása</t>
  </si>
  <si>
    <t xml:space="preserve">           (494 100 Ft/ellátott )</t>
  </si>
  <si>
    <t>3.  k.)   Hajléktalanok átmeneti szállása</t>
  </si>
  <si>
    <t xml:space="preserve">           (468 350 Ft/ellátott )</t>
  </si>
  <si>
    <t>3.  k.)  társulási kiegészítés  - hajléktalanok átmeneti szállása</t>
  </si>
  <si>
    <t xml:space="preserve">           (46 835 Ft/ellátott )</t>
  </si>
  <si>
    <t xml:space="preserve"> 5 . a.) Gyermekétkeztetés támogatása</t>
  </si>
  <si>
    <t>elismerhető dolgozók bértámogatása (1 632 000 Ft/fő)</t>
  </si>
  <si>
    <t xml:space="preserve"> 5 .b.)   Gyermekétkeztetés </t>
  </si>
  <si>
    <t>üzemeltetési támogatása</t>
  </si>
  <si>
    <t>IV.) TELEPÜLÉSI ÖNKORMÁNYZATOK KULTURÁLIS FELADATAINAK  TÁMOGATÁSA</t>
  </si>
  <si>
    <t xml:space="preserve">1.d.  )   Nyilvános könyvtári és közművelődési </t>
  </si>
  <si>
    <t xml:space="preserve">           feladatok támogatása  (1 140 Ft/fő)</t>
  </si>
  <si>
    <t xml:space="preserve">1. e. ) Települési önkormányzatok múzeális  intézményi </t>
  </si>
  <si>
    <t xml:space="preserve">          feladatainak támogatása  (2013.évi szinten)</t>
  </si>
  <si>
    <t>V.) BESZÁMÍTÁS ÖSSZEGE</t>
  </si>
  <si>
    <t>(előző jogcímeknél levonva)</t>
  </si>
  <si>
    <t>KÖZPONTI TÁMOGATÁS MINDÖSSZESEN ÖNKORMÁNYZATI SZINTEN</t>
  </si>
  <si>
    <t>KŐSZEG</t>
  </si>
  <si>
    <t>KŐSZEG VÁROS ÉS TÉRSÉGE TÁRSULÁSA RÉSZÉRE TÁMOGATÁS ÉRTÉKŰ KIADÁSKÉNT ÁTADANDÓ</t>
  </si>
  <si>
    <t>Kőszeg Város és Térsége Társulása intézményekre vonatkozó állami támogatás átadása</t>
  </si>
  <si>
    <t>Intézményi feladatok ellátása, hozzájárulása</t>
  </si>
  <si>
    <t>áramdíj (új szerződés és teljesítés alapján)</t>
  </si>
  <si>
    <t>díszvilágítás karbantartása</t>
  </si>
  <si>
    <t>Önkéntes tűzoltó egyesület Kőszeg</t>
  </si>
  <si>
    <t>Önkéntes tűzoltó egyesület Kőszegfalva</t>
  </si>
  <si>
    <t>Concordia Barátság Énekegyüttes</t>
  </si>
  <si>
    <t>Kőszeg Város Fúvószenekara</t>
  </si>
  <si>
    <t>Hajnalcsillag Néptánc Egyesület</t>
  </si>
  <si>
    <t>Ataru ütősegyüttes</t>
  </si>
  <si>
    <t>Kőszegi Művészeti Egyesület</t>
  </si>
  <si>
    <t>Polgárőrség</t>
  </si>
  <si>
    <t>Gyemeküdültetés</t>
  </si>
  <si>
    <t>Polgármesteri keret</t>
  </si>
  <si>
    <t>Nemzetiségi önkormányzatok támogatása</t>
  </si>
  <si>
    <t>3 önkormányzat*600 000 Ft/év</t>
  </si>
  <si>
    <t>Kőszegi Vonósok Művészeti Egyesület</t>
  </si>
  <si>
    <t>Kamatbevételek</t>
  </si>
  <si>
    <t>Vagyonhasznosítási tartalék</t>
  </si>
  <si>
    <t>Árpádházi Óvoda támogatása</t>
  </si>
  <si>
    <t>Munkáltatói járulékok</t>
  </si>
  <si>
    <t>működési célú pénzeszköz átadás: Naturpark támogatása</t>
  </si>
  <si>
    <t>Naturpark támogatása</t>
  </si>
  <si>
    <t>EGYÉB SZÓRAKOZTATÓ TEVÉKENYSÉG, KITÜNTETÉSEK</t>
  </si>
  <si>
    <t>Személyi juttatások</t>
  </si>
  <si>
    <t>ORVOSI RENDELŐK, SZAKRENDELŐ</t>
  </si>
  <si>
    <t>Működési célú maradvány</t>
  </si>
  <si>
    <t>Mindösszesen (I.+II.+III.+IV.+V. pontok):</t>
  </si>
  <si>
    <t>Gépjármű adó (itt maradó része)</t>
  </si>
  <si>
    <t>Kamat kiadások (dologi kiadás)</t>
  </si>
  <si>
    <t>PÁLYÁZATOKKAL KAPCSOLATOS MŰKÖDÉSI KÖLTSÉGEK</t>
  </si>
  <si>
    <t>Önkormányzati foglalkoztatás</t>
  </si>
  <si>
    <t>Személyi juttatások (polgármester, alpolgármester, takarítók)</t>
  </si>
  <si>
    <t>Személyi juttatások (képviselők, bizottsági tagok)</t>
  </si>
  <si>
    <t>Elvonások, befizetések</t>
  </si>
  <si>
    <t>150. jubileum</t>
  </si>
  <si>
    <t xml:space="preserve">rendelők továbbszámlázott bevétele </t>
  </si>
  <si>
    <t>ÁLTALÁNOS TARTALÉK</t>
  </si>
  <si>
    <t xml:space="preserve">bb) Közvilágítás fenntartásának támogatása   </t>
  </si>
  <si>
    <t>bc) Köztemető fenntartásának támogatása</t>
  </si>
  <si>
    <t xml:space="preserve">d) Közutak fenntartásának támogatása </t>
  </si>
  <si>
    <t>1. c) Egyéb kötelező önkormányzati feladatok támogatása</t>
  </si>
  <si>
    <t xml:space="preserve">1.d.)  Lakott  külterülettel kapcsolatos feladatok támogatása </t>
  </si>
  <si>
    <t xml:space="preserve">1.e .)   Üdülőhelyi feladatok támogatása </t>
  </si>
  <si>
    <t>2.  Nem közművel összegyűjtött háztartási szennyvíz ártalmatlanítása (100 Ft/km3)</t>
  </si>
  <si>
    <t xml:space="preserve">      átlagbéréhez és közterheihez  ( 3 hónapra) (35 E Ft /létszám/év)</t>
  </si>
  <si>
    <t xml:space="preserve">      bérének és járulékainak támogatása (4 hóra, 1800 Ft /év)</t>
  </si>
  <si>
    <t>4. Köznevelési intézmények működtetéséhez kapcsolódó támogatás</t>
  </si>
  <si>
    <t xml:space="preserve">5.   Pedagógus II. kategóriába sorolt óvodapedagógusok  kiegészítő </t>
  </si>
  <si>
    <t xml:space="preserve">1. Pénzbeli szociális ellátások kiegészítése </t>
  </si>
  <si>
    <t xml:space="preserve">2. információs tábla </t>
  </si>
  <si>
    <t>Közhatalmi bevétel</t>
  </si>
  <si>
    <t>Működési bevétel</t>
  </si>
  <si>
    <t>Állami támogatások (önkormányzati feladatokra)</t>
  </si>
  <si>
    <t>Támogatás áht-n belülről (év közbeni igénylés önkormányzati feladatokra)</t>
  </si>
  <si>
    <t>Egyéb átvett pénzeszköz</t>
  </si>
  <si>
    <t>Egyéb támogatás áht-n belülről</t>
  </si>
  <si>
    <t>Támogatás értékű bevételek összesen:</t>
  </si>
  <si>
    <t>Működési bevételek</t>
  </si>
  <si>
    <t>Közhatalmi bevételek</t>
  </si>
  <si>
    <t>3. információs tábla</t>
  </si>
  <si>
    <t>Tűzoltóság (köztestület) támogatása</t>
  </si>
  <si>
    <t>Kőszegi Testvérvárosi Egyesület</t>
  </si>
  <si>
    <t>a 2016. évi költségvetési törvény szerint</t>
  </si>
  <si>
    <t>2016.     Összesen</t>
  </si>
  <si>
    <t>1. b) Település-üzemeltetéshez kapcsolódó feladatellátás támogatása beszámítás után (83 130 972-5 464 878)</t>
  </si>
  <si>
    <t xml:space="preserve"> ba) Zöldterület gazdálkodással kapcsolatos feladatok támogatása (13 495 960-5 464 878)</t>
  </si>
  <si>
    <t>beszámítás után (lakosságszám alapján 2 700 Ft/fő)           (30 912 300-30 912 300)</t>
  </si>
  <si>
    <t>(2250 Ft/fő) (328 950 - 328 950)</t>
  </si>
  <si>
    <t xml:space="preserve">       (2 Ft / idegenforgalmi adóbevétel tartozkodás után)</t>
  </si>
  <si>
    <t xml:space="preserve">     elismert összege  ( 8 hónapra) (4 308 E Ft /létszám/év)</t>
  </si>
  <si>
    <t xml:space="preserve">       elismert összege  ( 4 hónapra) (4 308 E Ft /létszám/év)</t>
  </si>
  <si>
    <t xml:space="preserve">1.   Pótlólagos összeg 2016/2017. tanévre óvodapedagógusok </t>
  </si>
  <si>
    <t>2.   Óvodaműködtetési támogatás (8 hóra, 80 E Ft/fő/év)</t>
  </si>
  <si>
    <t>2.   Óvodamúködtetési támogatás (4 hóra  80 E Ft/fő/év)</t>
  </si>
  <si>
    <t xml:space="preserve">      támogatásra.  (384 E Ft /fő/11 hónap)</t>
  </si>
  <si>
    <t>beszámítás után</t>
  </si>
  <si>
    <t>3.a.)   család és gyermekjóléti szolgálat</t>
  </si>
  <si>
    <t>(3 000 000 Ft/ számított létszám)</t>
  </si>
  <si>
    <t xml:space="preserve">3.  b.)   család és gyermekjóléti köpont </t>
  </si>
  <si>
    <t>4. a.)   Idősek átmeneti és tartós szakosított ellátása (Idősek otthona)           számított intézményvezetői és a segítői munkatárs létszámához kapcsolódó bértámogatás (2 606 040 Ft/fő)</t>
  </si>
  <si>
    <t>4.b.)   Idősek átmeneti és tartós szakosított ellátása (Idősek otthona)  intézmény-üzemeltetési támogatás</t>
  </si>
  <si>
    <t>elvárt bevétel a 2013. évi iparűzési adóalap 0,5%-ának a 70 %-a</t>
  </si>
  <si>
    <t>Kőszegfalvi temető mobil illemhely üzemeltetése</t>
  </si>
  <si>
    <t>ÉNYKK SZÁLLÍTÁSI SZOLGÁLTATÁS</t>
  </si>
  <si>
    <t>Közigazgatási bírság</t>
  </si>
  <si>
    <t>Kőszeg Város Önkormányzata és intézményei 2016. évi működési bevételei és kiadásai feladatjelleg szerint (Ft)</t>
  </si>
  <si>
    <t>Kőszegi SE</t>
  </si>
  <si>
    <t>szolgáltatási díjak (2016. évi terv)</t>
  </si>
  <si>
    <t>Kőszegi FC</t>
  </si>
  <si>
    <t>Áfa bevétel</t>
  </si>
  <si>
    <t>Települési támogatás</t>
  </si>
  <si>
    <t>Köztemetés</t>
  </si>
  <si>
    <t>Bursa Hungarica ösztöndíj</t>
  </si>
  <si>
    <t xml:space="preserve">kiegésztítő gyermekvédelmi támotás </t>
  </si>
  <si>
    <t>Ellátottak pénzbeli juttatásai összesen:</t>
  </si>
  <si>
    <t>Tartalék (Alpannonia II. pályázat kiadásaira)</t>
  </si>
  <si>
    <t xml:space="preserve">Tartalék összesen: </t>
  </si>
  <si>
    <t>Intézményi étkeztetés  (dologi kiadások)</t>
  </si>
  <si>
    <t>Intézményi étkeztetés  (müködési bevétel)</t>
  </si>
  <si>
    <t>Működési támotások áht belülre</t>
  </si>
  <si>
    <t>Működési támotások áht belülre összesen:</t>
  </si>
  <si>
    <t>Működési bevétel (Tesconak továbbszámlázott rész)</t>
  </si>
  <si>
    <t xml:space="preserve">Működési célú pénzmaradvány: </t>
  </si>
  <si>
    <t>Önkormányzatok működési célú támogatásai</t>
  </si>
  <si>
    <t xml:space="preserve">Ellátottak pénzbeli juttatásai </t>
  </si>
  <si>
    <t>Működési c. támogatások áht. Belülre</t>
  </si>
  <si>
    <t>Működési c. támogatások áht. Kívülre</t>
  </si>
  <si>
    <t>Működési célú tartalékok</t>
  </si>
  <si>
    <t>Működési célú támogatások áht-n kívülre</t>
  </si>
  <si>
    <t>Működési célú támogatások áht-n belülre</t>
  </si>
  <si>
    <t>Vár vagyonkezelési díja</t>
  </si>
  <si>
    <t>Előző évi maradvány (Erasmus + pályázatból)</t>
  </si>
  <si>
    <t>Erasmus + pályázat dologi kiadásai</t>
  </si>
  <si>
    <t>Image építés</t>
  </si>
  <si>
    <t>Rendezvények dologi kiadásai</t>
  </si>
  <si>
    <t>Működési célú támogatás áht-n kívülre:</t>
  </si>
  <si>
    <t>Működési célú támogatás áht-n belülre:</t>
  </si>
  <si>
    <t>Dologi kiadás (orvosi alkalmassági vizsgálat)</t>
  </si>
  <si>
    <t>Finanaszírozási kiadások:</t>
  </si>
  <si>
    <t>Finanszírozási kiadások</t>
  </si>
  <si>
    <t>jó tanuló, jó sportoló, pedagógus nap, díszdiploma</t>
  </si>
  <si>
    <t>Működési c támogatások áht-n kívülrőlv(Erasmus +)</t>
  </si>
  <si>
    <t xml:space="preserve">Erasmus + pályázat személyi jellegű kiadásai </t>
  </si>
  <si>
    <t xml:space="preserve">Erasmus + pályázat munkaadói járulékok </t>
  </si>
  <si>
    <t>közvilágítás karbantartás</t>
  </si>
  <si>
    <t xml:space="preserve">Tartalék </t>
  </si>
  <si>
    <t>Támogatás értékű bvételek (ÁROP II projekt)</t>
  </si>
  <si>
    <t xml:space="preserve">Ostromnapok NKA pályázat saját erő </t>
  </si>
  <si>
    <t>Önkományzatok müködési célú támogatása</t>
  </si>
  <si>
    <t>Ellátottak juttatásai:</t>
  </si>
  <si>
    <t>Működési c. támogatások áht-n belülre</t>
  </si>
  <si>
    <t>Működési c. támogatások áht-n kívülre</t>
  </si>
  <si>
    <t>Tartalékok</t>
  </si>
  <si>
    <t>Finanszírozási műveletek ()</t>
  </si>
  <si>
    <t xml:space="preserve">1. információs tábla </t>
  </si>
  <si>
    <t>2016. évi állami előleg visszafizetése</t>
  </si>
  <si>
    <t>ERASMUS + pályázat</t>
  </si>
  <si>
    <t>Megjegyzés: A kimutatás a kiadások között jelentkező kötelezettségeket tartalmazza, a 1. pontban felsorolt projektekhez 2016-ben 3 664  E Ft belső és 333 E Ft külső forrás kapcsolódik.</t>
  </si>
  <si>
    <t>2021-2027. 5 éven túli</t>
  </si>
  <si>
    <t xml:space="preserve">4. információs tábla </t>
  </si>
  <si>
    <t xml:space="preserve">Kőszeg Város Önkormányzata által nyútott közvetett támogatásokról </t>
  </si>
  <si>
    <t>2016. évben E Ft-ban</t>
  </si>
  <si>
    <t>Ellátottak térítési díjának, ill. kártérítésének méltányossági alapon történő elengedése:</t>
  </si>
  <si>
    <t>Térítési díjak (kedvezmény jogszabályi előíráson alapul)</t>
  </si>
  <si>
    <t>Kedvezmények miatti csökkentés:</t>
  </si>
  <si>
    <t>Tervezett bevétel összesen:</t>
  </si>
  <si>
    <t>Térítési díj támogatás (szociális ellátás)</t>
  </si>
  <si>
    <t>Közvetett támogatás összesen:</t>
  </si>
  <si>
    <t>Lakosság részére lakásépítéshez, lakásfelújításhoz nyújtott kölcsönök elengedése:</t>
  </si>
  <si>
    <t>Ilyen kedvezmény nyújtását a 2016. évi költségvetésben nem terveztük.</t>
  </si>
  <si>
    <t>Helyi adónál, gépjárműadónál biztosított kedvezmény, mentesség összege adónemenként:</t>
  </si>
  <si>
    <t>Gépjárműadó</t>
  </si>
  <si>
    <t>Kedvezmények miatti csökkentés</t>
  </si>
  <si>
    <t>Mentességek miatti csökkentés:</t>
  </si>
  <si>
    <t>Közvetett támogatás összesen (gépjármű adóból 40%-a marad az önkormányzatnál):</t>
  </si>
  <si>
    <t>Helyiségek, eszközök hasznosításából származó bevételből nyújtott kedvezmény, mentesség:</t>
  </si>
  <si>
    <t>Helyiségek bérbeadása, hasznosítása (Városüzemeltető Kft. által kezelt ingatlanok):</t>
  </si>
  <si>
    <t>Ingyenes használatba adott ingatlanok éves bérleti díja 2016-ban:</t>
  </si>
  <si>
    <t>Egyéb nyújtott kedvezmény vagy kölcsön elengedés:</t>
  </si>
  <si>
    <t>Ingatlan értékesítés (lakások) vételára:</t>
  </si>
  <si>
    <t>KÖZVETETT TÁMOGATÁSOK MINDÖSSZESEN:</t>
  </si>
  <si>
    <t xml:space="preserve">5. információs tábla </t>
  </si>
  <si>
    <t>Kőszeg Város Önkormányzata előirányzat felhasználási és likviditási ütemterve 2016. évben E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</si>
  <si>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</si>
  <si>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</si>
  <si>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</si>
  <si>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</si>
  <si>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</si>
  <si>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</si>
  <si>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</si>
  <si>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</si>
  <si>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</si>
  <si>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</si>
  <si>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</si>
  <si>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</si>
  <si>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 Működési c tám áht-n belülről</t>
  </si>
  <si>
    <t>2. Közhatalmi bevételek</t>
  </si>
  <si>
    <t>3. Működési bevételek</t>
  </si>
  <si>
    <t>4. Működési c átvett pénzeszközök</t>
  </si>
  <si>
    <t>5. Felhalmozási c tám áht-n belülről</t>
  </si>
  <si>
    <t>6. Felhalmozási bevételek</t>
  </si>
  <si>
    <t>7. Felhalmozási c átvett pénzeszközök</t>
  </si>
  <si>
    <t>8. Költségvetési bevételek összesen</t>
  </si>
  <si>
    <t>9. Hiány</t>
  </si>
  <si>
    <t>10. Belső fin. bevételei (Pénzmaradvány)</t>
  </si>
  <si>
    <t>11. Külső fin. Bevételei (hitelfelvétel)</t>
  </si>
  <si>
    <t>12. Külső fin. bevételei (működési hitel)</t>
  </si>
  <si>
    <t>14. BEVÉTELEK ÖSSZESEN</t>
  </si>
  <si>
    <t>13. Személyi juttatások</t>
  </si>
  <si>
    <t>14. Munkaadói járulék</t>
  </si>
  <si>
    <t>15. Dologi kiadás</t>
  </si>
  <si>
    <t>16. Ellátottak juttatásai</t>
  </si>
  <si>
    <t>17. Egyéb működési c kiadások</t>
  </si>
  <si>
    <t>18. Beruházás</t>
  </si>
  <si>
    <t>19. Felújítás</t>
  </si>
  <si>
    <t>20. Egyéb felhalmozási c kiadások</t>
  </si>
  <si>
    <t>21. Költségvetési kiadások összesen</t>
  </si>
  <si>
    <t>22. Finanszírozás kiadásai (Hiteltörlesztés)</t>
  </si>
  <si>
    <t>22. KIADÁSOK ÖSSZESEN</t>
  </si>
  <si>
    <t>Kőszeg könyv vásárlása</t>
  </si>
  <si>
    <t>6.  A 2015. évrol áthúzódó bérkompenzáció
támogatása</t>
  </si>
  <si>
    <t xml:space="preserve">7)    Kiegészító támogatás a bölcsődében folgalkoztatott, </t>
  </si>
  <si>
    <t>felsőfokú végzettségű kisgyermeknevelők béréhez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</si>
</sst>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_-* #,##0.0\ &quot;Ft&quot;_-;\-* #,##0.0\ &quot;Ft&quot;_-;_-* &quot;-&quot;??\ &quot;Ft&quot;_-;_-@_-"/>
    <numFmt numFmtId="196" formatCode="_-* #,##0\ &quot;Ft&quot;_-;\-* #,##0\ &quot;Ft&quot;_-;_-* &quot;-&quot;??\ &quot;Ft&quot;_-;_-@_-"/>
    <numFmt numFmtId="197" formatCode="0&quot; fő&quot;"/>
    <numFmt numFmtId="198" formatCode="_-* #,##0.0\ _F_t_-;\-* #,##0.0\ _F_t_-;_-* &quot;-&quot;\ _F_t_-;_-@_-"/>
    <numFmt numFmtId="199" formatCode="0&quot; nap&quot;"/>
    <numFmt numFmtId="200" formatCode="#,##0_ ;\-#,##0\ "/>
    <numFmt numFmtId="201" formatCode="_-* #,##0.0000\ _F_t_-;\-* #,##0.0000\ _F_t_-;_-* &quot;-&quot;??\ _F_t_-;_-@_-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0"/>
      <name val="Arial CE"/>
      <family val="0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1" fillId="3" borderId="0" applyNumberFormat="0" applyBorder="0" applyAlignment="0" applyProtection="0"/>
    <xf numFmtId="0" fontId="19" fillId="7" borderId="1" applyNumberFormat="0" applyAlignment="0" applyProtection="0"/>
    <xf numFmtId="0" fontId="33" fillId="20" borderId="1" applyNumberFormat="0" applyAlignment="0" applyProtection="0"/>
    <xf numFmtId="0" fontId="24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2" applyNumberFormat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9" fillId="7" borderId="1" applyNumberFormat="0" applyAlignment="0" applyProtection="0"/>
    <xf numFmtId="0" fontId="0" fillId="22" borderId="7" applyNumberFormat="0" applyFont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6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2" borderId="7" applyNumberFormat="0" applyFont="0" applyAlignment="0" applyProtection="0"/>
    <xf numFmtId="0" fontId="28" fillId="20" borderId="8" applyNumberFormat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 wrapText="1"/>
    </xf>
    <xf numFmtId="3" fontId="4" fillId="0" borderId="15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wrapText="1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3" fontId="4" fillId="3" borderId="0" xfId="0" applyNumberFormat="1" applyFont="1" applyFill="1" applyAlignment="1">
      <alignment/>
    </xf>
    <xf numFmtId="0" fontId="16" fillId="3" borderId="17" xfId="0" applyFont="1" applyFill="1" applyBorder="1" applyAlignment="1">
      <alignment horizontal="center" wrapText="1"/>
    </xf>
    <xf numFmtId="3" fontId="16" fillId="3" borderId="17" xfId="0" applyNumberFormat="1" applyFont="1" applyFill="1" applyBorder="1" applyAlignment="1">
      <alignment horizontal="center" wrapText="1"/>
    </xf>
    <xf numFmtId="3" fontId="16" fillId="3" borderId="18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/>
    </xf>
    <xf numFmtId="0" fontId="5" fillId="3" borderId="11" xfId="0" applyFont="1" applyFill="1" applyBorder="1" applyAlignment="1">
      <alignment wrapText="1"/>
    </xf>
    <xf numFmtId="0" fontId="4" fillId="3" borderId="19" xfId="0" applyFont="1" applyFill="1" applyBorder="1" applyAlignment="1">
      <alignment/>
    </xf>
    <xf numFmtId="3" fontId="4" fillId="3" borderId="20" xfId="0" applyNumberFormat="1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5" fillId="3" borderId="0" xfId="0" applyFont="1" applyFill="1" applyBorder="1" applyAlignment="1">
      <alignment wrapText="1"/>
    </xf>
    <xf numFmtId="0" fontId="5" fillId="3" borderId="21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3" fontId="4" fillId="3" borderId="22" xfId="0" applyNumberFormat="1" applyFont="1" applyFill="1" applyBorder="1" applyAlignment="1">
      <alignment wrapText="1"/>
    </xf>
    <xf numFmtId="0" fontId="4" fillId="3" borderId="21" xfId="0" applyFont="1" applyFill="1" applyBorder="1" applyAlignment="1">
      <alignment wrapText="1"/>
    </xf>
    <xf numFmtId="0" fontId="5" fillId="3" borderId="23" xfId="0" applyFont="1" applyFill="1" applyBorder="1" applyAlignment="1">
      <alignment wrapText="1"/>
    </xf>
    <xf numFmtId="0" fontId="4" fillId="3" borderId="24" xfId="0" applyFont="1" applyFill="1" applyBorder="1" applyAlignment="1">
      <alignment wrapText="1"/>
    </xf>
    <xf numFmtId="3" fontId="5" fillId="3" borderId="25" xfId="0" applyNumberFormat="1" applyFont="1" applyFill="1" applyBorder="1" applyAlignment="1">
      <alignment wrapText="1"/>
    </xf>
    <xf numFmtId="3" fontId="5" fillId="3" borderId="0" xfId="0" applyNumberFormat="1" applyFont="1" applyFill="1" applyBorder="1" applyAlignment="1">
      <alignment wrapText="1"/>
    </xf>
    <xf numFmtId="0" fontId="5" fillId="3" borderId="26" xfId="0" applyFont="1" applyFill="1" applyBorder="1" applyAlignment="1">
      <alignment/>
    </xf>
    <xf numFmtId="0" fontId="5" fillId="3" borderId="27" xfId="0" applyFont="1" applyFill="1" applyBorder="1" applyAlignment="1">
      <alignment/>
    </xf>
    <xf numFmtId="3" fontId="5" fillId="3" borderId="28" xfId="0" applyNumberFormat="1" applyFont="1" applyFill="1" applyBorder="1" applyAlignment="1">
      <alignment/>
    </xf>
    <xf numFmtId="0" fontId="5" fillId="3" borderId="27" xfId="0" applyFont="1" applyFill="1" applyBorder="1" applyAlignment="1">
      <alignment wrapText="1"/>
    </xf>
    <xf numFmtId="0" fontId="4" fillId="3" borderId="29" xfId="0" applyFont="1" applyFill="1" applyBorder="1" applyAlignment="1">
      <alignment/>
    </xf>
    <xf numFmtId="3" fontId="4" fillId="3" borderId="19" xfId="0" applyNumberFormat="1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3" fontId="4" fillId="3" borderId="22" xfId="0" applyNumberFormat="1" applyFont="1" applyFill="1" applyBorder="1" applyAlignment="1">
      <alignment/>
    </xf>
    <xf numFmtId="0" fontId="4" fillId="3" borderId="31" xfId="0" applyFont="1" applyFill="1" applyBorder="1" applyAlignment="1">
      <alignment/>
    </xf>
    <xf numFmtId="0" fontId="4" fillId="3" borderId="24" xfId="0" applyFont="1" applyFill="1" applyBorder="1" applyAlignment="1">
      <alignment/>
    </xf>
    <xf numFmtId="3" fontId="4" fillId="3" borderId="24" xfId="0" applyNumberFormat="1" applyFont="1" applyFill="1" applyBorder="1" applyAlignment="1">
      <alignment/>
    </xf>
    <xf numFmtId="3" fontId="4" fillId="3" borderId="25" xfId="0" applyNumberFormat="1" applyFont="1" applyFill="1" applyBorder="1" applyAlignment="1">
      <alignment/>
    </xf>
    <xf numFmtId="0" fontId="5" fillId="3" borderId="31" xfId="0" applyFont="1" applyFill="1" applyBorder="1" applyAlignment="1">
      <alignment/>
    </xf>
    <xf numFmtId="0" fontId="5" fillId="3" borderId="24" xfId="0" applyFont="1" applyFill="1" applyBorder="1" applyAlignment="1">
      <alignment/>
    </xf>
    <xf numFmtId="3" fontId="5" fillId="3" borderId="25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0" fontId="4" fillId="4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0" fontId="16" fillId="4" borderId="17" xfId="0" applyFont="1" applyFill="1" applyBorder="1" applyAlignment="1">
      <alignment horizontal="center" wrapText="1"/>
    </xf>
    <xf numFmtId="3" fontId="16" fillId="4" borderId="17" xfId="0" applyNumberFormat="1" applyFont="1" applyFill="1" applyBorder="1" applyAlignment="1">
      <alignment horizontal="center" wrapText="1"/>
    </xf>
    <xf numFmtId="3" fontId="16" fillId="4" borderId="18" xfId="0" applyNumberFormat="1" applyFont="1" applyFill="1" applyBorder="1" applyAlignment="1">
      <alignment horizontal="center" wrapText="1"/>
    </xf>
    <xf numFmtId="0" fontId="5" fillId="4" borderId="0" xfId="0" applyFont="1" applyFill="1" applyBorder="1" applyAlignment="1">
      <alignment/>
    </xf>
    <xf numFmtId="0" fontId="5" fillId="4" borderId="11" xfId="0" applyFont="1" applyFill="1" applyBorder="1" applyAlignment="1">
      <alignment wrapText="1"/>
    </xf>
    <xf numFmtId="0" fontId="4" fillId="4" borderId="19" xfId="0" applyFont="1" applyFill="1" applyBorder="1" applyAlignment="1">
      <alignment/>
    </xf>
    <xf numFmtId="3" fontId="4" fillId="4" borderId="20" xfId="0" applyNumberFormat="1" applyFont="1" applyFill="1" applyBorder="1" applyAlignment="1">
      <alignment/>
    </xf>
    <xf numFmtId="0" fontId="5" fillId="4" borderId="19" xfId="0" applyFont="1" applyFill="1" applyBorder="1" applyAlignment="1">
      <alignment/>
    </xf>
    <xf numFmtId="0" fontId="5" fillId="4" borderId="0" xfId="0" applyFont="1" applyFill="1" applyBorder="1" applyAlignment="1">
      <alignment wrapText="1"/>
    </xf>
    <xf numFmtId="0" fontId="5" fillId="4" borderId="21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3" fontId="4" fillId="4" borderId="22" xfId="0" applyNumberFormat="1" applyFont="1" applyFill="1" applyBorder="1" applyAlignment="1">
      <alignment wrapText="1"/>
    </xf>
    <xf numFmtId="0" fontId="4" fillId="4" borderId="21" xfId="0" applyFont="1" applyFill="1" applyBorder="1" applyAlignment="1">
      <alignment wrapText="1"/>
    </xf>
    <xf numFmtId="0" fontId="5" fillId="4" borderId="23" xfId="0" applyFont="1" applyFill="1" applyBorder="1" applyAlignment="1">
      <alignment wrapText="1"/>
    </xf>
    <xf numFmtId="0" fontId="4" fillId="4" borderId="24" xfId="0" applyFont="1" applyFill="1" applyBorder="1" applyAlignment="1">
      <alignment wrapText="1"/>
    </xf>
    <xf numFmtId="3" fontId="5" fillId="4" borderId="25" xfId="0" applyNumberFormat="1" applyFont="1" applyFill="1" applyBorder="1" applyAlignment="1">
      <alignment wrapText="1"/>
    </xf>
    <xf numFmtId="3" fontId="5" fillId="4" borderId="0" xfId="0" applyNumberFormat="1" applyFont="1" applyFill="1" applyBorder="1" applyAlignment="1">
      <alignment wrapText="1"/>
    </xf>
    <xf numFmtId="0" fontId="5" fillId="4" borderId="26" xfId="0" applyFont="1" applyFill="1" applyBorder="1" applyAlignment="1">
      <alignment/>
    </xf>
    <xf numFmtId="0" fontId="5" fillId="4" borderId="27" xfId="0" applyFont="1" applyFill="1" applyBorder="1" applyAlignment="1">
      <alignment/>
    </xf>
    <xf numFmtId="3" fontId="5" fillId="4" borderId="28" xfId="0" applyNumberFormat="1" applyFont="1" applyFill="1" applyBorder="1" applyAlignment="1">
      <alignment/>
    </xf>
    <xf numFmtId="0" fontId="5" fillId="4" borderId="27" xfId="0" applyFont="1" applyFill="1" applyBorder="1" applyAlignment="1">
      <alignment wrapText="1"/>
    </xf>
    <xf numFmtId="0" fontId="4" fillId="4" borderId="29" xfId="0" applyFont="1" applyFill="1" applyBorder="1" applyAlignment="1">
      <alignment/>
    </xf>
    <xf numFmtId="3" fontId="4" fillId="4" borderId="19" xfId="0" applyNumberFormat="1" applyFont="1" applyFill="1" applyBorder="1" applyAlignment="1">
      <alignment/>
    </xf>
    <xf numFmtId="0" fontId="4" fillId="4" borderId="3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3" fontId="4" fillId="4" borderId="22" xfId="0" applyNumberFormat="1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4" fillId="4" borderId="24" xfId="0" applyFont="1" applyFill="1" applyBorder="1" applyAlignment="1">
      <alignment/>
    </xf>
    <xf numFmtId="3" fontId="4" fillId="4" borderId="24" xfId="0" applyNumberFormat="1" applyFont="1" applyFill="1" applyBorder="1" applyAlignment="1">
      <alignment/>
    </xf>
    <xf numFmtId="3" fontId="4" fillId="4" borderId="25" xfId="0" applyNumberFormat="1" applyFont="1" applyFill="1" applyBorder="1" applyAlignment="1">
      <alignment/>
    </xf>
    <xf numFmtId="0" fontId="5" fillId="4" borderId="31" xfId="0" applyFont="1" applyFill="1" applyBorder="1" applyAlignment="1">
      <alignment/>
    </xf>
    <xf numFmtId="0" fontId="5" fillId="4" borderId="24" xfId="0" applyFont="1" applyFill="1" applyBorder="1" applyAlignment="1">
      <alignment/>
    </xf>
    <xf numFmtId="3" fontId="5" fillId="4" borderId="25" xfId="0" applyNumberFormat="1" applyFont="1" applyFill="1" applyBorder="1" applyAlignment="1">
      <alignment/>
    </xf>
    <xf numFmtId="0" fontId="5" fillId="4" borderId="22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3" fillId="4" borderId="22" xfId="0" applyFont="1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3" fontId="3" fillId="4" borderId="25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4" fillId="4" borderId="21" xfId="0" applyFont="1" applyFill="1" applyBorder="1" applyAlignment="1">
      <alignment horizontal="left" indent="1"/>
    </xf>
    <xf numFmtId="0" fontId="6" fillId="4" borderId="21" xfId="0" applyFont="1" applyFill="1" applyBorder="1" applyAlignment="1">
      <alignment horizontal="left" indent="4"/>
    </xf>
    <xf numFmtId="0" fontId="6" fillId="4" borderId="0" xfId="0" applyFont="1" applyFill="1" applyBorder="1" applyAlignment="1">
      <alignment/>
    </xf>
    <xf numFmtId="3" fontId="6" fillId="4" borderId="22" xfId="0" applyNumberFormat="1" applyFont="1" applyFill="1" applyBorder="1" applyAlignment="1">
      <alignment/>
    </xf>
    <xf numFmtId="0" fontId="5" fillId="4" borderId="23" xfId="0" applyFont="1" applyFill="1" applyBorder="1" applyAlignment="1">
      <alignment horizontal="left" indent="3"/>
    </xf>
    <xf numFmtId="3" fontId="4" fillId="4" borderId="0" xfId="0" applyNumberFormat="1" applyFont="1" applyFill="1" applyBorder="1" applyAlignment="1">
      <alignment wrapText="1"/>
    </xf>
    <xf numFmtId="0" fontId="5" fillId="4" borderId="24" xfId="0" applyFont="1" applyFill="1" applyBorder="1" applyAlignment="1">
      <alignment wrapText="1"/>
    </xf>
    <xf numFmtId="0" fontId="5" fillId="4" borderId="26" xfId="0" applyFont="1" applyFill="1" applyBorder="1" applyAlignment="1">
      <alignment wrapText="1"/>
    </xf>
    <xf numFmtId="0" fontId="4" fillId="4" borderId="27" xfId="0" applyFont="1" applyFill="1" applyBorder="1" applyAlignment="1">
      <alignment wrapText="1"/>
    </xf>
    <xf numFmtId="3" fontId="4" fillId="4" borderId="28" xfId="0" applyNumberFormat="1" applyFont="1" applyFill="1" applyBorder="1" applyAlignment="1">
      <alignment wrapText="1"/>
    </xf>
    <xf numFmtId="0" fontId="5" fillId="4" borderId="32" xfId="0" applyFont="1" applyFill="1" applyBorder="1" applyAlignment="1">
      <alignment wrapText="1"/>
    </xf>
    <xf numFmtId="0" fontId="5" fillId="4" borderId="29" xfId="0" applyFont="1" applyFill="1" applyBorder="1" applyAlignment="1">
      <alignment/>
    </xf>
    <xf numFmtId="0" fontId="4" fillId="4" borderId="29" xfId="0" applyFont="1" applyFill="1" applyBorder="1" applyAlignment="1">
      <alignment wrapText="1"/>
    </xf>
    <xf numFmtId="0" fontId="4" fillId="4" borderId="30" xfId="0" applyFont="1" applyFill="1" applyBorder="1" applyAlignment="1">
      <alignment wrapText="1"/>
    </xf>
    <xf numFmtId="0" fontId="5" fillId="4" borderId="30" xfId="0" applyFont="1" applyFill="1" applyBorder="1" applyAlignment="1">
      <alignment wrapText="1"/>
    </xf>
    <xf numFmtId="3" fontId="5" fillId="4" borderId="22" xfId="0" applyNumberFormat="1" applyFont="1" applyFill="1" applyBorder="1" applyAlignment="1">
      <alignment wrapText="1"/>
    </xf>
    <xf numFmtId="0" fontId="5" fillId="4" borderId="31" xfId="0" applyFont="1" applyFill="1" applyBorder="1" applyAlignment="1">
      <alignment wrapText="1"/>
    </xf>
    <xf numFmtId="3" fontId="4" fillId="4" borderId="20" xfId="0" applyNumberFormat="1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3" fontId="5" fillId="4" borderId="28" xfId="0" applyNumberFormat="1" applyFont="1" applyFill="1" applyBorder="1" applyAlignment="1">
      <alignment wrapText="1"/>
    </xf>
    <xf numFmtId="0" fontId="5" fillId="4" borderId="19" xfId="0" applyFont="1" applyFill="1" applyBorder="1" applyAlignment="1">
      <alignment wrapText="1"/>
    </xf>
    <xf numFmtId="0" fontId="5" fillId="4" borderId="29" xfId="0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3" fontId="5" fillId="4" borderId="20" xfId="0" applyNumberFormat="1" applyFont="1" applyFill="1" applyBorder="1" applyAlignment="1">
      <alignment wrapText="1"/>
    </xf>
    <xf numFmtId="3" fontId="4" fillId="4" borderId="19" xfId="0" applyNumberFormat="1" applyFont="1" applyFill="1" applyBorder="1" applyAlignment="1">
      <alignment wrapText="1"/>
    </xf>
    <xf numFmtId="3" fontId="5" fillId="4" borderId="24" xfId="0" applyNumberFormat="1" applyFont="1" applyFill="1" applyBorder="1" applyAlignment="1">
      <alignment wrapText="1"/>
    </xf>
    <xf numFmtId="0" fontId="5" fillId="3" borderId="11" xfId="0" applyFont="1" applyFill="1" applyBorder="1" applyAlignment="1">
      <alignment/>
    </xf>
    <xf numFmtId="0" fontId="4" fillId="3" borderId="21" xfId="0" applyFont="1" applyFill="1" applyBorder="1" applyAlignment="1">
      <alignment horizontal="left" indent="1"/>
    </xf>
    <xf numFmtId="0" fontId="3" fillId="3" borderId="0" xfId="0" applyFont="1" applyFill="1" applyBorder="1" applyAlignment="1">
      <alignment/>
    </xf>
    <xf numFmtId="0" fontId="6" fillId="3" borderId="21" xfId="0" applyFont="1" applyFill="1" applyBorder="1" applyAlignment="1">
      <alignment horizontal="left" indent="1"/>
    </xf>
    <xf numFmtId="0" fontId="6" fillId="3" borderId="0" xfId="0" applyFont="1" applyFill="1" applyBorder="1" applyAlignment="1">
      <alignment/>
    </xf>
    <xf numFmtId="3" fontId="6" fillId="3" borderId="22" xfId="0" applyNumberFormat="1" applyFont="1" applyFill="1" applyBorder="1" applyAlignment="1">
      <alignment/>
    </xf>
    <xf numFmtId="0" fontId="5" fillId="3" borderId="23" xfId="0" applyFont="1" applyFill="1" applyBorder="1" applyAlignment="1">
      <alignment horizontal="left" indent="3"/>
    </xf>
    <xf numFmtId="0" fontId="5" fillId="3" borderId="24" xfId="0" applyFont="1" applyFill="1" applyBorder="1" applyAlignment="1">
      <alignment wrapText="1"/>
    </xf>
    <xf numFmtId="0" fontId="5" fillId="3" borderId="26" xfId="0" applyFont="1" applyFill="1" applyBorder="1" applyAlignment="1">
      <alignment wrapText="1"/>
    </xf>
    <xf numFmtId="0" fontId="4" fillId="3" borderId="27" xfId="0" applyFont="1" applyFill="1" applyBorder="1" applyAlignment="1">
      <alignment wrapText="1"/>
    </xf>
    <xf numFmtId="3" fontId="4" fillId="3" borderId="28" xfId="0" applyNumberFormat="1" applyFont="1" applyFill="1" applyBorder="1" applyAlignment="1">
      <alignment wrapText="1"/>
    </xf>
    <xf numFmtId="3" fontId="4" fillId="3" borderId="0" xfId="0" applyNumberFormat="1" applyFont="1" applyFill="1" applyBorder="1" applyAlignment="1">
      <alignment wrapText="1"/>
    </xf>
    <xf numFmtId="0" fontId="5" fillId="3" borderId="32" xfId="0" applyFont="1" applyFill="1" applyBorder="1" applyAlignment="1">
      <alignment wrapText="1"/>
    </xf>
    <xf numFmtId="0" fontId="5" fillId="3" borderId="29" xfId="0" applyFont="1" applyFill="1" applyBorder="1" applyAlignment="1">
      <alignment/>
    </xf>
    <xf numFmtId="0" fontId="4" fillId="3" borderId="29" xfId="0" applyFont="1" applyFill="1" applyBorder="1" applyAlignment="1">
      <alignment wrapText="1"/>
    </xf>
    <xf numFmtId="0" fontId="4" fillId="3" borderId="30" xfId="0" applyFont="1" applyFill="1" applyBorder="1" applyAlignment="1">
      <alignment wrapText="1"/>
    </xf>
    <xf numFmtId="0" fontId="5" fillId="3" borderId="30" xfId="0" applyFont="1" applyFill="1" applyBorder="1" applyAlignment="1">
      <alignment wrapText="1"/>
    </xf>
    <xf numFmtId="3" fontId="5" fillId="3" borderId="22" xfId="0" applyNumberFormat="1" applyFont="1" applyFill="1" applyBorder="1" applyAlignment="1">
      <alignment wrapText="1"/>
    </xf>
    <xf numFmtId="0" fontId="5" fillId="3" borderId="31" xfId="0" applyFont="1" applyFill="1" applyBorder="1" applyAlignment="1">
      <alignment wrapText="1"/>
    </xf>
    <xf numFmtId="3" fontId="4" fillId="3" borderId="20" xfId="0" applyNumberFormat="1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5" fillId="3" borderId="19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3" fontId="5" fillId="3" borderId="20" xfId="0" applyNumberFormat="1" applyFont="1" applyFill="1" applyBorder="1" applyAlignment="1">
      <alignment/>
    </xf>
    <xf numFmtId="0" fontId="5" fillId="3" borderId="29" xfId="0" applyFont="1" applyFill="1" applyBorder="1" applyAlignment="1">
      <alignment wrapText="1"/>
    </xf>
    <xf numFmtId="0" fontId="5" fillId="3" borderId="30" xfId="0" applyFont="1" applyFill="1" applyBorder="1" applyAlignment="1">
      <alignment/>
    </xf>
    <xf numFmtId="3" fontId="5" fillId="3" borderId="22" xfId="0" applyNumberFormat="1" applyFont="1" applyFill="1" applyBorder="1" applyAlignment="1">
      <alignment/>
    </xf>
    <xf numFmtId="3" fontId="5" fillId="3" borderId="24" xfId="0" applyNumberFormat="1" applyFont="1" applyFill="1" applyBorder="1" applyAlignment="1">
      <alignment wrapText="1"/>
    </xf>
    <xf numFmtId="0" fontId="5" fillId="23" borderId="0" xfId="0" applyFont="1" applyFill="1" applyAlignment="1">
      <alignment/>
    </xf>
    <xf numFmtId="0" fontId="4" fillId="23" borderId="0" xfId="0" applyFont="1" applyFill="1" applyAlignment="1">
      <alignment/>
    </xf>
    <xf numFmtId="3" fontId="4" fillId="23" borderId="0" xfId="0" applyNumberFormat="1" applyFont="1" applyFill="1" applyAlignment="1">
      <alignment/>
    </xf>
    <xf numFmtId="0" fontId="16" fillId="23" borderId="17" xfId="0" applyFont="1" applyFill="1" applyBorder="1" applyAlignment="1">
      <alignment horizontal="center" wrapText="1"/>
    </xf>
    <xf numFmtId="3" fontId="16" fillId="23" borderId="17" xfId="0" applyNumberFormat="1" applyFont="1" applyFill="1" applyBorder="1" applyAlignment="1">
      <alignment horizontal="center" wrapText="1"/>
    </xf>
    <xf numFmtId="3" fontId="16" fillId="23" borderId="18" xfId="0" applyNumberFormat="1" applyFont="1" applyFill="1" applyBorder="1" applyAlignment="1">
      <alignment horizontal="center" wrapText="1"/>
    </xf>
    <xf numFmtId="0" fontId="5" fillId="23" borderId="0" xfId="0" applyFont="1" applyFill="1" applyBorder="1" applyAlignment="1">
      <alignment/>
    </xf>
    <xf numFmtId="0" fontId="5" fillId="23" borderId="11" xfId="0" applyFont="1" applyFill="1" applyBorder="1" applyAlignment="1">
      <alignment wrapText="1"/>
    </xf>
    <xf numFmtId="0" fontId="4" fillId="23" borderId="19" xfId="0" applyFont="1" applyFill="1" applyBorder="1" applyAlignment="1">
      <alignment/>
    </xf>
    <xf numFmtId="3" fontId="4" fillId="23" borderId="20" xfId="0" applyNumberFormat="1" applyFont="1" applyFill="1" applyBorder="1" applyAlignment="1">
      <alignment/>
    </xf>
    <xf numFmtId="0" fontId="5" fillId="23" borderId="19" xfId="0" applyFont="1" applyFill="1" applyBorder="1" applyAlignment="1">
      <alignment/>
    </xf>
    <xf numFmtId="0" fontId="5" fillId="23" borderId="0" xfId="0" applyFont="1" applyFill="1" applyBorder="1" applyAlignment="1">
      <alignment wrapText="1"/>
    </xf>
    <xf numFmtId="0" fontId="5" fillId="23" borderId="21" xfId="0" applyFont="1" applyFill="1" applyBorder="1" applyAlignment="1">
      <alignment wrapText="1"/>
    </xf>
    <xf numFmtId="0" fontId="4" fillId="23" borderId="0" xfId="0" applyFont="1" applyFill="1" applyBorder="1" applyAlignment="1">
      <alignment wrapText="1"/>
    </xf>
    <xf numFmtId="3" fontId="4" fillId="23" borderId="22" xfId="0" applyNumberFormat="1" applyFont="1" applyFill="1" applyBorder="1" applyAlignment="1">
      <alignment wrapText="1"/>
    </xf>
    <xf numFmtId="0" fontId="4" fillId="23" borderId="21" xfId="0" applyFont="1" applyFill="1" applyBorder="1" applyAlignment="1">
      <alignment wrapText="1"/>
    </xf>
    <xf numFmtId="0" fontId="5" fillId="23" borderId="23" xfId="0" applyFont="1" applyFill="1" applyBorder="1" applyAlignment="1">
      <alignment wrapText="1"/>
    </xf>
    <xf numFmtId="0" fontId="4" fillId="23" borderId="24" xfId="0" applyFont="1" applyFill="1" applyBorder="1" applyAlignment="1">
      <alignment wrapText="1"/>
    </xf>
    <xf numFmtId="3" fontId="5" fillId="23" borderId="25" xfId="0" applyNumberFormat="1" applyFont="1" applyFill="1" applyBorder="1" applyAlignment="1">
      <alignment wrapText="1"/>
    </xf>
    <xf numFmtId="3" fontId="5" fillId="23" borderId="0" xfId="0" applyNumberFormat="1" applyFont="1" applyFill="1" applyBorder="1" applyAlignment="1">
      <alignment wrapText="1"/>
    </xf>
    <xf numFmtId="0" fontId="5" fillId="23" borderId="26" xfId="0" applyFont="1" applyFill="1" applyBorder="1" applyAlignment="1">
      <alignment/>
    </xf>
    <xf numFmtId="0" fontId="5" fillId="23" borderId="27" xfId="0" applyFont="1" applyFill="1" applyBorder="1" applyAlignment="1">
      <alignment/>
    </xf>
    <xf numFmtId="3" fontId="5" fillId="23" borderId="28" xfId="0" applyNumberFormat="1" applyFont="1" applyFill="1" applyBorder="1" applyAlignment="1">
      <alignment/>
    </xf>
    <xf numFmtId="0" fontId="5" fillId="23" borderId="27" xfId="0" applyFont="1" applyFill="1" applyBorder="1" applyAlignment="1">
      <alignment wrapText="1"/>
    </xf>
    <xf numFmtId="0" fontId="4" fillId="23" borderId="29" xfId="0" applyFont="1" applyFill="1" applyBorder="1" applyAlignment="1">
      <alignment/>
    </xf>
    <xf numFmtId="3" fontId="4" fillId="23" borderId="19" xfId="0" applyNumberFormat="1" applyFont="1" applyFill="1" applyBorder="1" applyAlignment="1">
      <alignment/>
    </xf>
    <xf numFmtId="0" fontId="4" fillId="23" borderId="30" xfId="0" applyFont="1" applyFill="1" applyBorder="1" applyAlignment="1">
      <alignment/>
    </xf>
    <xf numFmtId="0" fontId="4" fillId="23" borderId="0" xfId="0" applyFont="1" applyFill="1" applyBorder="1" applyAlignment="1">
      <alignment/>
    </xf>
    <xf numFmtId="3" fontId="4" fillId="23" borderId="0" xfId="0" applyNumberFormat="1" applyFont="1" applyFill="1" applyBorder="1" applyAlignment="1">
      <alignment/>
    </xf>
    <xf numFmtId="3" fontId="4" fillId="23" borderId="22" xfId="0" applyNumberFormat="1" applyFont="1" applyFill="1" applyBorder="1" applyAlignment="1">
      <alignment/>
    </xf>
    <xf numFmtId="0" fontId="4" fillId="23" borderId="31" xfId="0" applyFont="1" applyFill="1" applyBorder="1" applyAlignment="1">
      <alignment/>
    </xf>
    <xf numFmtId="0" fontId="4" fillId="23" borderId="24" xfId="0" applyFont="1" applyFill="1" applyBorder="1" applyAlignment="1">
      <alignment/>
    </xf>
    <xf numFmtId="3" fontId="4" fillId="23" borderId="24" xfId="0" applyNumberFormat="1" applyFont="1" applyFill="1" applyBorder="1" applyAlignment="1">
      <alignment/>
    </xf>
    <xf numFmtId="3" fontId="4" fillId="23" borderId="25" xfId="0" applyNumberFormat="1" applyFont="1" applyFill="1" applyBorder="1" applyAlignment="1">
      <alignment/>
    </xf>
    <xf numFmtId="0" fontId="5" fillId="23" borderId="31" xfId="0" applyFont="1" applyFill="1" applyBorder="1" applyAlignment="1">
      <alignment/>
    </xf>
    <xf numFmtId="0" fontId="5" fillId="23" borderId="24" xfId="0" applyFont="1" applyFill="1" applyBorder="1" applyAlignment="1">
      <alignment/>
    </xf>
    <xf numFmtId="3" fontId="5" fillId="23" borderId="25" xfId="0" applyNumberFormat="1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0" fontId="3" fillId="0" borderId="0" xfId="94" applyFont="1" applyFill="1" applyAlignment="1">
      <alignment/>
      <protection/>
    </xf>
    <xf numFmtId="0" fontId="12" fillId="0" borderId="0" xfId="0" applyFont="1" applyFill="1" applyBorder="1" applyAlignment="1">
      <alignment vertical="top"/>
    </xf>
    <xf numFmtId="0" fontId="5" fillId="24" borderId="15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3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25" borderId="33" xfId="0" applyFont="1" applyFill="1" applyBorder="1" applyAlignment="1">
      <alignment horizontal="center" wrapText="1"/>
    </xf>
    <xf numFmtId="0" fontId="5" fillId="25" borderId="13" xfId="0" applyFont="1" applyFill="1" applyBorder="1" applyAlignment="1">
      <alignment horizontal="center" wrapText="1"/>
    </xf>
    <xf numFmtId="0" fontId="5" fillId="20" borderId="34" xfId="0" applyFont="1" applyFill="1" applyBorder="1" applyAlignment="1">
      <alignment horizontal="center" wrapText="1"/>
    </xf>
    <xf numFmtId="0" fontId="5" fillId="20" borderId="35" xfId="0" applyFont="1" applyFill="1" applyBorder="1" applyAlignment="1">
      <alignment horizontal="center" wrapText="1"/>
    </xf>
    <xf numFmtId="0" fontId="5" fillId="11" borderId="34" xfId="0" applyFont="1" applyFill="1" applyBorder="1" applyAlignment="1">
      <alignment horizontal="center" wrapText="1"/>
    </xf>
    <xf numFmtId="0" fontId="5" fillId="11" borderId="35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15" borderId="15" xfId="0" applyFont="1" applyFill="1" applyBorder="1" applyAlignment="1">
      <alignment horizontal="center" wrapText="1"/>
    </xf>
    <xf numFmtId="0" fontId="5" fillId="15" borderId="35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 indent="4"/>
    </xf>
    <xf numFmtId="0" fontId="5" fillId="24" borderId="36" xfId="0" applyFont="1" applyFill="1" applyBorder="1" applyAlignment="1">
      <alignment horizontal="center"/>
    </xf>
    <xf numFmtId="0" fontId="5" fillId="24" borderId="37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25" borderId="38" xfId="0" applyFont="1" applyFill="1" applyBorder="1" applyAlignment="1">
      <alignment horizontal="center" wrapText="1"/>
    </xf>
    <xf numFmtId="0" fontId="5" fillId="25" borderId="37" xfId="0" applyFont="1" applyFill="1" applyBorder="1" applyAlignment="1">
      <alignment horizontal="center" wrapText="1"/>
    </xf>
    <xf numFmtId="0" fontId="5" fillId="20" borderId="39" xfId="0" applyFont="1" applyFill="1" applyBorder="1" applyAlignment="1">
      <alignment horizontal="center" wrapText="1"/>
    </xf>
    <xf numFmtId="0" fontId="5" fillId="20" borderId="40" xfId="0" applyFont="1" applyFill="1" applyBorder="1" applyAlignment="1">
      <alignment horizontal="center" wrapText="1"/>
    </xf>
    <xf numFmtId="0" fontId="5" fillId="11" borderId="39" xfId="0" applyFont="1" applyFill="1" applyBorder="1" applyAlignment="1">
      <alignment horizontal="center" wrapText="1"/>
    </xf>
    <xf numFmtId="0" fontId="5" fillId="11" borderId="40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15" borderId="36" xfId="0" applyFont="1" applyFill="1" applyBorder="1" applyAlignment="1">
      <alignment horizontal="center" wrapText="1"/>
    </xf>
    <xf numFmtId="0" fontId="5" fillId="15" borderId="40" xfId="0" applyFont="1" applyFill="1" applyBorder="1" applyAlignment="1">
      <alignment horizontal="center" wrapText="1"/>
    </xf>
    <xf numFmtId="0" fontId="5" fillId="24" borderId="41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25" borderId="41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center" wrapText="1"/>
    </xf>
    <xf numFmtId="0" fontId="5" fillId="20" borderId="30" xfId="0" applyFont="1" applyFill="1" applyBorder="1" applyAlignment="1">
      <alignment horizontal="center" wrapText="1"/>
    </xf>
    <xf numFmtId="0" fontId="5" fillId="20" borderId="22" xfId="0" applyFont="1" applyFill="1" applyBorder="1" applyAlignment="1">
      <alignment horizontal="center" wrapText="1"/>
    </xf>
    <xf numFmtId="0" fontId="5" fillId="11" borderId="30" xfId="0" applyFont="1" applyFill="1" applyBorder="1" applyAlignment="1">
      <alignment horizontal="center" wrapText="1"/>
    </xf>
    <xf numFmtId="0" fontId="5" fillId="11" borderId="22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15" borderId="0" xfId="0" applyFont="1" applyFill="1" applyBorder="1" applyAlignment="1">
      <alignment horizontal="center" wrapText="1"/>
    </xf>
    <xf numFmtId="0" fontId="5" fillId="15" borderId="22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left" wrapText="1" indent="4"/>
    </xf>
    <xf numFmtId="0" fontId="7" fillId="0" borderId="2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4" fillId="0" borderId="41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4" fillId="11" borderId="30" xfId="0" applyFont="1" applyFill="1" applyBorder="1" applyAlignment="1">
      <alignment/>
    </xf>
    <xf numFmtId="0" fontId="4" fillId="11" borderId="22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4" fillId="15" borderId="22" xfId="0" applyFont="1" applyFill="1" applyBorder="1" applyAlignment="1">
      <alignment/>
    </xf>
    <xf numFmtId="0" fontId="5" fillId="5" borderId="22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3" fontId="4" fillId="25" borderId="41" xfId="0" applyNumberFormat="1" applyFont="1" applyFill="1" applyBorder="1" applyAlignment="1">
      <alignment/>
    </xf>
    <xf numFmtId="0" fontId="5" fillId="5" borderId="20" xfId="0" applyFont="1" applyFill="1" applyBorder="1" applyAlignment="1">
      <alignment/>
    </xf>
    <xf numFmtId="0" fontId="4" fillId="0" borderId="36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4" fillId="0" borderId="38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 wrapText="1"/>
    </xf>
    <xf numFmtId="3" fontId="4" fillId="0" borderId="33" xfId="0" applyNumberFormat="1" applyFont="1" applyFill="1" applyBorder="1" applyAlignment="1">
      <alignment horizontal="right"/>
    </xf>
    <xf numFmtId="3" fontId="4" fillId="20" borderId="30" xfId="0" applyNumberFormat="1" applyFont="1" applyFill="1" applyBorder="1" applyAlignment="1">
      <alignment horizontal="right"/>
    </xf>
    <xf numFmtId="3" fontId="4" fillId="20" borderId="22" xfId="0" applyNumberFormat="1" applyFont="1" applyFill="1" applyBorder="1" applyAlignment="1">
      <alignment horizontal="right"/>
    </xf>
    <xf numFmtId="3" fontId="4" fillId="11" borderId="30" xfId="0" applyNumberFormat="1" applyFont="1" applyFill="1" applyBorder="1" applyAlignment="1">
      <alignment horizontal="right"/>
    </xf>
    <xf numFmtId="3" fontId="4" fillId="11" borderId="22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right"/>
    </xf>
    <xf numFmtId="3" fontId="4" fillId="15" borderId="0" xfId="0" applyNumberFormat="1" applyFont="1" applyFill="1" applyBorder="1" applyAlignment="1">
      <alignment horizontal="right"/>
    </xf>
    <xf numFmtId="3" fontId="4" fillId="15" borderId="22" xfId="0" applyNumberFormat="1" applyFont="1" applyFill="1" applyBorder="1" applyAlignment="1">
      <alignment horizontal="right"/>
    </xf>
    <xf numFmtId="186" fontId="5" fillId="5" borderId="19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left" wrapText="1"/>
    </xf>
    <xf numFmtId="3" fontId="4" fillId="25" borderId="0" xfId="0" applyNumberFormat="1" applyFont="1" applyFill="1" applyBorder="1" applyAlignment="1">
      <alignment horizontal="right"/>
    </xf>
    <xf numFmtId="3" fontId="4" fillId="25" borderId="10" xfId="0" applyNumberFormat="1" applyFont="1" applyFill="1" applyBorder="1" applyAlignment="1">
      <alignment horizontal="right"/>
    </xf>
    <xf numFmtId="186" fontId="4" fillId="11" borderId="30" xfId="0" applyNumberFormat="1" applyFont="1" applyFill="1" applyBorder="1" applyAlignment="1">
      <alignment horizontal="right"/>
    </xf>
    <xf numFmtId="3" fontId="4" fillId="11" borderId="22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41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left" wrapText="1"/>
    </xf>
    <xf numFmtId="0" fontId="9" fillId="0" borderId="37" xfId="0" applyFont="1" applyFill="1" applyBorder="1" applyAlignment="1">
      <alignment horizontal="left" wrapText="1"/>
    </xf>
    <xf numFmtId="0" fontId="9" fillId="0" borderId="38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left" indent="3"/>
    </xf>
    <xf numFmtId="3" fontId="4" fillId="0" borderId="0" xfId="0" applyNumberFormat="1" applyFont="1" applyFill="1" applyBorder="1" applyAlignment="1">
      <alignment horizontal="right" wrapText="1"/>
    </xf>
    <xf numFmtId="0" fontId="15" fillId="21" borderId="32" xfId="0" applyFont="1" applyFill="1" applyBorder="1" applyAlignment="1">
      <alignment horizontal="left" wrapText="1"/>
    </xf>
    <xf numFmtId="0" fontId="3" fillId="0" borderId="43" xfId="0" applyFont="1" applyFill="1" applyBorder="1" applyAlignment="1">
      <alignment wrapText="1"/>
    </xf>
    <xf numFmtId="0" fontId="6" fillId="4" borderId="21" xfId="0" applyFont="1" applyFill="1" applyBorder="1" applyAlignment="1">
      <alignment horizontal="left" indent="1"/>
    </xf>
    <xf numFmtId="3" fontId="5" fillId="4" borderId="27" xfId="0" applyNumberFormat="1" applyFont="1" applyFill="1" applyBorder="1" applyAlignment="1">
      <alignment/>
    </xf>
    <xf numFmtId="3" fontId="4" fillId="4" borderId="27" xfId="0" applyNumberFormat="1" applyFont="1" applyFill="1" applyBorder="1" applyAlignment="1">
      <alignment wrapText="1"/>
    </xf>
    <xf numFmtId="0" fontId="4" fillId="4" borderId="32" xfId="0" applyFont="1" applyFill="1" applyBorder="1" applyAlignment="1">
      <alignment wrapText="1"/>
    </xf>
    <xf numFmtId="3" fontId="5" fillId="3" borderId="19" xfId="0" applyNumberFormat="1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12" fillId="0" borderId="26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3" fontId="15" fillId="0" borderId="28" xfId="0" applyNumberFormat="1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5" fillId="5" borderId="15" xfId="0" applyFont="1" applyFill="1" applyBorder="1" applyAlignment="1">
      <alignment horizontal="right" wrapText="1"/>
    </xf>
    <xf numFmtId="0" fontId="4" fillId="24" borderId="15" xfId="0" applyFont="1" applyFill="1" applyBorder="1" applyAlignment="1">
      <alignment horizontal="left" wrapText="1"/>
    </xf>
    <xf numFmtId="0" fontId="4" fillId="24" borderId="13" xfId="0" applyFont="1" applyFill="1" applyBorder="1" applyAlignment="1">
      <alignment horizontal="left" wrapText="1"/>
    </xf>
    <xf numFmtId="0" fontId="4" fillId="24" borderId="33" xfId="0" applyFont="1" applyFill="1" applyBorder="1" applyAlignment="1">
      <alignment horizontal="left" wrapText="1"/>
    </xf>
    <xf numFmtId="0" fontId="4" fillId="24" borderId="38" xfId="0" applyFont="1" applyFill="1" applyBorder="1" applyAlignment="1">
      <alignment horizontal="left" wrapText="1"/>
    </xf>
    <xf numFmtId="0" fontId="4" fillId="24" borderId="37" xfId="0" applyFont="1" applyFill="1" applyBorder="1" applyAlignment="1">
      <alignment horizontal="left" wrapText="1"/>
    </xf>
    <xf numFmtId="0" fontId="4" fillId="24" borderId="36" xfId="0" applyFont="1" applyFill="1" applyBorder="1" applyAlignment="1">
      <alignment horizontal="left" wrapText="1"/>
    </xf>
    <xf numFmtId="3" fontId="5" fillId="0" borderId="0" xfId="0" applyNumberFormat="1" applyFont="1" applyFill="1" applyAlignment="1">
      <alignment horizontal="center"/>
    </xf>
    <xf numFmtId="3" fontId="5" fillId="4" borderId="27" xfId="0" applyNumberFormat="1" applyFont="1" applyFill="1" applyBorder="1" applyAlignment="1">
      <alignment wrapText="1"/>
    </xf>
    <xf numFmtId="0" fontId="5" fillId="3" borderId="15" xfId="0" applyFont="1" applyFill="1" applyBorder="1" applyAlignment="1">
      <alignment wrapText="1"/>
    </xf>
    <xf numFmtId="3" fontId="4" fillId="3" borderId="13" xfId="0" applyNumberFormat="1" applyFont="1" applyFill="1" applyBorder="1" applyAlignment="1">
      <alignment wrapText="1"/>
    </xf>
    <xf numFmtId="3" fontId="5" fillId="3" borderId="10" xfId="0" applyNumberFormat="1" applyFont="1" applyFill="1" applyBorder="1" applyAlignment="1">
      <alignment wrapText="1"/>
    </xf>
    <xf numFmtId="3" fontId="4" fillId="3" borderId="10" xfId="0" applyNumberFormat="1" applyFont="1" applyFill="1" applyBorder="1" applyAlignment="1">
      <alignment/>
    </xf>
    <xf numFmtId="3" fontId="5" fillId="3" borderId="10" xfId="0" applyNumberFormat="1" applyFont="1" applyFill="1" applyBorder="1" applyAlignment="1">
      <alignment/>
    </xf>
    <xf numFmtId="0" fontId="5" fillId="3" borderId="36" xfId="0" applyFont="1" applyFill="1" applyBorder="1" applyAlignment="1">
      <alignment wrapText="1"/>
    </xf>
    <xf numFmtId="3" fontId="5" fillId="3" borderId="37" xfId="0" applyNumberFormat="1" applyFont="1" applyFill="1" applyBorder="1" applyAlignment="1">
      <alignment/>
    </xf>
    <xf numFmtId="3" fontId="4" fillId="0" borderId="0" xfId="0" applyNumberFormat="1" applyFont="1" applyFill="1" applyAlignment="1">
      <alignment wrapText="1"/>
    </xf>
    <xf numFmtId="0" fontId="5" fillId="4" borderId="31" xfId="0" applyFont="1" applyFill="1" applyBorder="1" applyAlignment="1">
      <alignment horizontal="left" indent="3"/>
    </xf>
    <xf numFmtId="0" fontId="4" fillId="23" borderId="11" xfId="0" applyFont="1" applyFill="1" applyBorder="1" applyAlignment="1">
      <alignment/>
    </xf>
    <xf numFmtId="0" fontId="4" fillId="23" borderId="21" xfId="0" applyFont="1" applyFill="1" applyBorder="1" applyAlignment="1">
      <alignment/>
    </xf>
    <xf numFmtId="0" fontId="4" fillId="23" borderId="23" xfId="0" applyFont="1" applyFill="1" applyBorder="1" applyAlignment="1">
      <alignment/>
    </xf>
    <xf numFmtId="0" fontId="5" fillId="23" borderId="23" xfId="0" applyFont="1" applyFill="1" applyBorder="1" applyAlignment="1">
      <alignment/>
    </xf>
    <xf numFmtId="0" fontId="12" fillId="3" borderId="0" xfId="0" applyFont="1" applyFill="1" applyAlignment="1">
      <alignment/>
    </xf>
    <xf numFmtId="0" fontId="8" fillId="3" borderId="0" xfId="0" applyFont="1" applyFill="1" applyAlignment="1">
      <alignment/>
    </xf>
    <xf numFmtId="3" fontId="8" fillId="3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center"/>
    </xf>
    <xf numFmtId="0" fontId="8" fillId="4" borderId="0" xfId="0" applyFont="1" applyFill="1" applyAlignment="1">
      <alignment/>
    </xf>
    <xf numFmtId="3" fontId="8" fillId="4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0" fontId="12" fillId="23" borderId="0" xfId="0" applyFont="1" applyFill="1" applyAlignment="1">
      <alignment/>
    </xf>
    <xf numFmtId="0" fontId="8" fillId="23" borderId="0" xfId="0" applyFont="1" applyFill="1" applyAlignment="1">
      <alignment/>
    </xf>
    <xf numFmtId="3" fontId="8" fillId="23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4" fillId="0" borderId="3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24" borderId="15" xfId="0" applyNumberFormat="1" applyFont="1" applyFill="1" applyBorder="1" applyAlignment="1">
      <alignment/>
    </xf>
    <xf numFmtId="3" fontId="4" fillId="24" borderId="13" xfId="0" applyNumberFormat="1" applyFont="1" applyFill="1" applyBorder="1" applyAlignment="1">
      <alignment/>
    </xf>
    <xf numFmtId="3" fontId="5" fillId="5" borderId="36" xfId="0" applyNumberFormat="1" applyFont="1" applyFill="1" applyBorder="1" applyAlignment="1">
      <alignment horizontal="right" wrapText="1"/>
    </xf>
    <xf numFmtId="0" fontId="5" fillId="5" borderId="37" xfId="0" applyFont="1" applyFill="1" applyBorder="1" applyAlignment="1">
      <alignment horizontal="center" wrapText="1"/>
    </xf>
    <xf numFmtId="3" fontId="5" fillId="5" borderId="44" xfId="0" applyNumberFormat="1" applyFont="1" applyFill="1" applyBorder="1" applyAlignment="1">
      <alignment horizontal="right" wrapText="1"/>
    </xf>
    <xf numFmtId="3" fontId="5" fillId="24" borderId="0" xfId="0" applyNumberFormat="1" applyFont="1" applyFill="1" applyBorder="1" applyAlignment="1">
      <alignment horizontal="right"/>
    </xf>
    <xf numFmtId="3" fontId="5" fillId="24" borderId="10" xfId="0" applyNumberFormat="1" applyFont="1" applyFill="1" applyBorder="1" applyAlignment="1">
      <alignment horizontal="right"/>
    </xf>
    <xf numFmtId="0" fontId="5" fillId="5" borderId="34" xfId="0" applyFont="1" applyFill="1" applyBorder="1" applyAlignment="1">
      <alignment horizontal="right" wrapText="1"/>
    </xf>
    <xf numFmtId="0" fontId="5" fillId="5" borderId="10" xfId="0" applyFont="1" applyFill="1" applyBorder="1" applyAlignment="1">
      <alignment horizontal="center" wrapText="1"/>
    </xf>
    <xf numFmtId="3" fontId="4" fillId="24" borderId="15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186" fontId="5" fillId="5" borderId="19" xfId="0" applyNumberFormat="1" applyFont="1" applyFill="1" applyBorder="1" applyAlignment="1">
      <alignment horizontal="right"/>
    </xf>
    <xf numFmtId="3" fontId="4" fillId="24" borderId="15" xfId="0" applyNumberFormat="1" applyFont="1" applyFill="1" applyBorder="1" applyAlignment="1">
      <alignment horizontal="right" wrapText="1"/>
    </xf>
    <xf numFmtId="0" fontId="4" fillId="0" borderId="33" xfId="0" applyFont="1" applyFill="1" applyBorder="1" applyAlignment="1">
      <alignment/>
    </xf>
    <xf numFmtId="0" fontId="4" fillId="25" borderId="41" xfId="0" applyFont="1" applyFill="1" applyBorder="1" applyAlignment="1">
      <alignment/>
    </xf>
    <xf numFmtId="0" fontId="4" fillId="20" borderId="30" xfId="0" applyFont="1" applyFill="1" applyBorder="1" applyAlignment="1">
      <alignment/>
    </xf>
    <xf numFmtId="0" fontId="4" fillId="20" borderId="22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3" fontId="5" fillId="5" borderId="24" xfId="0" applyNumberFormat="1" applyFont="1" applyFill="1" applyBorder="1" applyAlignment="1">
      <alignment/>
    </xf>
    <xf numFmtId="0" fontId="5" fillId="5" borderId="25" xfId="0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11" borderId="34" xfId="0" applyNumberFormat="1" applyFont="1" applyFill="1" applyBorder="1" applyAlignment="1">
      <alignment/>
    </xf>
    <xf numFmtId="3" fontId="4" fillId="11" borderId="35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15" borderId="15" xfId="0" applyNumberFormat="1" applyFont="1" applyFill="1" applyBorder="1" applyAlignment="1">
      <alignment/>
    </xf>
    <xf numFmtId="3" fontId="4" fillId="15" borderId="35" xfId="0" applyNumberFormat="1" applyFont="1" applyFill="1" applyBorder="1" applyAlignment="1">
      <alignment/>
    </xf>
    <xf numFmtId="166" fontId="5" fillId="5" borderId="19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" fontId="5" fillId="5" borderId="19" xfId="0" applyNumberFormat="1" applyFont="1" applyFill="1" applyBorder="1" applyAlignment="1">
      <alignment/>
    </xf>
    <xf numFmtId="0" fontId="5" fillId="5" borderId="29" xfId="0" applyFont="1" applyFill="1" applyBorder="1" applyAlignment="1">
      <alignment/>
    </xf>
    <xf numFmtId="3" fontId="5" fillId="5" borderId="31" xfId="0" applyNumberFormat="1" applyFont="1" applyFill="1" applyBorder="1" applyAlignment="1">
      <alignment/>
    </xf>
    <xf numFmtId="166" fontId="4" fillId="11" borderId="30" xfId="0" applyNumberFormat="1" applyFont="1" applyFill="1" applyBorder="1" applyAlignment="1">
      <alignment horizontal="right"/>
    </xf>
    <xf numFmtId="4" fontId="4" fillId="11" borderId="3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3" fontId="4" fillId="20" borderId="30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3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wrapText="1"/>
    </xf>
    <xf numFmtId="3" fontId="5" fillId="5" borderId="19" xfId="0" applyNumberFormat="1" applyFont="1" applyFill="1" applyBorder="1" applyAlignment="1">
      <alignment/>
    </xf>
    <xf numFmtId="3" fontId="15" fillId="4" borderId="28" xfId="0" applyNumberFormat="1" applyFont="1" applyFill="1" applyBorder="1" applyAlignment="1">
      <alignment wrapText="1"/>
    </xf>
    <xf numFmtId="3" fontId="5" fillId="3" borderId="20" xfId="0" applyNumberFormat="1" applyFont="1" applyFill="1" applyBorder="1" applyAlignment="1">
      <alignment wrapText="1"/>
    </xf>
    <xf numFmtId="3" fontId="4" fillId="3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36" fillId="0" borderId="0" xfId="0" applyFont="1" applyAlignment="1">
      <alignment wrapText="1"/>
    </xf>
    <xf numFmtId="3" fontId="3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34" fillId="0" borderId="0" xfId="0" applyFont="1" applyAlignment="1">
      <alignment wrapText="1"/>
    </xf>
    <xf numFmtId="0" fontId="37" fillId="0" borderId="0" xfId="0" applyFont="1" applyAlignment="1">
      <alignment wrapText="1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35" fillId="0" borderId="0" xfId="0" applyFont="1" applyAlignment="1">
      <alignment wrapText="1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36" fillId="0" borderId="0" xfId="0" applyNumberFormat="1" applyFont="1" applyAlignment="1">
      <alignment/>
    </xf>
    <xf numFmtId="3" fontId="36" fillId="0" borderId="0" xfId="0" applyNumberFormat="1" applyFont="1" applyAlignment="1">
      <alignment horizontal="right"/>
    </xf>
    <xf numFmtId="0" fontId="36" fillId="0" borderId="0" xfId="0" applyFont="1" applyBorder="1" applyAlignment="1">
      <alignment wrapText="1"/>
    </xf>
    <xf numFmtId="3" fontId="36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3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/>
    </xf>
    <xf numFmtId="3" fontId="34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/>
    </xf>
    <xf numFmtId="9" fontId="3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35" fillId="0" borderId="0" xfId="0" applyNumberFormat="1" applyFont="1" applyAlignment="1">
      <alignment/>
    </xf>
    <xf numFmtId="0" fontId="0" fillId="0" borderId="0" xfId="93" applyFill="1">
      <alignment/>
      <protection/>
    </xf>
    <xf numFmtId="165" fontId="4" fillId="0" borderId="0" xfId="93" applyNumberFormat="1" applyFont="1" applyFill="1" applyBorder="1">
      <alignment/>
      <protection/>
    </xf>
    <xf numFmtId="0" fontId="4" fillId="0" borderId="0" xfId="93" applyFont="1" applyFill="1" applyBorder="1">
      <alignment/>
      <protection/>
    </xf>
    <xf numFmtId="0" fontId="4" fillId="0" borderId="0" xfId="93" applyFont="1" applyFill="1">
      <alignment/>
      <protection/>
    </xf>
    <xf numFmtId="0" fontId="5" fillId="0" borderId="0" xfId="93" applyFont="1" applyFill="1">
      <alignment/>
      <protection/>
    </xf>
    <xf numFmtId="165" fontId="4" fillId="0" borderId="0" xfId="93" applyNumberFormat="1" applyFont="1" applyFill="1">
      <alignment/>
      <protection/>
    </xf>
    <xf numFmtId="0" fontId="4" fillId="0" borderId="45" xfId="93" applyFont="1" applyFill="1" applyBorder="1" applyAlignment="1">
      <alignment horizontal="center" wrapText="1"/>
      <protection/>
    </xf>
    <xf numFmtId="0" fontId="5" fillId="0" borderId="46" xfId="93" applyFont="1" applyFill="1" applyBorder="1" applyAlignment="1">
      <alignment horizontal="center" wrapText="1"/>
      <protection/>
    </xf>
    <xf numFmtId="0" fontId="5" fillId="0" borderId="45" xfId="93" applyFont="1" applyFill="1" applyBorder="1" applyAlignment="1">
      <alignment horizontal="center" wrapText="1"/>
      <protection/>
    </xf>
    <xf numFmtId="165" fontId="4" fillId="0" borderId="0" xfId="93" applyNumberFormat="1" applyFont="1" applyFill="1" applyAlignment="1">
      <alignment horizontal="center" wrapText="1"/>
      <protection/>
    </xf>
    <xf numFmtId="0" fontId="4" fillId="0" borderId="0" xfId="93" applyFont="1" applyFill="1" applyAlignment="1">
      <alignment horizontal="center" wrapText="1"/>
      <protection/>
    </xf>
    <xf numFmtId="0" fontId="4" fillId="0" borderId="45" xfId="93" applyFont="1" applyFill="1" applyBorder="1">
      <alignment/>
      <protection/>
    </xf>
    <xf numFmtId="3" fontId="4" fillId="0" borderId="45" xfId="93" applyNumberFormat="1" applyFont="1" applyFill="1" applyBorder="1">
      <alignment/>
      <protection/>
    </xf>
    <xf numFmtId="3" fontId="5" fillId="0" borderId="45" xfId="93" applyNumberFormat="1" applyFont="1" applyFill="1" applyBorder="1">
      <alignment/>
      <protection/>
    </xf>
    <xf numFmtId="3" fontId="4" fillId="0" borderId="46" xfId="93" applyNumberFormat="1" applyFont="1" applyFill="1" applyBorder="1">
      <alignment/>
      <protection/>
    </xf>
    <xf numFmtId="0" fontId="4" fillId="0" borderId="45" xfId="93" applyFont="1" applyFill="1" applyBorder="1" applyAlignment="1">
      <alignment wrapText="1"/>
      <protection/>
    </xf>
    <xf numFmtId="3" fontId="4" fillId="0" borderId="47" xfId="93" applyNumberFormat="1" applyFont="1" applyFill="1" applyBorder="1">
      <alignment/>
      <protection/>
    </xf>
    <xf numFmtId="0" fontId="5" fillId="0" borderId="45" xfId="93" applyFont="1" applyFill="1" applyBorder="1">
      <alignment/>
      <protection/>
    </xf>
    <xf numFmtId="0" fontId="5" fillId="0" borderId="15" xfId="93" applyFont="1" applyFill="1" applyBorder="1">
      <alignment/>
      <protection/>
    </xf>
    <xf numFmtId="3" fontId="5" fillId="0" borderId="0" xfId="93" applyNumberFormat="1" applyFont="1" applyFill="1" applyBorder="1">
      <alignment/>
      <protection/>
    </xf>
    <xf numFmtId="3" fontId="5" fillId="0" borderId="15" xfId="93" applyNumberFormat="1" applyFont="1" applyFill="1" applyBorder="1">
      <alignment/>
      <protection/>
    </xf>
    <xf numFmtId="165" fontId="5" fillId="0" borderId="0" xfId="93" applyNumberFormat="1" applyFont="1" applyFill="1">
      <alignment/>
      <protection/>
    </xf>
    <xf numFmtId="3" fontId="4" fillId="0" borderId="36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3" fontId="4" fillId="20" borderId="39" xfId="0" applyNumberFormat="1" applyFont="1" applyFill="1" applyBorder="1" applyAlignment="1">
      <alignment horizontal="right"/>
    </xf>
    <xf numFmtId="3" fontId="4" fillId="20" borderId="40" xfId="0" applyNumberFormat="1" applyFont="1" applyFill="1" applyBorder="1" applyAlignment="1">
      <alignment horizontal="right"/>
    </xf>
    <xf numFmtId="3" fontId="4" fillId="11" borderId="40" xfId="0" applyNumberFormat="1" applyFont="1" applyFill="1" applyBorder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3" fontId="4" fillId="11" borderId="39" xfId="0" applyNumberFormat="1" applyFont="1" applyFill="1" applyBorder="1" applyAlignment="1">
      <alignment horizontal="right"/>
    </xf>
    <xf numFmtId="0" fontId="3" fillId="0" borderId="0" xfId="94" applyFont="1" applyFill="1" applyAlignment="1">
      <alignment horizontal="left"/>
      <protection/>
    </xf>
    <xf numFmtId="3" fontId="5" fillId="0" borderId="48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" fontId="5" fillId="0" borderId="50" xfId="0" applyNumberFormat="1" applyFont="1" applyFill="1" applyBorder="1" applyAlignment="1">
      <alignment horizontal="right"/>
    </xf>
    <xf numFmtId="3" fontId="4" fillId="0" borderId="38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3" fontId="8" fillId="0" borderId="51" xfId="0" applyNumberFormat="1" applyFont="1" applyFill="1" applyBorder="1" applyAlignment="1">
      <alignment horizontal="center"/>
    </xf>
    <xf numFmtId="3" fontId="8" fillId="0" borderId="52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right"/>
    </xf>
    <xf numFmtId="3" fontId="4" fillId="11" borderId="39" xfId="0" applyNumberFormat="1" applyFont="1" applyFill="1" applyBorder="1" applyAlignment="1">
      <alignment/>
    </xf>
    <xf numFmtId="0" fontId="4" fillId="11" borderId="40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3" fontId="4" fillId="0" borderId="37" xfId="0" applyNumberFormat="1" applyFont="1" applyFill="1" applyBorder="1" applyAlignment="1">
      <alignment horizontal="right"/>
    </xf>
    <xf numFmtId="3" fontId="4" fillId="0" borderId="3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3" fontId="5" fillId="21" borderId="45" xfId="0" applyNumberFormat="1" applyFont="1" applyFill="1" applyBorder="1" applyAlignment="1">
      <alignment horizontal="right"/>
    </xf>
    <xf numFmtId="3" fontId="4" fillId="15" borderId="36" xfId="0" applyNumberFormat="1" applyFont="1" applyFill="1" applyBorder="1" applyAlignment="1">
      <alignment horizontal="right"/>
    </xf>
    <xf numFmtId="3" fontId="4" fillId="15" borderId="40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3" fontId="4" fillId="25" borderId="38" xfId="0" applyNumberFormat="1" applyFont="1" applyFill="1" applyBorder="1" applyAlignment="1">
      <alignment horizontal="right"/>
    </xf>
    <xf numFmtId="3" fontId="4" fillId="25" borderId="37" xfId="0" applyNumberFormat="1" applyFont="1" applyFill="1" applyBorder="1" applyAlignment="1">
      <alignment horizontal="right"/>
    </xf>
    <xf numFmtId="3" fontId="4" fillId="11" borderId="40" xfId="0" applyNumberFormat="1" applyFont="1" applyFill="1" applyBorder="1" applyAlignment="1">
      <alignment/>
    </xf>
    <xf numFmtId="0" fontId="5" fillId="0" borderId="55" xfId="0" applyFont="1" applyFill="1" applyBorder="1" applyAlignment="1">
      <alignment horizontal="center" wrapText="1"/>
    </xf>
    <xf numFmtId="0" fontId="5" fillId="0" borderId="56" xfId="0" applyFont="1" applyFill="1" applyBorder="1" applyAlignment="1">
      <alignment horizontal="center" wrapText="1"/>
    </xf>
    <xf numFmtId="0" fontId="5" fillId="0" borderId="57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left"/>
    </xf>
    <xf numFmtId="3" fontId="4" fillId="15" borderId="36" xfId="0" applyNumberFormat="1" applyFont="1" applyFill="1" applyBorder="1" applyAlignment="1">
      <alignment/>
    </xf>
    <xf numFmtId="0" fontId="4" fillId="15" borderId="40" xfId="0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185" fontId="4" fillId="0" borderId="39" xfId="68" applyNumberFormat="1" applyFont="1" applyFill="1" applyBorder="1" applyAlignment="1">
      <alignment horizontal="center" wrapText="1"/>
    </xf>
    <xf numFmtId="185" fontId="4" fillId="0" borderId="37" xfId="68" applyNumberFormat="1" applyFont="1" applyFill="1" applyBorder="1" applyAlignment="1">
      <alignment horizontal="center" wrapText="1"/>
    </xf>
    <xf numFmtId="3" fontId="4" fillId="0" borderId="38" xfId="0" applyNumberFormat="1" applyFont="1" applyFill="1" applyBorder="1" applyAlignment="1">
      <alignment horizontal="center" wrapText="1"/>
    </xf>
    <xf numFmtId="3" fontId="4" fillId="0" borderId="37" xfId="0" applyNumberFormat="1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right"/>
    </xf>
    <xf numFmtId="3" fontId="4" fillId="0" borderId="39" xfId="0" applyNumberFormat="1" applyFont="1" applyFill="1" applyBorder="1" applyAlignment="1">
      <alignment horizontal="center" wrapText="1"/>
    </xf>
    <xf numFmtId="3" fontId="4" fillId="15" borderId="38" xfId="0" applyNumberFormat="1" applyFont="1" applyFill="1" applyBorder="1" applyAlignment="1">
      <alignment horizontal="right"/>
    </xf>
    <xf numFmtId="3" fontId="4" fillId="0" borderId="36" xfId="0" applyNumberFormat="1" applyFont="1" applyFill="1" applyBorder="1" applyAlignment="1">
      <alignment horizontal="center" wrapText="1"/>
    </xf>
    <xf numFmtId="3" fontId="4" fillId="0" borderId="39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/>
    </xf>
    <xf numFmtId="3" fontId="4" fillId="25" borderId="36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3" fontId="4" fillId="0" borderId="58" xfId="0" applyNumberFormat="1" applyFont="1" applyFill="1" applyBorder="1" applyAlignment="1">
      <alignment horizontal="right"/>
    </xf>
    <xf numFmtId="3" fontId="4" fillId="0" borderId="59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5" fillId="0" borderId="60" xfId="0" applyFont="1" applyFill="1" applyBorder="1" applyAlignment="1">
      <alignment horizontal="center" wrapText="1"/>
    </xf>
    <xf numFmtId="0" fontId="5" fillId="0" borderId="6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0" fillId="0" borderId="14" xfId="0" applyFont="1" applyBorder="1" applyAlignment="1">
      <alignment/>
    </xf>
    <xf numFmtId="3" fontId="4" fillId="24" borderId="44" xfId="0" applyNumberFormat="1" applyFont="1" applyFill="1" applyBorder="1" applyAlignment="1">
      <alignment horizontal="right"/>
    </xf>
    <xf numFmtId="3" fontId="4" fillId="24" borderId="56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wrapText="1" indent="4"/>
    </xf>
    <xf numFmtId="0" fontId="4" fillId="0" borderId="14" xfId="0" applyFont="1" applyFill="1" applyBorder="1" applyAlignment="1">
      <alignment horizontal="left" wrapText="1" indent="4"/>
    </xf>
    <xf numFmtId="3" fontId="4" fillId="24" borderId="38" xfId="0" applyNumberFormat="1" applyFont="1" applyFill="1" applyBorder="1" applyAlignment="1">
      <alignment/>
    </xf>
    <xf numFmtId="0" fontId="4" fillId="24" borderId="37" xfId="0" applyFont="1" applyFill="1" applyBorder="1" applyAlignment="1">
      <alignment/>
    </xf>
    <xf numFmtId="185" fontId="4" fillId="24" borderId="39" xfId="68" applyNumberFormat="1" applyFont="1" applyFill="1" applyBorder="1" applyAlignment="1">
      <alignment horizontal="center" wrapText="1"/>
    </xf>
    <xf numFmtId="185" fontId="4" fillId="24" borderId="37" xfId="68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 indent="4" shrinkToFit="1"/>
    </xf>
    <xf numFmtId="0" fontId="4" fillId="0" borderId="14" xfId="0" applyFont="1" applyFill="1" applyBorder="1" applyAlignment="1">
      <alignment horizontal="left" wrapText="1" indent="4" shrinkToFit="1"/>
    </xf>
    <xf numFmtId="3" fontId="4" fillId="24" borderId="39" xfId="0" applyNumberFormat="1" applyFont="1" applyFill="1" applyBorder="1" applyAlignment="1">
      <alignment/>
    </xf>
    <xf numFmtId="3" fontId="4" fillId="24" borderId="39" xfId="0" applyNumberFormat="1" applyFont="1" applyFill="1" applyBorder="1" applyAlignment="1">
      <alignment horizontal="right" wrapText="1"/>
    </xf>
    <xf numFmtId="3" fontId="4" fillId="24" borderId="37" xfId="0" applyNumberFormat="1" applyFont="1" applyFill="1" applyBorder="1" applyAlignment="1">
      <alignment horizontal="right" wrapText="1"/>
    </xf>
    <xf numFmtId="3" fontId="4" fillId="24" borderId="36" xfId="0" applyNumberFormat="1" applyFont="1" applyFill="1" applyBorder="1" applyAlignment="1">
      <alignment horizontal="right"/>
    </xf>
    <xf numFmtId="3" fontId="4" fillId="24" borderId="37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left" wrapText="1" indent="4"/>
    </xf>
    <xf numFmtId="3" fontId="5" fillId="24" borderId="34" xfId="0" applyNumberFormat="1" applyFont="1" applyFill="1" applyBorder="1" applyAlignment="1">
      <alignment horizontal="right"/>
    </xf>
    <xf numFmtId="3" fontId="5" fillId="24" borderId="13" xfId="0" applyNumberFormat="1" applyFont="1" applyFill="1" applyBorder="1" applyAlignment="1">
      <alignment horizontal="right"/>
    </xf>
    <xf numFmtId="0" fontId="5" fillId="5" borderId="29" xfId="0" applyFont="1" applyFill="1" applyBorder="1" applyAlignment="1">
      <alignment horizontal="center" wrapText="1"/>
    </xf>
    <xf numFmtId="0" fontId="5" fillId="5" borderId="20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20" borderId="29" xfId="0" applyFont="1" applyFill="1" applyBorder="1" applyAlignment="1">
      <alignment horizontal="center" wrapText="1"/>
    </xf>
    <xf numFmtId="0" fontId="5" fillId="20" borderId="20" xfId="0" applyFont="1" applyFill="1" applyBorder="1" applyAlignment="1">
      <alignment horizontal="center" wrapText="1"/>
    </xf>
    <xf numFmtId="0" fontId="5" fillId="11" borderId="29" xfId="0" applyFont="1" applyFill="1" applyBorder="1" applyAlignment="1">
      <alignment horizontal="center" wrapText="1"/>
    </xf>
    <xf numFmtId="0" fontId="5" fillId="11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15" borderId="29" xfId="0" applyFont="1" applyFill="1" applyBorder="1" applyAlignment="1">
      <alignment horizontal="center" wrapText="1"/>
    </xf>
    <xf numFmtId="0" fontId="5" fillId="15" borderId="1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/>
    </xf>
    <xf numFmtId="0" fontId="5" fillId="24" borderId="19" xfId="0" applyFont="1" applyFill="1" applyBorder="1" applyAlignment="1">
      <alignment horizontal="center" wrapText="1"/>
    </xf>
    <xf numFmtId="0" fontId="5" fillId="24" borderId="20" xfId="0" applyFont="1" applyFill="1" applyBorder="1" applyAlignment="1">
      <alignment horizontal="center" wrapText="1"/>
    </xf>
    <xf numFmtId="0" fontId="5" fillId="24" borderId="29" xfId="0" applyFont="1" applyFill="1" applyBorder="1" applyAlignment="1">
      <alignment horizontal="center" wrapText="1"/>
    </xf>
    <xf numFmtId="0" fontId="5" fillId="25" borderId="29" xfId="0" applyFont="1" applyFill="1" applyBorder="1" applyAlignment="1">
      <alignment horizontal="center" wrapText="1"/>
    </xf>
    <xf numFmtId="0" fontId="5" fillId="25" borderId="2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16" fillId="4" borderId="52" xfId="0" applyFont="1" applyFill="1" applyBorder="1" applyAlignment="1">
      <alignment horizontal="center" wrapText="1"/>
    </xf>
    <xf numFmtId="0" fontId="16" fillId="4" borderId="53" xfId="0" applyFont="1" applyFill="1" applyBorder="1" applyAlignment="1">
      <alignment horizontal="center" wrapText="1"/>
    </xf>
    <xf numFmtId="0" fontId="5" fillId="4" borderId="0" xfId="0" applyFont="1" applyFill="1" applyAlignment="1">
      <alignment horizontal="left"/>
    </xf>
    <xf numFmtId="0" fontId="16" fillId="3" borderId="0" xfId="0" applyFont="1" applyFill="1" applyBorder="1" applyAlignment="1">
      <alignment horizontal="center" wrapText="1"/>
    </xf>
    <xf numFmtId="0" fontId="16" fillId="3" borderId="51" xfId="0" applyFont="1" applyFill="1" applyBorder="1" applyAlignment="1">
      <alignment horizontal="center" wrapText="1"/>
    </xf>
    <xf numFmtId="0" fontId="16" fillId="3" borderId="54" xfId="0" applyFont="1" applyFill="1" applyBorder="1" applyAlignment="1">
      <alignment horizontal="center" wrapText="1"/>
    </xf>
    <xf numFmtId="0" fontId="16" fillId="3" borderId="52" xfId="0" applyFont="1" applyFill="1" applyBorder="1" applyAlignment="1">
      <alignment horizontal="center" wrapText="1"/>
    </xf>
    <xf numFmtId="0" fontId="12" fillId="3" borderId="24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0" xfId="0" applyFont="1" applyFill="1" applyAlignment="1">
      <alignment horizontal="left"/>
    </xf>
    <xf numFmtId="0" fontId="16" fillId="4" borderId="0" xfId="0" applyFont="1" applyFill="1" applyBorder="1" applyAlignment="1">
      <alignment horizontal="center" wrapText="1"/>
    </xf>
    <xf numFmtId="0" fontId="16" fillId="4" borderId="51" xfId="0" applyFont="1" applyFill="1" applyBorder="1" applyAlignment="1">
      <alignment horizontal="center" wrapText="1"/>
    </xf>
    <xf numFmtId="0" fontId="16" fillId="4" borderId="54" xfId="0" applyFont="1" applyFill="1" applyBorder="1" applyAlignment="1">
      <alignment horizontal="center" wrapText="1"/>
    </xf>
    <xf numFmtId="0" fontId="16" fillId="3" borderId="53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left"/>
    </xf>
    <xf numFmtId="0" fontId="16" fillId="23" borderId="52" xfId="0" applyFont="1" applyFill="1" applyBorder="1" applyAlignment="1">
      <alignment horizontal="center" wrapText="1"/>
    </xf>
    <xf numFmtId="0" fontId="16" fillId="23" borderId="53" xfId="0" applyFont="1" applyFill="1" applyBorder="1" applyAlignment="1">
      <alignment horizontal="center" wrapText="1"/>
    </xf>
    <xf numFmtId="0" fontId="5" fillId="4" borderId="29" xfId="0" applyFont="1" applyFill="1" applyBorder="1" applyAlignment="1">
      <alignment horizontal="left" wrapText="1"/>
    </xf>
    <xf numFmtId="0" fontId="5" fillId="4" borderId="19" xfId="0" applyFont="1" applyFill="1" applyBorder="1" applyAlignment="1">
      <alignment horizontal="left" wrapText="1"/>
    </xf>
    <xf numFmtId="0" fontId="5" fillId="2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2" fillId="23" borderId="0" xfId="0" applyFont="1" applyFill="1" applyAlignment="1">
      <alignment horizontal="left"/>
    </xf>
    <xf numFmtId="0" fontId="16" fillId="23" borderId="0" xfId="0" applyFont="1" applyFill="1" applyBorder="1" applyAlignment="1">
      <alignment horizontal="center" wrapText="1"/>
    </xf>
    <xf numFmtId="0" fontId="16" fillId="23" borderId="51" xfId="0" applyFont="1" applyFill="1" applyBorder="1" applyAlignment="1">
      <alignment horizontal="center" wrapText="1"/>
    </xf>
    <xf numFmtId="0" fontId="16" fillId="23" borderId="54" xfId="0" applyFont="1" applyFill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4" fillId="0" borderId="0" xfId="0" applyFont="1" applyAlignment="1">
      <alignment horizontal="left" wrapText="1"/>
    </xf>
    <xf numFmtId="3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4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5" fillId="0" borderId="0" xfId="93" applyFont="1" applyFill="1" applyAlignment="1">
      <alignment horizontal="center"/>
      <protection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 2" xfId="92"/>
    <cellStyle name="Normál 2_mellékletek 2013. III. névi rendelethez Kőszeg" xfId="93"/>
    <cellStyle name="Normál_2013. költségvetés mell Bozsok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8"/>
  <sheetViews>
    <sheetView view="pageBreakPreview" zoomScaleSheetLayoutView="100" workbookViewId="0" topLeftCell="A1">
      <pane xSplit="1" ySplit="6" topLeftCell="AC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97" sqref="L97:AS97"/>
    </sheetView>
  </sheetViews>
  <sheetFormatPr defaultColWidth="9.00390625" defaultRowHeight="12.75"/>
  <cols>
    <col min="1" max="1" width="50.75390625" style="2" customWidth="1"/>
    <col min="2" max="2" width="11.625" style="2" customWidth="1"/>
    <col min="3" max="3" width="3.25390625" style="2" customWidth="1"/>
    <col min="4" max="4" width="10.25390625" style="2" customWidth="1"/>
    <col min="5" max="5" width="2.875" style="2" customWidth="1"/>
    <col min="6" max="6" width="10.00390625" style="2" customWidth="1"/>
    <col min="7" max="7" width="2.875" style="2" customWidth="1"/>
    <col min="8" max="8" width="9.75390625" style="2" customWidth="1"/>
    <col min="9" max="9" width="2.25390625" style="2" customWidth="1"/>
    <col min="10" max="10" width="10.625" style="2" customWidth="1"/>
    <col min="11" max="11" width="1.875" style="2" customWidth="1"/>
    <col min="12" max="12" width="7.875" style="2" customWidth="1"/>
    <col min="13" max="13" width="3.625" style="2" customWidth="1"/>
    <col min="14" max="14" width="8.625" style="2" customWidth="1"/>
    <col min="15" max="15" width="2.625" style="2" customWidth="1"/>
    <col min="16" max="16" width="7.375" style="2" customWidth="1"/>
    <col min="17" max="17" width="2.625" style="2" customWidth="1"/>
    <col min="18" max="18" width="7.00390625" style="2" customWidth="1"/>
    <col min="19" max="19" width="2.625" style="2" customWidth="1"/>
    <col min="20" max="20" width="7.25390625" style="2" customWidth="1"/>
    <col min="21" max="21" width="2.875" style="2" customWidth="1"/>
    <col min="22" max="22" width="8.25390625" style="2" customWidth="1"/>
    <col min="23" max="23" width="2.625" style="2" customWidth="1"/>
    <col min="24" max="24" width="8.25390625" style="2" customWidth="1"/>
    <col min="25" max="25" width="2.625" style="2" customWidth="1"/>
    <col min="26" max="26" width="8.25390625" style="2" customWidth="1"/>
    <col min="27" max="27" width="2.625" style="2" customWidth="1"/>
    <col min="28" max="28" width="8.25390625" style="2" customWidth="1"/>
    <col min="29" max="29" width="2.625" style="2" customWidth="1"/>
    <col min="30" max="30" width="7.375" style="2" customWidth="1"/>
    <col min="31" max="31" width="2.625" style="2" customWidth="1"/>
    <col min="32" max="32" width="8.00390625" style="2" customWidth="1"/>
    <col min="33" max="33" width="3.125" style="2" customWidth="1"/>
    <col min="34" max="34" width="8.25390625" style="2" customWidth="1"/>
    <col min="35" max="35" width="2.625" style="2" customWidth="1"/>
    <col min="36" max="36" width="8.25390625" style="2" customWidth="1"/>
    <col min="37" max="37" width="2.625" style="2" customWidth="1"/>
    <col min="38" max="38" width="8.25390625" style="2" customWidth="1"/>
    <col min="39" max="39" width="2.625" style="2" customWidth="1"/>
    <col min="40" max="40" width="8.25390625" style="2" customWidth="1"/>
    <col min="41" max="41" width="3.625" style="2" customWidth="1"/>
    <col min="42" max="42" width="8.25390625" style="2" customWidth="1"/>
    <col min="43" max="43" width="3.25390625" style="2" customWidth="1"/>
    <col min="44" max="44" width="8.25390625" style="2" customWidth="1"/>
    <col min="45" max="45" width="3.25390625" style="2" customWidth="1"/>
    <col min="46" max="46" width="15.00390625" style="5" bestFit="1" customWidth="1"/>
    <col min="47" max="47" width="4.00390625" style="5" customWidth="1"/>
    <col min="48" max="48" width="14.875" style="2" customWidth="1"/>
    <col min="49" max="16384" width="9.125" style="2" customWidth="1"/>
  </cols>
  <sheetData>
    <row r="1" spans="1:48" ht="15.75">
      <c r="A1" s="479" t="s">
        <v>344</v>
      </c>
      <c r="B1" s="479"/>
      <c r="C1" s="479"/>
      <c r="D1" s="212"/>
      <c r="E1" s="212"/>
      <c r="F1" s="212"/>
      <c r="G1" s="212"/>
      <c r="H1" s="212"/>
      <c r="I1" s="212"/>
      <c r="J1" s="212"/>
      <c r="K1" s="212"/>
      <c r="L1" s="571" t="s">
        <v>148</v>
      </c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1"/>
      <c r="AG1" s="571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</row>
    <row r="2" spans="12:48" ht="15.75">
      <c r="L2" s="571" t="s">
        <v>272</v>
      </c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  <c r="AE2" s="571"/>
      <c r="AF2" s="571"/>
      <c r="AG2" s="571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</row>
    <row r="3" spans="1:46" ht="8.2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7" s="1" customFormat="1" ht="66.75" customHeight="1">
      <c r="A4" s="11" t="s">
        <v>0</v>
      </c>
      <c r="B4" s="572" t="s">
        <v>20</v>
      </c>
      <c r="C4" s="573"/>
      <c r="D4" s="574" t="s">
        <v>149</v>
      </c>
      <c r="E4" s="573"/>
      <c r="F4" s="574" t="s">
        <v>86</v>
      </c>
      <c r="G4" s="573"/>
      <c r="H4" s="574" t="s">
        <v>150</v>
      </c>
      <c r="I4" s="573"/>
      <c r="J4" s="574" t="s">
        <v>151</v>
      </c>
      <c r="K4" s="573"/>
      <c r="L4" s="562" t="s">
        <v>84</v>
      </c>
      <c r="M4" s="568"/>
      <c r="N4" s="562" t="s">
        <v>109</v>
      </c>
      <c r="O4" s="568"/>
      <c r="P4" s="563" t="s">
        <v>152</v>
      </c>
      <c r="Q4" s="568"/>
      <c r="R4" s="563" t="s">
        <v>153</v>
      </c>
      <c r="S4" s="568"/>
      <c r="T4" s="562" t="s">
        <v>154</v>
      </c>
      <c r="U4" s="568"/>
      <c r="V4" s="575" t="s">
        <v>155</v>
      </c>
      <c r="W4" s="576"/>
      <c r="X4" s="562" t="s">
        <v>85</v>
      </c>
      <c r="Y4" s="568"/>
      <c r="Z4" s="562" t="s">
        <v>110</v>
      </c>
      <c r="AA4" s="568"/>
      <c r="AB4" s="562" t="s">
        <v>156</v>
      </c>
      <c r="AC4" s="568"/>
      <c r="AD4" s="562" t="s">
        <v>157</v>
      </c>
      <c r="AE4" s="563"/>
      <c r="AF4" s="564" t="s">
        <v>158</v>
      </c>
      <c r="AG4" s="565"/>
      <c r="AH4" s="566" t="s">
        <v>159</v>
      </c>
      <c r="AI4" s="567"/>
      <c r="AJ4" s="562" t="s">
        <v>160</v>
      </c>
      <c r="AK4" s="568"/>
      <c r="AL4" s="562" t="s">
        <v>161</v>
      </c>
      <c r="AM4" s="568"/>
      <c r="AN4" s="562" t="s">
        <v>162</v>
      </c>
      <c r="AO4" s="568"/>
      <c r="AP4" s="562" t="s">
        <v>163</v>
      </c>
      <c r="AQ4" s="568"/>
      <c r="AR4" s="569" t="s">
        <v>164</v>
      </c>
      <c r="AS4" s="570"/>
      <c r="AT4" s="560" t="s">
        <v>273</v>
      </c>
      <c r="AU4" s="561"/>
    </row>
    <row r="5" spans="1:47" s="1" customFormat="1" ht="20.25" customHeight="1">
      <c r="A5" s="510" t="s">
        <v>165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511"/>
      <c r="AO5" s="511"/>
      <c r="AP5" s="511"/>
      <c r="AQ5" s="511"/>
      <c r="AR5" s="511"/>
      <c r="AS5" s="511"/>
      <c r="AT5" s="508"/>
      <c r="AU5" s="509"/>
    </row>
    <row r="6" spans="1:47" s="1" customFormat="1" ht="20.25" customHeight="1">
      <c r="A6" s="510" t="s">
        <v>87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1"/>
      <c r="AJ6" s="511"/>
      <c r="AK6" s="511"/>
      <c r="AL6" s="511"/>
      <c r="AM6" s="511"/>
      <c r="AN6" s="511"/>
      <c r="AO6" s="511"/>
      <c r="AP6" s="511"/>
      <c r="AQ6" s="511"/>
      <c r="AR6" s="511"/>
      <c r="AS6" s="511"/>
      <c r="AT6" s="508"/>
      <c r="AU6" s="509"/>
    </row>
    <row r="7" spans="1:47" s="1" customFormat="1" ht="12.75">
      <c r="A7" s="13" t="s">
        <v>88</v>
      </c>
      <c r="B7" s="213"/>
      <c r="C7" s="214"/>
      <c r="D7" s="366">
        <v>35.08</v>
      </c>
      <c r="E7" s="367" t="s">
        <v>11</v>
      </c>
      <c r="F7" s="213"/>
      <c r="G7" s="213"/>
      <c r="H7" s="215"/>
      <c r="I7" s="214"/>
      <c r="J7" s="215"/>
      <c r="K7" s="214"/>
      <c r="L7" s="216"/>
      <c r="M7" s="216"/>
      <c r="N7" s="217"/>
      <c r="O7" s="218"/>
      <c r="P7" s="217"/>
      <c r="Q7" s="218"/>
      <c r="R7" s="217"/>
      <c r="S7" s="218"/>
      <c r="T7" s="217"/>
      <c r="U7" s="218"/>
      <c r="V7" s="219"/>
      <c r="W7" s="220"/>
      <c r="X7" s="217"/>
      <c r="Y7" s="218"/>
      <c r="Z7" s="217"/>
      <c r="AA7" s="218"/>
      <c r="AB7" s="217"/>
      <c r="AC7" s="218"/>
      <c r="AD7" s="216"/>
      <c r="AE7" s="216"/>
      <c r="AF7" s="221"/>
      <c r="AG7" s="222"/>
      <c r="AH7" s="223"/>
      <c r="AI7" s="224"/>
      <c r="AJ7" s="225"/>
      <c r="AK7" s="218"/>
      <c r="AL7" s="217"/>
      <c r="AM7" s="218"/>
      <c r="AN7" s="217"/>
      <c r="AO7" s="218"/>
      <c r="AP7" s="217"/>
      <c r="AQ7" s="218"/>
      <c r="AR7" s="226"/>
      <c r="AS7" s="227"/>
      <c r="AT7" s="329"/>
      <c r="AU7" s="228"/>
    </row>
    <row r="8" spans="1:47" s="1" customFormat="1" ht="15" customHeight="1">
      <c r="A8" s="229" t="s">
        <v>166</v>
      </c>
      <c r="B8" s="230"/>
      <c r="C8" s="231"/>
      <c r="D8" s="555">
        <f>ROUND(D7*4580000,0)</f>
        <v>160666400</v>
      </c>
      <c r="E8" s="556"/>
      <c r="F8" s="230"/>
      <c r="G8" s="230"/>
      <c r="H8" s="232"/>
      <c r="I8" s="231"/>
      <c r="J8" s="232"/>
      <c r="K8" s="231"/>
      <c r="L8" s="233"/>
      <c r="M8" s="233"/>
      <c r="N8" s="234"/>
      <c r="O8" s="235"/>
      <c r="P8" s="234"/>
      <c r="Q8" s="235"/>
      <c r="R8" s="234"/>
      <c r="S8" s="235"/>
      <c r="T8" s="234"/>
      <c r="U8" s="235"/>
      <c r="V8" s="236"/>
      <c r="W8" s="237"/>
      <c r="X8" s="234"/>
      <c r="Y8" s="235"/>
      <c r="Z8" s="234"/>
      <c r="AA8" s="235"/>
      <c r="AB8" s="234"/>
      <c r="AC8" s="235"/>
      <c r="AD8" s="233"/>
      <c r="AE8" s="233"/>
      <c r="AF8" s="238"/>
      <c r="AG8" s="239"/>
      <c r="AH8" s="240"/>
      <c r="AI8" s="241"/>
      <c r="AJ8" s="242"/>
      <c r="AK8" s="235"/>
      <c r="AL8" s="234"/>
      <c r="AM8" s="235"/>
      <c r="AN8" s="234"/>
      <c r="AO8" s="235"/>
      <c r="AP8" s="234"/>
      <c r="AQ8" s="235"/>
      <c r="AR8" s="243"/>
      <c r="AS8" s="244"/>
      <c r="AT8" s="368">
        <f>B8+D8+F8+H8+J8+V8+AF8+AH8+AR8</f>
        <v>160666400</v>
      </c>
      <c r="AU8" s="369"/>
    </row>
    <row r="9" spans="1:47" s="1" customFormat="1" ht="25.5">
      <c r="A9" s="13" t="s">
        <v>274</v>
      </c>
      <c r="B9" s="558">
        <f>B11+B13+B15+B17</f>
        <v>77666094</v>
      </c>
      <c r="C9" s="559"/>
      <c r="D9" s="215"/>
      <c r="E9" s="214"/>
      <c r="F9" s="213"/>
      <c r="G9" s="213"/>
      <c r="H9" s="215"/>
      <c r="I9" s="214"/>
      <c r="J9" s="215"/>
      <c r="K9" s="214"/>
      <c r="L9" s="216"/>
      <c r="M9" s="216"/>
      <c r="N9" s="217"/>
      <c r="O9" s="218"/>
      <c r="P9" s="217"/>
      <c r="Q9" s="218"/>
      <c r="R9" s="217"/>
      <c r="S9" s="218"/>
      <c r="T9" s="217"/>
      <c r="U9" s="218"/>
      <c r="V9" s="219"/>
      <c r="W9" s="220"/>
      <c r="X9" s="217"/>
      <c r="Y9" s="218"/>
      <c r="Z9" s="217"/>
      <c r="AA9" s="218"/>
      <c r="AB9" s="217"/>
      <c r="AC9" s="218"/>
      <c r="AD9" s="216"/>
      <c r="AE9" s="216"/>
      <c r="AF9" s="221"/>
      <c r="AG9" s="222"/>
      <c r="AH9" s="223"/>
      <c r="AI9" s="224"/>
      <c r="AJ9" s="225"/>
      <c r="AK9" s="218"/>
      <c r="AL9" s="217"/>
      <c r="AM9" s="218"/>
      <c r="AN9" s="217"/>
      <c r="AO9" s="218"/>
      <c r="AP9" s="217"/>
      <c r="AQ9" s="218"/>
      <c r="AR9" s="226"/>
      <c r="AS9" s="227"/>
      <c r="AT9" s="370">
        <f>B9+D9+F9+H9+J9+V9+AF9+AH9+AR9</f>
        <v>77666094</v>
      </c>
      <c r="AU9" s="228"/>
    </row>
    <row r="10" spans="1:47" s="1" customFormat="1" ht="25.5" customHeight="1">
      <c r="A10" s="557" t="s">
        <v>275</v>
      </c>
      <c r="B10" s="371"/>
      <c r="C10" s="372"/>
      <c r="D10" s="245"/>
      <c r="E10" s="246"/>
      <c r="F10" s="247"/>
      <c r="G10" s="247"/>
      <c r="H10" s="245"/>
      <c r="I10" s="246"/>
      <c r="J10" s="245"/>
      <c r="K10" s="246"/>
      <c r="L10" s="7"/>
      <c r="M10" s="7"/>
      <c r="N10" s="248"/>
      <c r="O10" s="249"/>
      <c r="P10" s="248"/>
      <c r="Q10" s="249"/>
      <c r="R10" s="248"/>
      <c r="S10" s="249"/>
      <c r="T10" s="248"/>
      <c r="U10" s="249"/>
      <c r="V10" s="250"/>
      <c r="W10" s="251"/>
      <c r="X10" s="248"/>
      <c r="Y10" s="249"/>
      <c r="Z10" s="248"/>
      <c r="AA10" s="249"/>
      <c r="AB10" s="248"/>
      <c r="AC10" s="249"/>
      <c r="AD10" s="7"/>
      <c r="AE10" s="7"/>
      <c r="AF10" s="252"/>
      <c r="AG10" s="253"/>
      <c r="AH10" s="254"/>
      <c r="AI10" s="255"/>
      <c r="AJ10" s="256"/>
      <c r="AK10" s="249"/>
      <c r="AL10" s="248"/>
      <c r="AM10" s="249"/>
      <c r="AN10" s="248"/>
      <c r="AO10" s="249"/>
      <c r="AP10" s="248"/>
      <c r="AQ10" s="249"/>
      <c r="AR10" s="257"/>
      <c r="AS10" s="258"/>
      <c r="AT10" s="373"/>
      <c r="AU10" s="374"/>
    </row>
    <row r="11" spans="1:47" s="1" customFormat="1" ht="12.75">
      <c r="A11" s="545"/>
      <c r="B11" s="555">
        <f>13495960-5464878</f>
        <v>8031082</v>
      </c>
      <c r="C11" s="556"/>
      <c r="D11" s="232"/>
      <c r="E11" s="231"/>
      <c r="F11" s="230"/>
      <c r="G11" s="230"/>
      <c r="H11" s="232"/>
      <c r="I11" s="231"/>
      <c r="J11" s="232"/>
      <c r="K11" s="231"/>
      <c r="L11" s="233"/>
      <c r="M11" s="233"/>
      <c r="N11" s="234"/>
      <c r="O11" s="235"/>
      <c r="P11" s="234"/>
      <c r="Q11" s="235"/>
      <c r="R11" s="234"/>
      <c r="S11" s="235"/>
      <c r="T11" s="234"/>
      <c r="U11" s="235"/>
      <c r="V11" s="236"/>
      <c r="W11" s="237"/>
      <c r="X11" s="234"/>
      <c r="Y11" s="235"/>
      <c r="Z11" s="234"/>
      <c r="AA11" s="235"/>
      <c r="AB11" s="234"/>
      <c r="AC11" s="235"/>
      <c r="AD11" s="233"/>
      <c r="AE11" s="233"/>
      <c r="AF11" s="238"/>
      <c r="AG11" s="239"/>
      <c r="AH11" s="240"/>
      <c r="AI11" s="241"/>
      <c r="AJ11" s="242"/>
      <c r="AK11" s="235"/>
      <c r="AL11" s="234"/>
      <c r="AM11" s="235"/>
      <c r="AN11" s="234"/>
      <c r="AO11" s="235"/>
      <c r="AP11" s="234"/>
      <c r="AQ11" s="235"/>
      <c r="AR11" s="243"/>
      <c r="AS11" s="244"/>
      <c r="AT11" s="368">
        <f>B11+D11+F11+H11+J11+V11+AF11+AH11+AR11</f>
        <v>8031082</v>
      </c>
      <c r="AU11" s="369"/>
    </row>
    <row r="12" spans="1:47" s="1" customFormat="1" ht="12.75">
      <c r="A12" s="544" t="s">
        <v>247</v>
      </c>
      <c r="B12" s="213"/>
      <c r="C12" s="214"/>
      <c r="D12" s="215"/>
      <c r="E12" s="214"/>
      <c r="F12" s="213"/>
      <c r="G12" s="213"/>
      <c r="H12" s="215"/>
      <c r="I12" s="214"/>
      <c r="J12" s="215"/>
      <c r="K12" s="214"/>
      <c r="L12" s="216"/>
      <c r="M12" s="216"/>
      <c r="N12" s="217"/>
      <c r="O12" s="218"/>
      <c r="P12" s="217"/>
      <c r="Q12" s="218"/>
      <c r="R12" s="217"/>
      <c r="S12" s="218"/>
      <c r="T12" s="217"/>
      <c r="U12" s="218"/>
      <c r="V12" s="219"/>
      <c r="W12" s="220"/>
      <c r="X12" s="217"/>
      <c r="Y12" s="218"/>
      <c r="Z12" s="217"/>
      <c r="AA12" s="218"/>
      <c r="AB12" s="217"/>
      <c r="AC12" s="218"/>
      <c r="AD12" s="216"/>
      <c r="AE12" s="216"/>
      <c r="AF12" s="221"/>
      <c r="AG12" s="222"/>
      <c r="AH12" s="223"/>
      <c r="AI12" s="224"/>
      <c r="AJ12" s="225"/>
      <c r="AK12" s="218"/>
      <c r="AL12" s="217"/>
      <c r="AM12" s="218"/>
      <c r="AN12" s="217"/>
      <c r="AO12" s="218"/>
      <c r="AP12" s="217"/>
      <c r="AQ12" s="218"/>
      <c r="AR12" s="226"/>
      <c r="AS12" s="227"/>
      <c r="AT12" s="329"/>
      <c r="AU12" s="228"/>
    </row>
    <row r="13" spans="1:47" s="1" customFormat="1" ht="12.75">
      <c r="A13" s="545"/>
      <c r="B13" s="546">
        <v>45320000</v>
      </c>
      <c r="C13" s="547"/>
      <c r="D13" s="232"/>
      <c r="E13" s="231"/>
      <c r="F13" s="230"/>
      <c r="G13" s="230"/>
      <c r="H13" s="232"/>
      <c r="I13" s="231"/>
      <c r="J13" s="232"/>
      <c r="K13" s="231"/>
      <c r="L13" s="233"/>
      <c r="M13" s="233"/>
      <c r="N13" s="234"/>
      <c r="O13" s="235"/>
      <c r="P13" s="234"/>
      <c r="Q13" s="235"/>
      <c r="R13" s="234"/>
      <c r="S13" s="235"/>
      <c r="T13" s="234"/>
      <c r="U13" s="235"/>
      <c r="V13" s="236"/>
      <c r="W13" s="237"/>
      <c r="X13" s="234"/>
      <c r="Y13" s="235"/>
      <c r="Z13" s="234"/>
      <c r="AA13" s="235"/>
      <c r="AB13" s="234"/>
      <c r="AC13" s="235"/>
      <c r="AD13" s="233"/>
      <c r="AE13" s="233"/>
      <c r="AF13" s="238"/>
      <c r="AG13" s="239"/>
      <c r="AH13" s="240"/>
      <c r="AI13" s="241"/>
      <c r="AJ13" s="242"/>
      <c r="AK13" s="235"/>
      <c r="AL13" s="234"/>
      <c r="AM13" s="235"/>
      <c r="AN13" s="234"/>
      <c r="AO13" s="235"/>
      <c r="AP13" s="234"/>
      <c r="AQ13" s="235"/>
      <c r="AR13" s="243"/>
      <c r="AS13" s="244"/>
      <c r="AT13" s="368">
        <f>B13+D13+F13+H13+J13+V13+AF13+AH13+AR13</f>
        <v>45320000</v>
      </c>
      <c r="AU13" s="369"/>
    </row>
    <row r="14" spans="1:47" s="1" customFormat="1" ht="12.75">
      <c r="A14" s="544" t="s">
        <v>248</v>
      </c>
      <c r="B14" s="213"/>
      <c r="C14" s="214"/>
      <c r="D14" s="215"/>
      <c r="E14" s="214"/>
      <c r="F14" s="213"/>
      <c r="G14" s="213"/>
      <c r="H14" s="215"/>
      <c r="I14" s="214"/>
      <c r="J14" s="215"/>
      <c r="K14" s="214"/>
      <c r="L14" s="216"/>
      <c r="M14" s="216"/>
      <c r="N14" s="217"/>
      <c r="O14" s="218"/>
      <c r="P14" s="217"/>
      <c r="Q14" s="218"/>
      <c r="R14" s="217"/>
      <c r="S14" s="218"/>
      <c r="T14" s="217"/>
      <c r="U14" s="218"/>
      <c r="V14" s="219"/>
      <c r="W14" s="220"/>
      <c r="X14" s="217"/>
      <c r="Y14" s="218"/>
      <c r="Z14" s="217"/>
      <c r="AA14" s="218"/>
      <c r="AB14" s="217"/>
      <c r="AC14" s="218"/>
      <c r="AD14" s="216"/>
      <c r="AE14" s="216"/>
      <c r="AF14" s="221"/>
      <c r="AG14" s="222"/>
      <c r="AH14" s="223"/>
      <c r="AI14" s="224"/>
      <c r="AJ14" s="225"/>
      <c r="AK14" s="218"/>
      <c r="AL14" s="217"/>
      <c r="AM14" s="218"/>
      <c r="AN14" s="217"/>
      <c r="AO14" s="218"/>
      <c r="AP14" s="217"/>
      <c r="AQ14" s="218"/>
      <c r="AR14" s="226"/>
      <c r="AS14" s="227"/>
      <c r="AT14" s="329"/>
      <c r="AU14" s="228"/>
    </row>
    <row r="15" spans="1:47" s="1" customFormat="1" ht="12.75">
      <c r="A15" s="545"/>
      <c r="B15" s="546">
        <v>3588312</v>
      </c>
      <c r="C15" s="547"/>
      <c r="D15" s="232"/>
      <c r="E15" s="231"/>
      <c r="F15" s="230"/>
      <c r="G15" s="230"/>
      <c r="H15" s="232"/>
      <c r="I15" s="231"/>
      <c r="J15" s="232"/>
      <c r="K15" s="231"/>
      <c r="L15" s="233"/>
      <c r="M15" s="233"/>
      <c r="N15" s="234"/>
      <c r="O15" s="235"/>
      <c r="P15" s="234"/>
      <c r="Q15" s="235"/>
      <c r="R15" s="234"/>
      <c r="S15" s="235"/>
      <c r="T15" s="234"/>
      <c r="U15" s="235"/>
      <c r="V15" s="236"/>
      <c r="W15" s="237"/>
      <c r="X15" s="234"/>
      <c r="Y15" s="235"/>
      <c r="Z15" s="234"/>
      <c r="AA15" s="235"/>
      <c r="AB15" s="234"/>
      <c r="AC15" s="235"/>
      <c r="AD15" s="233"/>
      <c r="AE15" s="233"/>
      <c r="AF15" s="238"/>
      <c r="AG15" s="239"/>
      <c r="AH15" s="240"/>
      <c r="AI15" s="241"/>
      <c r="AJ15" s="242"/>
      <c r="AK15" s="235"/>
      <c r="AL15" s="234"/>
      <c r="AM15" s="235"/>
      <c r="AN15" s="234"/>
      <c r="AO15" s="235"/>
      <c r="AP15" s="234"/>
      <c r="AQ15" s="235"/>
      <c r="AR15" s="243"/>
      <c r="AS15" s="244"/>
      <c r="AT15" s="368">
        <f>B15+D15+F15+H15+J15+V15+AF15+AH15+AR15</f>
        <v>3588312</v>
      </c>
      <c r="AU15" s="369"/>
    </row>
    <row r="16" spans="1:47" s="1" customFormat="1" ht="12.75" customHeight="1">
      <c r="A16" s="550" t="s">
        <v>249</v>
      </c>
      <c r="B16" s="213"/>
      <c r="C16" s="214"/>
      <c r="D16" s="215"/>
      <c r="E16" s="214"/>
      <c r="F16" s="213"/>
      <c r="G16" s="213"/>
      <c r="H16" s="215"/>
      <c r="I16" s="214"/>
      <c r="J16" s="215"/>
      <c r="K16" s="214"/>
      <c r="L16" s="216"/>
      <c r="M16" s="216"/>
      <c r="N16" s="217"/>
      <c r="O16" s="218"/>
      <c r="P16" s="217"/>
      <c r="Q16" s="218"/>
      <c r="R16" s="217"/>
      <c r="S16" s="218"/>
      <c r="T16" s="217"/>
      <c r="U16" s="218"/>
      <c r="V16" s="219"/>
      <c r="W16" s="220"/>
      <c r="X16" s="217"/>
      <c r="Y16" s="218"/>
      <c r="Z16" s="217"/>
      <c r="AA16" s="218"/>
      <c r="AB16" s="217"/>
      <c r="AC16" s="218"/>
      <c r="AD16" s="216"/>
      <c r="AE16" s="216"/>
      <c r="AF16" s="221"/>
      <c r="AG16" s="222"/>
      <c r="AH16" s="223"/>
      <c r="AI16" s="224"/>
      <c r="AJ16" s="225"/>
      <c r="AK16" s="218"/>
      <c r="AL16" s="217"/>
      <c r="AM16" s="218"/>
      <c r="AN16" s="217"/>
      <c r="AO16" s="218"/>
      <c r="AP16" s="217"/>
      <c r="AQ16" s="218"/>
      <c r="AR16" s="226"/>
      <c r="AS16" s="227"/>
      <c r="AT16" s="329"/>
      <c r="AU16" s="228"/>
    </row>
    <row r="17" spans="1:47" s="1" customFormat="1" ht="12.75">
      <c r="A17" s="551"/>
      <c r="B17" s="552">
        <v>20726700</v>
      </c>
      <c r="C17" s="547"/>
      <c r="D17" s="232"/>
      <c r="E17" s="231"/>
      <c r="F17" s="230"/>
      <c r="G17" s="230"/>
      <c r="H17" s="232"/>
      <c r="I17" s="231"/>
      <c r="J17" s="232"/>
      <c r="K17" s="231"/>
      <c r="L17" s="233"/>
      <c r="M17" s="233"/>
      <c r="N17" s="234"/>
      <c r="O17" s="235"/>
      <c r="P17" s="234"/>
      <c r="Q17" s="235"/>
      <c r="R17" s="234"/>
      <c r="S17" s="235"/>
      <c r="T17" s="234"/>
      <c r="U17" s="235"/>
      <c r="V17" s="236"/>
      <c r="W17" s="237"/>
      <c r="X17" s="234"/>
      <c r="Y17" s="235"/>
      <c r="Z17" s="234"/>
      <c r="AA17" s="235"/>
      <c r="AB17" s="234"/>
      <c r="AC17" s="235"/>
      <c r="AD17" s="233"/>
      <c r="AE17" s="233"/>
      <c r="AF17" s="238"/>
      <c r="AG17" s="239"/>
      <c r="AH17" s="240"/>
      <c r="AI17" s="241"/>
      <c r="AJ17" s="242"/>
      <c r="AK17" s="235"/>
      <c r="AL17" s="234"/>
      <c r="AM17" s="235"/>
      <c r="AN17" s="234"/>
      <c r="AO17" s="235"/>
      <c r="AP17" s="234"/>
      <c r="AQ17" s="235"/>
      <c r="AR17" s="243"/>
      <c r="AS17" s="244"/>
      <c r="AT17" s="368">
        <f>B17+D17+F17+H17+J17+V17+AF17+AH17+AR17</f>
        <v>20726700</v>
      </c>
      <c r="AU17" s="369"/>
    </row>
    <row r="18" spans="1:47" s="1" customFormat="1" ht="12.75">
      <c r="A18" s="32" t="s">
        <v>250</v>
      </c>
      <c r="B18" s="375">
        <v>11449</v>
      </c>
      <c r="C18" s="376" t="s">
        <v>11</v>
      </c>
      <c r="D18" s="215"/>
      <c r="E18" s="214"/>
      <c r="F18" s="213"/>
      <c r="G18" s="213"/>
      <c r="H18" s="215"/>
      <c r="I18" s="214"/>
      <c r="J18" s="215"/>
      <c r="K18" s="214"/>
      <c r="L18" s="216"/>
      <c r="M18" s="216"/>
      <c r="N18" s="217"/>
      <c r="O18" s="218"/>
      <c r="P18" s="217"/>
      <c r="Q18" s="218"/>
      <c r="R18" s="217"/>
      <c r="S18" s="218"/>
      <c r="T18" s="217"/>
      <c r="U18" s="218"/>
      <c r="V18" s="219"/>
      <c r="W18" s="220"/>
      <c r="X18" s="217"/>
      <c r="Y18" s="218"/>
      <c r="Z18" s="217"/>
      <c r="AA18" s="218"/>
      <c r="AB18" s="217"/>
      <c r="AC18" s="218"/>
      <c r="AD18" s="216"/>
      <c r="AE18" s="216"/>
      <c r="AF18" s="221"/>
      <c r="AG18" s="222"/>
      <c r="AH18" s="223"/>
      <c r="AI18" s="224"/>
      <c r="AJ18" s="225"/>
      <c r="AK18" s="218"/>
      <c r="AL18" s="217"/>
      <c r="AM18" s="218"/>
      <c r="AN18" s="217"/>
      <c r="AO18" s="218"/>
      <c r="AP18" s="217"/>
      <c r="AQ18" s="218"/>
      <c r="AR18" s="226"/>
      <c r="AS18" s="227"/>
      <c r="AT18" s="329"/>
      <c r="AU18" s="228"/>
    </row>
    <row r="19" spans="1:47" s="1" customFormat="1" ht="26.25" customHeight="1" thickBot="1">
      <c r="A19" s="259" t="s">
        <v>276</v>
      </c>
      <c r="B19" s="553">
        <f>B18*2700-30912300</f>
        <v>0</v>
      </c>
      <c r="C19" s="554"/>
      <c r="D19" s="232"/>
      <c r="E19" s="231"/>
      <c r="F19" s="230"/>
      <c r="G19" s="230"/>
      <c r="H19" s="232"/>
      <c r="I19" s="231"/>
      <c r="J19" s="232"/>
      <c r="K19" s="231"/>
      <c r="L19" s="233"/>
      <c r="M19" s="233"/>
      <c r="N19" s="234"/>
      <c r="O19" s="235"/>
      <c r="P19" s="234"/>
      <c r="Q19" s="235"/>
      <c r="R19" s="234"/>
      <c r="S19" s="235"/>
      <c r="T19" s="234"/>
      <c r="U19" s="235"/>
      <c r="V19" s="236"/>
      <c r="W19" s="237"/>
      <c r="X19" s="234"/>
      <c r="Y19" s="235"/>
      <c r="Z19" s="234"/>
      <c r="AA19" s="235"/>
      <c r="AB19" s="234"/>
      <c r="AC19" s="235"/>
      <c r="AD19" s="233"/>
      <c r="AE19" s="233"/>
      <c r="AF19" s="238"/>
      <c r="AG19" s="239"/>
      <c r="AH19" s="240"/>
      <c r="AI19" s="241"/>
      <c r="AJ19" s="242"/>
      <c r="AK19" s="235"/>
      <c r="AL19" s="234"/>
      <c r="AM19" s="235"/>
      <c r="AN19" s="234"/>
      <c r="AO19" s="235"/>
      <c r="AP19" s="234"/>
      <c r="AQ19" s="235"/>
      <c r="AR19" s="243"/>
      <c r="AS19" s="244"/>
      <c r="AT19" s="368">
        <f>B19+D19+F19+H19+J19+V19+AF19+AH19+AR19</f>
        <v>0</v>
      </c>
      <c r="AU19" s="369"/>
    </row>
    <row r="20" spans="1:47" ht="16.5" customHeight="1">
      <c r="A20" s="13" t="s">
        <v>251</v>
      </c>
      <c r="B20" s="330"/>
      <c r="C20" s="331"/>
      <c r="D20" s="332"/>
      <c r="E20" s="331"/>
      <c r="F20" s="330"/>
      <c r="G20" s="330"/>
      <c r="H20" s="332"/>
      <c r="I20" s="331"/>
      <c r="J20" s="332"/>
      <c r="K20" s="331"/>
      <c r="L20" s="17"/>
      <c r="M20" s="287"/>
      <c r="N20" s="291"/>
      <c r="O20" s="14"/>
      <c r="P20" s="17"/>
      <c r="Q20" s="14"/>
      <c r="R20" s="17"/>
      <c r="S20" s="14"/>
      <c r="T20" s="8"/>
      <c r="U20" s="9"/>
      <c r="V20" s="279"/>
      <c r="W20" s="265"/>
      <c r="X20" s="8"/>
      <c r="Y20" s="9"/>
      <c r="Z20" s="8"/>
      <c r="AA20" s="9"/>
      <c r="AB20" s="8"/>
      <c r="AC20" s="9"/>
      <c r="AD20" s="8"/>
      <c r="AE20" s="8"/>
      <c r="AF20" s="292"/>
      <c r="AG20" s="293"/>
      <c r="AH20" s="294"/>
      <c r="AI20" s="295"/>
      <c r="AJ20" s="296"/>
      <c r="AK20" s="9"/>
      <c r="AL20" s="297"/>
      <c r="AM20" s="9"/>
      <c r="AN20" s="297"/>
      <c r="AO20" s="9"/>
      <c r="AP20" s="297"/>
      <c r="AQ20" s="9"/>
      <c r="AR20" s="298"/>
      <c r="AS20" s="299"/>
      <c r="AT20" s="377"/>
      <c r="AU20" s="280"/>
    </row>
    <row r="21" spans="1:47" ht="16.5" customHeight="1" thickBot="1">
      <c r="A21" s="33" t="s">
        <v>277</v>
      </c>
      <c r="B21" s="548">
        <v>0</v>
      </c>
      <c r="C21" s="549"/>
      <c r="D21" s="333"/>
      <c r="E21" s="334"/>
      <c r="F21" s="335"/>
      <c r="G21" s="335"/>
      <c r="H21" s="333"/>
      <c r="I21" s="334"/>
      <c r="J21" s="333"/>
      <c r="K21" s="334"/>
      <c r="L21" s="492"/>
      <c r="M21" s="519"/>
      <c r="N21" s="483"/>
      <c r="O21" s="484"/>
      <c r="P21" s="492"/>
      <c r="Q21" s="484"/>
      <c r="R21" s="492"/>
      <c r="S21" s="484"/>
      <c r="T21" s="470"/>
      <c r="U21" s="495"/>
      <c r="V21" s="505"/>
      <c r="W21" s="506"/>
      <c r="X21" s="492"/>
      <c r="Y21" s="496"/>
      <c r="Z21" s="492"/>
      <c r="AA21" s="496"/>
      <c r="AB21" s="492"/>
      <c r="AC21" s="496"/>
      <c r="AD21" s="492"/>
      <c r="AE21" s="492"/>
      <c r="AF21" s="472"/>
      <c r="AG21" s="473"/>
      <c r="AH21" s="478"/>
      <c r="AI21" s="474"/>
      <c r="AJ21" s="497"/>
      <c r="AK21" s="496"/>
      <c r="AL21" s="483"/>
      <c r="AM21" s="496"/>
      <c r="AN21" s="483"/>
      <c r="AO21" s="496"/>
      <c r="AP21" s="483"/>
      <c r="AQ21" s="496"/>
      <c r="AR21" s="500"/>
      <c r="AS21" s="501"/>
      <c r="AT21" s="368">
        <f>B21+D21+F21+H21+J21+V21+AF21+AH21+AR21</f>
        <v>0</v>
      </c>
      <c r="AU21" s="271"/>
    </row>
    <row r="22" spans="1:47" ht="16.5" customHeight="1">
      <c r="A22" s="13" t="s">
        <v>252</v>
      </c>
      <c r="B22" s="378">
        <v>10763975</v>
      </c>
      <c r="C22" s="331" t="s">
        <v>12</v>
      </c>
      <c r="D22" s="332"/>
      <c r="E22" s="331"/>
      <c r="F22" s="330"/>
      <c r="G22" s="330"/>
      <c r="H22" s="332"/>
      <c r="I22" s="331"/>
      <c r="J22" s="332"/>
      <c r="K22" s="331"/>
      <c r="L22" s="17"/>
      <c r="M22" s="287"/>
      <c r="N22" s="291"/>
      <c r="O22" s="14"/>
      <c r="P22" s="17"/>
      <c r="Q22" s="14"/>
      <c r="R22" s="17"/>
      <c r="S22" s="14"/>
      <c r="T22" s="8"/>
      <c r="U22" s="9"/>
      <c r="V22" s="279"/>
      <c r="W22" s="265"/>
      <c r="X22" s="8"/>
      <c r="Y22" s="9"/>
      <c r="Z22" s="8"/>
      <c r="AA22" s="9"/>
      <c r="AB22" s="8"/>
      <c r="AC22" s="9"/>
      <c r="AD22" s="8"/>
      <c r="AE22" s="8"/>
      <c r="AF22" s="292"/>
      <c r="AG22" s="293"/>
      <c r="AH22" s="294"/>
      <c r="AI22" s="295"/>
      <c r="AJ22" s="296"/>
      <c r="AK22" s="9"/>
      <c r="AL22" s="297"/>
      <c r="AM22" s="9"/>
      <c r="AN22" s="297"/>
      <c r="AO22" s="9"/>
      <c r="AP22" s="297"/>
      <c r="AQ22" s="9"/>
      <c r="AR22" s="298"/>
      <c r="AS22" s="299"/>
      <c r="AT22" s="377"/>
      <c r="AU22" s="280"/>
    </row>
    <row r="23" spans="1:47" ht="16.5" customHeight="1">
      <c r="A23" s="33" t="s">
        <v>278</v>
      </c>
      <c r="B23" s="548">
        <f>B22*2</f>
        <v>21527950</v>
      </c>
      <c r="C23" s="549"/>
      <c r="D23" s="333"/>
      <c r="E23" s="334"/>
      <c r="F23" s="335"/>
      <c r="G23" s="335"/>
      <c r="H23" s="333"/>
      <c r="I23" s="334"/>
      <c r="J23" s="333"/>
      <c r="K23" s="334"/>
      <c r="L23" s="492"/>
      <c r="M23" s="519"/>
      <c r="N23" s="483"/>
      <c r="O23" s="484"/>
      <c r="P23" s="492"/>
      <c r="Q23" s="484"/>
      <c r="R23" s="492"/>
      <c r="S23" s="484"/>
      <c r="T23" s="470"/>
      <c r="U23" s="495"/>
      <c r="V23" s="505"/>
      <c r="W23" s="506"/>
      <c r="X23" s="492"/>
      <c r="Y23" s="496"/>
      <c r="Z23" s="492"/>
      <c r="AA23" s="496"/>
      <c r="AB23" s="492"/>
      <c r="AC23" s="496"/>
      <c r="AD23" s="492"/>
      <c r="AE23" s="492"/>
      <c r="AF23" s="472"/>
      <c r="AG23" s="473"/>
      <c r="AH23" s="478"/>
      <c r="AI23" s="474"/>
      <c r="AJ23" s="497"/>
      <c r="AK23" s="496"/>
      <c r="AL23" s="483"/>
      <c r="AM23" s="496"/>
      <c r="AN23" s="483"/>
      <c r="AO23" s="496"/>
      <c r="AP23" s="483"/>
      <c r="AQ23" s="496"/>
      <c r="AR23" s="500"/>
      <c r="AS23" s="501"/>
      <c r="AT23" s="368">
        <f>B23+D23+F23+H23+J23+V23+AF23+AH23+AR23</f>
        <v>21527950</v>
      </c>
      <c r="AU23" s="271"/>
    </row>
    <row r="24" spans="1:48" s="1" customFormat="1" ht="25.5">
      <c r="A24" s="32" t="s">
        <v>253</v>
      </c>
      <c r="B24" s="542">
        <v>80000</v>
      </c>
      <c r="C24" s="543"/>
      <c r="D24" s="215"/>
      <c r="E24" s="214"/>
      <c r="F24" s="213"/>
      <c r="G24" s="213"/>
      <c r="H24" s="215"/>
      <c r="I24" s="214"/>
      <c r="J24" s="215"/>
      <c r="K24" s="214"/>
      <c r="L24" s="216"/>
      <c r="M24" s="216"/>
      <c r="N24" s="217"/>
      <c r="O24" s="218"/>
      <c r="P24" s="217"/>
      <c r="Q24" s="218"/>
      <c r="R24" s="217"/>
      <c r="S24" s="218"/>
      <c r="T24" s="217"/>
      <c r="U24" s="218"/>
      <c r="V24" s="219"/>
      <c r="W24" s="220"/>
      <c r="X24" s="217"/>
      <c r="Y24" s="218"/>
      <c r="Z24" s="217"/>
      <c r="AA24" s="218"/>
      <c r="AB24" s="217"/>
      <c r="AC24" s="218"/>
      <c r="AD24" s="216"/>
      <c r="AE24" s="216"/>
      <c r="AF24" s="221"/>
      <c r="AG24" s="222"/>
      <c r="AH24" s="223"/>
      <c r="AI24" s="224"/>
      <c r="AJ24" s="225"/>
      <c r="AK24" s="218"/>
      <c r="AL24" s="217"/>
      <c r="AM24" s="218"/>
      <c r="AN24" s="217"/>
      <c r="AO24" s="218"/>
      <c r="AP24" s="217"/>
      <c r="AQ24" s="218"/>
      <c r="AR24" s="226"/>
      <c r="AS24" s="227"/>
      <c r="AT24" s="368">
        <f>B24+D24+F24+H24+J24+V24+AF24+AH24+AR24</f>
        <v>80000</v>
      </c>
      <c r="AU24" s="228"/>
      <c r="AV24" s="336">
        <f>AT7+AT8+AT18+AT20+AT22</f>
        <v>160666400</v>
      </c>
    </row>
    <row r="25" spans="1:48" s="1" customFormat="1" ht="25.5">
      <c r="A25" s="32" t="s">
        <v>410</v>
      </c>
      <c r="B25" s="542">
        <v>902843</v>
      </c>
      <c r="C25" s="543"/>
      <c r="D25" s="215"/>
      <c r="E25" s="214"/>
      <c r="F25" s="213"/>
      <c r="G25" s="213"/>
      <c r="H25" s="215"/>
      <c r="I25" s="214"/>
      <c r="J25" s="215"/>
      <c r="K25" s="214"/>
      <c r="L25" s="216"/>
      <c r="M25" s="216"/>
      <c r="N25" s="217"/>
      <c r="O25" s="218"/>
      <c r="P25" s="217"/>
      <c r="Q25" s="218"/>
      <c r="R25" s="217"/>
      <c r="S25" s="218"/>
      <c r="T25" s="217"/>
      <c r="U25" s="218"/>
      <c r="V25" s="219"/>
      <c r="W25" s="220"/>
      <c r="X25" s="217"/>
      <c r="Y25" s="218"/>
      <c r="Z25" s="217"/>
      <c r="AA25" s="218"/>
      <c r="AB25" s="217"/>
      <c r="AC25" s="218"/>
      <c r="AD25" s="216"/>
      <c r="AE25" s="216"/>
      <c r="AF25" s="221"/>
      <c r="AG25" s="222"/>
      <c r="AH25" s="223"/>
      <c r="AI25" s="224"/>
      <c r="AJ25" s="225"/>
      <c r="AK25" s="218"/>
      <c r="AL25" s="217"/>
      <c r="AM25" s="218"/>
      <c r="AN25" s="217"/>
      <c r="AO25" s="218"/>
      <c r="AP25" s="217"/>
      <c r="AQ25" s="218"/>
      <c r="AR25" s="226"/>
      <c r="AS25" s="227"/>
      <c r="AT25" s="368">
        <f>B25+D25+F25+H25+J25+V25+AF25+AH25+AR25</f>
        <v>902843</v>
      </c>
      <c r="AU25" s="228"/>
      <c r="AV25" s="336">
        <f>AT8+AT9+AT19+AT21+AT23</f>
        <v>259860444</v>
      </c>
    </row>
    <row r="26" spans="1:47" s="1" customFormat="1" ht="20.25" customHeight="1">
      <c r="A26" s="510" t="s">
        <v>89</v>
      </c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08"/>
      <c r="AU26" s="509"/>
    </row>
    <row r="27" spans="1:47" ht="14.25" customHeight="1">
      <c r="A27" s="260" t="s">
        <v>167</v>
      </c>
      <c r="B27" s="261"/>
      <c r="C27" s="262"/>
      <c r="D27" s="263"/>
      <c r="E27" s="262"/>
      <c r="F27" s="261"/>
      <c r="G27" s="261"/>
      <c r="H27" s="263"/>
      <c r="I27" s="262"/>
      <c r="J27" s="263"/>
      <c r="K27" s="262"/>
      <c r="L27" s="379">
        <v>11.3</v>
      </c>
      <c r="M27" s="14" t="s">
        <v>11</v>
      </c>
      <c r="N27" s="379">
        <v>5.9</v>
      </c>
      <c r="O27" s="14" t="s">
        <v>11</v>
      </c>
      <c r="P27" s="379">
        <v>2.6</v>
      </c>
      <c r="Q27" s="14" t="s">
        <v>11</v>
      </c>
      <c r="R27" s="379">
        <v>2.3</v>
      </c>
      <c r="S27" s="14" t="s">
        <v>11</v>
      </c>
      <c r="T27" s="264"/>
      <c r="U27" s="12"/>
      <c r="V27" s="380">
        <f aca="true" t="shared" si="0" ref="V27:V32">T27+R27+P27+N27+L27</f>
        <v>22.1</v>
      </c>
      <c r="W27" s="265" t="s">
        <v>11</v>
      </c>
      <c r="X27" s="379">
        <v>9.6</v>
      </c>
      <c r="Y27" s="14" t="s">
        <v>11</v>
      </c>
      <c r="Z27" s="379">
        <v>2.3</v>
      </c>
      <c r="AA27" s="14" t="s">
        <v>11</v>
      </c>
      <c r="AB27" s="379">
        <v>2.1</v>
      </c>
      <c r="AC27" s="14" t="s">
        <v>11</v>
      </c>
      <c r="AD27" s="379">
        <v>1.2</v>
      </c>
      <c r="AE27" s="14" t="s">
        <v>11</v>
      </c>
      <c r="AF27" s="381">
        <f aca="true" t="shared" si="1" ref="AF27:AF40">X27+Z27+AB27+AD27</f>
        <v>15.199999999999998</v>
      </c>
      <c r="AG27" s="382" t="s">
        <v>11</v>
      </c>
      <c r="AH27" s="266"/>
      <c r="AI27" s="267"/>
      <c r="AJ27" s="268"/>
      <c r="AK27" s="12"/>
      <c r="AL27" s="264"/>
      <c r="AM27" s="12"/>
      <c r="AN27" s="264"/>
      <c r="AO27" s="12"/>
      <c r="AP27" s="264"/>
      <c r="AQ27" s="12"/>
      <c r="AR27" s="269"/>
      <c r="AS27" s="270"/>
      <c r="AT27" s="383">
        <f>V27+AF27+AH27+AR27</f>
        <v>37.3</v>
      </c>
      <c r="AU27" s="271" t="s">
        <v>11</v>
      </c>
    </row>
    <row r="28" spans="1:47" ht="14.25" customHeight="1" thickBot="1">
      <c r="A28" s="272" t="s">
        <v>279</v>
      </c>
      <c r="B28" s="273"/>
      <c r="C28" s="274"/>
      <c r="D28" s="275"/>
      <c r="E28" s="274"/>
      <c r="F28" s="273"/>
      <c r="G28" s="273"/>
      <c r="H28" s="275"/>
      <c r="I28" s="274"/>
      <c r="J28" s="275"/>
      <c r="K28" s="274"/>
      <c r="L28" s="483">
        <f>ROUND(L27*4308000*8/12,0)</f>
        <v>32453600</v>
      </c>
      <c r="M28" s="496"/>
      <c r="N28" s="483">
        <f>ROUND(N27*4308000*8/12,0)</f>
        <v>16944800</v>
      </c>
      <c r="O28" s="496"/>
      <c r="P28" s="483">
        <f>ROUND(P27*4308000*8/12,0)</f>
        <v>7467200</v>
      </c>
      <c r="Q28" s="496"/>
      <c r="R28" s="483">
        <f>ROUND(R27*4308000*8/12,0)</f>
        <v>6605600</v>
      </c>
      <c r="S28" s="496"/>
      <c r="T28" s="492"/>
      <c r="U28" s="496"/>
      <c r="V28" s="527">
        <f t="shared" si="0"/>
        <v>63471200</v>
      </c>
      <c r="W28" s="506"/>
      <c r="X28" s="483">
        <f>ROUND(X27*4308000*8/12,0)</f>
        <v>27571200</v>
      </c>
      <c r="Y28" s="496"/>
      <c r="Z28" s="483">
        <f>ROUND(Z27*4308000*8/12,0)</f>
        <v>6605600</v>
      </c>
      <c r="AA28" s="496"/>
      <c r="AB28" s="483">
        <f>ROUND(AB27*4308000*8/12,0)</f>
        <v>6031200</v>
      </c>
      <c r="AC28" s="496"/>
      <c r="AD28" s="483">
        <f>ROUND(AD27*4308000*8/12,0)</f>
        <v>3446400</v>
      </c>
      <c r="AE28" s="496"/>
      <c r="AF28" s="472">
        <f t="shared" si="1"/>
        <v>43654400</v>
      </c>
      <c r="AG28" s="473"/>
      <c r="AH28" s="478"/>
      <c r="AI28" s="474"/>
      <c r="AJ28" s="497"/>
      <c r="AK28" s="496"/>
      <c r="AL28" s="483"/>
      <c r="AM28" s="496"/>
      <c r="AN28" s="483"/>
      <c r="AO28" s="496"/>
      <c r="AP28" s="483"/>
      <c r="AQ28" s="496"/>
      <c r="AR28" s="500"/>
      <c r="AS28" s="501"/>
      <c r="AT28" s="384">
        <f>AR28+AH28+AF28+V28</f>
        <v>107125600</v>
      </c>
      <c r="AU28" s="385"/>
    </row>
    <row r="29" spans="1:47" ht="14.25" customHeight="1">
      <c r="A29" s="276" t="s">
        <v>168</v>
      </c>
      <c r="B29" s="261"/>
      <c r="C29" s="262"/>
      <c r="D29" s="263"/>
      <c r="E29" s="262"/>
      <c r="F29" s="261"/>
      <c r="G29" s="261"/>
      <c r="H29" s="263"/>
      <c r="I29" s="262"/>
      <c r="J29" s="263"/>
      <c r="K29" s="262"/>
      <c r="L29" s="379">
        <v>11.1</v>
      </c>
      <c r="M29" s="14" t="s">
        <v>11</v>
      </c>
      <c r="N29" s="386">
        <v>5.4</v>
      </c>
      <c r="O29" s="14" t="s">
        <v>11</v>
      </c>
      <c r="P29" s="379">
        <v>2.5</v>
      </c>
      <c r="Q29" s="14" t="s">
        <v>11</v>
      </c>
      <c r="R29" s="379">
        <v>1.8</v>
      </c>
      <c r="S29" s="14" t="s">
        <v>11</v>
      </c>
      <c r="T29" s="264"/>
      <c r="U29" s="12"/>
      <c r="V29" s="380">
        <f t="shared" si="0"/>
        <v>20.799999999999997</v>
      </c>
      <c r="W29" s="265" t="s">
        <v>11</v>
      </c>
      <c r="X29" s="379">
        <v>10.5</v>
      </c>
      <c r="Y29" s="14" t="s">
        <v>11</v>
      </c>
      <c r="Z29" s="379">
        <v>2.5</v>
      </c>
      <c r="AA29" s="14" t="s">
        <v>11</v>
      </c>
      <c r="AB29" s="379">
        <v>1.4</v>
      </c>
      <c r="AC29" s="14" t="s">
        <v>11</v>
      </c>
      <c r="AD29" s="379">
        <v>1.3</v>
      </c>
      <c r="AE29" s="14" t="s">
        <v>11</v>
      </c>
      <c r="AF29" s="381">
        <f t="shared" si="1"/>
        <v>15.700000000000001</v>
      </c>
      <c r="AG29" s="382" t="s">
        <v>11</v>
      </c>
      <c r="AH29" s="266"/>
      <c r="AI29" s="267"/>
      <c r="AJ29" s="268"/>
      <c r="AK29" s="12"/>
      <c r="AL29" s="264"/>
      <c r="AM29" s="12"/>
      <c r="AN29" s="264"/>
      <c r="AO29" s="12"/>
      <c r="AP29" s="264"/>
      <c r="AQ29" s="12"/>
      <c r="AR29" s="269"/>
      <c r="AS29" s="270"/>
      <c r="AT29" s="383">
        <f>V29+AF29+AH29+AR29</f>
        <v>36.5</v>
      </c>
      <c r="AU29" s="271" t="s">
        <v>11</v>
      </c>
    </row>
    <row r="30" spans="1:47" ht="14.25" customHeight="1" thickBot="1">
      <c r="A30" s="272" t="s">
        <v>280</v>
      </c>
      <c r="B30" s="273"/>
      <c r="C30" s="274"/>
      <c r="D30" s="275"/>
      <c r="E30" s="274"/>
      <c r="F30" s="273"/>
      <c r="G30" s="273"/>
      <c r="H30" s="275"/>
      <c r="I30" s="274"/>
      <c r="J30" s="275"/>
      <c r="K30" s="274"/>
      <c r="L30" s="483">
        <f>ROUND(L29*4308000*4/12,0)</f>
        <v>15939600</v>
      </c>
      <c r="M30" s="496"/>
      <c r="N30" s="483">
        <f>ROUND(N29*4308000*4/12,0)</f>
        <v>7754400</v>
      </c>
      <c r="O30" s="496"/>
      <c r="P30" s="483">
        <f>ROUND(P29*4308000*4/12,0)</f>
        <v>3590000</v>
      </c>
      <c r="Q30" s="496"/>
      <c r="R30" s="483">
        <f>ROUND(R29*4308000*4/12,0)</f>
        <v>2584800</v>
      </c>
      <c r="S30" s="496"/>
      <c r="T30" s="492"/>
      <c r="U30" s="496"/>
      <c r="V30" s="527">
        <f t="shared" si="0"/>
        <v>29868800</v>
      </c>
      <c r="W30" s="506"/>
      <c r="X30" s="483">
        <f>ROUND(X29*4308000*4/12,0)</f>
        <v>15078000</v>
      </c>
      <c r="Y30" s="496"/>
      <c r="Z30" s="483">
        <f>ROUND(Z29*4308000*4/12,0)</f>
        <v>3590000</v>
      </c>
      <c r="AA30" s="496"/>
      <c r="AB30" s="483">
        <f>ROUND(AB29*4308000*4/12,0)</f>
        <v>2010400</v>
      </c>
      <c r="AC30" s="496"/>
      <c r="AD30" s="483">
        <f>ROUND(AD29*4308000*4/12,0)</f>
        <v>1866800</v>
      </c>
      <c r="AE30" s="496"/>
      <c r="AF30" s="472">
        <f t="shared" si="1"/>
        <v>22545200</v>
      </c>
      <c r="AG30" s="473"/>
      <c r="AH30" s="478"/>
      <c r="AI30" s="474"/>
      <c r="AJ30" s="497"/>
      <c r="AK30" s="496"/>
      <c r="AL30" s="483"/>
      <c r="AM30" s="496"/>
      <c r="AN30" s="483"/>
      <c r="AO30" s="496"/>
      <c r="AP30" s="483"/>
      <c r="AQ30" s="496"/>
      <c r="AR30" s="500"/>
      <c r="AS30" s="501"/>
      <c r="AT30" s="384">
        <f>AR30+AH30+AF30+V30</f>
        <v>52414000</v>
      </c>
      <c r="AU30" s="385"/>
    </row>
    <row r="31" spans="1:47" ht="14.25" customHeight="1">
      <c r="A31" s="276" t="s">
        <v>281</v>
      </c>
      <c r="B31" s="261"/>
      <c r="C31" s="262"/>
      <c r="D31" s="263"/>
      <c r="E31" s="262"/>
      <c r="F31" s="261"/>
      <c r="G31" s="261"/>
      <c r="H31" s="263"/>
      <c r="I31" s="262"/>
      <c r="J31" s="263"/>
      <c r="K31" s="262"/>
      <c r="L31" s="379">
        <f>L29</f>
        <v>11.1</v>
      </c>
      <c r="M31" s="14" t="s">
        <v>11</v>
      </c>
      <c r="N31" s="386">
        <f>N29</f>
        <v>5.4</v>
      </c>
      <c r="O31" s="14" t="s">
        <v>11</v>
      </c>
      <c r="P31" s="379">
        <f>P29</f>
        <v>2.5</v>
      </c>
      <c r="Q31" s="14" t="s">
        <v>11</v>
      </c>
      <c r="R31" s="379">
        <f>R29</f>
        <v>1.8</v>
      </c>
      <c r="S31" s="14" t="s">
        <v>11</v>
      </c>
      <c r="T31" s="264"/>
      <c r="U31" s="12"/>
      <c r="V31" s="380">
        <f t="shared" si="0"/>
        <v>20.799999999999997</v>
      </c>
      <c r="W31" s="265" t="s">
        <v>11</v>
      </c>
      <c r="X31" s="379">
        <f>X29</f>
        <v>10.5</v>
      </c>
      <c r="Y31" s="14" t="s">
        <v>11</v>
      </c>
      <c r="Z31" s="379">
        <f>Z29</f>
        <v>2.5</v>
      </c>
      <c r="AA31" s="14" t="s">
        <v>11</v>
      </c>
      <c r="AB31" s="379">
        <f>AB29</f>
        <v>1.4</v>
      </c>
      <c r="AC31" s="14" t="s">
        <v>11</v>
      </c>
      <c r="AD31" s="379">
        <f>AD29</f>
        <v>1.3</v>
      </c>
      <c r="AE31" s="14" t="s">
        <v>11</v>
      </c>
      <c r="AF31" s="381">
        <f t="shared" si="1"/>
        <v>15.700000000000001</v>
      </c>
      <c r="AG31" s="382" t="s">
        <v>11</v>
      </c>
      <c r="AH31" s="266"/>
      <c r="AI31" s="267"/>
      <c r="AJ31" s="268"/>
      <c r="AK31" s="12"/>
      <c r="AL31" s="264"/>
      <c r="AM31" s="12"/>
      <c r="AN31" s="264"/>
      <c r="AO31" s="12"/>
      <c r="AP31" s="264"/>
      <c r="AQ31" s="12"/>
      <c r="AR31" s="269"/>
      <c r="AS31" s="270"/>
      <c r="AT31" s="383">
        <f>V31+AF31+AH31+AR31</f>
        <v>36.5</v>
      </c>
      <c r="AU31" s="271" t="s">
        <v>11</v>
      </c>
    </row>
    <row r="32" spans="1:47" ht="14.25" customHeight="1" thickBot="1">
      <c r="A32" s="272" t="s">
        <v>254</v>
      </c>
      <c r="B32" s="273"/>
      <c r="C32" s="274"/>
      <c r="D32" s="275"/>
      <c r="E32" s="274"/>
      <c r="F32" s="273"/>
      <c r="G32" s="273"/>
      <c r="H32" s="275"/>
      <c r="I32" s="274"/>
      <c r="J32" s="275"/>
      <c r="K32" s="274"/>
      <c r="L32" s="483">
        <f>ROUND(L31*35000,0)</f>
        <v>388500</v>
      </c>
      <c r="M32" s="496"/>
      <c r="N32" s="483">
        <f>ROUND(N31*35000,0)</f>
        <v>189000</v>
      </c>
      <c r="O32" s="496"/>
      <c r="P32" s="483">
        <f>ROUND(P31*35000,0)</f>
        <v>87500</v>
      </c>
      <c r="Q32" s="496"/>
      <c r="R32" s="483">
        <f>ROUND(R31*35000,0)</f>
        <v>63000</v>
      </c>
      <c r="S32" s="496"/>
      <c r="T32" s="492"/>
      <c r="U32" s="496"/>
      <c r="V32" s="527">
        <f t="shared" si="0"/>
        <v>728000</v>
      </c>
      <c r="W32" s="506"/>
      <c r="X32" s="483">
        <f>ROUND(X31*35000,0)</f>
        <v>367500</v>
      </c>
      <c r="Y32" s="496"/>
      <c r="Z32" s="483">
        <f>ROUND(Z31*35000,0)</f>
        <v>87500</v>
      </c>
      <c r="AA32" s="496"/>
      <c r="AB32" s="483">
        <f>ROUND(AB31*35000,0)</f>
        <v>49000</v>
      </c>
      <c r="AC32" s="496"/>
      <c r="AD32" s="483">
        <f>ROUND(AD31*35000,0)</f>
        <v>45500</v>
      </c>
      <c r="AE32" s="496"/>
      <c r="AF32" s="472">
        <f t="shared" si="1"/>
        <v>549500</v>
      </c>
      <c r="AG32" s="473"/>
      <c r="AH32" s="478"/>
      <c r="AI32" s="474"/>
      <c r="AJ32" s="497"/>
      <c r="AK32" s="496"/>
      <c r="AL32" s="483"/>
      <c r="AM32" s="496"/>
      <c r="AN32" s="483"/>
      <c r="AO32" s="496"/>
      <c r="AP32" s="483"/>
      <c r="AQ32" s="496"/>
      <c r="AR32" s="500"/>
      <c r="AS32" s="501"/>
      <c r="AT32" s="384">
        <f>AR32+AH32+AF32+V32</f>
        <v>1277500</v>
      </c>
      <c r="AU32" s="385"/>
    </row>
    <row r="33" spans="1:47" ht="14.25" customHeight="1">
      <c r="A33" s="31" t="s">
        <v>169</v>
      </c>
      <c r="B33" s="29"/>
      <c r="C33" s="277"/>
      <c r="D33" s="278"/>
      <c r="E33" s="277"/>
      <c r="F33" s="29"/>
      <c r="G33" s="29"/>
      <c r="H33" s="278"/>
      <c r="I33" s="277"/>
      <c r="J33" s="278"/>
      <c r="K33" s="277"/>
      <c r="L33" s="379">
        <v>7</v>
      </c>
      <c r="M33" s="387" t="s">
        <v>11</v>
      </c>
      <c r="N33" s="388">
        <v>4</v>
      </c>
      <c r="O33" s="387" t="s">
        <v>11</v>
      </c>
      <c r="P33" s="388">
        <v>2</v>
      </c>
      <c r="Q33" s="387" t="s">
        <v>11</v>
      </c>
      <c r="R33" s="388">
        <v>1</v>
      </c>
      <c r="S33" s="387" t="s">
        <v>11</v>
      </c>
      <c r="T33" s="389"/>
      <c r="U33" s="387"/>
      <c r="V33" s="279">
        <f>T33+R33++P33+N33+L33</f>
        <v>14</v>
      </c>
      <c r="W33" s="265" t="s">
        <v>11</v>
      </c>
      <c r="X33" s="388">
        <v>8</v>
      </c>
      <c r="Y33" s="387" t="s">
        <v>11</v>
      </c>
      <c r="Z33" s="388">
        <v>1</v>
      </c>
      <c r="AA33" s="387" t="s">
        <v>11</v>
      </c>
      <c r="AB33" s="388">
        <v>1</v>
      </c>
      <c r="AC33" s="387" t="s">
        <v>11</v>
      </c>
      <c r="AD33" s="388">
        <v>1</v>
      </c>
      <c r="AE33" s="390" t="s">
        <v>11</v>
      </c>
      <c r="AF33" s="381">
        <f t="shared" si="1"/>
        <v>11</v>
      </c>
      <c r="AG33" s="382" t="s">
        <v>11</v>
      </c>
      <c r="AH33" s="391"/>
      <c r="AI33" s="392"/>
      <c r="AJ33" s="393"/>
      <c r="AK33" s="387"/>
      <c r="AL33" s="389"/>
      <c r="AM33" s="387"/>
      <c r="AN33" s="389"/>
      <c r="AO33" s="387"/>
      <c r="AP33" s="389"/>
      <c r="AQ33" s="387"/>
      <c r="AR33" s="394"/>
      <c r="AS33" s="395"/>
      <c r="AT33" s="396">
        <f>V33+AF33+AH33+AR33</f>
        <v>25</v>
      </c>
      <c r="AU33" s="280" t="s">
        <v>11</v>
      </c>
    </row>
    <row r="34" spans="1:47" ht="14.25" customHeight="1" thickBot="1">
      <c r="A34" s="33" t="s">
        <v>170</v>
      </c>
      <c r="B34" s="281"/>
      <c r="C34" s="282"/>
      <c r="D34" s="283"/>
      <c r="E34" s="282"/>
      <c r="F34" s="281"/>
      <c r="G34" s="281"/>
      <c r="H34" s="283"/>
      <c r="I34" s="282"/>
      <c r="J34" s="283"/>
      <c r="K34" s="282"/>
      <c r="L34" s="483">
        <f>ROUND(L33*1800000*8/12,0)</f>
        <v>8400000</v>
      </c>
      <c r="M34" s="496"/>
      <c r="N34" s="483">
        <f>ROUND(N33*1800000*8/12,0)</f>
        <v>4800000</v>
      </c>
      <c r="O34" s="496"/>
      <c r="P34" s="483">
        <f>ROUND(P33*1800000*8/12,0)</f>
        <v>2400000</v>
      </c>
      <c r="Q34" s="496"/>
      <c r="R34" s="483">
        <f>ROUND(R33*1800000*8/12,0)</f>
        <v>1200000</v>
      </c>
      <c r="S34" s="496"/>
      <c r="T34" s="514"/>
      <c r="U34" s="495"/>
      <c r="V34" s="527">
        <f>T34+R34+P34+N34+L34</f>
        <v>16800000</v>
      </c>
      <c r="W34" s="506"/>
      <c r="X34" s="483">
        <f>ROUND(X33*1800000*8/12,0)</f>
        <v>9600000</v>
      </c>
      <c r="Y34" s="496"/>
      <c r="Z34" s="483">
        <f>ROUND(Z33*1800000*8/12,0)</f>
        <v>1200000</v>
      </c>
      <c r="AA34" s="496"/>
      <c r="AB34" s="483">
        <f>ROUND(AB33*1800000*8/12,0)</f>
        <v>1200000</v>
      </c>
      <c r="AC34" s="496"/>
      <c r="AD34" s="483">
        <f>ROUND(AD33*1800000*8/12,0)</f>
        <v>1200000</v>
      </c>
      <c r="AE34" s="496"/>
      <c r="AF34" s="472">
        <f t="shared" si="1"/>
        <v>13200000</v>
      </c>
      <c r="AG34" s="473"/>
      <c r="AH34" s="493"/>
      <c r="AI34" s="494"/>
      <c r="AJ34" s="523"/>
      <c r="AK34" s="495"/>
      <c r="AL34" s="514"/>
      <c r="AM34" s="495"/>
      <c r="AN34" s="514"/>
      <c r="AO34" s="495"/>
      <c r="AP34" s="514"/>
      <c r="AQ34" s="495"/>
      <c r="AR34" s="512"/>
      <c r="AS34" s="513"/>
      <c r="AT34" s="399">
        <f>AR34+AH34+AF34+V34</f>
        <v>30000000</v>
      </c>
      <c r="AU34" s="271"/>
    </row>
    <row r="35" spans="1:47" ht="14.25" customHeight="1">
      <c r="A35" s="31" t="s">
        <v>169</v>
      </c>
      <c r="B35" s="29"/>
      <c r="C35" s="277"/>
      <c r="D35" s="278"/>
      <c r="E35" s="277"/>
      <c r="F35" s="29"/>
      <c r="G35" s="29"/>
      <c r="H35" s="278"/>
      <c r="I35" s="277"/>
      <c r="J35" s="278"/>
      <c r="K35" s="277"/>
      <c r="L35" s="379">
        <v>7</v>
      </c>
      <c r="M35" s="387" t="s">
        <v>11</v>
      </c>
      <c r="N35" s="388">
        <v>4</v>
      </c>
      <c r="O35" s="387" t="s">
        <v>11</v>
      </c>
      <c r="P35" s="388">
        <v>2</v>
      </c>
      <c r="Q35" s="387" t="s">
        <v>11</v>
      </c>
      <c r="R35" s="388">
        <v>1</v>
      </c>
      <c r="S35" s="387" t="s">
        <v>11</v>
      </c>
      <c r="T35" s="389"/>
      <c r="U35" s="387"/>
      <c r="V35" s="279">
        <f>T35+R35++P35+N35+L35</f>
        <v>14</v>
      </c>
      <c r="W35" s="265" t="s">
        <v>11</v>
      </c>
      <c r="X35" s="388">
        <v>8</v>
      </c>
      <c r="Y35" s="387" t="s">
        <v>11</v>
      </c>
      <c r="Z35" s="388">
        <v>1</v>
      </c>
      <c r="AA35" s="387" t="s">
        <v>11</v>
      </c>
      <c r="AB35" s="388">
        <v>1</v>
      </c>
      <c r="AC35" s="387" t="s">
        <v>11</v>
      </c>
      <c r="AD35" s="388">
        <v>1</v>
      </c>
      <c r="AE35" s="390" t="s">
        <v>11</v>
      </c>
      <c r="AF35" s="381">
        <f t="shared" si="1"/>
        <v>11</v>
      </c>
      <c r="AG35" s="382" t="s">
        <v>11</v>
      </c>
      <c r="AH35" s="391"/>
      <c r="AI35" s="392"/>
      <c r="AJ35" s="393"/>
      <c r="AK35" s="387"/>
      <c r="AL35" s="389"/>
      <c r="AM35" s="387"/>
      <c r="AN35" s="389"/>
      <c r="AO35" s="387"/>
      <c r="AP35" s="389"/>
      <c r="AQ35" s="387"/>
      <c r="AR35" s="394"/>
      <c r="AS35" s="395"/>
      <c r="AT35" s="396">
        <f>V35+AF35+AH35+AR35</f>
        <v>25</v>
      </c>
      <c r="AU35" s="280" t="s">
        <v>11</v>
      </c>
    </row>
    <row r="36" spans="1:47" ht="14.25" customHeight="1" thickBot="1">
      <c r="A36" s="33" t="s">
        <v>255</v>
      </c>
      <c r="B36" s="281"/>
      <c r="C36" s="282"/>
      <c r="D36" s="283"/>
      <c r="E36" s="282"/>
      <c r="F36" s="281"/>
      <c r="G36" s="281"/>
      <c r="H36" s="283"/>
      <c r="I36" s="282"/>
      <c r="J36" s="283"/>
      <c r="K36" s="282"/>
      <c r="L36" s="483">
        <f>ROUND(L35*1800000*4/12,0)</f>
        <v>4200000</v>
      </c>
      <c r="M36" s="496"/>
      <c r="N36" s="483">
        <f>ROUND(N35*1800000*4/12,0)</f>
        <v>2400000</v>
      </c>
      <c r="O36" s="496"/>
      <c r="P36" s="483">
        <f>ROUND(P35*1800000*4/12,0)</f>
        <v>1200000</v>
      </c>
      <c r="Q36" s="496"/>
      <c r="R36" s="483">
        <f>ROUND(R35*1800000*4/12,0)</f>
        <v>600000</v>
      </c>
      <c r="S36" s="496"/>
      <c r="T36" s="514"/>
      <c r="U36" s="495"/>
      <c r="V36" s="527">
        <f>T36+R36+P36+N36+L36</f>
        <v>8400000</v>
      </c>
      <c r="W36" s="506"/>
      <c r="X36" s="483">
        <f>ROUND(X35*1800000*4/12,0)</f>
        <v>4800000</v>
      </c>
      <c r="Y36" s="496"/>
      <c r="Z36" s="483">
        <f>ROUND(Z35*1800000*4/12,0)</f>
        <v>600000</v>
      </c>
      <c r="AA36" s="496"/>
      <c r="AB36" s="483">
        <f>ROUND(AB35*1800000*4/12,0)</f>
        <v>600000</v>
      </c>
      <c r="AC36" s="496"/>
      <c r="AD36" s="483">
        <f>ROUND(AD35*1800000*4/12,0)</f>
        <v>600000</v>
      </c>
      <c r="AE36" s="496"/>
      <c r="AF36" s="472">
        <f t="shared" si="1"/>
        <v>6600000</v>
      </c>
      <c r="AG36" s="473"/>
      <c r="AH36" s="493"/>
      <c r="AI36" s="494"/>
      <c r="AJ36" s="523"/>
      <c r="AK36" s="495"/>
      <c r="AL36" s="514"/>
      <c r="AM36" s="495"/>
      <c r="AN36" s="514"/>
      <c r="AO36" s="495"/>
      <c r="AP36" s="514"/>
      <c r="AQ36" s="495"/>
      <c r="AR36" s="512"/>
      <c r="AS36" s="513"/>
      <c r="AT36" s="399">
        <f>AR36+AH36+AF36+V36</f>
        <v>15000000</v>
      </c>
      <c r="AU36" s="271"/>
    </row>
    <row r="37" spans="1:47" ht="14.25" customHeight="1">
      <c r="A37" s="540" t="s">
        <v>282</v>
      </c>
      <c r="B37" s="28"/>
      <c r="C37" s="285"/>
      <c r="D37" s="286"/>
      <c r="E37" s="285"/>
      <c r="F37" s="28"/>
      <c r="G37" s="28"/>
      <c r="H37" s="286"/>
      <c r="I37" s="285"/>
      <c r="J37" s="286"/>
      <c r="K37" s="285"/>
      <c r="L37" s="379">
        <v>126</v>
      </c>
      <c r="M37" s="14" t="s">
        <v>11</v>
      </c>
      <c r="N37" s="287">
        <v>69</v>
      </c>
      <c r="O37" s="14" t="s">
        <v>11</v>
      </c>
      <c r="P37" s="379">
        <v>30</v>
      </c>
      <c r="Q37" s="14" t="s">
        <v>11</v>
      </c>
      <c r="R37" s="388">
        <v>26</v>
      </c>
      <c r="S37" s="388" t="s">
        <v>11</v>
      </c>
      <c r="T37" s="389"/>
      <c r="U37" s="387"/>
      <c r="V37" s="279">
        <f>T37+R37++P37+N37+L37</f>
        <v>251</v>
      </c>
      <c r="W37" s="265" t="s">
        <v>11</v>
      </c>
      <c r="X37" s="379">
        <v>108</v>
      </c>
      <c r="Y37" s="14" t="s">
        <v>11</v>
      </c>
      <c r="Z37" s="287">
        <v>26</v>
      </c>
      <c r="AA37" s="14" t="s">
        <v>11</v>
      </c>
      <c r="AB37" s="379">
        <v>24</v>
      </c>
      <c r="AC37" s="14" t="s">
        <v>11</v>
      </c>
      <c r="AD37" s="388">
        <v>12</v>
      </c>
      <c r="AE37" s="388" t="s">
        <v>11</v>
      </c>
      <c r="AF37" s="381">
        <f t="shared" si="1"/>
        <v>170</v>
      </c>
      <c r="AG37" s="382" t="s">
        <v>11</v>
      </c>
      <c r="AH37" s="391"/>
      <c r="AI37" s="392"/>
      <c r="AJ37" s="393"/>
      <c r="AK37" s="387"/>
      <c r="AL37" s="389"/>
      <c r="AM37" s="387"/>
      <c r="AN37" s="389"/>
      <c r="AO37" s="387"/>
      <c r="AP37" s="389"/>
      <c r="AQ37" s="387"/>
      <c r="AR37" s="394"/>
      <c r="AS37" s="395"/>
      <c r="AT37" s="396">
        <f>V37+AF37+AH37+AR37</f>
        <v>421</v>
      </c>
      <c r="AU37" s="280" t="s">
        <v>11</v>
      </c>
    </row>
    <row r="38" spans="1:48" ht="14.25" customHeight="1" thickBot="1">
      <c r="A38" s="541"/>
      <c r="B38" s="400"/>
      <c r="C38" s="401"/>
      <c r="D38" s="402"/>
      <c r="E38" s="401"/>
      <c r="F38" s="400"/>
      <c r="G38" s="400"/>
      <c r="H38" s="402"/>
      <c r="I38" s="401"/>
      <c r="J38" s="402"/>
      <c r="K38" s="401"/>
      <c r="L38" s="483">
        <f>ROUND(L37*80000*8/12,0)</f>
        <v>6720000</v>
      </c>
      <c r="M38" s="496"/>
      <c r="N38" s="483">
        <f>ROUND(N37*80000*8/12,0)</f>
        <v>3680000</v>
      </c>
      <c r="O38" s="496"/>
      <c r="P38" s="483">
        <f>ROUND(P37*80000*8/12,0)</f>
        <v>1600000</v>
      </c>
      <c r="Q38" s="496"/>
      <c r="R38" s="483">
        <f>ROUND(R37*80000*8/12,0)</f>
        <v>1386667</v>
      </c>
      <c r="S38" s="496"/>
      <c r="T38" s="514"/>
      <c r="U38" s="495"/>
      <c r="V38" s="527">
        <f>T38+R38+P38+N38+L38</f>
        <v>13386667</v>
      </c>
      <c r="W38" s="506"/>
      <c r="X38" s="483">
        <f>ROUND(X37*80000*8/12,0)</f>
        <v>5760000</v>
      </c>
      <c r="Y38" s="496"/>
      <c r="Z38" s="483">
        <f>ROUND(Z37*80000*8/12,0)-1</f>
        <v>1386666</v>
      </c>
      <c r="AA38" s="496"/>
      <c r="AB38" s="483">
        <f>ROUND(AB37*80000*8/12,0)</f>
        <v>1280000</v>
      </c>
      <c r="AC38" s="496"/>
      <c r="AD38" s="483">
        <f>ROUND(AD37*80000*8/12,0)</f>
        <v>640000</v>
      </c>
      <c r="AE38" s="496"/>
      <c r="AF38" s="472">
        <f t="shared" si="1"/>
        <v>9066666</v>
      </c>
      <c r="AG38" s="473"/>
      <c r="AH38" s="493"/>
      <c r="AI38" s="494"/>
      <c r="AJ38" s="523"/>
      <c r="AK38" s="495"/>
      <c r="AL38" s="514"/>
      <c r="AM38" s="495"/>
      <c r="AN38" s="514"/>
      <c r="AO38" s="495"/>
      <c r="AP38" s="514"/>
      <c r="AQ38" s="495"/>
      <c r="AR38" s="512"/>
      <c r="AS38" s="513"/>
      <c r="AT38" s="399">
        <f>AR38+AH38+AF38+V38</f>
        <v>22453333</v>
      </c>
      <c r="AU38" s="271"/>
      <c r="AV38" s="2">
        <f>21760000+693333</f>
        <v>22453333</v>
      </c>
    </row>
    <row r="39" spans="1:47" ht="14.25" customHeight="1">
      <c r="A39" s="540" t="s">
        <v>283</v>
      </c>
      <c r="B39" s="28"/>
      <c r="C39" s="285"/>
      <c r="D39" s="286"/>
      <c r="E39" s="285"/>
      <c r="F39" s="28"/>
      <c r="G39" s="28"/>
      <c r="H39" s="286"/>
      <c r="I39" s="285"/>
      <c r="J39" s="286"/>
      <c r="K39" s="285"/>
      <c r="L39" s="264">
        <v>125</v>
      </c>
      <c r="M39" s="12" t="s">
        <v>11</v>
      </c>
      <c r="N39" s="388">
        <v>61</v>
      </c>
      <c r="O39" s="12" t="s">
        <v>11</v>
      </c>
      <c r="P39" s="264">
        <v>28</v>
      </c>
      <c r="Q39" s="12" t="s">
        <v>11</v>
      </c>
      <c r="R39" s="388">
        <v>20</v>
      </c>
      <c r="S39" s="388" t="s">
        <v>11</v>
      </c>
      <c r="T39" s="389"/>
      <c r="U39" s="387"/>
      <c r="V39" s="279">
        <f>T39+R39++P39+N39+L39</f>
        <v>234</v>
      </c>
      <c r="W39" s="265" t="s">
        <v>11</v>
      </c>
      <c r="X39" s="264">
        <v>120</v>
      </c>
      <c r="Y39" s="12" t="s">
        <v>11</v>
      </c>
      <c r="Z39" s="388">
        <v>28</v>
      </c>
      <c r="AA39" s="12" t="s">
        <v>11</v>
      </c>
      <c r="AB39" s="264">
        <v>15</v>
      </c>
      <c r="AC39" s="12" t="s">
        <v>11</v>
      </c>
      <c r="AD39" s="388">
        <v>14</v>
      </c>
      <c r="AE39" s="388" t="s">
        <v>11</v>
      </c>
      <c r="AF39" s="381">
        <f t="shared" si="1"/>
        <v>177</v>
      </c>
      <c r="AG39" s="382" t="s">
        <v>11</v>
      </c>
      <c r="AH39" s="391"/>
      <c r="AI39" s="392"/>
      <c r="AJ39" s="393"/>
      <c r="AK39" s="387"/>
      <c r="AL39" s="389"/>
      <c r="AM39" s="387"/>
      <c r="AN39" s="389"/>
      <c r="AO39" s="387"/>
      <c r="AP39" s="389"/>
      <c r="AQ39" s="387"/>
      <c r="AR39" s="394"/>
      <c r="AS39" s="395"/>
      <c r="AT39" s="403">
        <f>V39+AF39+AH39+AR39</f>
        <v>411</v>
      </c>
      <c r="AU39" s="280" t="s">
        <v>11</v>
      </c>
    </row>
    <row r="40" spans="1:48" ht="14.25" customHeight="1" thickBot="1">
      <c r="A40" s="541"/>
      <c r="B40" s="400"/>
      <c r="C40" s="401"/>
      <c r="D40" s="402"/>
      <c r="E40" s="401"/>
      <c r="F40" s="400"/>
      <c r="G40" s="400"/>
      <c r="H40" s="402"/>
      <c r="I40" s="401"/>
      <c r="J40" s="402"/>
      <c r="K40" s="401"/>
      <c r="L40" s="483">
        <f>ROUND(L39*80000*4/12,0)</f>
        <v>3333333</v>
      </c>
      <c r="M40" s="496"/>
      <c r="N40" s="483">
        <f>ROUND(N39*80000*4/12,0)</f>
        <v>1626667</v>
      </c>
      <c r="O40" s="496"/>
      <c r="P40" s="483">
        <f>ROUND(P39*80000*4/12,0)</f>
        <v>746667</v>
      </c>
      <c r="Q40" s="496"/>
      <c r="R40" s="483">
        <f>ROUND(R39*80000*4/12,0)</f>
        <v>533333</v>
      </c>
      <c r="S40" s="496"/>
      <c r="T40" s="514"/>
      <c r="U40" s="495"/>
      <c r="V40" s="527">
        <f>T40+R40+P40+N40+L40</f>
        <v>6240000</v>
      </c>
      <c r="W40" s="506"/>
      <c r="X40" s="483">
        <f>ROUND(X39*80000*4/12,0)</f>
        <v>3200000</v>
      </c>
      <c r="Y40" s="496"/>
      <c r="Z40" s="483">
        <f>ROUND(Z39*80000*4/12,0)</f>
        <v>746667</v>
      </c>
      <c r="AA40" s="496"/>
      <c r="AB40" s="483">
        <f>ROUND(AB39*80000*4/12,0)</f>
        <v>400000</v>
      </c>
      <c r="AC40" s="496"/>
      <c r="AD40" s="483">
        <f>ROUND(AD39*80000*4/12,0)</f>
        <v>373333</v>
      </c>
      <c r="AE40" s="496"/>
      <c r="AF40" s="472">
        <f t="shared" si="1"/>
        <v>4720000</v>
      </c>
      <c r="AG40" s="473"/>
      <c r="AH40" s="493"/>
      <c r="AI40" s="494"/>
      <c r="AJ40" s="523"/>
      <c r="AK40" s="495"/>
      <c r="AL40" s="514"/>
      <c r="AM40" s="495"/>
      <c r="AN40" s="514"/>
      <c r="AO40" s="495"/>
      <c r="AP40" s="514"/>
      <c r="AQ40" s="495"/>
      <c r="AR40" s="512"/>
      <c r="AS40" s="513"/>
      <c r="AT40" s="399">
        <f>AR40+AH40+AF40+V40</f>
        <v>10960000</v>
      </c>
      <c r="AU40" s="271"/>
      <c r="AV40" s="2">
        <f>293333+10666667</f>
        <v>10960000</v>
      </c>
    </row>
    <row r="41" spans="1:47" ht="16.5" customHeight="1">
      <c r="A41" s="540" t="s">
        <v>256</v>
      </c>
      <c r="B41" s="288"/>
      <c r="C41" s="289"/>
      <c r="D41" s="290"/>
      <c r="E41" s="289"/>
      <c r="F41" s="288"/>
      <c r="G41" s="288"/>
      <c r="H41" s="290"/>
      <c r="I41" s="289"/>
      <c r="J41" s="290"/>
      <c r="K41" s="289"/>
      <c r="L41" s="17"/>
      <c r="M41" s="287"/>
      <c r="N41" s="291"/>
      <c r="O41" s="14"/>
      <c r="P41" s="17"/>
      <c r="Q41" s="14"/>
      <c r="R41" s="17"/>
      <c r="S41" s="14"/>
      <c r="T41" s="8"/>
      <c r="U41" s="9"/>
      <c r="V41" s="279"/>
      <c r="W41" s="265"/>
      <c r="X41" s="8"/>
      <c r="Y41" s="9"/>
      <c r="Z41" s="8"/>
      <c r="AA41" s="9"/>
      <c r="AB41" s="8"/>
      <c r="AC41" s="9"/>
      <c r="AD41" s="8"/>
      <c r="AE41" s="8"/>
      <c r="AF41" s="292"/>
      <c r="AG41" s="293"/>
      <c r="AH41" s="294"/>
      <c r="AI41" s="295"/>
      <c r="AJ41" s="296"/>
      <c r="AK41" s="9"/>
      <c r="AL41" s="297"/>
      <c r="AM41" s="9"/>
      <c r="AN41" s="297"/>
      <c r="AO41" s="9"/>
      <c r="AP41" s="297"/>
      <c r="AQ41" s="9"/>
      <c r="AR41" s="298"/>
      <c r="AS41" s="299"/>
      <c r="AT41" s="300"/>
      <c r="AU41" s="280"/>
    </row>
    <row r="42" spans="1:47" ht="16.5" customHeight="1" thickBot="1">
      <c r="A42" s="577"/>
      <c r="B42" s="515">
        <v>11420500</v>
      </c>
      <c r="C42" s="516"/>
      <c r="D42" s="301"/>
      <c r="E42" s="302"/>
      <c r="F42" s="303"/>
      <c r="G42" s="303"/>
      <c r="H42" s="301"/>
      <c r="I42" s="302"/>
      <c r="J42" s="301"/>
      <c r="K42" s="302"/>
      <c r="L42" s="492"/>
      <c r="M42" s="519"/>
      <c r="N42" s="483"/>
      <c r="O42" s="484"/>
      <c r="P42" s="492"/>
      <c r="Q42" s="484"/>
      <c r="R42" s="492"/>
      <c r="S42" s="484"/>
      <c r="T42" s="470"/>
      <c r="U42" s="495"/>
      <c r="V42" s="505"/>
      <c r="W42" s="506"/>
      <c r="X42" s="492"/>
      <c r="Y42" s="496"/>
      <c r="Z42" s="492"/>
      <c r="AA42" s="496"/>
      <c r="AB42" s="492"/>
      <c r="AC42" s="496"/>
      <c r="AD42" s="492"/>
      <c r="AE42" s="492"/>
      <c r="AF42" s="472"/>
      <c r="AG42" s="473"/>
      <c r="AH42" s="478"/>
      <c r="AI42" s="474"/>
      <c r="AJ42" s="497"/>
      <c r="AK42" s="496"/>
      <c r="AL42" s="483"/>
      <c r="AM42" s="496"/>
      <c r="AN42" s="483"/>
      <c r="AO42" s="496"/>
      <c r="AP42" s="483"/>
      <c r="AQ42" s="496"/>
      <c r="AR42" s="500"/>
      <c r="AS42" s="501"/>
      <c r="AT42" s="368">
        <f>B42+D42+F42+H42+J42+V42+AF42+AH42+AR42</f>
        <v>11420500</v>
      </c>
      <c r="AU42" s="271"/>
    </row>
    <row r="43" spans="1:47" ht="14.25" customHeight="1">
      <c r="A43" s="276" t="s">
        <v>257</v>
      </c>
      <c r="B43" s="261"/>
      <c r="C43" s="262"/>
      <c r="D43" s="263"/>
      <c r="E43" s="262"/>
      <c r="F43" s="261"/>
      <c r="G43" s="261"/>
      <c r="H43" s="263"/>
      <c r="I43" s="262"/>
      <c r="J43" s="263"/>
      <c r="K43" s="262"/>
      <c r="L43" s="379">
        <v>1</v>
      </c>
      <c r="M43" s="14" t="s">
        <v>11</v>
      </c>
      <c r="N43" s="386">
        <v>2</v>
      </c>
      <c r="O43" s="14" t="s">
        <v>11</v>
      </c>
      <c r="P43" s="379"/>
      <c r="Q43" s="14" t="s">
        <v>11</v>
      </c>
      <c r="R43" s="379"/>
      <c r="S43" s="14" t="s">
        <v>11</v>
      </c>
      <c r="T43" s="264"/>
      <c r="U43" s="12"/>
      <c r="V43" s="380">
        <f>T43+R43+P43+N43+L43</f>
        <v>3</v>
      </c>
      <c r="W43" s="265" t="s">
        <v>11</v>
      </c>
      <c r="X43" s="379">
        <v>3</v>
      </c>
      <c r="Y43" s="14" t="s">
        <v>11</v>
      </c>
      <c r="Z43" s="386">
        <v>1</v>
      </c>
      <c r="AA43" s="14" t="s">
        <v>11</v>
      </c>
      <c r="AB43" s="379"/>
      <c r="AC43" s="14" t="s">
        <v>11</v>
      </c>
      <c r="AD43" s="379"/>
      <c r="AE43" s="14" t="s">
        <v>11</v>
      </c>
      <c r="AF43" s="381">
        <f>X43+Z43+AB43+AD43</f>
        <v>4</v>
      </c>
      <c r="AG43" s="382" t="s">
        <v>11</v>
      </c>
      <c r="AH43" s="266"/>
      <c r="AI43" s="267"/>
      <c r="AJ43" s="268"/>
      <c r="AK43" s="12"/>
      <c r="AL43" s="264"/>
      <c r="AM43" s="12"/>
      <c r="AN43" s="264"/>
      <c r="AO43" s="12"/>
      <c r="AP43" s="264"/>
      <c r="AQ43" s="12"/>
      <c r="AR43" s="269"/>
      <c r="AS43" s="269"/>
      <c r="AT43" s="404">
        <f>V43+AF43+AH43+AR43</f>
        <v>7</v>
      </c>
      <c r="AU43" s="280" t="s">
        <v>11</v>
      </c>
    </row>
    <row r="44" spans="1:48" ht="14.25" customHeight="1" thickBot="1">
      <c r="A44" s="272" t="s">
        <v>284</v>
      </c>
      <c r="B44" s="273"/>
      <c r="C44" s="274"/>
      <c r="D44" s="275"/>
      <c r="E44" s="274"/>
      <c r="F44" s="273"/>
      <c r="G44" s="273"/>
      <c r="H44" s="275"/>
      <c r="I44" s="274"/>
      <c r="J44" s="275"/>
      <c r="K44" s="274"/>
      <c r="L44" s="483">
        <f>ROUND(1*384000,0)</f>
        <v>384000</v>
      </c>
      <c r="M44" s="496"/>
      <c r="N44" s="483">
        <f>ROUND(N43*384000,0)</f>
        <v>768000</v>
      </c>
      <c r="O44" s="496"/>
      <c r="P44" s="483">
        <f>ROUND(P43*384000,0)</f>
        <v>0</v>
      </c>
      <c r="Q44" s="496"/>
      <c r="R44" s="483">
        <f>ROUND(R43*384000,0)</f>
        <v>0</v>
      </c>
      <c r="S44" s="496"/>
      <c r="T44" s="492"/>
      <c r="U44" s="496"/>
      <c r="V44" s="527">
        <f>T44+R44+P44+N44+L44</f>
        <v>1152000</v>
      </c>
      <c r="W44" s="506"/>
      <c r="X44" s="483">
        <f>ROUND(2*384000+1*352000,0)</f>
        <v>1120000</v>
      </c>
      <c r="Y44" s="496"/>
      <c r="Z44" s="483">
        <f>ROUND(Z43*384000,0)</f>
        <v>384000</v>
      </c>
      <c r="AA44" s="496"/>
      <c r="AB44" s="483">
        <f>ROUND(AB43*384000,0)</f>
        <v>0</v>
      </c>
      <c r="AC44" s="496"/>
      <c r="AD44" s="483">
        <f>ROUND(AD43*384000,0)</f>
        <v>0</v>
      </c>
      <c r="AE44" s="496"/>
      <c r="AF44" s="472">
        <f>X44+Z44+AB44+AD44</f>
        <v>1504000</v>
      </c>
      <c r="AG44" s="473"/>
      <c r="AH44" s="478"/>
      <c r="AI44" s="474"/>
      <c r="AJ44" s="497"/>
      <c r="AK44" s="496"/>
      <c r="AL44" s="483"/>
      <c r="AM44" s="496"/>
      <c r="AN44" s="483"/>
      <c r="AO44" s="496"/>
      <c r="AP44" s="483"/>
      <c r="AQ44" s="496"/>
      <c r="AR44" s="500"/>
      <c r="AS44" s="500"/>
      <c r="AT44" s="405">
        <f>AR44+AH44+AF44+V44</f>
        <v>2656000</v>
      </c>
      <c r="AU44" s="385"/>
      <c r="AV44" s="3">
        <f>AT44+AT42+AT40+AT38+AT36+AT34+AT32+AT30+AT28</f>
        <v>253306933</v>
      </c>
    </row>
    <row r="45" spans="1:47" s="1" customFormat="1" ht="20.25" customHeight="1" thickBot="1">
      <c r="A45" s="510" t="s">
        <v>171</v>
      </c>
      <c r="B45" s="511"/>
      <c r="C45" s="511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  <c r="AN45" s="511"/>
      <c r="AO45" s="511"/>
      <c r="AP45" s="511"/>
      <c r="AQ45" s="511"/>
      <c r="AR45" s="511"/>
      <c r="AS45" s="511"/>
      <c r="AT45" s="538"/>
      <c r="AU45" s="539"/>
    </row>
    <row r="46" spans="1:47" ht="16.5" customHeight="1">
      <c r="A46" s="31" t="s">
        <v>258</v>
      </c>
      <c r="B46" s="288"/>
      <c r="C46" s="289"/>
      <c r="D46" s="290"/>
      <c r="E46" s="289"/>
      <c r="F46" s="288"/>
      <c r="G46" s="288"/>
      <c r="H46" s="290"/>
      <c r="I46" s="289"/>
      <c r="J46" s="290"/>
      <c r="K46" s="289"/>
      <c r="L46" s="17"/>
      <c r="M46" s="287"/>
      <c r="N46" s="291"/>
      <c r="O46" s="14"/>
      <c r="P46" s="17"/>
      <c r="Q46" s="14"/>
      <c r="R46" s="17"/>
      <c r="S46" s="14"/>
      <c r="T46" s="8"/>
      <c r="U46" s="9"/>
      <c r="V46" s="279"/>
      <c r="W46" s="265"/>
      <c r="X46" s="8"/>
      <c r="Y46" s="9"/>
      <c r="Z46" s="8"/>
      <c r="AA46" s="9"/>
      <c r="AB46" s="8"/>
      <c r="AC46" s="9"/>
      <c r="AD46" s="8"/>
      <c r="AE46" s="8"/>
      <c r="AF46" s="292"/>
      <c r="AG46" s="293"/>
      <c r="AH46" s="294"/>
      <c r="AI46" s="295"/>
      <c r="AJ46" s="296"/>
      <c r="AK46" s="9"/>
      <c r="AL46" s="297"/>
      <c r="AM46" s="9"/>
      <c r="AN46" s="297"/>
      <c r="AO46" s="9"/>
      <c r="AP46" s="297"/>
      <c r="AQ46" s="9"/>
      <c r="AR46" s="298"/>
      <c r="AS46" s="299"/>
      <c r="AT46" s="300"/>
      <c r="AU46" s="280"/>
    </row>
    <row r="47" spans="1:47" ht="16.5" customHeight="1" thickBot="1">
      <c r="A47" s="33"/>
      <c r="B47" s="515"/>
      <c r="C47" s="516"/>
      <c r="D47" s="301"/>
      <c r="E47" s="302"/>
      <c r="F47" s="303"/>
      <c r="G47" s="303"/>
      <c r="H47" s="301"/>
      <c r="I47" s="302"/>
      <c r="J47" s="301"/>
      <c r="K47" s="302"/>
      <c r="L47" s="492"/>
      <c r="M47" s="519"/>
      <c r="N47" s="483"/>
      <c r="O47" s="484"/>
      <c r="P47" s="492"/>
      <c r="Q47" s="484"/>
      <c r="R47" s="492"/>
      <c r="S47" s="484"/>
      <c r="T47" s="470"/>
      <c r="U47" s="495"/>
      <c r="V47" s="505"/>
      <c r="W47" s="506"/>
      <c r="X47" s="492"/>
      <c r="Y47" s="496"/>
      <c r="Z47" s="492"/>
      <c r="AA47" s="496"/>
      <c r="AB47" s="492"/>
      <c r="AC47" s="496"/>
      <c r="AD47" s="492"/>
      <c r="AE47" s="492"/>
      <c r="AF47" s="472"/>
      <c r="AG47" s="473"/>
      <c r="AH47" s="478"/>
      <c r="AI47" s="474"/>
      <c r="AJ47" s="497"/>
      <c r="AK47" s="496"/>
      <c r="AL47" s="483"/>
      <c r="AM47" s="496"/>
      <c r="AN47" s="483"/>
      <c r="AO47" s="496"/>
      <c r="AP47" s="483"/>
      <c r="AQ47" s="496"/>
      <c r="AR47" s="500"/>
      <c r="AS47" s="501"/>
      <c r="AT47" s="368">
        <f>B47+D47+F47+H47+J47+V47+AF47+AH47+AR47</f>
        <v>0</v>
      </c>
      <c r="AU47" s="271"/>
    </row>
    <row r="48" spans="1:47" ht="16.5" customHeight="1">
      <c r="A48" s="31" t="s">
        <v>172</v>
      </c>
      <c r="B48" s="288"/>
      <c r="C48" s="289"/>
      <c r="D48" s="290"/>
      <c r="E48" s="289"/>
      <c r="F48" s="288"/>
      <c r="G48" s="288"/>
      <c r="H48" s="290"/>
      <c r="I48" s="289"/>
      <c r="J48" s="290"/>
      <c r="K48" s="289"/>
      <c r="L48" s="17"/>
      <c r="M48" s="287"/>
      <c r="N48" s="291"/>
      <c r="O48" s="14"/>
      <c r="P48" s="17"/>
      <c r="Q48" s="14"/>
      <c r="R48" s="17"/>
      <c r="S48" s="14"/>
      <c r="T48" s="8"/>
      <c r="U48" s="9"/>
      <c r="V48" s="279"/>
      <c r="W48" s="265"/>
      <c r="X48" s="8"/>
      <c r="Y48" s="9"/>
      <c r="Z48" s="8"/>
      <c r="AA48" s="9"/>
      <c r="AB48" s="8"/>
      <c r="AC48" s="9"/>
      <c r="AD48" s="8"/>
      <c r="AE48" s="8"/>
      <c r="AF48" s="292"/>
      <c r="AG48" s="293"/>
      <c r="AH48" s="294"/>
      <c r="AI48" s="295"/>
      <c r="AJ48" s="296"/>
      <c r="AK48" s="9"/>
      <c r="AL48" s="297"/>
      <c r="AM48" s="9"/>
      <c r="AN48" s="297"/>
      <c r="AO48" s="9"/>
      <c r="AP48" s="297"/>
      <c r="AQ48" s="9"/>
      <c r="AR48" s="298"/>
      <c r="AS48" s="299"/>
      <c r="AT48" s="300"/>
      <c r="AU48" s="280"/>
    </row>
    <row r="49" spans="1:47" ht="16.5" customHeight="1" thickBot="1">
      <c r="A49" s="33" t="s">
        <v>285</v>
      </c>
      <c r="B49" s="515">
        <v>64468488</v>
      </c>
      <c r="C49" s="516"/>
      <c r="D49" s="301"/>
      <c r="E49" s="302"/>
      <c r="F49" s="303"/>
      <c r="G49" s="303"/>
      <c r="H49" s="301"/>
      <c r="I49" s="302"/>
      <c r="J49" s="301"/>
      <c r="K49" s="302"/>
      <c r="L49" s="492"/>
      <c r="M49" s="519"/>
      <c r="N49" s="483"/>
      <c r="O49" s="484"/>
      <c r="P49" s="492"/>
      <c r="Q49" s="484"/>
      <c r="R49" s="492"/>
      <c r="S49" s="484"/>
      <c r="T49" s="470"/>
      <c r="U49" s="495"/>
      <c r="V49" s="505"/>
      <c r="W49" s="506"/>
      <c r="X49" s="492"/>
      <c r="Y49" s="496"/>
      <c r="Z49" s="492"/>
      <c r="AA49" s="496"/>
      <c r="AB49" s="492"/>
      <c r="AC49" s="496"/>
      <c r="AD49" s="492"/>
      <c r="AE49" s="492"/>
      <c r="AF49" s="472"/>
      <c r="AG49" s="473"/>
      <c r="AH49" s="478"/>
      <c r="AI49" s="474"/>
      <c r="AJ49" s="497"/>
      <c r="AK49" s="496"/>
      <c r="AL49" s="483"/>
      <c r="AM49" s="496"/>
      <c r="AN49" s="483"/>
      <c r="AO49" s="496"/>
      <c r="AP49" s="483"/>
      <c r="AQ49" s="496"/>
      <c r="AR49" s="500"/>
      <c r="AS49" s="501"/>
      <c r="AT49" s="368">
        <f>B49+D49+F49+H49+J49+V49+AF49+AH49+AR49</f>
        <v>64468488</v>
      </c>
      <c r="AU49" s="271"/>
    </row>
    <row r="50" spans="1:47" ht="16.5" customHeight="1">
      <c r="A50" s="31" t="s">
        <v>286</v>
      </c>
      <c r="B50" s="28"/>
      <c r="C50" s="285"/>
      <c r="D50" s="286"/>
      <c r="E50" s="285"/>
      <c r="F50" s="28"/>
      <c r="G50" s="28"/>
      <c r="H50" s="286"/>
      <c r="I50" s="285"/>
      <c r="J50" s="286"/>
      <c r="K50" s="285"/>
      <c r="L50" s="8"/>
      <c r="M50" s="8"/>
      <c r="N50" s="297"/>
      <c r="O50" s="9"/>
      <c r="P50" s="8"/>
      <c r="Q50" s="9"/>
      <c r="R50" s="8"/>
      <c r="S50" s="9"/>
      <c r="T50" s="8"/>
      <c r="U50" s="9"/>
      <c r="V50" s="304"/>
      <c r="W50" s="305"/>
      <c r="X50" s="8"/>
      <c r="Y50" s="9"/>
      <c r="Z50" s="8"/>
      <c r="AA50" s="9"/>
      <c r="AB50" s="8"/>
      <c r="AC50" s="9"/>
      <c r="AD50" s="8"/>
      <c r="AE50" s="8"/>
      <c r="AF50" s="292"/>
      <c r="AG50" s="293"/>
      <c r="AH50" s="406">
        <v>4</v>
      </c>
      <c r="AI50" s="307" t="s">
        <v>11</v>
      </c>
      <c r="AJ50" s="296"/>
      <c r="AK50" s="9"/>
      <c r="AL50" s="297"/>
      <c r="AM50" s="9"/>
      <c r="AN50" s="297"/>
      <c r="AO50" s="9"/>
      <c r="AP50" s="297"/>
      <c r="AQ50" s="9"/>
      <c r="AR50" s="298"/>
      <c r="AS50" s="299"/>
      <c r="AT50" s="300">
        <f>V50+AF50+AH50+AR50</f>
        <v>4</v>
      </c>
      <c r="AU50" s="280" t="s">
        <v>11</v>
      </c>
    </row>
    <row r="51" spans="1:48" ht="16.5" customHeight="1" thickBot="1">
      <c r="A51" s="33" t="s">
        <v>287</v>
      </c>
      <c r="B51" s="303"/>
      <c r="C51" s="302"/>
      <c r="D51" s="301"/>
      <c r="E51" s="302"/>
      <c r="F51" s="303"/>
      <c r="G51" s="303"/>
      <c r="H51" s="301"/>
      <c r="I51" s="302"/>
      <c r="J51" s="301"/>
      <c r="K51" s="302"/>
      <c r="L51" s="492"/>
      <c r="M51" s="519"/>
      <c r="N51" s="483"/>
      <c r="O51" s="484"/>
      <c r="P51" s="492"/>
      <c r="Q51" s="484"/>
      <c r="R51" s="492"/>
      <c r="S51" s="484"/>
      <c r="T51" s="492"/>
      <c r="U51" s="496"/>
      <c r="V51" s="527"/>
      <c r="W51" s="506"/>
      <c r="X51" s="492"/>
      <c r="Y51" s="496"/>
      <c r="Z51" s="492"/>
      <c r="AA51" s="496"/>
      <c r="AB51" s="492"/>
      <c r="AC51" s="496"/>
      <c r="AD51" s="492"/>
      <c r="AE51" s="492"/>
      <c r="AF51" s="472"/>
      <c r="AG51" s="473"/>
      <c r="AH51" s="493">
        <f>AH50*3000000</f>
        <v>12000000</v>
      </c>
      <c r="AI51" s="494"/>
      <c r="AJ51" s="497"/>
      <c r="AK51" s="496"/>
      <c r="AL51" s="483"/>
      <c r="AM51" s="496"/>
      <c r="AN51" s="483"/>
      <c r="AO51" s="496"/>
      <c r="AP51" s="483"/>
      <c r="AQ51" s="496"/>
      <c r="AR51" s="500"/>
      <c r="AS51" s="501"/>
      <c r="AT51" s="399">
        <f>AR51+AH51+AF51+V51</f>
        <v>12000000</v>
      </c>
      <c r="AU51" s="271"/>
      <c r="AV51" s="3"/>
    </row>
    <row r="52" spans="1:47" ht="15.75" customHeight="1">
      <c r="A52" s="31" t="s">
        <v>288</v>
      </c>
      <c r="B52" s="28"/>
      <c r="C52" s="285"/>
      <c r="D52" s="286"/>
      <c r="E52" s="285"/>
      <c r="F52" s="28"/>
      <c r="G52" s="28"/>
      <c r="H52" s="286"/>
      <c r="I52" s="285"/>
      <c r="J52" s="286"/>
      <c r="K52" s="285"/>
      <c r="L52" s="8"/>
      <c r="M52" s="8"/>
      <c r="N52" s="297"/>
      <c r="O52" s="9"/>
      <c r="P52" s="8"/>
      <c r="Q52" s="9"/>
      <c r="R52" s="8"/>
      <c r="S52" s="9"/>
      <c r="T52" s="8"/>
      <c r="U52" s="9"/>
      <c r="V52" s="304"/>
      <c r="W52" s="305"/>
      <c r="X52" s="8"/>
      <c r="Y52" s="9"/>
      <c r="Z52" s="8"/>
      <c r="AA52" s="9"/>
      <c r="AB52" s="8"/>
      <c r="AC52" s="9"/>
      <c r="AD52" s="8"/>
      <c r="AE52" s="8"/>
      <c r="AF52" s="292"/>
      <c r="AG52" s="293"/>
      <c r="AH52" s="406">
        <v>3.5</v>
      </c>
      <c r="AI52" s="307" t="s">
        <v>11</v>
      </c>
      <c r="AJ52" s="296"/>
      <c r="AK52" s="9"/>
      <c r="AL52" s="297"/>
      <c r="AM52" s="9"/>
      <c r="AN52" s="297"/>
      <c r="AO52" s="9"/>
      <c r="AP52" s="297"/>
      <c r="AQ52" s="9"/>
      <c r="AR52" s="298"/>
      <c r="AS52" s="299"/>
      <c r="AT52" s="396">
        <f>V52+AF52+AH52+AR52</f>
        <v>3.5</v>
      </c>
      <c r="AU52" s="280" t="s">
        <v>11</v>
      </c>
    </row>
    <row r="53" spans="1:47" ht="16.5" customHeight="1" thickBot="1">
      <c r="A53" s="33" t="s">
        <v>287</v>
      </c>
      <c r="B53" s="303"/>
      <c r="C53" s="302"/>
      <c r="D53" s="301"/>
      <c r="E53" s="302"/>
      <c r="F53" s="303"/>
      <c r="G53" s="303"/>
      <c r="H53" s="301"/>
      <c r="I53" s="302"/>
      <c r="J53" s="301"/>
      <c r="K53" s="302"/>
      <c r="L53" s="492"/>
      <c r="M53" s="519"/>
      <c r="N53" s="483"/>
      <c r="O53" s="484"/>
      <c r="P53" s="492"/>
      <c r="Q53" s="484"/>
      <c r="R53" s="492"/>
      <c r="S53" s="484"/>
      <c r="T53" s="492"/>
      <c r="U53" s="496"/>
      <c r="V53" s="527"/>
      <c r="W53" s="506"/>
      <c r="X53" s="492"/>
      <c r="Y53" s="496"/>
      <c r="Z53" s="492"/>
      <c r="AA53" s="496"/>
      <c r="AB53" s="492"/>
      <c r="AC53" s="496"/>
      <c r="AD53" s="492"/>
      <c r="AE53" s="492"/>
      <c r="AF53" s="472"/>
      <c r="AG53" s="473"/>
      <c r="AH53" s="493">
        <f>AH52*3000000</f>
        <v>10500000</v>
      </c>
      <c r="AI53" s="494"/>
      <c r="AJ53" s="497"/>
      <c r="AK53" s="496"/>
      <c r="AL53" s="483"/>
      <c r="AM53" s="496"/>
      <c r="AN53" s="483"/>
      <c r="AO53" s="496"/>
      <c r="AP53" s="483"/>
      <c r="AQ53" s="496"/>
      <c r="AR53" s="500"/>
      <c r="AS53" s="501"/>
      <c r="AT53" s="399">
        <f>AR53+AH53+AF53+V53</f>
        <v>10500000</v>
      </c>
      <c r="AU53" s="271"/>
    </row>
    <row r="54" spans="1:47" ht="16.5" customHeight="1">
      <c r="A54" s="31" t="s">
        <v>173</v>
      </c>
      <c r="B54" s="28"/>
      <c r="C54" s="285"/>
      <c r="D54" s="286"/>
      <c r="E54" s="285"/>
      <c r="F54" s="28"/>
      <c r="G54" s="28"/>
      <c r="H54" s="286"/>
      <c r="I54" s="285"/>
      <c r="J54" s="286"/>
      <c r="K54" s="285"/>
      <c r="L54" s="8"/>
      <c r="M54" s="8"/>
      <c r="N54" s="297"/>
      <c r="O54" s="9"/>
      <c r="P54" s="8"/>
      <c r="Q54" s="9"/>
      <c r="R54" s="8"/>
      <c r="S54" s="9"/>
      <c r="T54" s="8"/>
      <c r="U54" s="9"/>
      <c r="V54" s="304"/>
      <c r="W54" s="305"/>
      <c r="X54" s="8"/>
      <c r="Y54" s="9"/>
      <c r="Z54" s="8"/>
      <c r="AA54" s="9"/>
      <c r="AB54" s="8"/>
      <c r="AC54" s="9"/>
      <c r="AD54" s="8"/>
      <c r="AE54" s="8"/>
      <c r="AF54" s="292"/>
      <c r="AG54" s="293"/>
      <c r="AH54" s="294">
        <v>154</v>
      </c>
      <c r="AI54" s="307" t="s">
        <v>11</v>
      </c>
      <c r="AJ54" s="296"/>
      <c r="AK54" s="9"/>
      <c r="AL54" s="297"/>
      <c r="AM54" s="9"/>
      <c r="AN54" s="297"/>
      <c r="AO54" s="9"/>
      <c r="AP54" s="297"/>
      <c r="AQ54" s="9"/>
      <c r="AR54" s="298"/>
      <c r="AS54" s="299"/>
      <c r="AT54" s="396">
        <f>V54+AF54+AH54+AR54</f>
        <v>154</v>
      </c>
      <c r="AU54" s="280" t="s">
        <v>11</v>
      </c>
    </row>
    <row r="55" spans="1:48" ht="16.5" customHeight="1" thickBot="1">
      <c r="A55" s="16" t="s">
        <v>174</v>
      </c>
      <c r="B55" s="303"/>
      <c r="C55" s="302"/>
      <c r="D55" s="301"/>
      <c r="E55" s="302"/>
      <c r="F55" s="303"/>
      <c r="G55" s="303"/>
      <c r="H55" s="301"/>
      <c r="I55" s="302"/>
      <c r="J55" s="301"/>
      <c r="K55" s="302"/>
      <c r="L55" s="492"/>
      <c r="M55" s="519"/>
      <c r="N55" s="483"/>
      <c r="O55" s="484"/>
      <c r="P55" s="492"/>
      <c r="Q55" s="484"/>
      <c r="R55" s="492"/>
      <c r="S55" s="484"/>
      <c r="T55" s="492"/>
      <c r="U55" s="496"/>
      <c r="V55" s="527"/>
      <c r="W55" s="506"/>
      <c r="X55" s="492"/>
      <c r="Y55" s="496"/>
      <c r="Z55" s="492"/>
      <c r="AA55" s="496"/>
      <c r="AB55" s="492"/>
      <c r="AC55" s="496"/>
      <c r="AD55" s="492"/>
      <c r="AE55" s="492"/>
      <c r="AF55" s="472"/>
      <c r="AG55" s="473"/>
      <c r="AH55" s="493">
        <f>AH54*55360</f>
        <v>8525440</v>
      </c>
      <c r="AI55" s="494"/>
      <c r="AJ55" s="497"/>
      <c r="AK55" s="496"/>
      <c r="AL55" s="483"/>
      <c r="AM55" s="496"/>
      <c r="AN55" s="483"/>
      <c r="AO55" s="496"/>
      <c r="AP55" s="483"/>
      <c r="AQ55" s="496"/>
      <c r="AR55" s="500"/>
      <c r="AS55" s="501"/>
      <c r="AT55" s="399">
        <f>AR55+AH55+AF55+V55</f>
        <v>8525440</v>
      </c>
      <c r="AU55" s="271"/>
      <c r="AV55" s="3"/>
    </row>
    <row r="56" spans="1:47" ht="16.5" customHeight="1">
      <c r="A56" s="31" t="s">
        <v>175</v>
      </c>
      <c r="B56" s="28"/>
      <c r="C56" s="285"/>
      <c r="D56" s="286"/>
      <c r="E56" s="285"/>
      <c r="F56" s="28"/>
      <c r="G56" s="28"/>
      <c r="H56" s="286"/>
      <c r="I56" s="285"/>
      <c r="J56" s="286"/>
      <c r="K56" s="285"/>
      <c r="L56" s="8"/>
      <c r="M56" s="8"/>
      <c r="N56" s="297"/>
      <c r="O56" s="9"/>
      <c r="P56" s="8"/>
      <c r="Q56" s="9"/>
      <c r="R56" s="8"/>
      <c r="S56" s="9"/>
      <c r="T56" s="8"/>
      <c r="U56" s="9"/>
      <c r="V56" s="304"/>
      <c r="W56" s="305"/>
      <c r="X56" s="8"/>
      <c r="Y56" s="9"/>
      <c r="Z56" s="8"/>
      <c r="AA56" s="9"/>
      <c r="AB56" s="8"/>
      <c r="AC56" s="9"/>
      <c r="AD56" s="8"/>
      <c r="AE56" s="8"/>
      <c r="AF56" s="292"/>
      <c r="AG56" s="293"/>
      <c r="AH56" s="294">
        <v>154</v>
      </c>
      <c r="AI56" s="307" t="s">
        <v>11</v>
      </c>
      <c r="AJ56" s="296"/>
      <c r="AK56" s="9"/>
      <c r="AL56" s="297"/>
      <c r="AM56" s="9"/>
      <c r="AN56" s="297"/>
      <c r="AO56" s="9"/>
      <c r="AP56" s="297"/>
      <c r="AQ56" s="9"/>
      <c r="AR56" s="298"/>
      <c r="AS56" s="299"/>
      <c r="AT56" s="396">
        <f>V56+AF56+AH56+AR56</f>
        <v>154</v>
      </c>
      <c r="AU56" s="280" t="s">
        <v>11</v>
      </c>
    </row>
    <row r="57" spans="1:48" ht="16.5" customHeight="1" thickBot="1">
      <c r="A57" s="16" t="s">
        <v>176</v>
      </c>
      <c r="B57" s="303"/>
      <c r="C57" s="302"/>
      <c r="D57" s="301"/>
      <c r="E57" s="302"/>
      <c r="F57" s="303"/>
      <c r="G57" s="303"/>
      <c r="H57" s="301"/>
      <c r="I57" s="302"/>
      <c r="J57" s="301"/>
      <c r="K57" s="302"/>
      <c r="L57" s="492"/>
      <c r="M57" s="519"/>
      <c r="N57" s="483"/>
      <c r="O57" s="484"/>
      <c r="P57" s="492"/>
      <c r="Q57" s="484"/>
      <c r="R57" s="492"/>
      <c r="S57" s="484"/>
      <c r="T57" s="492"/>
      <c r="U57" s="496"/>
      <c r="V57" s="527"/>
      <c r="W57" s="506"/>
      <c r="X57" s="492"/>
      <c r="Y57" s="496"/>
      <c r="Z57" s="492"/>
      <c r="AA57" s="496"/>
      <c r="AB57" s="492"/>
      <c r="AC57" s="496"/>
      <c r="AD57" s="492"/>
      <c r="AE57" s="492"/>
      <c r="AF57" s="472"/>
      <c r="AG57" s="473"/>
      <c r="AH57" s="493">
        <f>AH56*5536</f>
        <v>852544</v>
      </c>
      <c r="AI57" s="494"/>
      <c r="AJ57" s="497"/>
      <c r="AK57" s="496"/>
      <c r="AL57" s="483"/>
      <c r="AM57" s="496"/>
      <c r="AN57" s="483"/>
      <c r="AO57" s="496"/>
      <c r="AP57" s="483"/>
      <c r="AQ57" s="496"/>
      <c r="AR57" s="500"/>
      <c r="AS57" s="501"/>
      <c r="AT57" s="399">
        <f>AR57+AH57+AF57+V57</f>
        <v>852544</v>
      </c>
      <c r="AU57" s="271"/>
      <c r="AV57" s="3">
        <f>AT55+AT57</f>
        <v>9377984</v>
      </c>
    </row>
    <row r="58" spans="1:47" ht="16.5" customHeight="1">
      <c r="A58" s="31" t="s">
        <v>177</v>
      </c>
      <c r="B58" s="28"/>
      <c r="C58" s="285"/>
      <c r="D58" s="286"/>
      <c r="E58" s="285"/>
      <c r="F58" s="28"/>
      <c r="G58" s="28"/>
      <c r="H58" s="286"/>
      <c r="I58" s="285"/>
      <c r="J58" s="286"/>
      <c r="K58" s="285"/>
      <c r="L58" s="8"/>
      <c r="M58" s="8"/>
      <c r="N58" s="297"/>
      <c r="O58" s="9"/>
      <c r="P58" s="8"/>
      <c r="Q58" s="9"/>
      <c r="R58" s="8"/>
      <c r="S58" s="9"/>
      <c r="T58" s="8"/>
      <c r="U58" s="9"/>
      <c r="V58" s="304"/>
      <c r="W58" s="305"/>
      <c r="X58" s="8"/>
      <c r="Y58" s="9"/>
      <c r="Z58" s="8"/>
      <c r="AA58" s="9"/>
      <c r="AB58" s="8"/>
      <c r="AC58" s="9"/>
      <c r="AD58" s="8"/>
      <c r="AE58" s="8"/>
      <c r="AF58" s="292"/>
      <c r="AG58" s="293"/>
      <c r="AH58" s="294">
        <v>21</v>
      </c>
      <c r="AI58" s="307" t="s">
        <v>11</v>
      </c>
      <c r="AJ58" s="296"/>
      <c r="AK58" s="9"/>
      <c r="AL58" s="297"/>
      <c r="AM58" s="9"/>
      <c r="AN58" s="297"/>
      <c r="AO58" s="9"/>
      <c r="AP58" s="297"/>
      <c r="AQ58" s="9"/>
      <c r="AR58" s="298"/>
      <c r="AS58" s="299"/>
      <c r="AT58" s="396">
        <f>V58+AF58+AH58+AR58</f>
        <v>21</v>
      </c>
      <c r="AU58" s="280" t="s">
        <v>11</v>
      </c>
    </row>
    <row r="59" spans="1:47" ht="16.5" customHeight="1" thickBot="1">
      <c r="A59" s="33" t="s">
        <v>178</v>
      </c>
      <c r="B59" s="303"/>
      <c r="C59" s="302"/>
      <c r="D59" s="301"/>
      <c r="E59" s="302"/>
      <c r="F59" s="303"/>
      <c r="G59" s="303"/>
      <c r="H59" s="301"/>
      <c r="I59" s="302"/>
      <c r="J59" s="301"/>
      <c r="K59" s="302"/>
      <c r="L59" s="492"/>
      <c r="M59" s="519"/>
      <c r="N59" s="483"/>
      <c r="O59" s="484"/>
      <c r="P59" s="492"/>
      <c r="Q59" s="484"/>
      <c r="R59" s="492"/>
      <c r="S59" s="484"/>
      <c r="T59" s="492"/>
      <c r="U59" s="496"/>
      <c r="V59" s="527"/>
      <c r="W59" s="506"/>
      <c r="X59" s="492"/>
      <c r="Y59" s="496"/>
      <c r="Z59" s="492"/>
      <c r="AA59" s="496"/>
      <c r="AB59" s="492"/>
      <c r="AC59" s="496"/>
      <c r="AD59" s="492"/>
      <c r="AE59" s="492"/>
      <c r="AF59" s="472"/>
      <c r="AG59" s="473"/>
      <c r="AH59" s="493">
        <f>AH58*145000</f>
        <v>3045000</v>
      </c>
      <c r="AI59" s="494"/>
      <c r="AJ59" s="497"/>
      <c r="AK59" s="496"/>
      <c r="AL59" s="483"/>
      <c r="AM59" s="496"/>
      <c r="AN59" s="483"/>
      <c r="AO59" s="496"/>
      <c r="AP59" s="483"/>
      <c r="AQ59" s="496"/>
      <c r="AR59" s="500"/>
      <c r="AS59" s="501"/>
      <c r="AT59" s="399">
        <f>AR59+AH59+AF59+V59</f>
        <v>3045000</v>
      </c>
      <c r="AU59" s="271"/>
    </row>
    <row r="60" spans="1:47" ht="16.5" customHeight="1">
      <c r="A60" s="31" t="s">
        <v>179</v>
      </c>
      <c r="B60" s="28"/>
      <c r="C60" s="285"/>
      <c r="D60" s="286"/>
      <c r="E60" s="285"/>
      <c r="F60" s="28"/>
      <c r="G60" s="28"/>
      <c r="H60" s="286"/>
      <c r="I60" s="285"/>
      <c r="J60" s="286"/>
      <c r="K60" s="285"/>
      <c r="L60" s="8"/>
      <c r="M60" s="8"/>
      <c r="N60" s="297"/>
      <c r="O60" s="9"/>
      <c r="P60" s="8"/>
      <c r="Q60" s="9"/>
      <c r="R60" s="8"/>
      <c r="S60" s="9"/>
      <c r="T60" s="8"/>
      <c r="U60" s="9"/>
      <c r="V60" s="304"/>
      <c r="W60" s="305"/>
      <c r="X60" s="8"/>
      <c r="Y60" s="9"/>
      <c r="Z60" s="8"/>
      <c r="AA60" s="9"/>
      <c r="AB60" s="8"/>
      <c r="AC60" s="9"/>
      <c r="AD60" s="8"/>
      <c r="AE60" s="8"/>
      <c r="AF60" s="292"/>
      <c r="AG60" s="293"/>
      <c r="AH60" s="294">
        <v>21</v>
      </c>
      <c r="AI60" s="307" t="s">
        <v>11</v>
      </c>
      <c r="AJ60" s="296"/>
      <c r="AK60" s="9"/>
      <c r="AL60" s="297"/>
      <c r="AM60" s="9"/>
      <c r="AN60" s="297"/>
      <c r="AO60" s="9"/>
      <c r="AP60" s="297"/>
      <c r="AQ60" s="9"/>
      <c r="AR60" s="298"/>
      <c r="AS60" s="299"/>
      <c r="AT60" s="300">
        <f>V60+AF60+AH60+AR60</f>
        <v>21</v>
      </c>
      <c r="AU60" s="280" t="s">
        <v>11</v>
      </c>
    </row>
    <row r="61" spans="1:48" ht="16.5" customHeight="1" thickBot="1">
      <c r="A61" s="16" t="s">
        <v>180</v>
      </c>
      <c r="B61" s="303"/>
      <c r="C61" s="302"/>
      <c r="D61" s="301"/>
      <c r="E61" s="302"/>
      <c r="F61" s="303"/>
      <c r="G61" s="303"/>
      <c r="H61" s="301"/>
      <c r="I61" s="302"/>
      <c r="J61" s="301"/>
      <c r="K61" s="302"/>
      <c r="L61" s="492"/>
      <c r="M61" s="519"/>
      <c r="N61" s="483"/>
      <c r="O61" s="484"/>
      <c r="P61" s="492"/>
      <c r="Q61" s="484"/>
      <c r="R61" s="492"/>
      <c r="S61" s="484"/>
      <c r="T61" s="492"/>
      <c r="U61" s="496"/>
      <c r="V61" s="527"/>
      <c r="W61" s="506"/>
      <c r="X61" s="492"/>
      <c r="Y61" s="496"/>
      <c r="Z61" s="492"/>
      <c r="AA61" s="496"/>
      <c r="AB61" s="492"/>
      <c r="AC61" s="496"/>
      <c r="AD61" s="492"/>
      <c r="AE61" s="492"/>
      <c r="AF61" s="472"/>
      <c r="AG61" s="473"/>
      <c r="AH61" s="493">
        <f>AH60*43500</f>
        <v>913500</v>
      </c>
      <c r="AI61" s="494"/>
      <c r="AJ61" s="497"/>
      <c r="AK61" s="496"/>
      <c r="AL61" s="483"/>
      <c r="AM61" s="496"/>
      <c r="AN61" s="483"/>
      <c r="AO61" s="496"/>
      <c r="AP61" s="483"/>
      <c r="AQ61" s="496"/>
      <c r="AR61" s="500"/>
      <c r="AS61" s="501"/>
      <c r="AT61" s="399">
        <f>AR61+AH61+AF61+V61</f>
        <v>913500</v>
      </c>
      <c r="AU61" s="271"/>
      <c r="AV61" s="3">
        <f>AT59+AT61</f>
        <v>3958500</v>
      </c>
    </row>
    <row r="62" spans="1:47" ht="16.5" customHeight="1">
      <c r="A62" s="31" t="s">
        <v>181</v>
      </c>
      <c r="B62" s="28"/>
      <c r="C62" s="285"/>
      <c r="D62" s="286"/>
      <c r="E62" s="285"/>
      <c r="F62" s="28"/>
      <c r="G62" s="28"/>
      <c r="H62" s="286"/>
      <c r="I62" s="285"/>
      <c r="J62" s="286"/>
      <c r="K62" s="285"/>
      <c r="L62" s="8"/>
      <c r="M62" s="8"/>
      <c r="N62" s="297"/>
      <c r="O62" s="9"/>
      <c r="P62" s="8"/>
      <c r="Q62" s="9"/>
      <c r="R62" s="8"/>
      <c r="S62" s="9"/>
      <c r="T62" s="8"/>
      <c r="U62" s="9"/>
      <c r="V62" s="304"/>
      <c r="W62" s="305"/>
      <c r="X62" s="8"/>
      <c r="Y62" s="9"/>
      <c r="Z62" s="8"/>
      <c r="AA62" s="9"/>
      <c r="AB62" s="8"/>
      <c r="AC62" s="9"/>
      <c r="AD62" s="8"/>
      <c r="AE62" s="8"/>
      <c r="AF62" s="292"/>
      <c r="AG62" s="293"/>
      <c r="AH62" s="294">
        <v>59</v>
      </c>
      <c r="AI62" s="307" t="s">
        <v>11</v>
      </c>
      <c r="AJ62" s="296"/>
      <c r="AK62" s="9"/>
      <c r="AL62" s="297"/>
      <c r="AM62" s="9"/>
      <c r="AN62" s="297"/>
      <c r="AO62" s="9"/>
      <c r="AP62" s="297"/>
      <c r="AQ62" s="9"/>
      <c r="AR62" s="298"/>
      <c r="AS62" s="299"/>
      <c r="AT62" s="396">
        <f>V62+AF62+AH62+AR62</f>
        <v>59</v>
      </c>
      <c r="AU62" s="280" t="s">
        <v>11</v>
      </c>
    </row>
    <row r="63" spans="1:48" ht="16.5" customHeight="1" thickBot="1">
      <c r="A63" s="16" t="s">
        <v>182</v>
      </c>
      <c r="B63" s="303"/>
      <c r="C63" s="302"/>
      <c r="D63" s="301"/>
      <c r="E63" s="302"/>
      <c r="F63" s="303"/>
      <c r="G63" s="303"/>
      <c r="H63" s="301"/>
      <c r="I63" s="302"/>
      <c r="J63" s="301"/>
      <c r="K63" s="302"/>
      <c r="L63" s="533"/>
      <c r="M63" s="534"/>
      <c r="N63" s="535"/>
      <c r="O63" s="536"/>
      <c r="P63" s="533"/>
      <c r="Q63" s="536"/>
      <c r="R63" s="533"/>
      <c r="S63" s="536"/>
      <c r="T63" s="533"/>
      <c r="U63" s="537"/>
      <c r="V63" s="527"/>
      <c r="W63" s="506"/>
      <c r="X63" s="492"/>
      <c r="Y63" s="496"/>
      <c r="Z63" s="492"/>
      <c r="AA63" s="496"/>
      <c r="AB63" s="492"/>
      <c r="AC63" s="496"/>
      <c r="AD63" s="492"/>
      <c r="AE63" s="492"/>
      <c r="AF63" s="472"/>
      <c r="AG63" s="473"/>
      <c r="AH63" s="493">
        <f>AH62*109000</f>
        <v>6431000</v>
      </c>
      <c r="AI63" s="494"/>
      <c r="AJ63" s="532"/>
      <c r="AK63" s="531"/>
      <c r="AL63" s="530"/>
      <c r="AM63" s="531"/>
      <c r="AN63" s="530"/>
      <c r="AO63" s="531"/>
      <c r="AP63" s="530"/>
      <c r="AQ63" s="531"/>
      <c r="AR63" s="500"/>
      <c r="AS63" s="501"/>
      <c r="AT63" s="399">
        <f>AR63+AH63+AF63+V63</f>
        <v>6431000</v>
      </c>
      <c r="AU63" s="271"/>
      <c r="AV63" s="3"/>
    </row>
    <row r="64" spans="1:47" ht="16.5" customHeight="1">
      <c r="A64" s="31" t="s">
        <v>183</v>
      </c>
      <c r="B64" s="28"/>
      <c r="C64" s="285"/>
      <c r="D64" s="286"/>
      <c r="E64" s="285"/>
      <c r="F64" s="28"/>
      <c r="G64" s="28"/>
      <c r="H64" s="286"/>
      <c r="I64" s="285"/>
      <c r="J64" s="286"/>
      <c r="K64" s="285"/>
      <c r="L64" s="291"/>
      <c r="M64" s="17"/>
      <c r="N64" s="291"/>
      <c r="O64" s="15"/>
      <c r="P64" s="17"/>
      <c r="Q64" s="15"/>
      <c r="R64" s="17"/>
      <c r="S64" s="15"/>
      <c r="T64" s="17"/>
      <c r="U64" s="15"/>
      <c r="V64" s="304"/>
      <c r="W64" s="305"/>
      <c r="X64" s="8"/>
      <c r="Y64" s="9"/>
      <c r="Z64" s="8"/>
      <c r="AA64" s="9"/>
      <c r="AB64" s="8"/>
      <c r="AC64" s="9"/>
      <c r="AD64" s="8"/>
      <c r="AE64" s="8"/>
      <c r="AF64" s="292"/>
      <c r="AG64" s="293"/>
      <c r="AH64" s="294">
        <v>59</v>
      </c>
      <c r="AI64" s="307" t="s">
        <v>11</v>
      </c>
      <c r="AJ64" s="296"/>
      <c r="AK64" s="9"/>
      <c r="AL64" s="297"/>
      <c r="AM64" s="9"/>
      <c r="AN64" s="297"/>
      <c r="AO64" s="9"/>
      <c r="AP64" s="297"/>
      <c r="AQ64" s="9"/>
      <c r="AR64" s="298"/>
      <c r="AS64" s="299"/>
      <c r="AT64" s="396">
        <f>V64+AF64+AH64+AR64</f>
        <v>59</v>
      </c>
      <c r="AU64" s="280" t="s">
        <v>11</v>
      </c>
    </row>
    <row r="65" spans="1:48" ht="16.5" customHeight="1" thickBot="1">
      <c r="A65" s="16" t="s">
        <v>184</v>
      </c>
      <c r="B65" s="303"/>
      <c r="C65" s="302"/>
      <c r="D65" s="301"/>
      <c r="E65" s="302"/>
      <c r="F65" s="303"/>
      <c r="G65" s="303"/>
      <c r="H65" s="301"/>
      <c r="I65" s="302"/>
      <c r="J65" s="301"/>
      <c r="K65" s="302"/>
      <c r="L65" s="483"/>
      <c r="M65" s="519"/>
      <c r="N65" s="483"/>
      <c r="O65" s="484"/>
      <c r="P65" s="492"/>
      <c r="Q65" s="484"/>
      <c r="R65" s="492"/>
      <c r="S65" s="484"/>
      <c r="T65" s="492"/>
      <c r="U65" s="496"/>
      <c r="V65" s="527"/>
      <c r="W65" s="506"/>
      <c r="X65" s="492"/>
      <c r="Y65" s="496"/>
      <c r="Z65" s="492"/>
      <c r="AA65" s="496"/>
      <c r="AB65" s="492"/>
      <c r="AC65" s="496"/>
      <c r="AD65" s="492"/>
      <c r="AE65" s="492"/>
      <c r="AF65" s="472"/>
      <c r="AG65" s="473"/>
      <c r="AH65" s="493">
        <f>AH64*54500</f>
        <v>3215500</v>
      </c>
      <c r="AI65" s="494"/>
      <c r="AJ65" s="532"/>
      <c r="AK65" s="531"/>
      <c r="AL65" s="530"/>
      <c r="AM65" s="531"/>
      <c r="AN65" s="530"/>
      <c r="AO65" s="531"/>
      <c r="AP65" s="530"/>
      <c r="AQ65" s="531"/>
      <c r="AR65" s="500"/>
      <c r="AS65" s="501"/>
      <c r="AT65" s="399">
        <f>AR65+AH65+AF65+V65</f>
        <v>3215500</v>
      </c>
      <c r="AU65" s="271"/>
      <c r="AV65" s="3">
        <f>AT63+AT65</f>
        <v>9646500</v>
      </c>
    </row>
    <row r="66" spans="1:47" ht="16.5" customHeight="1">
      <c r="A66" s="284" t="s">
        <v>185</v>
      </c>
      <c r="B66" s="288"/>
      <c r="C66" s="289"/>
      <c r="D66" s="290"/>
      <c r="E66" s="289"/>
      <c r="F66" s="288"/>
      <c r="G66" s="288"/>
      <c r="H66" s="290"/>
      <c r="I66" s="289"/>
      <c r="J66" s="290"/>
      <c r="K66" s="289"/>
      <c r="L66" s="17"/>
      <c r="M66" s="287"/>
      <c r="N66" s="291"/>
      <c r="O66" s="14"/>
      <c r="P66" s="17"/>
      <c r="Q66" s="14"/>
      <c r="R66" s="17"/>
      <c r="S66" s="14"/>
      <c r="T66" s="8"/>
      <c r="U66" s="9"/>
      <c r="V66" s="304"/>
      <c r="W66" s="305"/>
      <c r="X66" s="8"/>
      <c r="Y66" s="9"/>
      <c r="Z66" s="8"/>
      <c r="AA66" s="9"/>
      <c r="AB66" s="8"/>
      <c r="AC66" s="9"/>
      <c r="AD66" s="8"/>
      <c r="AE66" s="8"/>
      <c r="AF66" s="292"/>
      <c r="AG66" s="293"/>
      <c r="AH66" s="407">
        <v>44</v>
      </c>
      <c r="AI66" s="295" t="s">
        <v>11</v>
      </c>
      <c r="AJ66" s="296"/>
      <c r="AK66" s="9"/>
      <c r="AL66" s="297"/>
      <c r="AM66" s="9"/>
      <c r="AN66" s="297"/>
      <c r="AO66" s="9"/>
      <c r="AP66" s="297"/>
      <c r="AQ66" s="9"/>
      <c r="AR66" s="298"/>
      <c r="AS66" s="299"/>
      <c r="AT66" s="396">
        <f>V66+AF66+AH66+AR66</f>
        <v>44</v>
      </c>
      <c r="AU66" s="280" t="s">
        <v>11</v>
      </c>
    </row>
    <row r="67" spans="1:47" ht="16.5" customHeight="1" thickBot="1">
      <c r="A67" s="16" t="s">
        <v>186</v>
      </c>
      <c r="B67" s="303"/>
      <c r="C67" s="302"/>
      <c r="D67" s="301"/>
      <c r="E67" s="302"/>
      <c r="F67" s="303"/>
      <c r="G67" s="303"/>
      <c r="H67" s="301"/>
      <c r="I67" s="302"/>
      <c r="J67" s="301"/>
      <c r="K67" s="302"/>
      <c r="L67" s="492"/>
      <c r="M67" s="492"/>
      <c r="N67" s="483"/>
      <c r="O67" s="496"/>
      <c r="P67" s="492"/>
      <c r="Q67" s="496"/>
      <c r="R67" s="483"/>
      <c r="S67" s="496"/>
      <c r="T67" s="483"/>
      <c r="U67" s="496"/>
      <c r="V67" s="505"/>
      <c r="W67" s="506"/>
      <c r="X67" s="483"/>
      <c r="Y67" s="496"/>
      <c r="Z67" s="483"/>
      <c r="AA67" s="496"/>
      <c r="AB67" s="483"/>
      <c r="AC67" s="496"/>
      <c r="AD67" s="483"/>
      <c r="AE67" s="492"/>
      <c r="AF67" s="472"/>
      <c r="AG67" s="473"/>
      <c r="AH67" s="493">
        <f>AH66*206100</f>
        <v>9068400</v>
      </c>
      <c r="AI67" s="494"/>
      <c r="AJ67" s="497"/>
      <c r="AK67" s="496"/>
      <c r="AL67" s="483"/>
      <c r="AM67" s="496"/>
      <c r="AN67" s="483"/>
      <c r="AO67" s="496"/>
      <c r="AP67" s="483"/>
      <c r="AQ67" s="496"/>
      <c r="AR67" s="500"/>
      <c r="AS67" s="501"/>
      <c r="AT67" s="399">
        <f>AR67+AH67+AF67+V67</f>
        <v>9068400</v>
      </c>
      <c r="AU67" s="271"/>
    </row>
    <row r="68" spans="1:47" ht="16.5" customHeight="1">
      <c r="A68" s="284" t="s">
        <v>187</v>
      </c>
      <c r="B68" s="288"/>
      <c r="C68" s="289"/>
      <c r="D68" s="290"/>
      <c r="E68" s="289"/>
      <c r="F68" s="288"/>
      <c r="G68" s="288"/>
      <c r="H68" s="290"/>
      <c r="I68" s="289"/>
      <c r="J68" s="290"/>
      <c r="K68" s="289"/>
      <c r="L68" s="17"/>
      <c r="M68" s="287"/>
      <c r="N68" s="291"/>
      <c r="O68" s="14"/>
      <c r="P68" s="17"/>
      <c r="Q68" s="14"/>
      <c r="R68" s="17"/>
      <c r="S68" s="14"/>
      <c r="T68" s="8"/>
      <c r="U68" s="9"/>
      <c r="V68" s="304"/>
      <c r="W68" s="305"/>
      <c r="X68" s="8"/>
      <c r="Y68" s="9"/>
      <c r="Z68" s="8"/>
      <c r="AA68" s="9"/>
      <c r="AB68" s="8"/>
      <c r="AC68" s="9"/>
      <c r="AD68" s="8"/>
      <c r="AE68" s="8"/>
      <c r="AF68" s="292"/>
      <c r="AG68" s="293"/>
      <c r="AH68" s="407">
        <v>44</v>
      </c>
      <c r="AI68" s="295" t="s">
        <v>11</v>
      </c>
      <c r="AJ68" s="296"/>
      <c r="AK68" s="9"/>
      <c r="AL68" s="297"/>
      <c r="AM68" s="9"/>
      <c r="AN68" s="297"/>
      <c r="AO68" s="9"/>
      <c r="AP68" s="297"/>
      <c r="AQ68" s="9"/>
      <c r="AR68" s="298"/>
      <c r="AS68" s="299"/>
      <c r="AT68" s="396">
        <f>V68+AF68+AH68+AR68</f>
        <v>44</v>
      </c>
      <c r="AU68" s="280" t="s">
        <v>11</v>
      </c>
    </row>
    <row r="69" spans="1:48" ht="16.5" customHeight="1" thickBot="1">
      <c r="A69" s="16" t="s">
        <v>188</v>
      </c>
      <c r="B69" s="303"/>
      <c r="C69" s="302"/>
      <c r="D69" s="301"/>
      <c r="E69" s="302"/>
      <c r="F69" s="303"/>
      <c r="G69" s="303"/>
      <c r="H69" s="301"/>
      <c r="I69" s="302"/>
      <c r="J69" s="301"/>
      <c r="K69" s="302"/>
      <c r="L69" s="492"/>
      <c r="M69" s="492"/>
      <c r="N69" s="483"/>
      <c r="O69" s="496"/>
      <c r="P69" s="492"/>
      <c r="Q69" s="496"/>
      <c r="R69" s="483"/>
      <c r="S69" s="496"/>
      <c r="T69" s="483"/>
      <c r="U69" s="496"/>
      <c r="V69" s="505"/>
      <c r="W69" s="506"/>
      <c r="X69" s="483"/>
      <c r="Y69" s="496"/>
      <c r="Z69" s="483"/>
      <c r="AA69" s="496"/>
      <c r="AB69" s="483"/>
      <c r="AC69" s="496"/>
      <c r="AD69" s="483"/>
      <c r="AE69" s="492"/>
      <c r="AF69" s="472"/>
      <c r="AG69" s="473"/>
      <c r="AH69" s="493">
        <f>AH68*41220</f>
        <v>1813680</v>
      </c>
      <c r="AI69" s="494"/>
      <c r="AJ69" s="497"/>
      <c r="AK69" s="496"/>
      <c r="AL69" s="483"/>
      <c r="AM69" s="496"/>
      <c r="AN69" s="483"/>
      <c r="AO69" s="496"/>
      <c r="AP69" s="483"/>
      <c r="AQ69" s="496"/>
      <c r="AR69" s="500"/>
      <c r="AS69" s="501"/>
      <c r="AT69" s="399">
        <f>AR69+AH69+AF69+V69</f>
        <v>1813680</v>
      </c>
      <c r="AU69" s="271"/>
      <c r="AV69" s="3">
        <f>AT67+AT69</f>
        <v>10882080</v>
      </c>
    </row>
    <row r="70" spans="1:47" ht="16.5" customHeight="1">
      <c r="A70" s="31" t="s">
        <v>189</v>
      </c>
      <c r="B70" s="28"/>
      <c r="C70" s="285"/>
      <c r="D70" s="286"/>
      <c r="E70" s="285"/>
      <c r="F70" s="28"/>
      <c r="G70" s="28"/>
      <c r="H70" s="286"/>
      <c r="I70" s="285"/>
      <c r="J70" s="286"/>
      <c r="K70" s="285"/>
      <c r="L70" s="8"/>
      <c r="M70" s="8"/>
      <c r="N70" s="297"/>
      <c r="O70" s="9"/>
      <c r="P70" s="8"/>
      <c r="Q70" s="9"/>
      <c r="R70" s="8"/>
      <c r="S70" s="9"/>
      <c r="T70" s="8">
        <v>18</v>
      </c>
      <c r="U70" s="9" t="s">
        <v>11</v>
      </c>
      <c r="V70" s="279">
        <f>T70+R70++P70+N70+L70</f>
        <v>18</v>
      </c>
      <c r="W70" s="265" t="s">
        <v>11</v>
      </c>
      <c r="X70" s="8"/>
      <c r="Y70" s="9"/>
      <c r="Z70" s="8"/>
      <c r="AA70" s="9"/>
      <c r="AB70" s="8"/>
      <c r="AC70" s="9"/>
      <c r="AD70" s="8"/>
      <c r="AE70" s="8"/>
      <c r="AF70" s="292"/>
      <c r="AG70" s="293"/>
      <c r="AH70" s="294"/>
      <c r="AI70" s="295"/>
      <c r="AJ70" s="296"/>
      <c r="AK70" s="9"/>
      <c r="AL70" s="297"/>
      <c r="AM70" s="9"/>
      <c r="AN70" s="297"/>
      <c r="AO70" s="9"/>
      <c r="AP70" s="297"/>
      <c r="AQ70" s="9"/>
      <c r="AR70" s="298"/>
      <c r="AS70" s="299"/>
      <c r="AT70" s="396">
        <f>V70+AF70+AH70+AR70</f>
        <v>18</v>
      </c>
      <c r="AU70" s="280" t="s">
        <v>11</v>
      </c>
    </row>
    <row r="71" spans="1:47" ht="16.5" customHeight="1" thickBot="1">
      <c r="A71" s="16" t="s">
        <v>190</v>
      </c>
      <c r="B71" s="303"/>
      <c r="C71" s="302"/>
      <c r="D71" s="301"/>
      <c r="E71" s="302"/>
      <c r="F71" s="303"/>
      <c r="G71" s="303"/>
      <c r="H71" s="301"/>
      <c r="I71" s="302"/>
      <c r="J71" s="301"/>
      <c r="K71" s="302"/>
      <c r="L71" s="470"/>
      <c r="M71" s="471"/>
      <c r="N71" s="483"/>
      <c r="O71" s="484"/>
      <c r="P71" s="492"/>
      <c r="Q71" s="484"/>
      <c r="R71" s="492"/>
      <c r="S71" s="484"/>
      <c r="T71" s="470">
        <f>T70*494100</f>
        <v>8893800</v>
      </c>
      <c r="U71" s="495"/>
      <c r="V71" s="505">
        <f>T71+R71+P71+N71+L71</f>
        <v>8893800</v>
      </c>
      <c r="W71" s="506"/>
      <c r="X71" s="492"/>
      <c r="Y71" s="496"/>
      <c r="Z71" s="492"/>
      <c r="AA71" s="496"/>
      <c r="AB71" s="492"/>
      <c r="AC71" s="496"/>
      <c r="AD71" s="492"/>
      <c r="AE71" s="492"/>
      <c r="AF71" s="472"/>
      <c r="AG71" s="473"/>
      <c r="AH71" s="478"/>
      <c r="AI71" s="474"/>
      <c r="AJ71" s="497"/>
      <c r="AK71" s="496"/>
      <c r="AL71" s="483"/>
      <c r="AM71" s="496"/>
      <c r="AN71" s="483"/>
      <c r="AO71" s="496"/>
      <c r="AP71" s="483"/>
      <c r="AQ71" s="496"/>
      <c r="AR71" s="500"/>
      <c r="AS71" s="501"/>
      <c r="AT71" s="399">
        <f>AR71+AH71+AF71+V71</f>
        <v>8893800</v>
      </c>
      <c r="AU71" s="271"/>
    </row>
    <row r="72" spans="1:47" ht="16.5" customHeight="1">
      <c r="A72" s="284" t="s">
        <v>191</v>
      </c>
      <c r="B72" s="288"/>
      <c r="C72" s="289"/>
      <c r="D72" s="290"/>
      <c r="E72" s="289"/>
      <c r="F72" s="288"/>
      <c r="G72" s="288"/>
      <c r="H72" s="290"/>
      <c r="I72" s="289"/>
      <c r="J72" s="290"/>
      <c r="K72" s="289"/>
      <c r="L72" s="17"/>
      <c r="M72" s="287"/>
      <c r="N72" s="291"/>
      <c r="O72" s="14"/>
      <c r="P72" s="17"/>
      <c r="Q72" s="14"/>
      <c r="R72" s="17"/>
      <c r="S72" s="14"/>
      <c r="T72" s="8"/>
      <c r="U72" s="9"/>
      <c r="V72" s="304"/>
      <c r="W72" s="305"/>
      <c r="X72" s="8"/>
      <c r="Y72" s="9"/>
      <c r="Z72" s="8"/>
      <c r="AA72" s="9"/>
      <c r="AB72" s="8"/>
      <c r="AC72" s="9"/>
      <c r="AD72" s="8"/>
      <c r="AE72" s="8"/>
      <c r="AF72" s="292"/>
      <c r="AG72" s="293"/>
      <c r="AH72" s="407">
        <v>25</v>
      </c>
      <c r="AI72" s="307" t="s">
        <v>11</v>
      </c>
      <c r="AJ72" s="296"/>
      <c r="AK72" s="9"/>
      <c r="AL72" s="297"/>
      <c r="AM72" s="9"/>
      <c r="AN72" s="297"/>
      <c r="AO72" s="9"/>
      <c r="AP72" s="297"/>
      <c r="AQ72" s="9"/>
      <c r="AR72" s="298"/>
      <c r="AS72" s="299"/>
      <c r="AT72" s="396">
        <f>V72+AF72+AH72+AR72</f>
        <v>25</v>
      </c>
      <c r="AU72" s="280" t="s">
        <v>11</v>
      </c>
    </row>
    <row r="73" spans="1:48" ht="16.5" customHeight="1" thickBot="1">
      <c r="A73" s="16" t="s">
        <v>192</v>
      </c>
      <c r="B73" s="303"/>
      <c r="C73" s="302"/>
      <c r="D73" s="301"/>
      <c r="E73" s="302"/>
      <c r="F73" s="303"/>
      <c r="G73" s="303"/>
      <c r="H73" s="301"/>
      <c r="I73" s="302"/>
      <c r="J73" s="301"/>
      <c r="K73" s="302"/>
      <c r="L73" s="492"/>
      <c r="M73" s="492"/>
      <c r="N73" s="483"/>
      <c r="O73" s="496"/>
      <c r="P73" s="492"/>
      <c r="Q73" s="496"/>
      <c r="R73" s="483"/>
      <c r="S73" s="496"/>
      <c r="T73" s="483"/>
      <c r="U73" s="496"/>
      <c r="V73" s="505"/>
      <c r="W73" s="506"/>
      <c r="X73" s="483"/>
      <c r="Y73" s="496"/>
      <c r="Z73" s="483"/>
      <c r="AA73" s="496"/>
      <c r="AB73" s="483"/>
      <c r="AC73" s="496"/>
      <c r="AD73" s="483"/>
      <c r="AE73" s="492"/>
      <c r="AF73" s="472"/>
      <c r="AG73" s="473"/>
      <c r="AH73" s="493">
        <f>AH72*468350</f>
        <v>11708750</v>
      </c>
      <c r="AI73" s="494"/>
      <c r="AJ73" s="497"/>
      <c r="AK73" s="496"/>
      <c r="AL73" s="483"/>
      <c r="AM73" s="496"/>
      <c r="AN73" s="483"/>
      <c r="AO73" s="496"/>
      <c r="AP73" s="483"/>
      <c r="AQ73" s="496"/>
      <c r="AR73" s="500"/>
      <c r="AS73" s="501"/>
      <c r="AT73" s="399">
        <f>AR73+AH73+AF73+V73</f>
        <v>11708750</v>
      </c>
      <c r="AU73" s="271"/>
      <c r="AV73" s="3"/>
    </row>
    <row r="74" spans="1:47" ht="16.5" customHeight="1">
      <c r="A74" s="284" t="s">
        <v>193</v>
      </c>
      <c r="B74" s="288"/>
      <c r="C74" s="289"/>
      <c r="D74" s="290"/>
      <c r="E74" s="289"/>
      <c r="F74" s="288"/>
      <c r="G74" s="288"/>
      <c r="H74" s="290"/>
      <c r="I74" s="289"/>
      <c r="J74" s="290"/>
      <c r="K74" s="289"/>
      <c r="L74" s="17"/>
      <c r="M74" s="287"/>
      <c r="N74" s="291"/>
      <c r="O74" s="14"/>
      <c r="P74" s="17"/>
      <c r="Q74" s="14"/>
      <c r="R74" s="17"/>
      <c r="S74" s="14"/>
      <c r="T74" s="8"/>
      <c r="U74" s="9"/>
      <c r="V74" s="304"/>
      <c r="W74" s="305"/>
      <c r="X74" s="8"/>
      <c r="Y74" s="9"/>
      <c r="Z74" s="8"/>
      <c r="AA74" s="9"/>
      <c r="AB74" s="8"/>
      <c r="AC74" s="9"/>
      <c r="AD74" s="8"/>
      <c r="AE74" s="8"/>
      <c r="AF74" s="292"/>
      <c r="AG74" s="293"/>
      <c r="AH74" s="407">
        <v>25</v>
      </c>
      <c r="AI74" s="307" t="s">
        <v>11</v>
      </c>
      <c r="AJ74" s="296"/>
      <c r="AK74" s="9"/>
      <c r="AL74" s="297"/>
      <c r="AM74" s="9"/>
      <c r="AN74" s="297"/>
      <c r="AO74" s="9"/>
      <c r="AP74" s="297"/>
      <c r="AQ74" s="9"/>
      <c r="AR74" s="298"/>
      <c r="AS74" s="299"/>
      <c r="AT74" s="396">
        <f>V74+AF74+AH74+AR74</f>
        <v>25</v>
      </c>
      <c r="AU74" s="280" t="s">
        <v>11</v>
      </c>
    </row>
    <row r="75" spans="1:48" ht="16.5" customHeight="1" thickBot="1">
      <c r="A75" s="16" t="s">
        <v>194</v>
      </c>
      <c r="B75" s="303"/>
      <c r="C75" s="302"/>
      <c r="D75" s="301"/>
      <c r="E75" s="302"/>
      <c r="F75" s="303"/>
      <c r="G75" s="303"/>
      <c r="H75" s="301"/>
      <c r="I75" s="302"/>
      <c r="J75" s="301"/>
      <c r="K75" s="302"/>
      <c r="L75" s="492"/>
      <c r="M75" s="492"/>
      <c r="N75" s="483"/>
      <c r="O75" s="496"/>
      <c r="P75" s="492"/>
      <c r="Q75" s="496"/>
      <c r="R75" s="483"/>
      <c r="S75" s="496"/>
      <c r="T75" s="483"/>
      <c r="U75" s="496"/>
      <c r="V75" s="505"/>
      <c r="W75" s="506"/>
      <c r="X75" s="483"/>
      <c r="Y75" s="496"/>
      <c r="Z75" s="483"/>
      <c r="AA75" s="496"/>
      <c r="AB75" s="483"/>
      <c r="AC75" s="496"/>
      <c r="AD75" s="483"/>
      <c r="AE75" s="492"/>
      <c r="AF75" s="472"/>
      <c r="AG75" s="473"/>
      <c r="AH75" s="493">
        <f>AH74*46835</f>
        <v>1170875</v>
      </c>
      <c r="AI75" s="494"/>
      <c r="AJ75" s="497"/>
      <c r="AK75" s="496"/>
      <c r="AL75" s="483"/>
      <c r="AM75" s="496"/>
      <c r="AN75" s="483"/>
      <c r="AO75" s="496"/>
      <c r="AP75" s="483"/>
      <c r="AQ75" s="496"/>
      <c r="AR75" s="500"/>
      <c r="AS75" s="501"/>
      <c r="AT75" s="399">
        <f>AR75+AH75+AF75+V75</f>
        <v>1170875</v>
      </c>
      <c r="AU75" s="271"/>
      <c r="AV75" s="3">
        <f>AT73+AT75</f>
        <v>12879625</v>
      </c>
    </row>
    <row r="76" spans="1:47" ht="18.75" customHeight="1">
      <c r="A76" s="528" t="s">
        <v>289</v>
      </c>
      <c r="B76" s="308"/>
      <c r="C76" s="309"/>
      <c r="D76" s="310"/>
      <c r="E76" s="309"/>
      <c r="F76" s="308"/>
      <c r="G76" s="308"/>
      <c r="H76" s="310"/>
      <c r="I76" s="309"/>
      <c r="J76" s="310"/>
      <c r="K76" s="309"/>
      <c r="L76" s="8"/>
      <c r="M76" s="8"/>
      <c r="N76" s="297"/>
      <c r="O76" s="9"/>
      <c r="P76" s="8"/>
      <c r="Q76" s="9"/>
      <c r="R76" s="8"/>
      <c r="S76" s="9"/>
      <c r="T76" s="8"/>
      <c r="U76" s="9"/>
      <c r="V76" s="304"/>
      <c r="W76" s="305"/>
      <c r="X76" s="8"/>
      <c r="Y76" s="9"/>
      <c r="Z76" s="8"/>
      <c r="AA76" s="9"/>
      <c r="AB76" s="8"/>
      <c r="AC76" s="9"/>
      <c r="AD76" s="8"/>
      <c r="AE76" s="8"/>
      <c r="AF76" s="292"/>
      <c r="AG76" s="293"/>
      <c r="AH76" s="407">
        <v>8</v>
      </c>
      <c r="AI76" s="307" t="s">
        <v>11</v>
      </c>
      <c r="AJ76" s="296"/>
      <c r="AK76" s="9"/>
      <c r="AL76" s="297"/>
      <c r="AM76" s="9"/>
      <c r="AN76" s="297"/>
      <c r="AO76" s="9"/>
      <c r="AP76" s="297"/>
      <c r="AQ76" s="9"/>
      <c r="AR76" s="298"/>
      <c r="AS76" s="299"/>
      <c r="AT76" s="300">
        <f>V76+AF76+AH76+AR76</f>
        <v>8</v>
      </c>
      <c r="AU76" s="280" t="s">
        <v>11</v>
      </c>
    </row>
    <row r="77" spans="1:47" ht="16.5" customHeight="1" thickBot="1">
      <c r="A77" s="529"/>
      <c r="B77" s="311"/>
      <c r="C77" s="312"/>
      <c r="D77" s="313"/>
      <c r="E77" s="312"/>
      <c r="F77" s="311"/>
      <c r="G77" s="311"/>
      <c r="H77" s="313"/>
      <c r="I77" s="312"/>
      <c r="J77" s="313"/>
      <c r="K77" s="312"/>
      <c r="L77" s="492"/>
      <c r="M77" s="519"/>
      <c r="N77" s="483"/>
      <c r="O77" s="484"/>
      <c r="P77" s="492"/>
      <c r="Q77" s="484"/>
      <c r="R77" s="492"/>
      <c r="S77" s="484"/>
      <c r="T77" s="492"/>
      <c r="U77" s="496"/>
      <c r="V77" s="527"/>
      <c r="W77" s="506"/>
      <c r="X77" s="492"/>
      <c r="Y77" s="496"/>
      <c r="Z77" s="492"/>
      <c r="AA77" s="496"/>
      <c r="AB77" s="492"/>
      <c r="AC77" s="496"/>
      <c r="AD77" s="492"/>
      <c r="AE77" s="492"/>
      <c r="AF77" s="472"/>
      <c r="AG77" s="473"/>
      <c r="AH77" s="493">
        <f>AH76*2606040</f>
        <v>20848320</v>
      </c>
      <c r="AI77" s="494"/>
      <c r="AJ77" s="497"/>
      <c r="AK77" s="496"/>
      <c r="AL77" s="483"/>
      <c r="AM77" s="496"/>
      <c r="AN77" s="483"/>
      <c r="AO77" s="496"/>
      <c r="AP77" s="483"/>
      <c r="AQ77" s="496"/>
      <c r="AR77" s="500"/>
      <c r="AS77" s="501"/>
      <c r="AT77" s="399">
        <f>AR77+AH77+AF77+V77</f>
        <v>20848320</v>
      </c>
      <c r="AU77" s="271"/>
    </row>
    <row r="78" spans="1:47" ht="16.5" customHeight="1">
      <c r="A78" s="528" t="s">
        <v>290</v>
      </c>
      <c r="B78" s="28"/>
      <c r="C78" s="285"/>
      <c r="D78" s="286"/>
      <c r="E78" s="285"/>
      <c r="F78" s="28"/>
      <c r="G78" s="28"/>
      <c r="H78" s="286"/>
      <c r="I78" s="285"/>
      <c r="J78" s="286"/>
      <c r="K78" s="285"/>
      <c r="L78" s="8"/>
      <c r="M78" s="8"/>
      <c r="N78" s="297"/>
      <c r="O78" s="9"/>
      <c r="P78" s="8"/>
      <c r="Q78" s="9"/>
      <c r="R78" s="8"/>
      <c r="S78" s="9"/>
      <c r="T78" s="8"/>
      <c r="U78" s="9"/>
      <c r="V78" s="304"/>
      <c r="W78" s="305"/>
      <c r="X78" s="8"/>
      <c r="Y78" s="9"/>
      <c r="Z78" s="8"/>
      <c r="AA78" s="9"/>
      <c r="AB78" s="8"/>
      <c r="AC78" s="9"/>
      <c r="AD78" s="8"/>
      <c r="AE78" s="8"/>
      <c r="AF78" s="292"/>
      <c r="AG78" s="293"/>
      <c r="AH78" s="407">
        <v>1</v>
      </c>
      <c r="AI78" s="307"/>
      <c r="AJ78" s="296"/>
      <c r="AK78" s="9"/>
      <c r="AL78" s="297"/>
      <c r="AM78" s="9"/>
      <c r="AN78" s="297"/>
      <c r="AO78" s="9"/>
      <c r="AP78" s="297"/>
      <c r="AQ78" s="9"/>
      <c r="AR78" s="298"/>
      <c r="AS78" s="299"/>
      <c r="AT78" s="300">
        <f>V78+AF78+AH78+AR78</f>
        <v>1</v>
      </c>
      <c r="AU78" s="280" t="s">
        <v>11</v>
      </c>
    </row>
    <row r="79" spans="1:48" ht="16.5" customHeight="1" thickBot="1">
      <c r="A79" s="529"/>
      <c r="B79" s="303"/>
      <c r="C79" s="302"/>
      <c r="D79" s="301"/>
      <c r="E79" s="302"/>
      <c r="F79" s="303"/>
      <c r="G79" s="303"/>
      <c r="H79" s="301"/>
      <c r="I79" s="302"/>
      <c r="J79" s="301"/>
      <c r="K79" s="302"/>
      <c r="L79" s="492"/>
      <c r="M79" s="519"/>
      <c r="N79" s="483"/>
      <c r="O79" s="484"/>
      <c r="P79" s="492"/>
      <c r="Q79" s="484"/>
      <c r="R79" s="492"/>
      <c r="S79" s="484"/>
      <c r="T79" s="492"/>
      <c r="U79" s="496"/>
      <c r="V79" s="527"/>
      <c r="W79" s="506"/>
      <c r="X79" s="492"/>
      <c r="Y79" s="496"/>
      <c r="Z79" s="492"/>
      <c r="AA79" s="496"/>
      <c r="AB79" s="492"/>
      <c r="AC79" s="496"/>
      <c r="AD79" s="492"/>
      <c r="AE79" s="492"/>
      <c r="AF79" s="472"/>
      <c r="AG79" s="473"/>
      <c r="AH79" s="493">
        <v>2655000</v>
      </c>
      <c r="AI79" s="494"/>
      <c r="AJ79" s="497"/>
      <c r="AK79" s="496"/>
      <c r="AL79" s="483"/>
      <c r="AM79" s="496"/>
      <c r="AN79" s="483"/>
      <c r="AO79" s="496"/>
      <c r="AP79" s="483"/>
      <c r="AQ79" s="496"/>
      <c r="AR79" s="500"/>
      <c r="AS79" s="501"/>
      <c r="AT79" s="399">
        <f>AR79+AH79+AF79+V79</f>
        <v>2655000</v>
      </c>
      <c r="AU79" s="271"/>
      <c r="AV79" s="3"/>
    </row>
    <row r="80" spans="1:47" ht="16.5" customHeight="1">
      <c r="A80" s="314" t="s">
        <v>195</v>
      </c>
      <c r="B80" s="408"/>
      <c r="C80" s="409"/>
      <c r="D80" s="410"/>
      <c r="E80" s="409"/>
      <c r="F80" s="408"/>
      <c r="G80" s="408"/>
      <c r="H80" s="410"/>
      <c r="I80" s="409"/>
      <c r="J80" s="410"/>
      <c r="K80" s="409"/>
      <c r="L80" s="390"/>
      <c r="M80" s="390"/>
      <c r="N80" s="389"/>
      <c r="O80" s="14"/>
      <c r="P80" s="390"/>
      <c r="Q80" s="14"/>
      <c r="R80" s="390"/>
      <c r="S80" s="14"/>
      <c r="T80" s="390"/>
      <c r="U80" s="387"/>
      <c r="V80" s="279">
        <f>T80+R80++P80+N80+L80</f>
        <v>0</v>
      </c>
      <c r="W80" s="265" t="s">
        <v>11</v>
      </c>
      <c r="X80" s="389"/>
      <c r="Y80" s="387"/>
      <c r="Z80" s="389"/>
      <c r="AA80" s="387"/>
      <c r="AB80" s="389"/>
      <c r="AC80" s="387"/>
      <c r="AD80" s="389"/>
      <c r="AE80" s="390"/>
      <c r="AF80" s="411">
        <f aca="true" t="shared" si="2" ref="AF80:AF85">X80+Z80+AB80+AD80</f>
        <v>0</v>
      </c>
      <c r="AG80" s="382" t="s">
        <v>11</v>
      </c>
      <c r="AH80" s="391"/>
      <c r="AI80" s="392"/>
      <c r="AJ80" s="393"/>
      <c r="AK80" s="387"/>
      <c r="AL80" s="389"/>
      <c r="AM80" s="387"/>
      <c r="AN80" s="389"/>
      <c r="AO80" s="387"/>
      <c r="AP80" s="389"/>
      <c r="AQ80" s="387"/>
      <c r="AR80" s="394"/>
      <c r="AS80" s="395"/>
      <c r="AT80" s="396">
        <f>V80+AF7+AH80+AR80</f>
        <v>0</v>
      </c>
      <c r="AU80" s="280" t="s">
        <v>11</v>
      </c>
    </row>
    <row r="81" spans="1:47" ht="16.5" customHeight="1" thickBot="1">
      <c r="A81" s="315" t="s">
        <v>196</v>
      </c>
      <c r="B81" s="412">
        <f>4585920+913920+5516160+962880+10102080</f>
        <v>22080960</v>
      </c>
      <c r="C81" s="413"/>
      <c r="D81" s="414"/>
      <c r="E81" s="413"/>
      <c r="F81" s="415"/>
      <c r="G81" s="415"/>
      <c r="H81" s="414"/>
      <c r="I81" s="413"/>
      <c r="J81" s="414"/>
      <c r="K81" s="413"/>
      <c r="L81" s="470">
        <v>3345600</v>
      </c>
      <c r="M81" s="471"/>
      <c r="N81" s="524">
        <v>2072640</v>
      </c>
      <c r="O81" s="525"/>
      <c r="P81" s="526">
        <v>1109760</v>
      </c>
      <c r="Q81" s="525"/>
      <c r="R81" s="526">
        <v>750720</v>
      </c>
      <c r="S81" s="525"/>
      <c r="T81" s="470">
        <v>832320</v>
      </c>
      <c r="U81" s="495"/>
      <c r="V81" s="505">
        <f>T81+R81+P81+N81+L81</f>
        <v>8111040</v>
      </c>
      <c r="W81" s="506"/>
      <c r="X81" s="514">
        <v>3312960</v>
      </c>
      <c r="Y81" s="495"/>
      <c r="Z81" s="514">
        <v>881280</v>
      </c>
      <c r="AA81" s="495"/>
      <c r="AB81" s="514">
        <v>718080</v>
      </c>
      <c r="AC81" s="495"/>
      <c r="AD81" s="514">
        <v>456960</v>
      </c>
      <c r="AE81" s="471"/>
      <c r="AF81" s="472">
        <f t="shared" si="2"/>
        <v>5369280</v>
      </c>
      <c r="AG81" s="473"/>
      <c r="AH81" s="493"/>
      <c r="AI81" s="494"/>
      <c r="AJ81" s="523">
        <v>5989440</v>
      </c>
      <c r="AK81" s="495"/>
      <c r="AL81" s="514">
        <v>3639360</v>
      </c>
      <c r="AM81" s="495"/>
      <c r="AN81" s="514">
        <v>881280</v>
      </c>
      <c r="AO81" s="495"/>
      <c r="AP81" s="514">
        <v>603840</v>
      </c>
      <c r="AQ81" s="495"/>
      <c r="AR81" s="512">
        <f>SUM(AJ81:AQ81)</f>
        <v>11113920</v>
      </c>
      <c r="AS81" s="513"/>
      <c r="AT81" s="399">
        <f>B81+D81+F81+H81+J81+V81+AF81+AH81+AR81</f>
        <v>46675200</v>
      </c>
      <c r="AU81" s="271"/>
    </row>
    <row r="82" spans="1:47" ht="16.5" customHeight="1">
      <c r="A82" s="314" t="s">
        <v>197</v>
      </c>
      <c r="B82" s="389"/>
      <c r="C82" s="387"/>
      <c r="D82" s="410"/>
      <c r="E82" s="409"/>
      <c r="F82" s="408"/>
      <c r="G82" s="408"/>
      <c r="H82" s="410"/>
      <c r="I82" s="409"/>
      <c r="J82" s="410"/>
      <c r="K82" s="409"/>
      <c r="L82" s="389"/>
      <c r="M82" s="387"/>
      <c r="N82" s="390"/>
      <c r="O82" s="387"/>
      <c r="P82" s="390"/>
      <c r="Q82" s="387"/>
      <c r="R82" s="390"/>
      <c r="S82" s="387"/>
      <c r="T82" s="390"/>
      <c r="U82" s="387"/>
      <c r="V82" s="279">
        <f>T82+R82++P82+N82+L82</f>
        <v>0</v>
      </c>
      <c r="W82" s="265" t="s">
        <v>11</v>
      </c>
      <c r="X82" s="389"/>
      <c r="Y82" s="387"/>
      <c r="Z82" s="389"/>
      <c r="AA82" s="387"/>
      <c r="AB82" s="389"/>
      <c r="AC82" s="387"/>
      <c r="AD82" s="389"/>
      <c r="AE82" s="390"/>
      <c r="AF82" s="411">
        <f t="shared" si="2"/>
        <v>0</v>
      </c>
      <c r="AG82" s="382" t="s">
        <v>11</v>
      </c>
      <c r="AH82" s="391"/>
      <c r="AI82" s="392"/>
      <c r="AJ82" s="393"/>
      <c r="AK82" s="387"/>
      <c r="AL82" s="389"/>
      <c r="AM82" s="387"/>
      <c r="AN82" s="389"/>
      <c r="AO82" s="387"/>
      <c r="AP82" s="389"/>
      <c r="AQ82" s="387"/>
      <c r="AR82" s="394">
        <f>AJ82+AL82+AN82+AP82</f>
        <v>0</v>
      </c>
      <c r="AS82" s="395" t="s">
        <v>11</v>
      </c>
      <c r="AT82" s="403">
        <f>V82+AF82+AH82+AR82+B82</f>
        <v>0</v>
      </c>
      <c r="AU82" s="280" t="s">
        <v>11</v>
      </c>
    </row>
    <row r="83" spans="1:47" ht="16.5" customHeight="1" thickBot="1">
      <c r="A83" s="315" t="s">
        <v>198</v>
      </c>
      <c r="B83" s="398">
        <f>12913178+12166798+1</f>
        <v>25079977</v>
      </c>
      <c r="C83" s="364"/>
      <c r="D83" s="414"/>
      <c r="E83" s="413"/>
      <c r="F83" s="415"/>
      <c r="G83" s="415"/>
      <c r="H83" s="414"/>
      <c r="I83" s="413"/>
      <c r="J83" s="414"/>
      <c r="K83" s="413"/>
      <c r="L83" s="470">
        <v>8844203</v>
      </c>
      <c r="M83" s="471"/>
      <c r="N83" s="397">
        <v>6107476</v>
      </c>
      <c r="O83" s="364"/>
      <c r="P83" s="470">
        <v>3138007</v>
      </c>
      <c r="Q83" s="495"/>
      <c r="R83" s="470">
        <v>2223089</v>
      </c>
      <c r="S83" s="495"/>
      <c r="T83" s="470">
        <v>2102705</v>
      </c>
      <c r="U83" s="495"/>
      <c r="V83" s="505">
        <f>T83+R83+P83+N83+L83</f>
        <v>22415480</v>
      </c>
      <c r="W83" s="506"/>
      <c r="X83" s="470">
        <v>10425245</v>
      </c>
      <c r="Y83" s="495"/>
      <c r="Z83" s="470">
        <v>1982321</v>
      </c>
      <c r="AA83" s="495"/>
      <c r="AB83" s="470">
        <v>2560164</v>
      </c>
      <c r="AC83" s="495"/>
      <c r="AD83" s="470">
        <v>674150</v>
      </c>
      <c r="AE83" s="471"/>
      <c r="AF83" s="472">
        <f t="shared" si="2"/>
        <v>15641880</v>
      </c>
      <c r="AG83" s="473"/>
      <c r="AH83" s="493"/>
      <c r="AI83" s="494"/>
      <c r="AJ83" s="523">
        <v>8547256</v>
      </c>
      <c r="AK83" s="495"/>
      <c r="AL83" s="514">
        <v>6781626</v>
      </c>
      <c r="AM83" s="495"/>
      <c r="AN83" s="514">
        <v>505612</v>
      </c>
      <c r="AO83" s="495"/>
      <c r="AP83" s="514">
        <v>1284095</v>
      </c>
      <c r="AQ83" s="495"/>
      <c r="AR83" s="512">
        <f>AJ83+AL83+AN83+AP83</f>
        <v>17118589</v>
      </c>
      <c r="AS83" s="513"/>
      <c r="AT83" s="399">
        <f>B83+D83+F83+H83+J83+V83+AF83+AH83+AR83</f>
        <v>80255926</v>
      </c>
      <c r="AU83" s="271"/>
    </row>
    <row r="84" spans="1:47" ht="16.5" customHeight="1">
      <c r="A84" s="314" t="s">
        <v>411</v>
      </c>
      <c r="B84" s="389">
        <v>3</v>
      </c>
      <c r="C84" s="387" t="s">
        <v>11</v>
      </c>
      <c r="D84" s="410"/>
      <c r="E84" s="409"/>
      <c r="F84" s="408"/>
      <c r="G84" s="408"/>
      <c r="H84" s="410"/>
      <c r="I84" s="409"/>
      <c r="J84" s="410"/>
      <c r="K84" s="409"/>
      <c r="L84" s="389"/>
      <c r="M84" s="387"/>
      <c r="N84" s="390"/>
      <c r="O84" s="387"/>
      <c r="P84" s="390"/>
      <c r="Q84" s="387"/>
      <c r="R84" s="390"/>
      <c r="S84" s="387"/>
      <c r="T84" s="390"/>
      <c r="U84" s="387"/>
      <c r="V84" s="279">
        <f>T84+R84++P84+N84+L84</f>
        <v>0</v>
      </c>
      <c r="W84" s="265" t="s">
        <v>11</v>
      </c>
      <c r="X84" s="389"/>
      <c r="Y84" s="387"/>
      <c r="Z84" s="389"/>
      <c r="AA84" s="387"/>
      <c r="AB84" s="389"/>
      <c r="AC84" s="387"/>
      <c r="AD84" s="389"/>
      <c r="AE84" s="390"/>
      <c r="AF84" s="411">
        <f t="shared" si="2"/>
        <v>0</v>
      </c>
      <c r="AG84" s="382" t="s">
        <v>11</v>
      </c>
      <c r="AH84" s="391"/>
      <c r="AI84" s="392"/>
      <c r="AJ84" s="393"/>
      <c r="AK84" s="387"/>
      <c r="AL84" s="389"/>
      <c r="AM84" s="387"/>
      <c r="AN84" s="389"/>
      <c r="AO84" s="387"/>
      <c r="AP84" s="389"/>
      <c r="AQ84" s="387"/>
      <c r="AR84" s="394">
        <f>AJ84+AL84+AN84+AP84</f>
        <v>0</v>
      </c>
      <c r="AS84" s="395" t="s">
        <v>11</v>
      </c>
      <c r="AT84" s="403">
        <f>V84+AF84+AH84+AR84+B84</f>
        <v>3</v>
      </c>
      <c r="AU84" s="280" t="s">
        <v>11</v>
      </c>
    </row>
    <row r="85" spans="1:47" ht="16.5" customHeight="1">
      <c r="A85" s="315" t="s">
        <v>412</v>
      </c>
      <c r="B85" s="398">
        <f>B84*1508760</f>
        <v>4526280</v>
      </c>
      <c r="C85" s="364"/>
      <c r="D85" s="414"/>
      <c r="E85" s="413"/>
      <c r="F85" s="415"/>
      <c r="G85" s="415"/>
      <c r="H85" s="414"/>
      <c r="I85" s="413"/>
      <c r="J85" s="414"/>
      <c r="K85" s="413"/>
      <c r="L85" s="470"/>
      <c r="M85" s="471"/>
      <c r="N85" s="397"/>
      <c r="O85" s="364"/>
      <c r="P85" s="470"/>
      <c r="Q85" s="495"/>
      <c r="R85" s="470"/>
      <c r="S85" s="495"/>
      <c r="T85" s="470"/>
      <c r="U85" s="495"/>
      <c r="V85" s="505">
        <f>T85+R85+P85+N85+L85</f>
        <v>0</v>
      </c>
      <c r="W85" s="506"/>
      <c r="X85" s="470"/>
      <c r="Y85" s="495"/>
      <c r="Z85" s="470"/>
      <c r="AA85" s="495"/>
      <c r="AB85" s="470"/>
      <c r="AC85" s="495"/>
      <c r="AD85" s="470"/>
      <c r="AE85" s="471"/>
      <c r="AF85" s="472">
        <f t="shared" si="2"/>
        <v>0</v>
      </c>
      <c r="AG85" s="473"/>
      <c r="AH85" s="493"/>
      <c r="AI85" s="494"/>
      <c r="AJ85" s="523"/>
      <c r="AK85" s="495"/>
      <c r="AL85" s="514"/>
      <c r="AM85" s="495"/>
      <c r="AN85" s="514"/>
      <c r="AO85" s="495"/>
      <c r="AP85" s="514"/>
      <c r="AQ85" s="495"/>
      <c r="AR85" s="512">
        <f>AJ85+AL85+AN85+AP85</f>
        <v>0</v>
      </c>
      <c r="AS85" s="513"/>
      <c r="AT85" s="399">
        <f>B85+D85+F85+H85+J85+V85+AF85+AH85+AR85</f>
        <v>4526280</v>
      </c>
      <c r="AU85" s="271"/>
    </row>
    <row r="86" spans="1:47" s="1" customFormat="1" ht="20.25" customHeight="1" thickBot="1">
      <c r="A86" s="510" t="s">
        <v>199</v>
      </c>
      <c r="B86" s="511"/>
      <c r="C86" s="511"/>
      <c r="D86" s="511"/>
      <c r="E86" s="511"/>
      <c r="F86" s="511"/>
      <c r="G86" s="511"/>
      <c r="H86" s="511"/>
      <c r="I86" s="511"/>
      <c r="J86" s="511"/>
      <c r="K86" s="511"/>
      <c r="L86" s="511"/>
      <c r="M86" s="511"/>
      <c r="N86" s="511"/>
      <c r="O86" s="511"/>
      <c r="P86" s="511"/>
      <c r="Q86" s="511"/>
      <c r="R86" s="511"/>
      <c r="S86" s="511"/>
      <c r="T86" s="511"/>
      <c r="U86" s="511"/>
      <c r="V86" s="511"/>
      <c r="W86" s="511"/>
      <c r="X86" s="511"/>
      <c r="Y86" s="511"/>
      <c r="Z86" s="511"/>
      <c r="AA86" s="511"/>
      <c r="AB86" s="511"/>
      <c r="AC86" s="511"/>
      <c r="AD86" s="511"/>
      <c r="AE86" s="511"/>
      <c r="AF86" s="511"/>
      <c r="AG86" s="511"/>
      <c r="AH86" s="511"/>
      <c r="AI86" s="511"/>
      <c r="AJ86" s="511"/>
      <c r="AK86" s="511"/>
      <c r="AL86" s="511"/>
      <c r="AM86" s="511"/>
      <c r="AN86" s="511"/>
      <c r="AO86" s="511"/>
      <c r="AP86" s="511"/>
      <c r="AQ86" s="511"/>
      <c r="AR86" s="511"/>
      <c r="AS86" s="511"/>
      <c r="AT86" s="508"/>
      <c r="AU86" s="509"/>
    </row>
    <row r="87" spans="1:47" ht="16.5" customHeight="1">
      <c r="A87" s="31" t="s">
        <v>200</v>
      </c>
      <c r="B87" s="288"/>
      <c r="C87" s="289"/>
      <c r="D87" s="290"/>
      <c r="E87" s="289"/>
      <c r="F87" s="416">
        <v>11449</v>
      </c>
      <c r="G87" s="289" t="s">
        <v>11</v>
      </c>
      <c r="H87" s="417">
        <v>11449</v>
      </c>
      <c r="I87" s="288" t="s">
        <v>11</v>
      </c>
      <c r="J87" s="290"/>
      <c r="K87" s="289"/>
      <c r="L87" s="17"/>
      <c r="M87" s="287"/>
      <c r="N87" s="291"/>
      <c r="O87" s="14"/>
      <c r="P87" s="17"/>
      <c r="Q87" s="14"/>
      <c r="R87" s="17"/>
      <c r="S87" s="14"/>
      <c r="T87" s="8"/>
      <c r="U87" s="9"/>
      <c r="V87" s="279"/>
      <c r="W87" s="265"/>
      <c r="X87" s="8"/>
      <c r="Y87" s="9"/>
      <c r="Z87" s="8"/>
      <c r="AA87" s="9"/>
      <c r="AB87" s="8"/>
      <c r="AC87" s="9"/>
      <c r="AD87" s="8"/>
      <c r="AE87" s="8"/>
      <c r="AF87" s="292"/>
      <c r="AG87" s="293"/>
      <c r="AH87" s="294"/>
      <c r="AI87" s="295"/>
      <c r="AJ87" s="296"/>
      <c r="AK87" s="9"/>
      <c r="AL87" s="297"/>
      <c r="AM87" s="9"/>
      <c r="AN87" s="297"/>
      <c r="AO87" s="9"/>
      <c r="AP87" s="297"/>
      <c r="AQ87" s="9"/>
      <c r="AR87" s="298"/>
      <c r="AS87" s="299"/>
      <c r="AT87" s="418">
        <v>11449</v>
      </c>
      <c r="AU87" s="280" t="s">
        <v>11</v>
      </c>
    </row>
    <row r="88" spans="1:47" ht="16.5" customHeight="1" thickBot="1">
      <c r="A88" s="33" t="s">
        <v>201</v>
      </c>
      <c r="B88" s="515"/>
      <c r="C88" s="516"/>
      <c r="D88" s="301"/>
      <c r="E88" s="302"/>
      <c r="F88" s="517">
        <f>F87*1140*0.5</f>
        <v>6525930</v>
      </c>
      <c r="G88" s="518"/>
      <c r="H88" s="522">
        <f>H87*1140*0.5</f>
        <v>6525930</v>
      </c>
      <c r="I88" s="518"/>
      <c r="J88" s="301"/>
      <c r="K88" s="302"/>
      <c r="L88" s="492"/>
      <c r="M88" s="519"/>
      <c r="N88" s="483"/>
      <c r="O88" s="484"/>
      <c r="P88" s="492"/>
      <c r="Q88" s="484"/>
      <c r="R88" s="492"/>
      <c r="S88" s="484"/>
      <c r="T88" s="470"/>
      <c r="U88" s="495"/>
      <c r="V88" s="505"/>
      <c r="W88" s="506"/>
      <c r="X88" s="492"/>
      <c r="Y88" s="496"/>
      <c r="Z88" s="492"/>
      <c r="AA88" s="496"/>
      <c r="AB88" s="492"/>
      <c r="AC88" s="496"/>
      <c r="AD88" s="492"/>
      <c r="AE88" s="492"/>
      <c r="AF88" s="472"/>
      <c r="AG88" s="473"/>
      <c r="AH88" s="478"/>
      <c r="AI88" s="474"/>
      <c r="AJ88" s="497"/>
      <c r="AK88" s="496"/>
      <c r="AL88" s="483"/>
      <c r="AM88" s="496"/>
      <c r="AN88" s="483"/>
      <c r="AO88" s="496"/>
      <c r="AP88" s="483"/>
      <c r="AQ88" s="496"/>
      <c r="AR88" s="500"/>
      <c r="AS88" s="501"/>
      <c r="AT88" s="368">
        <f>B88+D88+F88+H88+J88+V88+AF88+AH88+AR88</f>
        <v>13051860</v>
      </c>
      <c r="AU88" s="271"/>
    </row>
    <row r="89" spans="1:47" ht="16.5" customHeight="1">
      <c r="A89" s="31" t="s">
        <v>202</v>
      </c>
      <c r="B89" s="288"/>
      <c r="C89" s="289"/>
      <c r="D89" s="290"/>
      <c r="E89" s="289"/>
      <c r="F89" s="288"/>
      <c r="G89" s="288"/>
      <c r="H89" s="290"/>
      <c r="I89" s="289"/>
      <c r="J89" s="290"/>
      <c r="K89" s="289"/>
      <c r="L89" s="17"/>
      <c r="M89" s="287"/>
      <c r="N89" s="291"/>
      <c r="O89" s="14"/>
      <c r="P89" s="17"/>
      <c r="Q89" s="14"/>
      <c r="R89" s="17"/>
      <c r="S89" s="14"/>
      <c r="T89" s="8"/>
      <c r="U89" s="9"/>
      <c r="V89" s="279"/>
      <c r="W89" s="265"/>
      <c r="X89" s="8"/>
      <c r="Y89" s="9"/>
      <c r="Z89" s="8"/>
      <c r="AA89" s="9"/>
      <c r="AB89" s="8"/>
      <c r="AC89" s="9"/>
      <c r="AD89" s="8"/>
      <c r="AE89" s="8"/>
      <c r="AF89" s="292"/>
      <c r="AG89" s="293"/>
      <c r="AH89" s="294"/>
      <c r="AI89" s="295"/>
      <c r="AJ89" s="296"/>
      <c r="AK89" s="9"/>
      <c r="AL89" s="297"/>
      <c r="AM89" s="9"/>
      <c r="AN89" s="297"/>
      <c r="AO89" s="9"/>
      <c r="AP89" s="297"/>
      <c r="AQ89" s="9"/>
      <c r="AR89" s="298"/>
      <c r="AS89" s="299"/>
      <c r="AT89" s="300"/>
      <c r="AU89" s="280"/>
    </row>
    <row r="90" spans="1:47" ht="16.5" customHeight="1">
      <c r="A90" s="33" t="s">
        <v>203</v>
      </c>
      <c r="B90" s="515"/>
      <c r="C90" s="516"/>
      <c r="D90" s="301"/>
      <c r="E90" s="302"/>
      <c r="F90" s="303"/>
      <c r="G90" s="303"/>
      <c r="H90" s="301"/>
      <c r="I90" s="302"/>
      <c r="J90" s="517">
        <v>27728000</v>
      </c>
      <c r="K90" s="518"/>
      <c r="L90" s="492"/>
      <c r="M90" s="519"/>
      <c r="N90" s="483"/>
      <c r="O90" s="484"/>
      <c r="P90" s="492"/>
      <c r="Q90" s="484"/>
      <c r="R90" s="492"/>
      <c r="S90" s="484"/>
      <c r="T90" s="470"/>
      <c r="U90" s="495"/>
      <c r="V90" s="505"/>
      <c r="W90" s="506"/>
      <c r="X90" s="492"/>
      <c r="Y90" s="496"/>
      <c r="Z90" s="492"/>
      <c r="AA90" s="496"/>
      <c r="AB90" s="492"/>
      <c r="AC90" s="496"/>
      <c r="AD90" s="492"/>
      <c r="AE90" s="492"/>
      <c r="AF90" s="472"/>
      <c r="AG90" s="473"/>
      <c r="AH90" s="478"/>
      <c r="AI90" s="474"/>
      <c r="AJ90" s="497"/>
      <c r="AK90" s="496"/>
      <c r="AL90" s="483"/>
      <c r="AM90" s="496"/>
      <c r="AN90" s="483"/>
      <c r="AO90" s="496"/>
      <c r="AP90" s="483"/>
      <c r="AQ90" s="496"/>
      <c r="AR90" s="500"/>
      <c r="AS90" s="501"/>
      <c r="AT90" s="368">
        <f>B90+D90+F90+H90+J90+V90+AF90+AH90+AR90</f>
        <v>27728000</v>
      </c>
      <c r="AU90" s="271"/>
    </row>
    <row r="91" spans="1:47" s="1" customFormat="1" ht="20.25" customHeight="1" thickBot="1">
      <c r="A91" s="510" t="s">
        <v>204</v>
      </c>
      <c r="B91" s="511"/>
      <c r="C91" s="511"/>
      <c r="D91" s="511"/>
      <c r="E91" s="511"/>
      <c r="F91" s="511"/>
      <c r="G91" s="511"/>
      <c r="H91" s="511"/>
      <c r="I91" s="511"/>
      <c r="J91" s="511"/>
      <c r="K91" s="511"/>
      <c r="L91" s="511"/>
      <c r="M91" s="511"/>
      <c r="N91" s="511"/>
      <c r="O91" s="511"/>
      <c r="P91" s="511"/>
      <c r="Q91" s="511"/>
      <c r="R91" s="511"/>
      <c r="S91" s="511"/>
      <c r="T91" s="511"/>
      <c r="U91" s="511"/>
      <c r="V91" s="511"/>
      <c r="W91" s="511"/>
      <c r="X91" s="511"/>
      <c r="Y91" s="511"/>
      <c r="Z91" s="511"/>
      <c r="AA91" s="511"/>
      <c r="AB91" s="511"/>
      <c r="AC91" s="511"/>
      <c r="AD91" s="511"/>
      <c r="AE91" s="511"/>
      <c r="AF91" s="511"/>
      <c r="AG91" s="511"/>
      <c r="AH91" s="511"/>
      <c r="AI91" s="511"/>
      <c r="AJ91" s="511"/>
      <c r="AK91" s="511"/>
      <c r="AL91" s="511"/>
      <c r="AM91" s="511"/>
      <c r="AN91" s="511"/>
      <c r="AO91" s="511"/>
      <c r="AP91" s="511"/>
      <c r="AQ91" s="511"/>
      <c r="AR91" s="511"/>
      <c r="AS91" s="511"/>
      <c r="AT91" s="508"/>
      <c r="AU91" s="509"/>
    </row>
    <row r="92" spans="1:47" ht="16.5" customHeight="1">
      <c r="A92" s="31" t="s">
        <v>291</v>
      </c>
      <c r="B92" s="316">
        <v>36706128</v>
      </c>
      <c r="C92" s="285"/>
      <c r="D92" s="286"/>
      <c r="E92" s="285"/>
      <c r="F92" s="28"/>
      <c r="G92" s="28"/>
      <c r="H92" s="286"/>
      <c r="I92" s="285"/>
      <c r="J92" s="286"/>
      <c r="K92" s="285"/>
      <c r="L92" s="8"/>
      <c r="M92" s="8"/>
      <c r="N92" s="297"/>
      <c r="O92" s="9"/>
      <c r="P92" s="8"/>
      <c r="Q92" s="9"/>
      <c r="R92" s="8"/>
      <c r="S92" s="9"/>
      <c r="T92" s="8"/>
      <c r="U92" s="9"/>
      <c r="V92" s="304"/>
      <c r="W92" s="305"/>
      <c r="X92" s="8"/>
      <c r="Y92" s="9"/>
      <c r="Z92" s="8"/>
      <c r="AA92" s="9"/>
      <c r="AB92" s="8"/>
      <c r="AC92" s="9"/>
      <c r="AD92" s="8"/>
      <c r="AE92" s="8"/>
      <c r="AF92" s="292"/>
      <c r="AG92" s="293"/>
      <c r="AH92" s="306"/>
      <c r="AI92" s="307"/>
      <c r="AJ92" s="296"/>
      <c r="AK92" s="9"/>
      <c r="AL92" s="297"/>
      <c r="AM92" s="9"/>
      <c r="AN92" s="297"/>
      <c r="AO92" s="9"/>
      <c r="AP92" s="297"/>
      <c r="AQ92" s="9"/>
      <c r="AR92" s="298"/>
      <c r="AS92" s="299"/>
      <c r="AT92" s="368">
        <f>B92+D92+F92+H92+J92+V92+AF92+AH92+AR92</f>
        <v>36706128</v>
      </c>
      <c r="AU92" s="280"/>
    </row>
    <row r="93" spans="1:47" ht="16.5" customHeight="1" thickBot="1">
      <c r="A93" s="33" t="s">
        <v>205</v>
      </c>
      <c r="B93" s="520">
        <f>-B92</f>
        <v>-36706128</v>
      </c>
      <c r="C93" s="518"/>
      <c r="D93" s="301"/>
      <c r="E93" s="302"/>
      <c r="F93" s="303"/>
      <c r="G93" s="303"/>
      <c r="H93" s="301"/>
      <c r="I93" s="302"/>
      <c r="J93" s="301"/>
      <c r="K93" s="302"/>
      <c r="L93" s="483"/>
      <c r="M93" s="496"/>
      <c r="N93" s="483"/>
      <c r="O93" s="496"/>
      <c r="P93" s="483"/>
      <c r="Q93" s="496"/>
      <c r="R93" s="483"/>
      <c r="S93" s="496"/>
      <c r="T93" s="483"/>
      <c r="U93" s="496"/>
      <c r="V93" s="505"/>
      <c r="W93" s="506"/>
      <c r="X93" s="483"/>
      <c r="Y93" s="496"/>
      <c r="Z93" s="483"/>
      <c r="AA93" s="496"/>
      <c r="AB93" s="483"/>
      <c r="AC93" s="496"/>
      <c r="AD93" s="483"/>
      <c r="AE93" s="475"/>
      <c r="AF93" s="472"/>
      <c r="AG93" s="473"/>
      <c r="AH93" s="493"/>
      <c r="AI93" s="507"/>
      <c r="AJ93" s="497"/>
      <c r="AK93" s="496"/>
      <c r="AL93" s="483"/>
      <c r="AM93" s="496"/>
      <c r="AN93" s="483"/>
      <c r="AO93" s="496"/>
      <c r="AP93" s="483"/>
      <c r="AQ93" s="496"/>
      <c r="AR93" s="521"/>
      <c r="AS93" s="501"/>
      <c r="AT93" s="368">
        <f>B93+D93+F93+H93+J93+V93+AF93+AH93+AR93</f>
        <v>-36706128</v>
      </c>
      <c r="AU93" s="271"/>
    </row>
    <row r="94" spans="1:48" ht="37.5" customHeight="1" thickBot="1">
      <c r="A94" s="317" t="s">
        <v>165</v>
      </c>
      <c r="B94" s="499">
        <f>B8+B9+B19+B21+B23+B24+B25+B28+B30+B32+B34+B36+B38+B40+B42+B44+B47+B49+B51+B53+B55+B57+B59+B61+B63+B65+B67+B69+B71+B73+B75+B77+B79+B81+B83+B85+B88+B90</f>
        <v>227753092</v>
      </c>
      <c r="C94" s="499"/>
      <c r="D94" s="499">
        <f>D8+D9+D19+D21+D23+D24+D25+D28+D30+D32+D34+D36+D38+D40+D42+D44+D47+D49+D51+D53+D55+D57+D59+D61+D63+D65+D67+D69+D71+D73+D75+D77+D79+D81+D83+D85+D88+D90</f>
        <v>160666400</v>
      </c>
      <c r="E94" s="499"/>
      <c r="F94" s="499">
        <f>F8+F9+F19+F21+F23+F24+F25+F28+F30+F32+F34+F36+F38+F40+F42+F44+F47+F49+F51+F53+F55+F57+F59+F61+F63+F65+F67+F69+F71+F73+F75+F77+F79+F81+F83+F85+F88+F90</f>
        <v>6525930</v>
      </c>
      <c r="G94" s="499"/>
      <c r="H94" s="499">
        <f>H8+H9+H19+H21+H23+H24+H25+H28+H30+H32+H34+H36+H38+H40+H42+H44+H47+H49+H51+H53+H55+H57+H59+H61+H63+H65+H67+H69+H71+H73+H75+H77+H79+H81+H83+H85+H88+H90</f>
        <v>6525930</v>
      </c>
      <c r="I94" s="499"/>
      <c r="J94" s="499">
        <f>J8+J9+J19+J21+J23+J24+J25+J28+J30+J32+J34+J36+J38+J40+J42+J44+J47+J49+J51+J53+J55+J57+J59+J61+J63+J65+J67+J69+J71+J73+J75+J77+J79+J81+J83+J85+J88+J90</f>
        <v>27728000</v>
      </c>
      <c r="K94" s="499"/>
      <c r="L94" s="499">
        <f>L8+L9+L19+L21+L23+L24+L25+L28+L30+L32+L34+L36+L38+L40+L42+L44+L47+L49+L51+L53+L55+L57+L59+L61+L63+L65+L67+L69+L71+L73+L75+L77+L79+L81+L83+L85+L88+L90</f>
        <v>84008836</v>
      </c>
      <c r="M94" s="499"/>
      <c r="N94" s="499">
        <f>N8+N9+N19+N21+N23+N24+N25+N28+N30+N32+N34+N36+N38+N40+N42+N44+N47+N49+N51+N53+N55+N57+N59+N61+N63+N65+N67+N69+N71+N73+N75+N77+N79+N81+N83+N85+N88+N90</f>
        <v>46342983</v>
      </c>
      <c r="O94" s="499"/>
      <c r="P94" s="499">
        <f>P8+P9+P19+P21+P23+P24+P25+P28+P30+P32+P34+P36+P38+P40+P42+P44+P47+P49+P51+P53+P55+P57+P59+P61+P63+P65+P67+P69+P71+P73+P75+P77+P79+P81+P83+P85+P88+P90</f>
        <v>21339134</v>
      </c>
      <c r="Q94" s="499"/>
      <c r="R94" s="499">
        <f>R8+R9+R19+R21+R23+R24+R25+R28+R30+R32+R34+R36+R38+R40+R42+R44+R47+R49+R51+R53+R55+R57+R59+R61+R63+R65+R67+R69+R71+R73+R75+R77+R79+R81+R83+R85+R88+R90</f>
        <v>15947209</v>
      </c>
      <c r="S94" s="499"/>
      <c r="T94" s="499">
        <f>T8+T9+T19+T21+T23+T24+T25+T28+T30+T32+T34+T36+T38+T40+T42+T44+T47+T49+T51+T53+T55+T57+T59+T61+T63+T65+T67+T69+T71+T73+T75+T77+T79+T81+T83+T85+T88+T90</f>
        <v>11828825</v>
      </c>
      <c r="U94" s="499"/>
      <c r="V94" s="499">
        <f>V8+V9+V19+V21+V23+V24+V25+V28+V30+V32+V34+V36+V38+V40+V42+V44+V47+V49+V51+V53+V55+V57+V59+V61+V63+V65+V67+V69+V71+V73+V75+V77+V79+V81+V83+V85+V88+V90</f>
        <v>179466987</v>
      </c>
      <c r="W94" s="499"/>
      <c r="X94" s="499">
        <f>X8+X9+X19+X21+X23+X24+X25+X28+X30+X32+X34+X36+X38+X40+X42+X44+X47+X49+X51+X53+X55+X57+X59+X61+X63+X65+X67+X69+X71+X73+X75+X77+X79+X81+X83+X85+X88+X90</f>
        <v>81234905</v>
      </c>
      <c r="Y94" s="499"/>
      <c r="Z94" s="499">
        <f>Z8+Z9+Z19+Z21+Z23+Z24+Z25+Z28+Z30+Z32+Z34+Z36+Z38+Z40+Z42+Z44+Z47+Z49+Z51+Z53+Z55+Z57+Z59+Z61+Z63+Z65+Z67+Z69+Z71+Z73+Z75+Z77+Z79+Z81+Z83+Z85+Z88+Z90</f>
        <v>17464034</v>
      </c>
      <c r="AA94" s="499"/>
      <c r="AB94" s="499">
        <f>AB8+AB9+AB19+AB21+AB23+AB24+AB25+AB28+AB30+AB32+AB34+AB36+AB38+AB40+AB42+AB44+AB47+AB49+AB51+AB53+AB55+AB57+AB59+AB61+AB63+AB65+AB67+AB69+AB71+AB73+AB75+AB77+AB79+AB81+AB83+AB85+AB88+AB90</f>
        <v>14848844</v>
      </c>
      <c r="AC94" s="499"/>
      <c r="AD94" s="499">
        <f>AD8+AD9+AD19+AD21+AD23+AD24+AD25+AD28+AD30+AD32+AD34+AD36+AD38+AD40+AD42+AD44+AD47+AD49+AD51+AD53+AD55+AD57+AD59+AD61+AD63+AD65+AD67+AD69+AD71+AD73+AD75+AD77+AD79+AD81+AD83+AD85+AD88+AD90</f>
        <v>9303143</v>
      </c>
      <c r="AE94" s="499"/>
      <c r="AF94" s="499">
        <f>AF8+AF9+AF19+AF21+AF23+AF24+AF25+AF28+AF30+AF32+AF34+AF36+AF38+AF40+AF42+AF44+AF47+AF49+AF51+AF53+AF55+AF57+AF59+AF61+AF63+AF65+AF67+AF69+AF71+AF73+AF75+AF77+AF79+AF81+AF83+AF85+AF88+AF90</f>
        <v>122850926</v>
      </c>
      <c r="AG94" s="499"/>
      <c r="AH94" s="499">
        <f>AH8+AH9+AH19+AH21+AH23+AH24+AH25+AH28+AH30+AH32+AH34+AH36+AH38+AH40+AH42+AH44+AH47+AH49+AH51+AH53+AH55+AH57+AH59+AH61+AH63+AH65+AH67+AH69+AH71+AH73+AH75+AH77+AH79+AH81+AH83+AH85+AH88+AH90</f>
        <v>92748009</v>
      </c>
      <c r="AI94" s="499"/>
      <c r="AJ94" s="499">
        <f>AJ8+AJ9+AJ19+AJ21+AJ23+AJ24+AJ25+AJ28+AJ30+AJ32+AJ34+AJ36+AJ38+AJ40+AJ42+AJ44+AJ47+AJ49+AJ51+AJ53+AJ55+AJ57+AJ59+AJ61+AJ63+AJ65+AJ67+AJ69+AJ71+AJ73+AJ75+AJ77+AJ79+AJ81+AJ83+AJ85+AJ88+AJ90</f>
        <v>14536696</v>
      </c>
      <c r="AK94" s="499"/>
      <c r="AL94" s="499">
        <f>AL8+AL9+AL19+AL21+AL23+AL24+AL25+AL28+AL30+AL32+AL34+AL36+AL38+AL40+AL42+AL44+AL47+AL49+AL51+AL53+AL55+AL57+AL59+AL61+AL63+AL65+AL67+AL69+AL71+AL73+AL75+AL77+AL79+AL81+AL83+AL85+AL88+AL90</f>
        <v>10420986</v>
      </c>
      <c r="AM94" s="499"/>
      <c r="AN94" s="499">
        <f>AN8+AN9+AN19+AN21+AN23+AN24+AN25+AN28+AN30+AN32+AN34+AN36+AN38+AN40+AN42+AN44+AN47+AN49+AN51+AN53+AN55+AN57+AN59+AN61+AN63+AN65+AN67+AN69+AN71+AN73+AN75+AN77+AN79+AN81+AN83+AN85+AN88+AN90</f>
        <v>1386892</v>
      </c>
      <c r="AO94" s="499"/>
      <c r="AP94" s="499">
        <f>AP8+AP9+AP19+AP21+AP23+AP24+AP25+AP28+AP30+AP32+AP34+AP36+AP38+AP40+AP42+AP44+AP47+AP49+AP51+AP53+AP55+AP57+AP59+AP61+AP63+AP65+AP67+AP69+AP71+AP73+AP75+AP77+AP79+AP81+AP83+AP85+AP88+AP90</f>
        <v>1887935</v>
      </c>
      <c r="AQ94" s="499"/>
      <c r="AR94" s="499">
        <f>AR8+AR9+AR19+AR21+AR23+AR24+AR25+AR28+AR30+AR32+AR34+AR36+AR38+AR40+AR42+AR44+AR47+AR49+AR51+AR53+AR55+AR57+AR59+AR61+AR63+AR65+AR67+AR69+AR71+AR73+AR75+AR77+AR79+AR81+AR83+AR85+AR88+AR90</f>
        <v>28232509</v>
      </c>
      <c r="AS94" s="499"/>
      <c r="AT94" s="499">
        <f>AT8+AT9+AT19+AT21+AT23+AT24+AT25+AT28+AT30+AT32+AT34+AT36+AT38+AT40+AT42+AT44+AT47+AT49+AT51+AT53+AT55+AT57+AT59+AT61+AT63+AT65+AT67+AT69+AT71+AT73+AT75+AT77+AT79+AT81+AT83+AT85+AT88+AT90</f>
        <v>852497783</v>
      </c>
      <c r="AU94" s="499"/>
      <c r="AV94" s="3"/>
    </row>
    <row r="95" spans="2:48" ht="15" customHeight="1" thickBot="1">
      <c r="B95" s="502">
        <f>SUM(B94)</f>
        <v>227753092</v>
      </c>
      <c r="C95" s="503"/>
      <c r="D95" s="502">
        <f>SUM(D94)</f>
        <v>160666400</v>
      </c>
      <c r="E95" s="503"/>
      <c r="F95" s="502">
        <f>SUM(F94)</f>
        <v>6525930</v>
      </c>
      <c r="G95" s="503"/>
      <c r="H95" s="502">
        <f>SUM(H94)</f>
        <v>6525930</v>
      </c>
      <c r="I95" s="503"/>
      <c r="J95" s="502">
        <f>SUM(J94)</f>
        <v>27728000</v>
      </c>
      <c r="K95" s="503"/>
      <c r="L95" s="502"/>
      <c r="M95" s="503"/>
      <c r="N95" s="502"/>
      <c r="O95" s="503"/>
      <c r="P95" s="502"/>
      <c r="Q95" s="503"/>
      <c r="V95" s="502">
        <f>SUM(L94:U94)</f>
        <v>179466987</v>
      </c>
      <c r="W95" s="503"/>
      <c r="AF95" s="498">
        <f>SUM(X94:AE94)</f>
        <v>122850926</v>
      </c>
      <c r="AG95" s="504"/>
      <c r="AH95" s="498">
        <f>SUM(AH94)</f>
        <v>92748009</v>
      </c>
      <c r="AI95" s="504"/>
      <c r="AR95" s="498">
        <f>SUM(AJ94:AQ94)</f>
        <v>28232509</v>
      </c>
      <c r="AS95" s="498"/>
      <c r="AT95" s="488">
        <f>SUM(B95:AS95)</f>
        <v>852497783</v>
      </c>
      <c r="AU95" s="489"/>
      <c r="AV95" s="3"/>
    </row>
    <row r="96" spans="1:47" s="4" customFormat="1" ht="31.5" customHeight="1" thickBot="1">
      <c r="A96" s="318" t="s">
        <v>206</v>
      </c>
      <c r="B96" s="480">
        <f>B94</f>
        <v>227753092</v>
      </c>
      <c r="C96" s="480"/>
      <c r="D96" s="480">
        <f>D94</f>
        <v>160666400</v>
      </c>
      <c r="E96" s="480"/>
      <c r="F96" s="480">
        <f>F94</f>
        <v>6525930</v>
      </c>
      <c r="G96" s="480"/>
      <c r="H96" s="480">
        <f>H94</f>
        <v>6525930</v>
      </c>
      <c r="I96" s="480"/>
      <c r="J96" s="481">
        <f>J94</f>
        <v>27728000</v>
      </c>
      <c r="K96" s="482"/>
      <c r="L96" s="480">
        <f>L94</f>
        <v>84008836</v>
      </c>
      <c r="M96" s="480"/>
      <c r="N96" s="480">
        <f>N94</f>
        <v>46342983</v>
      </c>
      <c r="O96" s="480"/>
      <c r="P96" s="480">
        <f>P94</f>
        <v>21339134</v>
      </c>
      <c r="Q96" s="480"/>
      <c r="R96" s="480">
        <f>R94</f>
        <v>15947209</v>
      </c>
      <c r="S96" s="480"/>
      <c r="T96" s="480">
        <f>T94</f>
        <v>11828825</v>
      </c>
      <c r="U96" s="480"/>
      <c r="V96" s="480">
        <f>V94</f>
        <v>179466987</v>
      </c>
      <c r="W96" s="480"/>
      <c r="X96" s="480">
        <f>X94</f>
        <v>81234905</v>
      </c>
      <c r="Y96" s="480"/>
      <c r="Z96" s="480">
        <f>Z94</f>
        <v>17464034</v>
      </c>
      <c r="AA96" s="480"/>
      <c r="AB96" s="480">
        <f>AB94</f>
        <v>14848844</v>
      </c>
      <c r="AC96" s="480"/>
      <c r="AD96" s="480">
        <f>AD94</f>
        <v>9303143</v>
      </c>
      <c r="AE96" s="480"/>
      <c r="AF96" s="480">
        <f>AF94</f>
        <v>122850926</v>
      </c>
      <c r="AG96" s="480"/>
      <c r="AH96" s="480">
        <f>AH94</f>
        <v>92748009</v>
      </c>
      <c r="AI96" s="480"/>
      <c r="AJ96" s="480">
        <f>AJ94</f>
        <v>14536696</v>
      </c>
      <c r="AK96" s="480"/>
      <c r="AL96" s="480">
        <f>AL94</f>
        <v>10420986</v>
      </c>
      <c r="AM96" s="480"/>
      <c r="AN96" s="480">
        <f>AN94</f>
        <v>1386892</v>
      </c>
      <c r="AO96" s="480"/>
      <c r="AP96" s="480">
        <f>AP94</f>
        <v>1887935</v>
      </c>
      <c r="AQ96" s="480"/>
      <c r="AR96" s="480">
        <f>AR94</f>
        <v>28232509</v>
      </c>
      <c r="AS96" s="480"/>
      <c r="AT96" s="480">
        <f>AT94</f>
        <v>852497783</v>
      </c>
      <c r="AU96" s="480"/>
    </row>
    <row r="97" spans="2:47" ht="21.75" customHeight="1">
      <c r="B97" s="485">
        <f>SUM(B96:K96)</f>
        <v>429199352</v>
      </c>
      <c r="C97" s="486"/>
      <c r="D97" s="486"/>
      <c r="E97" s="486"/>
      <c r="F97" s="486"/>
      <c r="G97" s="486"/>
      <c r="H97" s="486"/>
      <c r="I97" s="486"/>
      <c r="J97" s="486"/>
      <c r="K97" s="486"/>
      <c r="L97" s="486">
        <f>V96+AF96+AH96+AR96</f>
        <v>423298431</v>
      </c>
      <c r="M97" s="486"/>
      <c r="N97" s="486"/>
      <c r="O97" s="486"/>
      <c r="P97" s="486"/>
      <c r="Q97" s="486"/>
      <c r="R97" s="486"/>
      <c r="S97" s="486"/>
      <c r="T97" s="486"/>
      <c r="U97" s="486"/>
      <c r="V97" s="486"/>
      <c r="W97" s="486"/>
      <c r="X97" s="486"/>
      <c r="Y97" s="486"/>
      <c r="Z97" s="486"/>
      <c r="AA97" s="486"/>
      <c r="AB97" s="486"/>
      <c r="AC97" s="486"/>
      <c r="AD97" s="486"/>
      <c r="AE97" s="486"/>
      <c r="AF97" s="486"/>
      <c r="AG97" s="486"/>
      <c r="AH97" s="486"/>
      <c r="AI97" s="486"/>
      <c r="AJ97" s="486"/>
      <c r="AK97" s="486"/>
      <c r="AL97" s="486"/>
      <c r="AM97" s="486"/>
      <c r="AN97" s="486"/>
      <c r="AO97" s="486"/>
      <c r="AP97" s="486"/>
      <c r="AQ97" s="486"/>
      <c r="AR97" s="486"/>
      <c r="AS97" s="487"/>
      <c r="AT97" s="488"/>
      <c r="AU97" s="489"/>
    </row>
    <row r="98" spans="2:45" ht="16.5" thickBot="1">
      <c r="B98" s="490" t="s">
        <v>207</v>
      </c>
      <c r="C98" s="491"/>
      <c r="D98" s="491"/>
      <c r="E98" s="491"/>
      <c r="F98" s="491"/>
      <c r="G98" s="491"/>
      <c r="H98" s="491"/>
      <c r="I98" s="491"/>
      <c r="J98" s="491"/>
      <c r="K98" s="491"/>
      <c r="L98" s="476" t="s">
        <v>208</v>
      </c>
      <c r="M98" s="476"/>
      <c r="N98" s="476"/>
      <c r="O98" s="476"/>
      <c r="P98" s="476"/>
      <c r="Q98" s="476"/>
      <c r="R98" s="476"/>
      <c r="S98" s="476"/>
      <c r="T98" s="476"/>
      <c r="U98" s="476"/>
      <c r="V98" s="476"/>
      <c r="W98" s="476"/>
      <c r="X98" s="476"/>
      <c r="Y98" s="476"/>
      <c r="Z98" s="476"/>
      <c r="AA98" s="476"/>
      <c r="AB98" s="476"/>
      <c r="AC98" s="476"/>
      <c r="AD98" s="476"/>
      <c r="AE98" s="476"/>
      <c r="AF98" s="476"/>
      <c r="AG98" s="476"/>
      <c r="AH98" s="476"/>
      <c r="AI98" s="476"/>
      <c r="AJ98" s="476"/>
      <c r="AK98" s="476"/>
      <c r="AL98" s="476"/>
      <c r="AM98" s="476"/>
      <c r="AN98" s="476"/>
      <c r="AO98" s="476"/>
      <c r="AP98" s="476"/>
      <c r="AQ98" s="476"/>
      <c r="AR98" s="476"/>
      <c r="AS98" s="477"/>
    </row>
  </sheetData>
  <sheetProtection/>
  <mergeCells count="707">
    <mergeCell ref="AN83:AO83"/>
    <mergeCell ref="AP83:AQ83"/>
    <mergeCell ref="AR83:AS83"/>
    <mergeCell ref="AF83:AG83"/>
    <mergeCell ref="AH83:AI83"/>
    <mergeCell ref="AJ83:AK83"/>
    <mergeCell ref="AL83:AM83"/>
    <mergeCell ref="V83:W83"/>
    <mergeCell ref="X83:Y83"/>
    <mergeCell ref="Z83:AA83"/>
    <mergeCell ref="AB83:AC83"/>
    <mergeCell ref="B24:C24"/>
    <mergeCell ref="L83:M83"/>
    <mergeCell ref="P83:Q83"/>
    <mergeCell ref="R83:S83"/>
    <mergeCell ref="R44:S44"/>
    <mergeCell ref="A26:AS26"/>
    <mergeCell ref="AH30:AI30"/>
    <mergeCell ref="L30:M30"/>
    <mergeCell ref="N30:O30"/>
    <mergeCell ref="P30:Q30"/>
    <mergeCell ref="AF44:AG44"/>
    <mergeCell ref="AH44:AI44"/>
    <mergeCell ref="AR44:AS44"/>
    <mergeCell ref="AJ44:AK44"/>
    <mergeCell ref="AL44:AM44"/>
    <mergeCell ref="AN44:AO44"/>
    <mergeCell ref="AP44:AQ44"/>
    <mergeCell ref="AB44:AC44"/>
    <mergeCell ref="AD44:AE44"/>
    <mergeCell ref="T44:U44"/>
    <mergeCell ref="V44:W44"/>
    <mergeCell ref="X44:Y44"/>
    <mergeCell ref="Z44:AA44"/>
    <mergeCell ref="AP42:AQ42"/>
    <mergeCell ref="AR42:AS42"/>
    <mergeCell ref="A41:A42"/>
    <mergeCell ref="AH42:AI42"/>
    <mergeCell ref="AJ42:AK42"/>
    <mergeCell ref="AL42:AM42"/>
    <mergeCell ref="AN42:AO42"/>
    <mergeCell ref="Z42:AA42"/>
    <mergeCell ref="AB42:AC42"/>
    <mergeCell ref="V42:W42"/>
    <mergeCell ref="AD42:AE42"/>
    <mergeCell ref="P42:Q42"/>
    <mergeCell ref="X4:Y4"/>
    <mergeCell ref="Z4:AA4"/>
    <mergeCell ref="Z23:AA23"/>
    <mergeCell ref="AB23:AC23"/>
    <mergeCell ref="Z28:AA28"/>
    <mergeCell ref="AB28:AC28"/>
    <mergeCell ref="AD28:AE28"/>
    <mergeCell ref="T34:U34"/>
    <mergeCell ref="AF42:AG42"/>
    <mergeCell ref="J4:K4"/>
    <mergeCell ref="L4:M4"/>
    <mergeCell ref="N4:O4"/>
    <mergeCell ref="V4:W4"/>
    <mergeCell ref="N23:O23"/>
    <mergeCell ref="P23:Q23"/>
    <mergeCell ref="V23:W23"/>
    <mergeCell ref="X23:Y23"/>
    <mergeCell ref="X42:Y42"/>
    <mergeCell ref="L1:AG1"/>
    <mergeCell ref="L2:AG2"/>
    <mergeCell ref="B4:C4"/>
    <mergeCell ref="D4:E4"/>
    <mergeCell ref="F4:G4"/>
    <mergeCell ref="H4:I4"/>
    <mergeCell ref="R4:S4"/>
    <mergeCell ref="P4:Q4"/>
    <mergeCell ref="AB4:AC4"/>
    <mergeCell ref="T4:U4"/>
    <mergeCell ref="B9:C9"/>
    <mergeCell ref="AT4:AU4"/>
    <mergeCell ref="AD4:AE4"/>
    <mergeCell ref="AF4:AG4"/>
    <mergeCell ref="AH4:AI4"/>
    <mergeCell ref="AP4:AQ4"/>
    <mergeCell ref="AR4:AS4"/>
    <mergeCell ref="AN4:AO4"/>
    <mergeCell ref="AL4:AM4"/>
    <mergeCell ref="AJ4:AK4"/>
    <mergeCell ref="AL23:AM23"/>
    <mergeCell ref="AT5:AU5"/>
    <mergeCell ref="A5:AS5"/>
    <mergeCell ref="AT6:AU6"/>
    <mergeCell ref="A6:AS6"/>
    <mergeCell ref="D8:E8"/>
    <mergeCell ref="B11:C11"/>
    <mergeCell ref="A12:A13"/>
    <mergeCell ref="B13:C13"/>
    <mergeCell ref="A10:A11"/>
    <mergeCell ref="AR23:AS23"/>
    <mergeCell ref="L28:M28"/>
    <mergeCell ref="N28:O28"/>
    <mergeCell ref="P28:Q28"/>
    <mergeCell ref="R28:S28"/>
    <mergeCell ref="V28:W28"/>
    <mergeCell ref="X28:Y28"/>
    <mergeCell ref="AN23:AO23"/>
    <mergeCell ref="AP23:AQ23"/>
    <mergeCell ref="AJ23:AK23"/>
    <mergeCell ref="A14:A15"/>
    <mergeCell ref="B15:C15"/>
    <mergeCell ref="B23:C23"/>
    <mergeCell ref="L23:M23"/>
    <mergeCell ref="A16:A17"/>
    <mergeCell ref="B17:C17"/>
    <mergeCell ref="B19:C19"/>
    <mergeCell ref="B21:C21"/>
    <mergeCell ref="L21:M21"/>
    <mergeCell ref="AT26:AU26"/>
    <mergeCell ref="B25:C25"/>
    <mergeCell ref="T28:U28"/>
    <mergeCell ref="AP28:AQ28"/>
    <mergeCell ref="AF28:AG28"/>
    <mergeCell ref="AH28:AI28"/>
    <mergeCell ref="AJ28:AK28"/>
    <mergeCell ref="AL28:AM28"/>
    <mergeCell ref="AN28:AO28"/>
    <mergeCell ref="AR28:AS28"/>
    <mergeCell ref="R30:S30"/>
    <mergeCell ref="AD30:AE30"/>
    <mergeCell ref="AB30:AC30"/>
    <mergeCell ref="T30:U30"/>
    <mergeCell ref="V30:W30"/>
    <mergeCell ref="AR30:AS30"/>
    <mergeCell ref="AF30:AG30"/>
    <mergeCell ref="AP30:AQ30"/>
    <mergeCell ref="L32:M32"/>
    <mergeCell ref="N32:O32"/>
    <mergeCell ref="P32:Q32"/>
    <mergeCell ref="R32:S32"/>
    <mergeCell ref="T32:U32"/>
    <mergeCell ref="X30:Y30"/>
    <mergeCell ref="Z30:AA30"/>
    <mergeCell ref="AP32:AQ32"/>
    <mergeCell ref="AN32:AO32"/>
    <mergeCell ref="AJ30:AK30"/>
    <mergeCell ref="AJ32:AK32"/>
    <mergeCell ref="AL32:AM32"/>
    <mergeCell ref="AL30:AM30"/>
    <mergeCell ref="AN30:AO30"/>
    <mergeCell ref="V34:W34"/>
    <mergeCell ref="AR32:AS32"/>
    <mergeCell ref="V32:W32"/>
    <mergeCell ref="X32:Y32"/>
    <mergeCell ref="Z32:AA32"/>
    <mergeCell ref="AB32:AC32"/>
    <mergeCell ref="AD32:AE32"/>
    <mergeCell ref="AF32:AG32"/>
    <mergeCell ref="AH32:AI32"/>
    <mergeCell ref="X34:Y34"/>
    <mergeCell ref="L34:M34"/>
    <mergeCell ref="N34:O34"/>
    <mergeCell ref="P34:Q34"/>
    <mergeCell ref="R34:S34"/>
    <mergeCell ref="AN36:AO36"/>
    <mergeCell ref="AP36:AQ36"/>
    <mergeCell ref="AL34:AM34"/>
    <mergeCell ref="Z34:AA34"/>
    <mergeCell ref="AB34:AC34"/>
    <mergeCell ref="AD34:AE34"/>
    <mergeCell ref="AB36:AC36"/>
    <mergeCell ref="AD36:AE36"/>
    <mergeCell ref="AF36:AG36"/>
    <mergeCell ref="AF34:AG34"/>
    <mergeCell ref="AR34:AS34"/>
    <mergeCell ref="AH34:AI34"/>
    <mergeCell ref="AN34:AO34"/>
    <mergeCell ref="AJ34:AK34"/>
    <mergeCell ref="AP34:AQ34"/>
    <mergeCell ref="AL36:AM36"/>
    <mergeCell ref="AP38:AQ38"/>
    <mergeCell ref="AR36:AS36"/>
    <mergeCell ref="R38:S38"/>
    <mergeCell ref="T38:U38"/>
    <mergeCell ref="AH36:AI36"/>
    <mergeCell ref="AJ36:AK36"/>
    <mergeCell ref="V36:W36"/>
    <mergeCell ref="X36:Y36"/>
    <mergeCell ref="Z36:AA36"/>
    <mergeCell ref="T36:U36"/>
    <mergeCell ref="A37:A38"/>
    <mergeCell ref="L38:M38"/>
    <mergeCell ref="N38:O38"/>
    <mergeCell ref="P38:Q38"/>
    <mergeCell ref="L36:M36"/>
    <mergeCell ref="N36:O36"/>
    <mergeCell ref="P36:Q36"/>
    <mergeCell ref="R36:S36"/>
    <mergeCell ref="AN38:AO38"/>
    <mergeCell ref="AB40:AC40"/>
    <mergeCell ref="Z38:AA38"/>
    <mergeCell ref="AL38:AM38"/>
    <mergeCell ref="AB38:AC38"/>
    <mergeCell ref="AD38:AE38"/>
    <mergeCell ref="AF38:AG38"/>
    <mergeCell ref="AR38:AS38"/>
    <mergeCell ref="R40:S40"/>
    <mergeCell ref="T40:U40"/>
    <mergeCell ref="AH38:AI38"/>
    <mergeCell ref="AJ38:AK38"/>
    <mergeCell ref="V38:W38"/>
    <mergeCell ref="X38:Y38"/>
    <mergeCell ref="AJ40:AK40"/>
    <mergeCell ref="AH40:AI40"/>
    <mergeCell ref="AP40:AQ40"/>
    <mergeCell ref="A39:A40"/>
    <mergeCell ref="P40:Q40"/>
    <mergeCell ref="AD40:AE40"/>
    <mergeCell ref="AF40:AG40"/>
    <mergeCell ref="Z40:AA40"/>
    <mergeCell ref="V40:W40"/>
    <mergeCell ref="X40:Y40"/>
    <mergeCell ref="P47:Q47"/>
    <mergeCell ref="N40:O40"/>
    <mergeCell ref="N42:O42"/>
    <mergeCell ref="N44:O44"/>
    <mergeCell ref="N47:O47"/>
    <mergeCell ref="P44:Q44"/>
    <mergeCell ref="AT45:AU45"/>
    <mergeCell ref="AF47:AG47"/>
    <mergeCell ref="V47:W47"/>
    <mergeCell ref="X47:Y47"/>
    <mergeCell ref="AL47:AM47"/>
    <mergeCell ref="AR47:AS47"/>
    <mergeCell ref="AR40:AS40"/>
    <mergeCell ref="AL40:AM40"/>
    <mergeCell ref="AN40:AO40"/>
    <mergeCell ref="A45:AS45"/>
    <mergeCell ref="L40:M40"/>
    <mergeCell ref="B42:C42"/>
    <mergeCell ref="L42:M42"/>
    <mergeCell ref="L44:M44"/>
    <mergeCell ref="R42:S42"/>
    <mergeCell ref="T42:U42"/>
    <mergeCell ref="B49:C49"/>
    <mergeCell ref="L49:M49"/>
    <mergeCell ref="N49:O49"/>
    <mergeCell ref="P49:Q49"/>
    <mergeCell ref="B47:C47"/>
    <mergeCell ref="L47:M47"/>
    <mergeCell ref="AJ49:AK49"/>
    <mergeCell ref="AF49:AG49"/>
    <mergeCell ref="AH47:AI47"/>
    <mergeCell ref="AJ47:AK47"/>
    <mergeCell ref="AD47:AE47"/>
    <mergeCell ref="Z49:AA49"/>
    <mergeCell ref="Z47:AA47"/>
    <mergeCell ref="AB47:AC47"/>
    <mergeCell ref="R49:S49"/>
    <mergeCell ref="AN49:AO49"/>
    <mergeCell ref="AN47:AO47"/>
    <mergeCell ref="AP47:AQ47"/>
    <mergeCell ref="AP49:AQ49"/>
    <mergeCell ref="T47:U47"/>
    <mergeCell ref="R47:S47"/>
    <mergeCell ref="AR49:AS49"/>
    <mergeCell ref="T49:U49"/>
    <mergeCell ref="X49:Y49"/>
    <mergeCell ref="V49:W49"/>
    <mergeCell ref="AD49:AE49"/>
    <mergeCell ref="AL49:AM49"/>
    <mergeCell ref="AB49:AC49"/>
    <mergeCell ref="AH49:AI49"/>
    <mergeCell ref="L51:M51"/>
    <mergeCell ref="N51:O51"/>
    <mergeCell ref="P51:Q51"/>
    <mergeCell ref="R51:S51"/>
    <mergeCell ref="AD51:AE51"/>
    <mergeCell ref="AF51:AG51"/>
    <mergeCell ref="AH51:AI51"/>
    <mergeCell ref="AN51:AO51"/>
    <mergeCell ref="AJ51:AK51"/>
    <mergeCell ref="AL51:AM51"/>
    <mergeCell ref="T53:U53"/>
    <mergeCell ref="X51:Y51"/>
    <mergeCell ref="Z51:AA51"/>
    <mergeCell ref="AB51:AC51"/>
    <mergeCell ref="T51:U51"/>
    <mergeCell ref="V51:W51"/>
    <mergeCell ref="AP51:AQ51"/>
    <mergeCell ref="AP53:AQ53"/>
    <mergeCell ref="AR53:AS53"/>
    <mergeCell ref="AL53:AM53"/>
    <mergeCell ref="AN53:AO53"/>
    <mergeCell ref="AR51:AS51"/>
    <mergeCell ref="AH53:AI53"/>
    <mergeCell ref="AJ53:AK53"/>
    <mergeCell ref="V53:W53"/>
    <mergeCell ref="X53:Y53"/>
    <mergeCell ref="Z53:AA53"/>
    <mergeCell ref="AB53:AC53"/>
    <mergeCell ref="AD53:AE53"/>
    <mergeCell ref="AF53:AG53"/>
    <mergeCell ref="L53:M53"/>
    <mergeCell ref="N53:O53"/>
    <mergeCell ref="P53:Q53"/>
    <mergeCell ref="R53:S53"/>
    <mergeCell ref="AR55:AS55"/>
    <mergeCell ref="L57:M57"/>
    <mergeCell ref="N57:O57"/>
    <mergeCell ref="P57:Q57"/>
    <mergeCell ref="R57:S57"/>
    <mergeCell ref="T57:U57"/>
    <mergeCell ref="X55:Y55"/>
    <mergeCell ref="Z55:AA55"/>
    <mergeCell ref="L55:M55"/>
    <mergeCell ref="N55:O55"/>
    <mergeCell ref="AP55:AQ55"/>
    <mergeCell ref="AP57:AQ57"/>
    <mergeCell ref="AN57:AO57"/>
    <mergeCell ref="AF55:AG55"/>
    <mergeCell ref="AH55:AI55"/>
    <mergeCell ref="AN55:AO55"/>
    <mergeCell ref="AJ55:AK55"/>
    <mergeCell ref="AL55:AM55"/>
    <mergeCell ref="AF57:AG57"/>
    <mergeCell ref="AH57:AI57"/>
    <mergeCell ref="AB55:AC55"/>
    <mergeCell ref="AD55:AE55"/>
    <mergeCell ref="T55:U55"/>
    <mergeCell ref="V55:W55"/>
    <mergeCell ref="L59:M59"/>
    <mergeCell ref="N59:O59"/>
    <mergeCell ref="P59:Q59"/>
    <mergeCell ref="R59:S59"/>
    <mergeCell ref="P55:Q55"/>
    <mergeCell ref="R55:S55"/>
    <mergeCell ref="AR57:AS57"/>
    <mergeCell ref="V57:W57"/>
    <mergeCell ref="X57:Y57"/>
    <mergeCell ref="Z57:AA57"/>
    <mergeCell ref="AB57:AC57"/>
    <mergeCell ref="AD57:AE57"/>
    <mergeCell ref="AJ57:AK57"/>
    <mergeCell ref="AL57:AM57"/>
    <mergeCell ref="T59:U59"/>
    <mergeCell ref="V59:W59"/>
    <mergeCell ref="AR59:AS59"/>
    <mergeCell ref="L61:M61"/>
    <mergeCell ref="N61:O61"/>
    <mergeCell ref="P61:Q61"/>
    <mergeCell ref="R61:S61"/>
    <mergeCell ref="T61:U61"/>
    <mergeCell ref="X59:Y59"/>
    <mergeCell ref="Z59:AA59"/>
    <mergeCell ref="AB59:AC59"/>
    <mergeCell ref="AD59:AE59"/>
    <mergeCell ref="AP59:AQ59"/>
    <mergeCell ref="AP61:AQ61"/>
    <mergeCell ref="AN61:AO61"/>
    <mergeCell ref="AF59:AG59"/>
    <mergeCell ref="AH59:AI59"/>
    <mergeCell ref="AN59:AO59"/>
    <mergeCell ref="AJ59:AK59"/>
    <mergeCell ref="AL59:AM59"/>
    <mergeCell ref="T63:U63"/>
    <mergeCell ref="AR61:AS61"/>
    <mergeCell ref="V61:W61"/>
    <mergeCell ref="X61:Y61"/>
    <mergeCell ref="Z61:AA61"/>
    <mergeCell ref="AB61:AC61"/>
    <mergeCell ref="AD61:AE61"/>
    <mergeCell ref="AJ61:AK61"/>
    <mergeCell ref="AL61:AM61"/>
    <mergeCell ref="AF61:AG61"/>
    <mergeCell ref="L63:M63"/>
    <mergeCell ref="N63:O63"/>
    <mergeCell ref="P63:Q63"/>
    <mergeCell ref="R63:S63"/>
    <mergeCell ref="P65:Q65"/>
    <mergeCell ref="R65:S65"/>
    <mergeCell ref="AD65:AE65"/>
    <mergeCell ref="AB65:AC65"/>
    <mergeCell ref="T65:U65"/>
    <mergeCell ref="V65:W65"/>
    <mergeCell ref="AR63:AS63"/>
    <mergeCell ref="V63:W63"/>
    <mergeCell ref="X63:Y63"/>
    <mergeCell ref="Z63:AA63"/>
    <mergeCell ref="AB63:AC63"/>
    <mergeCell ref="AD63:AE63"/>
    <mergeCell ref="AJ63:AK63"/>
    <mergeCell ref="AL63:AM63"/>
    <mergeCell ref="AP63:AQ63"/>
    <mergeCell ref="AN63:AO63"/>
    <mergeCell ref="AR65:AS65"/>
    <mergeCell ref="L67:M67"/>
    <mergeCell ref="N67:O67"/>
    <mergeCell ref="P67:Q67"/>
    <mergeCell ref="R67:S67"/>
    <mergeCell ref="T67:U67"/>
    <mergeCell ref="X65:Y65"/>
    <mergeCell ref="Z65:AA65"/>
    <mergeCell ref="L65:M65"/>
    <mergeCell ref="N65:O65"/>
    <mergeCell ref="AP65:AQ65"/>
    <mergeCell ref="AP67:AQ67"/>
    <mergeCell ref="AN67:AO67"/>
    <mergeCell ref="AF65:AG65"/>
    <mergeCell ref="AH65:AI65"/>
    <mergeCell ref="AN65:AO65"/>
    <mergeCell ref="AJ65:AK65"/>
    <mergeCell ref="AL65:AM65"/>
    <mergeCell ref="AL67:AM67"/>
    <mergeCell ref="AF67:AG67"/>
    <mergeCell ref="AB69:AC69"/>
    <mergeCell ref="V67:W67"/>
    <mergeCell ref="X67:Y67"/>
    <mergeCell ref="Z67:AA67"/>
    <mergeCell ref="AR69:AS69"/>
    <mergeCell ref="AR67:AS67"/>
    <mergeCell ref="T69:U69"/>
    <mergeCell ref="V69:W69"/>
    <mergeCell ref="Z69:AA69"/>
    <mergeCell ref="AB67:AC67"/>
    <mergeCell ref="AD67:AE67"/>
    <mergeCell ref="AJ67:AK67"/>
    <mergeCell ref="X69:Y69"/>
    <mergeCell ref="AH67:AI67"/>
    <mergeCell ref="AR71:AS71"/>
    <mergeCell ref="AP69:AQ69"/>
    <mergeCell ref="L69:M69"/>
    <mergeCell ref="N69:O69"/>
    <mergeCell ref="N71:O71"/>
    <mergeCell ref="P71:Q71"/>
    <mergeCell ref="R71:S71"/>
    <mergeCell ref="AL71:AM71"/>
    <mergeCell ref="AN71:AO71"/>
    <mergeCell ref="V71:W71"/>
    <mergeCell ref="P69:Q69"/>
    <mergeCell ref="R69:S69"/>
    <mergeCell ref="L73:M73"/>
    <mergeCell ref="N73:O73"/>
    <mergeCell ref="P73:Q73"/>
    <mergeCell ref="R73:S73"/>
    <mergeCell ref="L71:M71"/>
    <mergeCell ref="AP73:AQ73"/>
    <mergeCell ref="AP71:AQ71"/>
    <mergeCell ref="AJ73:AK73"/>
    <mergeCell ref="T73:U73"/>
    <mergeCell ref="Z71:AA71"/>
    <mergeCell ref="AB71:AC71"/>
    <mergeCell ref="AD71:AE71"/>
    <mergeCell ref="T71:U71"/>
    <mergeCell ref="X71:Y71"/>
    <mergeCell ref="AN73:AO73"/>
    <mergeCell ref="AL73:AM73"/>
    <mergeCell ref="AD69:AE69"/>
    <mergeCell ref="AF71:AG71"/>
    <mergeCell ref="AH71:AI71"/>
    <mergeCell ref="AF69:AG69"/>
    <mergeCell ref="AN69:AO69"/>
    <mergeCell ref="AJ69:AK69"/>
    <mergeCell ref="AL69:AM69"/>
    <mergeCell ref="AJ71:AK71"/>
    <mergeCell ref="AB75:AC75"/>
    <mergeCell ref="P75:Q75"/>
    <mergeCell ref="AR73:AS73"/>
    <mergeCell ref="V73:W73"/>
    <mergeCell ref="X73:Y73"/>
    <mergeCell ref="Z73:AA73"/>
    <mergeCell ref="AB73:AC73"/>
    <mergeCell ref="AD73:AE73"/>
    <mergeCell ref="AF73:AG73"/>
    <mergeCell ref="AH73:AI73"/>
    <mergeCell ref="A76:A77"/>
    <mergeCell ref="L77:M77"/>
    <mergeCell ref="N77:O77"/>
    <mergeCell ref="P77:Q77"/>
    <mergeCell ref="AJ77:AK77"/>
    <mergeCell ref="AH77:AI77"/>
    <mergeCell ref="AL75:AM75"/>
    <mergeCell ref="AP75:AQ75"/>
    <mergeCell ref="AJ75:AK75"/>
    <mergeCell ref="AR77:AS77"/>
    <mergeCell ref="AP77:AQ77"/>
    <mergeCell ref="AN77:AO77"/>
    <mergeCell ref="AN75:AO75"/>
    <mergeCell ref="A78:A79"/>
    <mergeCell ref="L79:M79"/>
    <mergeCell ref="N79:O79"/>
    <mergeCell ref="P79:Q79"/>
    <mergeCell ref="AB77:AC77"/>
    <mergeCell ref="T75:U75"/>
    <mergeCell ref="Z75:AA75"/>
    <mergeCell ref="AR79:AS79"/>
    <mergeCell ref="AL77:AM77"/>
    <mergeCell ref="AP79:AQ79"/>
    <mergeCell ref="AN79:AO79"/>
    <mergeCell ref="AL79:AM79"/>
    <mergeCell ref="Z77:AA77"/>
    <mergeCell ref="AR75:AS75"/>
    <mergeCell ref="V79:W79"/>
    <mergeCell ref="X79:Y79"/>
    <mergeCell ref="Z79:AA79"/>
    <mergeCell ref="R75:S75"/>
    <mergeCell ref="X77:Y77"/>
    <mergeCell ref="R77:S77"/>
    <mergeCell ref="X75:Y75"/>
    <mergeCell ref="L75:M75"/>
    <mergeCell ref="N75:O75"/>
    <mergeCell ref="AH75:AI75"/>
    <mergeCell ref="R79:S79"/>
    <mergeCell ref="T79:U79"/>
    <mergeCell ref="V75:W75"/>
    <mergeCell ref="AF77:AG77"/>
    <mergeCell ref="AD77:AE77"/>
    <mergeCell ref="T77:U77"/>
    <mergeCell ref="V77:W77"/>
    <mergeCell ref="V81:W81"/>
    <mergeCell ref="AJ79:AK79"/>
    <mergeCell ref="AD81:AE81"/>
    <mergeCell ref="AF81:AG81"/>
    <mergeCell ref="AF79:AG79"/>
    <mergeCell ref="AH79:AI79"/>
    <mergeCell ref="AH81:AI81"/>
    <mergeCell ref="AJ81:AK81"/>
    <mergeCell ref="AD79:AE79"/>
    <mergeCell ref="AB79:AC79"/>
    <mergeCell ref="L85:M85"/>
    <mergeCell ref="P85:Q85"/>
    <mergeCell ref="R85:S85"/>
    <mergeCell ref="T81:U81"/>
    <mergeCell ref="L81:M81"/>
    <mergeCell ref="N81:O81"/>
    <mergeCell ref="P81:Q81"/>
    <mergeCell ref="R81:S81"/>
    <mergeCell ref="T85:U85"/>
    <mergeCell ref="T83:U83"/>
    <mergeCell ref="X81:Y81"/>
    <mergeCell ref="AR85:AS85"/>
    <mergeCell ref="AL81:AM81"/>
    <mergeCell ref="AN81:AO81"/>
    <mergeCell ref="AP81:AQ81"/>
    <mergeCell ref="AJ85:AK85"/>
    <mergeCell ref="AH85:AI85"/>
    <mergeCell ref="Z85:AA85"/>
    <mergeCell ref="AB85:AC85"/>
    <mergeCell ref="AD83:AE83"/>
    <mergeCell ref="B88:C88"/>
    <mergeCell ref="F88:G88"/>
    <mergeCell ref="H88:I88"/>
    <mergeCell ref="L88:M88"/>
    <mergeCell ref="N88:O88"/>
    <mergeCell ref="P88:Q88"/>
    <mergeCell ref="R88:S88"/>
    <mergeCell ref="T88:U88"/>
    <mergeCell ref="N90:O90"/>
    <mergeCell ref="AP88:AQ88"/>
    <mergeCell ref="AR88:AS88"/>
    <mergeCell ref="V88:W88"/>
    <mergeCell ref="X88:Y88"/>
    <mergeCell ref="Z88:AA88"/>
    <mergeCell ref="AB88:AC88"/>
    <mergeCell ref="AD88:AE88"/>
    <mergeCell ref="AF88:AG88"/>
    <mergeCell ref="AH88:AI88"/>
    <mergeCell ref="AL88:AM88"/>
    <mergeCell ref="AN88:AO88"/>
    <mergeCell ref="AB90:AC90"/>
    <mergeCell ref="AD90:AE90"/>
    <mergeCell ref="AN90:AO90"/>
    <mergeCell ref="AJ90:AK90"/>
    <mergeCell ref="AL90:AM90"/>
    <mergeCell ref="AJ88:AK88"/>
    <mergeCell ref="AH90:AI90"/>
    <mergeCell ref="R90:S90"/>
    <mergeCell ref="AF90:AG90"/>
    <mergeCell ref="AT91:AU91"/>
    <mergeCell ref="B93:C93"/>
    <mergeCell ref="L93:M93"/>
    <mergeCell ref="N93:O93"/>
    <mergeCell ref="P93:Q93"/>
    <mergeCell ref="R93:S93"/>
    <mergeCell ref="AR93:AS93"/>
    <mergeCell ref="X93:Y93"/>
    <mergeCell ref="J94:K94"/>
    <mergeCell ref="V94:W94"/>
    <mergeCell ref="AF94:AG94"/>
    <mergeCell ref="AR90:AS90"/>
    <mergeCell ref="A91:AS91"/>
    <mergeCell ref="T90:U90"/>
    <mergeCell ref="V90:W90"/>
    <mergeCell ref="X90:Y90"/>
    <mergeCell ref="Z90:AA90"/>
    <mergeCell ref="P90:Q90"/>
    <mergeCell ref="AB93:AC93"/>
    <mergeCell ref="AN94:AO94"/>
    <mergeCell ref="Z93:AA93"/>
    <mergeCell ref="AL93:AM93"/>
    <mergeCell ref="AL94:AM94"/>
    <mergeCell ref="AN93:AO93"/>
    <mergeCell ref="D94:E94"/>
    <mergeCell ref="F94:G94"/>
    <mergeCell ref="AJ93:AK93"/>
    <mergeCell ref="J95:K95"/>
    <mergeCell ref="Z94:AA94"/>
    <mergeCell ref="AB94:AC94"/>
    <mergeCell ref="AH94:AI94"/>
    <mergeCell ref="AJ94:AK94"/>
    <mergeCell ref="T93:U93"/>
    <mergeCell ref="V93:W93"/>
    <mergeCell ref="B90:C90"/>
    <mergeCell ref="J90:K90"/>
    <mergeCell ref="L90:M90"/>
    <mergeCell ref="H95:I95"/>
    <mergeCell ref="L94:M94"/>
    <mergeCell ref="H94:I94"/>
    <mergeCell ref="B95:C95"/>
    <mergeCell ref="D95:E95"/>
    <mergeCell ref="F95:G95"/>
    <mergeCell ref="B94:C94"/>
    <mergeCell ref="AT86:AU86"/>
    <mergeCell ref="A86:AS86"/>
    <mergeCell ref="AR81:AS81"/>
    <mergeCell ref="AL85:AM85"/>
    <mergeCell ref="AN85:AO85"/>
    <mergeCell ref="AP85:AQ85"/>
    <mergeCell ref="Z81:AA81"/>
    <mergeCell ref="AB81:AC81"/>
    <mergeCell ref="V85:W85"/>
    <mergeCell ref="X85:Y85"/>
    <mergeCell ref="L95:M95"/>
    <mergeCell ref="N95:O95"/>
    <mergeCell ref="AH23:AI23"/>
    <mergeCell ref="V21:W21"/>
    <mergeCell ref="P95:Q95"/>
    <mergeCell ref="AF93:AG93"/>
    <mergeCell ref="AH93:AI93"/>
    <mergeCell ref="N94:O94"/>
    <mergeCell ref="P94:Q94"/>
    <mergeCell ref="R94:S94"/>
    <mergeCell ref="V95:W95"/>
    <mergeCell ref="AF95:AG95"/>
    <mergeCell ref="AH95:AI95"/>
    <mergeCell ref="R23:S23"/>
    <mergeCell ref="T23:U23"/>
    <mergeCell ref="AF23:AG23"/>
    <mergeCell ref="AD23:AE23"/>
    <mergeCell ref="T94:U94"/>
    <mergeCell ref="X94:Y94"/>
    <mergeCell ref="AD94:AE94"/>
    <mergeCell ref="X21:Y21"/>
    <mergeCell ref="AR95:AS95"/>
    <mergeCell ref="AP90:AQ90"/>
    <mergeCell ref="AT95:AU95"/>
    <mergeCell ref="AT94:AU94"/>
    <mergeCell ref="AP94:AQ94"/>
    <mergeCell ref="AR94:AS94"/>
    <mergeCell ref="AP93:AQ93"/>
    <mergeCell ref="AP21:AQ21"/>
    <mergeCell ref="AR21:AS21"/>
    <mergeCell ref="P21:Q21"/>
    <mergeCell ref="R21:S21"/>
    <mergeCell ref="T21:U21"/>
    <mergeCell ref="AN21:AO21"/>
    <mergeCell ref="AD21:AE21"/>
    <mergeCell ref="AF21:AG21"/>
    <mergeCell ref="Z21:AA21"/>
    <mergeCell ref="AB21:AC21"/>
    <mergeCell ref="AJ21:AK21"/>
    <mergeCell ref="AL21:AM21"/>
    <mergeCell ref="AH21:AI21"/>
    <mergeCell ref="AD93:AE93"/>
    <mergeCell ref="AD85:AE85"/>
    <mergeCell ref="AF85:AG85"/>
    <mergeCell ref="AF75:AG75"/>
    <mergeCell ref="AD75:AE75"/>
    <mergeCell ref="AH69:AI69"/>
    <mergeCell ref="AF63:AG63"/>
    <mergeCell ref="AH63:AI63"/>
    <mergeCell ref="AH61:AI61"/>
    <mergeCell ref="B98:K98"/>
    <mergeCell ref="L98:AS98"/>
    <mergeCell ref="AF96:AG96"/>
    <mergeCell ref="AH96:AI96"/>
    <mergeCell ref="AJ96:AK96"/>
    <mergeCell ref="AL96:AM96"/>
    <mergeCell ref="AN96:AO96"/>
    <mergeCell ref="L96:M96"/>
    <mergeCell ref="N96:O96"/>
    <mergeCell ref="P96:Q96"/>
    <mergeCell ref="AT96:AU96"/>
    <mergeCell ref="B97:K97"/>
    <mergeCell ref="L97:AS97"/>
    <mergeCell ref="AT97:AU97"/>
    <mergeCell ref="X96:Y96"/>
    <mergeCell ref="Z96:AA96"/>
    <mergeCell ref="AB96:AC96"/>
    <mergeCell ref="AD96:AE96"/>
    <mergeCell ref="T96:U96"/>
    <mergeCell ref="V96:W96"/>
    <mergeCell ref="A1:C1"/>
    <mergeCell ref="B96:C96"/>
    <mergeCell ref="AP96:AQ96"/>
    <mergeCell ref="AR96:AS96"/>
    <mergeCell ref="R96:S96"/>
    <mergeCell ref="D96:E96"/>
    <mergeCell ref="F96:G96"/>
    <mergeCell ref="H96:I96"/>
    <mergeCell ref="J96:K96"/>
    <mergeCell ref="N21:O21"/>
  </mergeCells>
  <printOptions/>
  <pageMargins left="0.31496062992125984" right="0.11811023622047245" top="0.31496062992125984" bottom="0.15748031496062992" header="0.15748031496062992" footer="0.11811023622047245"/>
  <pageSetup fitToHeight="1" fitToWidth="1" horizontalDpi="600" verticalDpi="600" orientation="landscape" paperSize="8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7"/>
  <sheetViews>
    <sheetView tabSelected="1" view="pageBreakPreview" zoomScaleSheetLayoutView="100" workbookViewId="0" topLeftCell="A109">
      <selection activeCell="G122" sqref="G122"/>
    </sheetView>
  </sheetViews>
  <sheetFormatPr defaultColWidth="9.00390625" defaultRowHeight="12.75"/>
  <cols>
    <col min="1" max="1" width="2.875" style="5" customWidth="1"/>
    <col min="2" max="2" width="40.375" style="2" customWidth="1"/>
    <col min="3" max="3" width="23.375" style="2" customWidth="1"/>
    <col min="4" max="4" width="14.75390625" style="3" customWidth="1"/>
    <col min="5" max="5" width="45.375" style="2" customWidth="1"/>
    <col min="6" max="6" width="14.25390625" style="3" customWidth="1"/>
    <col min="7" max="7" width="13.00390625" style="2" customWidth="1"/>
    <col min="8" max="16384" width="9.125" style="2" customWidth="1"/>
  </cols>
  <sheetData>
    <row r="1" spans="1:4" ht="15.75" customHeight="1">
      <c r="A1" s="479" t="s">
        <v>259</v>
      </c>
      <c r="B1" s="479"/>
      <c r="C1" s="479"/>
      <c r="D1" s="211"/>
    </row>
    <row r="2" spans="2:6" ht="15.75" customHeight="1">
      <c r="B2" s="586" t="s">
        <v>295</v>
      </c>
      <c r="C2" s="586"/>
      <c r="D2" s="586"/>
      <c r="E2" s="586"/>
      <c r="F2" s="586"/>
    </row>
    <row r="3" spans="2:6" ht="15.75" customHeight="1">
      <c r="B3" s="1"/>
      <c r="C3" s="1"/>
      <c r="D3" s="1"/>
      <c r="E3" s="1"/>
      <c r="F3" s="1"/>
    </row>
    <row r="4" spans="1:6" s="354" customFormat="1" ht="15.75" customHeight="1" thickBot="1">
      <c r="A4" s="355" t="s">
        <v>1</v>
      </c>
      <c r="B4" s="587" t="s">
        <v>124</v>
      </c>
      <c r="C4" s="587"/>
      <c r="D4" s="587"/>
      <c r="E4" s="356"/>
      <c r="F4" s="356"/>
    </row>
    <row r="5" spans="1:6" s="30" customFormat="1" ht="17.25" customHeight="1">
      <c r="A5" s="589"/>
      <c r="B5" s="590" t="s">
        <v>21</v>
      </c>
      <c r="C5" s="578" t="s">
        <v>22</v>
      </c>
      <c r="D5" s="578"/>
      <c r="E5" s="578" t="s">
        <v>23</v>
      </c>
      <c r="F5" s="579"/>
    </row>
    <row r="6" spans="1:6" s="30" customFormat="1" ht="18.75" customHeight="1" thickBot="1">
      <c r="A6" s="589"/>
      <c r="B6" s="591"/>
      <c r="C6" s="74"/>
      <c r="D6" s="75" t="s">
        <v>24</v>
      </c>
      <c r="E6" s="74" t="s">
        <v>25</v>
      </c>
      <c r="F6" s="76" t="s">
        <v>24</v>
      </c>
    </row>
    <row r="7" spans="1:6" ht="15" customHeight="1">
      <c r="A7" s="108"/>
      <c r="B7" s="109" t="s">
        <v>26</v>
      </c>
      <c r="C7" s="79"/>
      <c r="D7" s="80"/>
      <c r="E7" s="77" t="s">
        <v>27</v>
      </c>
      <c r="F7" s="100">
        <v>150000</v>
      </c>
    </row>
    <row r="8" spans="1:6" s="4" customFormat="1" ht="14.25" thickBot="1">
      <c r="A8" s="110"/>
      <c r="B8" s="111" t="s">
        <v>13</v>
      </c>
      <c r="C8" s="112"/>
      <c r="D8" s="113">
        <f>SUM(D7:D7)</f>
        <v>0</v>
      </c>
      <c r="E8" s="112"/>
      <c r="F8" s="113">
        <f>SUM(F7:F7)</f>
        <v>150000</v>
      </c>
    </row>
    <row r="9" spans="1:6" s="4" customFormat="1" ht="13.5" customHeight="1" thickBot="1">
      <c r="A9" s="114"/>
      <c r="B9" s="114"/>
      <c r="C9" s="115"/>
      <c r="D9" s="116"/>
      <c r="E9" s="115"/>
      <c r="F9" s="116"/>
    </row>
    <row r="10" spans="1:6" ht="12.75">
      <c r="A10" s="77"/>
      <c r="B10" s="117" t="s">
        <v>28</v>
      </c>
      <c r="C10" s="79"/>
      <c r="D10" s="80"/>
      <c r="E10" s="81" t="s">
        <v>29</v>
      </c>
      <c r="F10" s="80"/>
    </row>
    <row r="11" spans="1:6" ht="12.75">
      <c r="A11" s="77"/>
      <c r="B11" s="118" t="s">
        <v>270</v>
      </c>
      <c r="C11" s="98"/>
      <c r="D11" s="100"/>
      <c r="E11" s="98"/>
      <c r="F11" s="100">
        <v>3200000</v>
      </c>
    </row>
    <row r="12" spans="1:6" ht="15" customHeight="1">
      <c r="A12" s="77"/>
      <c r="B12" s="118" t="s">
        <v>228</v>
      </c>
      <c r="C12" s="98"/>
      <c r="D12" s="100"/>
      <c r="E12" s="84"/>
      <c r="F12" s="100"/>
    </row>
    <row r="13" spans="1:6" ht="15" customHeight="1">
      <c r="A13" s="77"/>
      <c r="B13" s="118" t="s">
        <v>30</v>
      </c>
      <c r="C13" s="98"/>
      <c r="D13" s="100"/>
      <c r="E13" s="84" t="s">
        <v>31</v>
      </c>
      <c r="F13" s="100">
        <f>11510*69*3+11449*81*9+109</f>
        <v>10729000</v>
      </c>
    </row>
    <row r="14" spans="1:6" s="4" customFormat="1" ht="13.5">
      <c r="A14" s="115"/>
      <c r="B14" s="119" t="s">
        <v>2</v>
      </c>
      <c r="C14" s="120"/>
      <c r="D14" s="121"/>
      <c r="E14" s="120"/>
      <c r="F14" s="121">
        <f>SUM(F11:F13)</f>
        <v>13929000</v>
      </c>
    </row>
    <row r="15" spans="1:6" ht="12.75">
      <c r="A15" s="77"/>
      <c r="B15" s="118" t="s">
        <v>296</v>
      </c>
      <c r="C15" s="98"/>
      <c r="D15" s="100"/>
      <c r="E15" s="98"/>
      <c r="F15" s="100">
        <f>3100000+840000</f>
        <v>3940000</v>
      </c>
    </row>
    <row r="16" spans="1:6" ht="12.75">
      <c r="A16" s="77"/>
      <c r="B16" s="118" t="s">
        <v>298</v>
      </c>
      <c r="C16" s="98"/>
      <c r="D16" s="100"/>
      <c r="E16" s="98"/>
      <c r="F16" s="100">
        <f>7000000+2000000</f>
        <v>9000000</v>
      </c>
    </row>
    <row r="17" spans="1:6" ht="12.75">
      <c r="A17" s="77"/>
      <c r="B17" s="118" t="s">
        <v>32</v>
      </c>
      <c r="C17" s="98"/>
      <c r="D17" s="100"/>
      <c r="E17" s="98"/>
      <c r="F17" s="100">
        <v>1100000</v>
      </c>
    </row>
    <row r="18" spans="1:6" ht="12.75">
      <c r="A18" s="77"/>
      <c r="B18" s="118" t="s">
        <v>33</v>
      </c>
      <c r="C18" s="98"/>
      <c r="D18" s="100"/>
      <c r="E18" s="98"/>
      <c r="F18" s="100">
        <v>1100000</v>
      </c>
    </row>
    <row r="19" spans="1:6" s="6" customFormat="1" ht="13.5">
      <c r="A19" s="115"/>
      <c r="B19" s="319" t="s">
        <v>2</v>
      </c>
      <c r="C19" s="120"/>
      <c r="D19" s="121"/>
      <c r="E19" s="120"/>
      <c r="F19" s="121">
        <f>SUM(F15:F18)</f>
        <v>15140000</v>
      </c>
    </row>
    <row r="20" spans="1:6" s="5" customFormat="1" ht="13.5" thickBot="1">
      <c r="A20" s="77"/>
      <c r="B20" s="122" t="s">
        <v>13</v>
      </c>
      <c r="C20" s="106"/>
      <c r="D20" s="107"/>
      <c r="E20" s="346" t="s">
        <v>13</v>
      </c>
      <c r="F20" s="107">
        <f>F14+F19</f>
        <v>29069000</v>
      </c>
    </row>
    <row r="21" spans="1:6" ht="17.25" customHeight="1" thickBot="1">
      <c r="A21" s="77"/>
      <c r="B21" s="98"/>
      <c r="C21" s="98"/>
      <c r="D21" s="99"/>
      <c r="E21" s="98"/>
      <c r="F21" s="99"/>
    </row>
    <row r="22" spans="1:6" ht="12.75">
      <c r="A22" s="77"/>
      <c r="B22" s="117" t="s">
        <v>210</v>
      </c>
      <c r="C22" s="79"/>
      <c r="D22" s="80"/>
      <c r="E22" s="81" t="s">
        <v>309</v>
      </c>
      <c r="F22" s="80"/>
    </row>
    <row r="23" spans="1:6" s="25" customFormat="1" ht="12.75">
      <c r="A23" s="82"/>
      <c r="B23" s="86" t="s">
        <v>84</v>
      </c>
      <c r="C23" s="84"/>
      <c r="D23" s="85"/>
      <c r="E23" s="84"/>
      <c r="F23" s="85"/>
    </row>
    <row r="24" spans="1:6" s="25" customFormat="1" ht="12.75">
      <c r="A24" s="82"/>
      <c r="B24" s="86" t="s">
        <v>109</v>
      </c>
      <c r="C24" s="84"/>
      <c r="D24" s="85"/>
      <c r="E24" s="84"/>
      <c r="F24" s="85">
        <v>731000</v>
      </c>
    </row>
    <row r="25" spans="1:6" s="25" customFormat="1" ht="12.75">
      <c r="A25" s="82"/>
      <c r="B25" s="86" t="s">
        <v>83</v>
      </c>
      <c r="C25" s="84"/>
      <c r="D25" s="85"/>
      <c r="E25" s="84"/>
      <c r="F25" s="85">
        <v>5006000</v>
      </c>
    </row>
    <row r="26" spans="1:6" s="25" customFormat="1" ht="12.75">
      <c r="A26" s="82"/>
      <c r="B26" s="86" t="s">
        <v>85</v>
      </c>
      <c r="C26" s="84"/>
      <c r="D26" s="85"/>
      <c r="E26" s="84"/>
      <c r="F26" s="85">
        <v>6986000</v>
      </c>
    </row>
    <row r="27" spans="1:6" s="25" customFormat="1" ht="12.75">
      <c r="A27" s="82"/>
      <c r="B27" s="86" t="s">
        <v>110</v>
      </c>
      <c r="C27" s="84"/>
      <c r="D27" s="85"/>
      <c r="E27" s="84"/>
      <c r="F27" s="85">
        <v>1418000</v>
      </c>
    </row>
    <row r="28" spans="1:6" s="25" customFormat="1" ht="12.75">
      <c r="A28" s="82"/>
      <c r="B28" s="86" t="s">
        <v>39</v>
      </c>
      <c r="C28" s="84"/>
      <c r="D28" s="85"/>
      <c r="E28" s="84"/>
      <c r="F28" s="85">
        <v>21973000</v>
      </c>
    </row>
    <row r="29" spans="1:6" s="25" customFormat="1" ht="12.75">
      <c r="A29" s="82"/>
      <c r="B29" s="86" t="s">
        <v>107</v>
      </c>
      <c r="C29" s="84"/>
      <c r="D29" s="85"/>
      <c r="E29" s="84"/>
      <c r="F29" s="85">
        <f>1188000+942000</f>
        <v>2130000</v>
      </c>
    </row>
    <row r="30" spans="1:6" s="25" customFormat="1" ht="12.75">
      <c r="A30" s="82"/>
      <c r="B30" s="86" t="s">
        <v>111</v>
      </c>
      <c r="C30" s="84"/>
      <c r="D30" s="85"/>
      <c r="E30" s="84"/>
      <c r="F30" s="85">
        <v>0</v>
      </c>
    </row>
    <row r="31" spans="1:6" s="25" customFormat="1" ht="25.5">
      <c r="A31" s="82"/>
      <c r="B31" s="86" t="s">
        <v>209</v>
      </c>
      <c r="C31" s="84"/>
      <c r="D31" s="85"/>
      <c r="E31" s="84"/>
      <c r="F31" s="85">
        <v>423298000</v>
      </c>
    </row>
    <row r="32" spans="1:6" s="25" customFormat="1" ht="12.75">
      <c r="A32" s="82"/>
      <c r="B32" s="86"/>
      <c r="C32" s="84"/>
      <c r="D32" s="85"/>
      <c r="E32" s="82" t="s">
        <v>310</v>
      </c>
      <c r="F32" s="133">
        <f>SUM(F24:F31)</f>
        <v>461542000</v>
      </c>
    </row>
    <row r="33" spans="1:6" s="25" customFormat="1" ht="12.75">
      <c r="A33" s="82"/>
      <c r="B33" s="86" t="s">
        <v>112</v>
      </c>
      <c r="C33" s="84"/>
      <c r="D33" s="85"/>
      <c r="E33" s="82" t="s">
        <v>8</v>
      </c>
      <c r="F33" s="133">
        <f>11449*200</f>
        <v>2289800</v>
      </c>
    </row>
    <row r="34" spans="1:6" s="25" customFormat="1" ht="12.75">
      <c r="A34" s="82"/>
      <c r="B34" s="86" t="s">
        <v>90</v>
      </c>
      <c r="C34" s="84"/>
      <c r="D34" s="85"/>
      <c r="E34" s="82" t="s">
        <v>243</v>
      </c>
      <c r="F34" s="133">
        <v>113976000</v>
      </c>
    </row>
    <row r="35" spans="1:6" s="25" customFormat="1" ht="12.75">
      <c r="A35" s="82"/>
      <c r="B35" s="86" t="s">
        <v>262</v>
      </c>
      <c r="C35" s="84"/>
      <c r="D35" s="85">
        <f>847068660+5429123</f>
        <v>852497783</v>
      </c>
      <c r="E35" s="84"/>
      <c r="F35" s="85"/>
    </row>
    <row r="36" spans="1:6" s="25" customFormat="1" ht="12.75">
      <c r="A36" s="82"/>
      <c r="B36" s="86"/>
      <c r="C36" s="84"/>
      <c r="D36" s="85"/>
      <c r="E36" s="82" t="s">
        <v>328</v>
      </c>
      <c r="F36" s="85"/>
    </row>
    <row r="37" spans="1:6" s="25" customFormat="1" ht="12.75">
      <c r="A37" s="82"/>
      <c r="B37" s="86"/>
      <c r="C37" s="84"/>
      <c r="D37" s="85"/>
      <c r="E37" s="84" t="s">
        <v>345</v>
      </c>
      <c r="F37" s="133">
        <f>29478000+126</f>
        <v>29478126</v>
      </c>
    </row>
    <row r="38" spans="1:6" s="25" customFormat="1" ht="12.75">
      <c r="A38" s="82"/>
      <c r="B38" s="86"/>
      <c r="C38" s="84"/>
      <c r="D38" s="85"/>
      <c r="E38" s="84"/>
      <c r="F38" s="85"/>
    </row>
    <row r="39" spans="1:6" s="25" customFormat="1" ht="12.75">
      <c r="A39" s="82"/>
      <c r="B39" s="86"/>
      <c r="C39" s="84"/>
      <c r="D39" s="85"/>
      <c r="E39" s="84"/>
      <c r="F39" s="85"/>
    </row>
    <row r="40" spans="1:6" s="25" customFormat="1" ht="12.75">
      <c r="A40" s="82"/>
      <c r="B40" s="86"/>
      <c r="C40" s="84"/>
      <c r="D40" s="85"/>
      <c r="E40" s="84"/>
      <c r="F40" s="85"/>
    </row>
    <row r="41" spans="1:6" s="25" customFormat="1" ht="25.5">
      <c r="A41" s="82"/>
      <c r="B41" s="86" t="s">
        <v>263</v>
      </c>
      <c r="C41" s="84"/>
      <c r="D41" s="85"/>
      <c r="E41" s="84"/>
      <c r="F41" s="133"/>
    </row>
    <row r="42" spans="1:6" s="25" customFormat="1" ht="17.25" customHeight="1" thickBot="1">
      <c r="A42" s="82"/>
      <c r="B42" s="87" t="s">
        <v>13</v>
      </c>
      <c r="C42" s="88"/>
      <c r="D42" s="89">
        <f>SUM(D23:D41)</f>
        <v>852497783</v>
      </c>
      <c r="E42" s="134" t="s">
        <v>13</v>
      </c>
      <c r="F42" s="89">
        <f>F32+F33+F34+F41+F37</f>
        <v>607285926</v>
      </c>
    </row>
    <row r="43" spans="1:6" s="25" customFormat="1" ht="13.5" thickBot="1">
      <c r="A43" s="82"/>
      <c r="B43" s="84"/>
      <c r="C43" s="84"/>
      <c r="D43" s="123"/>
      <c r="E43" s="84"/>
      <c r="F43" s="123"/>
    </row>
    <row r="44" spans="1:6" ht="12.75">
      <c r="A44" s="77"/>
      <c r="B44" s="117" t="s">
        <v>308</v>
      </c>
      <c r="C44" s="79"/>
      <c r="D44" s="80"/>
      <c r="E44" s="129" t="s">
        <v>307</v>
      </c>
      <c r="F44" s="80"/>
    </row>
    <row r="45" spans="1:6" s="25" customFormat="1" ht="12.75">
      <c r="A45" s="82"/>
      <c r="B45" s="86" t="s">
        <v>91</v>
      </c>
      <c r="C45" s="84"/>
      <c r="D45" s="85">
        <v>19365000</v>
      </c>
      <c r="E45" s="84" t="s">
        <v>92</v>
      </c>
      <c r="F45" s="85">
        <v>45131000</v>
      </c>
    </row>
    <row r="46" spans="1:6" s="25" customFormat="1" ht="12.75">
      <c r="A46" s="82"/>
      <c r="B46" s="86" t="s">
        <v>94</v>
      </c>
      <c r="C46" s="84"/>
      <c r="D46" s="85">
        <v>5911000</v>
      </c>
      <c r="E46" s="84" t="s">
        <v>92</v>
      </c>
      <c r="F46" s="85">
        <v>30787000</v>
      </c>
    </row>
    <row r="47" spans="1:7" s="25" customFormat="1" ht="17.25" customHeight="1" thickBot="1">
      <c r="A47" s="82"/>
      <c r="B47" s="87" t="s">
        <v>13</v>
      </c>
      <c r="C47" s="88"/>
      <c r="D47" s="89">
        <f>SUM(D45:D46)</f>
        <v>25276000</v>
      </c>
      <c r="E47" s="134" t="s">
        <v>13</v>
      </c>
      <c r="F47" s="89">
        <f>SUM(F44:F46)</f>
        <v>75918000</v>
      </c>
      <c r="G47" s="345"/>
    </row>
    <row r="48" spans="1:6" s="25" customFormat="1" ht="13.5" thickBot="1">
      <c r="A48" s="82"/>
      <c r="B48" s="84"/>
      <c r="C48" s="84"/>
      <c r="D48" s="123"/>
      <c r="E48" s="84"/>
      <c r="F48" s="123"/>
    </row>
    <row r="49" spans="1:6" s="25" customFormat="1" ht="19.5" customHeight="1" thickBot="1">
      <c r="A49" s="82"/>
      <c r="B49" s="125" t="s">
        <v>50</v>
      </c>
      <c r="C49" s="126"/>
      <c r="D49" s="127"/>
      <c r="E49" s="128"/>
      <c r="F49" s="127"/>
    </row>
    <row r="50" spans="1:6" ht="12.75">
      <c r="A50" s="77"/>
      <c r="B50" s="131" t="s">
        <v>299</v>
      </c>
      <c r="C50" s="131"/>
      <c r="D50" s="123"/>
      <c r="E50" s="95" t="s">
        <v>41</v>
      </c>
      <c r="F50" s="80">
        <v>1000000</v>
      </c>
    </row>
    <row r="51" spans="1:6" s="25" customFormat="1" ht="12.75">
      <c r="A51" s="82"/>
      <c r="B51" s="132" t="s">
        <v>93</v>
      </c>
      <c r="C51" s="132"/>
      <c r="D51" s="90">
        <f>SUM(D50:D50)</f>
        <v>0</v>
      </c>
      <c r="E51" s="131" t="s">
        <v>42</v>
      </c>
      <c r="F51" s="85">
        <v>250000</v>
      </c>
    </row>
    <row r="52" spans="1:6" s="25" customFormat="1" ht="12.75">
      <c r="A52" s="82"/>
      <c r="B52" s="131"/>
      <c r="C52" s="131"/>
      <c r="D52" s="123"/>
      <c r="E52" s="131" t="s">
        <v>43</v>
      </c>
      <c r="F52" s="85">
        <v>250000</v>
      </c>
    </row>
    <row r="53" spans="1:6" s="25" customFormat="1" ht="12.75">
      <c r="A53" s="82"/>
      <c r="B53" s="131"/>
      <c r="C53" s="131"/>
      <c r="D53" s="123"/>
      <c r="E53" s="131" t="s">
        <v>117</v>
      </c>
      <c r="F53" s="85">
        <v>4000000</v>
      </c>
    </row>
    <row r="54" spans="1:6" s="25" customFormat="1" ht="12.75">
      <c r="A54" s="82"/>
      <c r="B54" s="131"/>
      <c r="C54" s="131"/>
      <c r="D54" s="123"/>
      <c r="E54" s="131" t="s">
        <v>292</v>
      </c>
      <c r="F54" s="85">
        <v>200000</v>
      </c>
    </row>
    <row r="55" spans="1:6" s="25" customFormat="1" ht="12.75">
      <c r="A55" s="82"/>
      <c r="B55" s="131"/>
      <c r="C55" s="131"/>
      <c r="D55" s="123"/>
      <c r="E55" s="131" t="s">
        <v>44</v>
      </c>
      <c r="F55" s="85">
        <v>1300000</v>
      </c>
    </row>
    <row r="56" spans="1:6" s="25" customFormat="1" ht="12" customHeight="1">
      <c r="A56" s="82"/>
      <c r="B56" s="132"/>
      <c r="C56" s="132"/>
      <c r="D56" s="90"/>
      <c r="E56" s="131" t="s">
        <v>45</v>
      </c>
      <c r="F56" s="85">
        <v>4800000</v>
      </c>
    </row>
    <row r="57" spans="1:6" s="25" customFormat="1" ht="12.75">
      <c r="A57" s="82"/>
      <c r="B57" s="131"/>
      <c r="C57" s="131"/>
      <c r="D57" s="123"/>
      <c r="E57" s="131" t="s">
        <v>47</v>
      </c>
      <c r="F57" s="85">
        <v>7000000</v>
      </c>
    </row>
    <row r="58" spans="1:6" s="25" customFormat="1" ht="12.75">
      <c r="A58" s="82"/>
      <c r="B58" s="132"/>
      <c r="C58" s="132"/>
      <c r="D58" s="90"/>
      <c r="E58" s="131" t="s">
        <v>48</v>
      </c>
      <c r="F58" s="85">
        <f>7670000+700000</f>
        <v>8370000</v>
      </c>
    </row>
    <row r="59" spans="1:6" s="25" customFormat="1" ht="12.75">
      <c r="A59" s="82"/>
      <c r="B59" s="131"/>
      <c r="C59" s="131"/>
      <c r="D59" s="123"/>
      <c r="E59" s="131" t="s">
        <v>51</v>
      </c>
      <c r="F59" s="85">
        <v>1315000</v>
      </c>
    </row>
    <row r="60" spans="1:6" s="25" customFormat="1" ht="12.75">
      <c r="A60" s="82"/>
      <c r="B60" s="131"/>
      <c r="C60" s="131"/>
      <c r="D60" s="123"/>
      <c r="E60" s="131" t="s">
        <v>52</v>
      </c>
      <c r="F60" s="85">
        <v>2540000</v>
      </c>
    </row>
    <row r="61" spans="1:6" s="25" customFormat="1" ht="12.75">
      <c r="A61" s="82"/>
      <c r="B61" s="131"/>
      <c r="C61" s="131"/>
      <c r="D61" s="123"/>
      <c r="E61" s="131" t="s">
        <v>53</v>
      </c>
      <c r="F61" s="85">
        <v>300000</v>
      </c>
    </row>
    <row r="62" spans="1:6" s="25" customFormat="1" ht="12.75">
      <c r="A62" s="82"/>
      <c r="B62" s="131"/>
      <c r="C62" s="131"/>
      <c r="D62" s="123"/>
      <c r="E62" s="131" t="s">
        <v>54</v>
      </c>
      <c r="F62" s="85">
        <v>500000</v>
      </c>
    </row>
    <row r="63" spans="1:6" s="25" customFormat="1" ht="12.75">
      <c r="A63" s="82"/>
      <c r="B63" s="131" t="s">
        <v>312</v>
      </c>
      <c r="C63" s="131"/>
      <c r="D63" s="123">
        <v>130000000</v>
      </c>
      <c r="E63" s="131" t="s">
        <v>108</v>
      </c>
      <c r="F63" s="85">
        <v>3048000</v>
      </c>
    </row>
    <row r="64" spans="1:6" s="25" customFormat="1" ht="12.75">
      <c r="A64" s="82"/>
      <c r="B64" s="131"/>
      <c r="C64" s="131"/>
      <c r="D64" s="123"/>
      <c r="E64" s="132" t="s">
        <v>8</v>
      </c>
      <c r="F64" s="133">
        <f>SUM(F50:F63)</f>
        <v>34873000</v>
      </c>
    </row>
    <row r="65" spans="1:6" s="26" customFormat="1" ht="18" customHeight="1" thickBot="1">
      <c r="A65" s="82"/>
      <c r="B65" s="134" t="s">
        <v>13</v>
      </c>
      <c r="C65" s="134"/>
      <c r="D65" s="143">
        <f>D51+D63</f>
        <v>130000000</v>
      </c>
      <c r="E65" s="134" t="s">
        <v>13</v>
      </c>
      <c r="F65" s="89">
        <f>F64</f>
        <v>34873000</v>
      </c>
    </row>
    <row r="66" spans="1:6" s="25" customFormat="1" ht="11.25" customHeight="1" thickBot="1">
      <c r="A66" s="82"/>
      <c r="B66" s="84"/>
      <c r="C66" s="84"/>
      <c r="D66" s="123"/>
      <c r="E66" s="84"/>
      <c r="F66" s="123"/>
    </row>
    <row r="67" spans="1:6" s="26" customFormat="1" ht="12.75">
      <c r="A67" s="82"/>
      <c r="B67" s="78" t="s">
        <v>56</v>
      </c>
      <c r="C67" s="130" t="s">
        <v>58</v>
      </c>
      <c r="D67" s="135">
        <v>6000000</v>
      </c>
      <c r="E67" s="136" t="s">
        <v>57</v>
      </c>
      <c r="F67" s="135">
        <v>260000</v>
      </c>
    </row>
    <row r="68" spans="1:6" s="25" customFormat="1" ht="18" customHeight="1">
      <c r="A68" s="82"/>
      <c r="B68" s="86"/>
      <c r="C68" s="131"/>
      <c r="D68" s="85"/>
      <c r="E68" s="84" t="s">
        <v>61</v>
      </c>
      <c r="F68" s="85">
        <v>1000000</v>
      </c>
    </row>
    <row r="69" spans="1:6" s="25" customFormat="1" ht="18" customHeight="1">
      <c r="A69" s="82"/>
      <c r="B69" s="86"/>
      <c r="C69" s="84" t="s">
        <v>226</v>
      </c>
      <c r="D69" s="85">
        <v>300000</v>
      </c>
      <c r="E69" s="131" t="s">
        <v>320</v>
      </c>
      <c r="F69" s="85">
        <v>800000</v>
      </c>
    </row>
    <row r="70" spans="1:6" s="25" customFormat="1" ht="18" customHeight="1">
      <c r="A70" s="82"/>
      <c r="B70" s="86"/>
      <c r="C70" s="131" t="s">
        <v>294</v>
      </c>
      <c r="D70" s="85">
        <v>670000</v>
      </c>
      <c r="E70" s="84"/>
      <c r="F70" s="85"/>
    </row>
    <row r="71" spans="1:6" s="25" customFormat="1" ht="18" customHeight="1">
      <c r="A71" s="82"/>
      <c r="B71" s="83" t="s">
        <v>93</v>
      </c>
      <c r="C71" s="132"/>
      <c r="D71" s="133">
        <f>SUM(D67:D70)</f>
        <v>6970000</v>
      </c>
      <c r="E71" s="82" t="s">
        <v>49</v>
      </c>
      <c r="F71" s="133">
        <f>SUM(F67:F70)</f>
        <v>2060000</v>
      </c>
    </row>
    <row r="72" spans="1:6" s="25" customFormat="1" ht="18" customHeight="1">
      <c r="A72" s="82"/>
      <c r="B72" s="83"/>
      <c r="C72" s="132"/>
      <c r="D72" s="133"/>
      <c r="E72" s="82" t="s">
        <v>227</v>
      </c>
      <c r="F72" s="133">
        <v>3000000</v>
      </c>
    </row>
    <row r="73" spans="1:6" s="26" customFormat="1" ht="19.5" customHeight="1" thickBot="1">
      <c r="A73" s="82"/>
      <c r="B73" s="87" t="s">
        <v>13</v>
      </c>
      <c r="C73" s="134"/>
      <c r="D73" s="89">
        <f>D71</f>
        <v>6970000</v>
      </c>
      <c r="E73" s="124" t="s">
        <v>13</v>
      </c>
      <c r="F73" s="89">
        <f>F71+F72</f>
        <v>5060000</v>
      </c>
    </row>
    <row r="74" spans="1:6" s="25" customFormat="1" ht="12" customHeight="1" thickBot="1">
      <c r="A74" s="82"/>
      <c r="B74" s="84"/>
      <c r="C74" s="84"/>
      <c r="D74" s="123"/>
      <c r="E74" s="84"/>
      <c r="F74" s="123"/>
    </row>
    <row r="75" spans="1:6" ht="12.75">
      <c r="A75" s="77"/>
      <c r="B75" s="117" t="s">
        <v>240</v>
      </c>
      <c r="C75" s="79"/>
      <c r="D75" s="80"/>
      <c r="E75" s="81"/>
      <c r="F75" s="80"/>
    </row>
    <row r="76" spans="1:6" s="25" customFormat="1" ht="25.5">
      <c r="A76" s="82"/>
      <c r="B76" s="86"/>
      <c r="C76" s="84"/>
      <c r="D76" s="85"/>
      <c r="E76" s="82" t="s">
        <v>241</v>
      </c>
      <c r="F76" s="85">
        <f>15016000+2083000</f>
        <v>17099000</v>
      </c>
    </row>
    <row r="77" spans="1:6" s="25" customFormat="1" ht="19.5" customHeight="1">
      <c r="A77" s="82"/>
      <c r="B77" s="86"/>
      <c r="C77" s="84"/>
      <c r="D77" s="85"/>
      <c r="E77" s="82" t="s">
        <v>122</v>
      </c>
      <c r="F77" s="85">
        <v>4617000</v>
      </c>
    </row>
    <row r="78" spans="1:6" s="25" customFormat="1" ht="19.5" customHeight="1">
      <c r="A78" s="82"/>
      <c r="B78" s="86"/>
      <c r="C78" s="84"/>
      <c r="D78" s="85"/>
      <c r="E78" s="82" t="s">
        <v>327</v>
      </c>
      <c r="F78" s="85">
        <v>20000</v>
      </c>
    </row>
    <row r="79" spans="1:6" s="25" customFormat="1" ht="17.25" customHeight="1" thickBot="1">
      <c r="A79" s="82"/>
      <c r="B79" s="87" t="s">
        <v>13</v>
      </c>
      <c r="C79" s="88"/>
      <c r="D79" s="89">
        <f>SUM(D76:D77)</f>
        <v>0</v>
      </c>
      <c r="E79" s="124" t="s">
        <v>13</v>
      </c>
      <c r="F79" s="89">
        <f>SUM(F75:F78)</f>
        <v>21736000</v>
      </c>
    </row>
    <row r="80" spans="1:6" s="25" customFormat="1" ht="17.25" customHeight="1" thickBot="1">
      <c r="A80" s="82"/>
      <c r="B80" s="94"/>
      <c r="C80" s="126"/>
      <c r="D80" s="337"/>
      <c r="E80" s="94"/>
      <c r="F80" s="337"/>
    </row>
    <row r="81" spans="1:6" s="25" customFormat="1" ht="13.5" thickBot="1">
      <c r="A81" s="82"/>
      <c r="B81" s="82"/>
      <c r="C81" s="82"/>
      <c r="D81" s="90"/>
      <c r="E81" s="82"/>
      <c r="F81" s="90"/>
    </row>
    <row r="82" spans="1:6" s="25" customFormat="1" ht="12.75">
      <c r="A82" s="82"/>
      <c r="B82" s="78" t="s">
        <v>65</v>
      </c>
      <c r="C82" s="138"/>
      <c r="D82" s="135"/>
      <c r="E82" s="138" t="s">
        <v>27</v>
      </c>
      <c r="F82" s="135"/>
    </row>
    <row r="83" spans="1:6" s="25" customFormat="1" ht="12.75">
      <c r="A83" s="82"/>
      <c r="B83" s="86"/>
      <c r="C83" s="84"/>
      <c r="D83" s="85"/>
      <c r="E83" s="84" t="s">
        <v>297</v>
      </c>
      <c r="F83" s="85">
        <v>132815000</v>
      </c>
    </row>
    <row r="84" spans="1:6" s="25" customFormat="1" ht="12.75">
      <c r="A84" s="82"/>
      <c r="B84" s="86"/>
      <c r="C84" s="84"/>
      <c r="D84" s="85"/>
      <c r="E84" s="84"/>
      <c r="F84" s="85"/>
    </row>
    <row r="85" spans="1:6" s="25" customFormat="1" ht="18" customHeight="1" thickBot="1">
      <c r="A85" s="82"/>
      <c r="B85" s="87" t="s">
        <v>13</v>
      </c>
      <c r="C85" s="124" t="s">
        <v>66</v>
      </c>
      <c r="D85" s="89">
        <f>SUM(D83:D83)</f>
        <v>0</v>
      </c>
      <c r="E85" s="124"/>
      <c r="F85" s="89">
        <f>SUM(F83:F84)</f>
        <v>132815000</v>
      </c>
    </row>
    <row r="86" spans="1:6" s="25" customFormat="1" ht="25.5" customHeight="1" thickBot="1">
      <c r="A86" s="82"/>
      <c r="B86" s="82"/>
      <c r="C86" s="82"/>
      <c r="D86" s="90"/>
      <c r="E86" s="82"/>
      <c r="F86" s="90"/>
    </row>
    <row r="87" spans="1:6" s="25" customFormat="1" ht="12.75">
      <c r="A87" s="82"/>
      <c r="B87" s="78" t="s">
        <v>67</v>
      </c>
      <c r="C87" s="138" t="s">
        <v>35</v>
      </c>
      <c r="D87" s="135"/>
      <c r="E87" s="139" t="s">
        <v>27</v>
      </c>
      <c r="F87" s="135"/>
    </row>
    <row r="88" spans="1:6" s="25" customFormat="1" ht="12.75">
      <c r="A88" s="82"/>
      <c r="B88" s="86"/>
      <c r="C88" s="84" t="s">
        <v>68</v>
      </c>
      <c r="D88" s="85">
        <v>3400000</v>
      </c>
      <c r="E88" s="131" t="s">
        <v>69</v>
      </c>
      <c r="F88" s="85">
        <v>4900000</v>
      </c>
    </row>
    <row r="89" spans="1:6" s="25" customFormat="1" ht="17.25" customHeight="1" thickBot="1">
      <c r="A89" s="82"/>
      <c r="B89" s="87" t="s">
        <v>13</v>
      </c>
      <c r="C89" s="124"/>
      <c r="D89" s="89">
        <f>SUM(D88:D88)</f>
        <v>3400000</v>
      </c>
      <c r="E89" s="134" t="s">
        <v>13</v>
      </c>
      <c r="F89" s="89">
        <f>SUM(F88:F88)</f>
        <v>4900000</v>
      </c>
    </row>
    <row r="90" spans="1:6" s="25" customFormat="1" ht="15" customHeight="1" thickBot="1">
      <c r="A90" s="82"/>
      <c r="B90" s="84"/>
      <c r="C90" s="84"/>
      <c r="D90" s="123"/>
      <c r="E90" s="84"/>
      <c r="F90" s="123"/>
    </row>
    <row r="91" spans="1:6" s="25" customFormat="1" ht="15" customHeight="1">
      <c r="A91" s="82"/>
      <c r="B91" s="139" t="s">
        <v>70</v>
      </c>
      <c r="C91" s="136"/>
      <c r="D91" s="142"/>
      <c r="E91" s="139" t="s">
        <v>38</v>
      </c>
      <c r="F91" s="135"/>
    </row>
    <row r="92" spans="1:6" s="25" customFormat="1" ht="15" customHeight="1">
      <c r="A92" s="82"/>
      <c r="B92" s="131"/>
      <c r="C92" s="84"/>
      <c r="D92" s="123"/>
      <c r="E92" s="131" t="s">
        <v>211</v>
      </c>
      <c r="F92" s="85">
        <v>28600000</v>
      </c>
    </row>
    <row r="93" spans="1:6" s="25" customFormat="1" ht="15" customHeight="1">
      <c r="A93" s="82"/>
      <c r="B93" s="131"/>
      <c r="C93" s="84"/>
      <c r="D93" s="123"/>
      <c r="E93" s="131" t="s">
        <v>212</v>
      </c>
      <c r="F93" s="85">
        <v>2300000</v>
      </c>
    </row>
    <row r="94" spans="1:6" s="25" customFormat="1" ht="15" customHeight="1">
      <c r="A94" s="82"/>
      <c r="B94" s="131"/>
      <c r="C94" s="84"/>
      <c r="D94" s="123"/>
      <c r="E94" s="131" t="s">
        <v>334</v>
      </c>
      <c r="F94" s="85">
        <v>3590000</v>
      </c>
    </row>
    <row r="95" spans="1:6" s="26" customFormat="1" ht="18" customHeight="1" thickBot="1">
      <c r="A95" s="82"/>
      <c r="B95" s="134"/>
      <c r="C95" s="124"/>
      <c r="D95" s="143"/>
      <c r="E95" s="134" t="s">
        <v>13</v>
      </c>
      <c r="F95" s="89">
        <f>SUM(F92:F94)</f>
        <v>34490000</v>
      </c>
    </row>
    <row r="96" spans="1:6" s="25" customFormat="1" ht="13.5" customHeight="1" thickBot="1">
      <c r="A96" s="140"/>
      <c r="B96" s="140"/>
      <c r="C96" s="140"/>
      <c r="D96" s="140"/>
      <c r="E96" s="140"/>
      <c r="F96" s="140"/>
    </row>
    <row r="97" spans="1:6" s="25" customFormat="1" ht="16.5" customHeight="1">
      <c r="A97" s="82"/>
      <c r="B97" s="78" t="s">
        <v>71</v>
      </c>
      <c r="C97" s="136" t="s">
        <v>18</v>
      </c>
      <c r="D97" s="135">
        <v>40000000</v>
      </c>
      <c r="E97" s="138"/>
      <c r="F97" s="141"/>
    </row>
    <row r="98" spans="1:6" s="25" customFormat="1" ht="16.5" customHeight="1">
      <c r="A98" s="82"/>
      <c r="B98" s="86"/>
      <c r="C98" s="84" t="s">
        <v>72</v>
      </c>
      <c r="D98" s="85">
        <v>12160000</v>
      </c>
      <c r="E98" s="84"/>
      <c r="F98" s="85"/>
    </row>
    <row r="99" spans="1:6" s="25" customFormat="1" ht="16.5" customHeight="1">
      <c r="A99" s="82"/>
      <c r="B99" s="86"/>
      <c r="C99" s="84" t="s">
        <v>16</v>
      </c>
      <c r="D99" s="85">
        <v>18000000</v>
      </c>
      <c r="E99" s="84" t="s">
        <v>73</v>
      </c>
      <c r="F99" s="85">
        <v>2000000</v>
      </c>
    </row>
    <row r="100" spans="1:6" s="25" customFormat="1" ht="16.5" customHeight="1">
      <c r="A100" s="82"/>
      <c r="B100" s="86"/>
      <c r="C100" s="84" t="s">
        <v>17</v>
      </c>
      <c r="D100" s="85">
        <f>42410000+217</f>
        <v>42410217</v>
      </c>
      <c r="E100" s="82" t="s">
        <v>49</v>
      </c>
      <c r="F100" s="133">
        <f>SUM(F98:F99)</f>
        <v>2000000</v>
      </c>
    </row>
    <row r="101" spans="1:6" s="25" customFormat="1" ht="16.5" customHeight="1">
      <c r="A101" s="82"/>
      <c r="B101" s="86"/>
      <c r="C101" s="84" t="s">
        <v>74</v>
      </c>
      <c r="D101" s="85">
        <v>280000000</v>
      </c>
      <c r="E101" s="82"/>
      <c r="F101" s="133"/>
    </row>
    <row r="102" spans="1:6" s="25" customFormat="1" ht="16.5" customHeight="1">
      <c r="A102" s="82"/>
      <c r="B102" s="86"/>
      <c r="C102" s="84" t="s">
        <v>75</v>
      </c>
      <c r="D102" s="85">
        <v>580000</v>
      </c>
      <c r="E102" s="82"/>
      <c r="F102" s="85"/>
    </row>
    <row r="103" spans="1:6" s="25" customFormat="1" ht="24" customHeight="1">
      <c r="A103" s="82"/>
      <c r="B103" s="86"/>
      <c r="C103" s="84" t="s">
        <v>237</v>
      </c>
      <c r="D103" s="85">
        <v>30957000</v>
      </c>
      <c r="E103" s="82"/>
      <c r="F103" s="85"/>
    </row>
    <row r="104" spans="1:6" s="26" customFormat="1" ht="16.5" customHeight="1" thickBot="1">
      <c r="A104" s="82"/>
      <c r="B104" s="87" t="s">
        <v>13</v>
      </c>
      <c r="C104" s="124"/>
      <c r="D104" s="89">
        <f>SUM(D97:D103)</f>
        <v>424107217</v>
      </c>
      <c r="E104" s="134" t="s">
        <v>13</v>
      </c>
      <c r="F104" s="89">
        <f>F97+F100+F101</f>
        <v>2000000</v>
      </c>
    </row>
    <row r="105" spans="1:6" s="25" customFormat="1" ht="12" customHeight="1" thickBot="1">
      <c r="A105" s="82"/>
      <c r="B105" s="84"/>
      <c r="C105" s="84"/>
      <c r="D105" s="123"/>
      <c r="E105" s="84"/>
      <c r="F105" s="123"/>
    </row>
    <row r="106" spans="1:6" s="26" customFormat="1" ht="17.25" customHeight="1">
      <c r="A106" s="82"/>
      <c r="B106" s="139" t="s">
        <v>76</v>
      </c>
      <c r="C106" s="139"/>
      <c r="D106" s="141"/>
      <c r="E106" s="138" t="s">
        <v>238</v>
      </c>
      <c r="F106" s="141">
        <v>1000000</v>
      </c>
    </row>
    <row r="107" spans="1:6" s="26" customFormat="1" ht="18" customHeight="1" thickBot="1">
      <c r="A107" s="82"/>
      <c r="B107" s="134" t="s">
        <v>13</v>
      </c>
      <c r="C107" s="134"/>
      <c r="D107" s="89"/>
      <c r="E107" s="124"/>
      <c r="F107" s="89">
        <f>SUM(F106:F106)</f>
        <v>1000000</v>
      </c>
    </row>
    <row r="108" spans="1:6" s="25" customFormat="1" ht="9.75" customHeight="1" thickBot="1">
      <c r="A108" s="140"/>
      <c r="B108" s="140"/>
      <c r="C108" s="140"/>
      <c r="D108" s="140"/>
      <c r="E108" s="140"/>
      <c r="F108" s="140"/>
    </row>
    <row r="109" spans="1:6" s="25" customFormat="1" ht="15" customHeight="1">
      <c r="A109" s="82"/>
      <c r="B109" s="78" t="s">
        <v>78</v>
      </c>
      <c r="C109" s="136"/>
      <c r="D109" s="142"/>
      <c r="E109" s="130" t="s">
        <v>300</v>
      </c>
      <c r="F109" s="135">
        <v>21000000</v>
      </c>
    </row>
    <row r="110" spans="1:6" s="25" customFormat="1" ht="25.5" customHeight="1">
      <c r="A110" s="82"/>
      <c r="B110" s="83" t="s">
        <v>123</v>
      </c>
      <c r="C110" s="84"/>
      <c r="D110" s="123"/>
      <c r="E110" s="131" t="s">
        <v>301</v>
      </c>
      <c r="F110" s="85">
        <v>2000000</v>
      </c>
    </row>
    <row r="111" spans="1:6" s="25" customFormat="1" ht="18" customHeight="1">
      <c r="A111" s="82"/>
      <c r="B111" s="86"/>
      <c r="C111" s="82"/>
      <c r="D111" s="123"/>
      <c r="E111" s="131" t="s">
        <v>302</v>
      </c>
      <c r="F111" s="85">
        <v>800000</v>
      </c>
    </row>
    <row r="112" spans="1:6" s="25" customFormat="1" ht="18" customHeight="1">
      <c r="A112" s="82"/>
      <c r="B112" s="86" t="s">
        <v>113</v>
      </c>
      <c r="C112" s="82"/>
      <c r="D112" s="123">
        <v>2000000</v>
      </c>
      <c r="E112" s="131" t="s">
        <v>303</v>
      </c>
      <c r="F112" s="85">
        <v>2000000</v>
      </c>
    </row>
    <row r="113" spans="1:6" s="25" customFormat="1" ht="18" customHeight="1">
      <c r="A113" s="82"/>
      <c r="B113" s="86" t="s">
        <v>114</v>
      </c>
      <c r="C113" s="84"/>
      <c r="D113" s="123"/>
      <c r="E113" s="132" t="s">
        <v>304</v>
      </c>
      <c r="F113" s="133">
        <f>SUM(F109:F112)</f>
        <v>25800000</v>
      </c>
    </row>
    <row r="114" spans="1:6" s="25" customFormat="1" ht="17.25" customHeight="1" thickBot="1">
      <c r="A114" s="82"/>
      <c r="B114" s="87" t="s">
        <v>13</v>
      </c>
      <c r="C114" s="88"/>
      <c r="D114" s="143">
        <f>SUM(D110:D113)</f>
        <v>2000000</v>
      </c>
      <c r="E114" s="134" t="s">
        <v>335</v>
      </c>
      <c r="F114" s="89">
        <v>3000000</v>
      </c>
    </row>
    <row r="115" spans="1:6" s="25" customFormat="1" ht="8.25" customHeight="1">
      <c r="A115" s="82"/>
      <c r="B115" s="84"/>
      <c r="C115" s="84"/>
      <c r="D115" s="123"/>
      <c r="E115" s="84"/>
      <c r="F115" s="123"/>
    </row>
    <row r="116" spans="1:6" s="25" customFormat="1" ht="12" customHeight="1" thickBot="1">
      <c r="A116" s="82"/>
      <c r="B116" s="84"/>
      <c r="C116" s="84"/>
      <c r="D116" s="123"/>
      <c r="E116" s="84"/>
      <c r="F116" s="123"/>
    </row>
    <row r="117" spans="1:6" s="26" customFormat="1" ht="24.75" customHeight="1" thickBot="1">
      <c r="A117" s="82"/>
      <c r="B117" s="125" t="s">
        <v>79</v>
      </c>
      <c r="C117" s="94"/>
      <c r="D117" s="137"/>
      <c r="E117" s="94" t="s">
        <v>81</v>
      </c>
      <c r="F117" s="137">
        <v>1161000</v>
      </c>
    </row>
    <row r="118" spans="1:6" s="25" customFormat="1" ht="21" customHeight="1" thickBot="1">
      <c r="A118" s="140"/>
      <c r="B118" s="140"/>
      <c r="C118" s="140"/>
      <c r="D118" s="140"/>
      <c r="E118" s="140"/>
      <c r="F118" s="140"/>
    </row>
    <row r="119" spans="1:6" ht="13.5" thickBot="1">
      <c r="A119" s="71"/>
      <c r="B119" s="91" t="s">
        <v>82</v>
      </c>
      <c r="C119" s="92"/>
      <c r="D119" s="320"/>
      <c r="E119" s="125" t="s">
        <v>27</v>
      </c>
      <c r="F119" s="93">
        <v>300000</v>
      </c>
    </row>
    <row r="120" spans="1:6" ht="13.5" thickBot="1">
      <c r="A120" s="71"/>
      <c r="B120" s="77"/>
      <c r="C120" s="77"/>
      <c r="D120" s="209"/>
      <c r="E120" s="82"/>
      <c r="F120" s="209"/>
    </row>
    <row r="121" spans="1:6" s="25" customFormat="1" ht="17.25" customHeight="1" thickBot="1">
      <c r="A121" s="82"/>
      <c r="B121" s="128" t="s">
        <v>246</v>
      </c>
      <c r="C121" s="126"/>
      <c r="D121" s="321"/>
      <c r="E121" s="322"/>
      <c r="F121" s="419">
        <f>25000000+9639969-690000-29478000+1000000-110000-100000-750000-300000+5429123+108-126</f>
        <v>9641074</v>
      </c>
    </row>
    <row r="122" spans="1:6" ht="23.25" customHeight="1" thickBot="1">
      <c r="A122" s="71"/>
      <c r="B122" s="72"/>
      <c r="C122" s="72"/>
      <c r="D122" s="73"/>
      <c r="E122" s="72"/>
      <c r="F122" s="73"/>
    </row>
    <row r="123" spans="1:6" ht="13.5" thickBot="1">
      <c r="A123" s="71"/>
      <c r="B123" s="91" t="s">
        <v>7</v>
      </c>
      <c r="C123" s="92"/>
      <c r="D123" s="93">
        <f>D8+D20+D42+D47+D65+D73+D79+D85+D89+D95+D104+D107+D114+D117+D119+D121</f>
        <v>1444251000</v>
      </c>
      <c r="E123" s="94"/>
      <c r="F123" s="93">
        <f>F8+F20+F42+F47+F65+F73+F79+F85+F89+F95+F104+F107+F114+F117+F119+F121+F113</f>
        <v>989199000</v>
      </c>
    </row>
    <row r="124" spans="1:6" ht="13.5" thickBot="1">
      <c r="A124" s="71"/>
      <c r="B124" s="72"/>
      <c r="C124" s="72"/>
      <c r="D124" s="73"/>
      <c r="E124" s="72"/>
      <c r="F124" s="73"/>
    </row>
    <row r="125" spans="1:6" ht="12.75">
      <c r="A125" s="71"/>
      <c r="B125" s="95" t="s">
        <v>260</v>
      </c>
      <c r="C125" s="79"/>
      <c r="D125" s="80">
        <f>D104</f>
        <v>424107217</v>
      </c>
      <c r="E125" s="79" t="s">
        <v>96</v>
      </c>
      <c r="F125" s="80">
        <f>F76</f>
        <v>17099000</v>
      </c>
    </row>
    <row r="126" spans="1:6" ht="12.75">
      <c r="A126" s="71"/>
      <c r="B126" s="97" t="s">
        <v>261</v>
      </c>
      <c r="C126" s="98"/>
      <c r="D126" s="100">
        <f>D47+D71+D89</f>
        <v>35646000</v>
      </c>
      <c r="E126" s="98" t="s">
        <v>98</v>
      </c>
      <c r="F126" s="100">
        <f>F77</f>
        <v>4617000</v>
      </c>
    </row>
    <row r="127" spans="1:6" ht="12.75">
      <c r="A127" s="71"/>
      <c r="B127" s="97"/>
      <c r="C127" s="98"/>
      <c r="D127" s="100"/>
      <c r="E127" s="98" t="s">
        <v>100</v>
      </c>
      <c r="F127" s="100">
        <f>F8+F33+F47+F64+F71+F85+F89+F95+F100+F107+F119+F78</f>
        <v>290815800</v>
      </c>
    </row>
    <row r="128" spans="1:6" ht="12.75">
      <c r="A128" s="71"/>
      <c r="B128" s="97"/>
      <c r="C128" s="98"/>
      <c r="D128" s="100"/>
      <c r="E128" s="98" t="s">
        <v>314</v>
      </c>
      <c r="F128" s="100">
        <f>F113</f>
        <v>25800000</v>
      </c>
    </row>
    <row r="129" spans="1:6" ht="12.75">
      <c r="A129" s="71"/>
      <c r="B129" s="97" t="s">
        <v>313</v>
      </c>
      <c r="C129" s="98"/>
      <c r="D129" s="100">
        <f>D42</f>
        <v>852497783</v>
      </c>
      <c r="E129" s="98" t="s">
        <v>243</v>
      </c>
      <c r="F129" s="100">
        <f>F34</f>
        <v>113976000</v>
      </c>
    </row>
    <row r="130" spans="1:6" ht="12.75">
      <c r="A130" s="71"/>
      <c r="B130" s="97" t="s">
        <v>97</v>
      </c>
      <c r="C130" s="98"/>
      <c r="D130" s="100">
        <f>D114</f>
        <v>2000000</v>
      </c>
      <c r="E130" s="98" t="s">
        <v>315</v>
      </c>
      <c r="F130" s="100">
        <f>F13+F32</f>
        <v>472271000</v>
      </c>
    </row>
    <row r="131" spans="1:6" ht="12.75">
      <c r="A131" s="71"/>
      <c r="B131" s="97" t="s">
        <v>99</v>
      </c>
      <c r="C131" s="98"/>
      <c r="D131" s="100">
        <f>D117</f>
        <v>0</v>
      </c>
      <c r="E131" s="98" t="s">
        <v>316</v>
      </c>
      <c r="F131" s="100">
        <f>F11+F117+F19</f>
        <v>19501000</v>
      </c>
    </row>
    <row r="132" spans="1:6" ht="12.75">
      <c r="A132" s="71"/>
      <c r="B132" s="97" t="s">
        <v>19</v>
      </c>
      <c r="C132" s="98"/>
      <c r="D132" s="100">
        <f>D63</f>
        <v>130000000</v>
      </c>
      <c r="E132" s="98" t="s">
        <v>317</v>
      </c>
      <c r="F132" s="100">
        <f>F121+F114+F72</f>
        <v>15641074</v>
      </c>
    </row>
    <row r="133" spans="1:6" ht="13.5" thickBot="1">
      <c r="A133" s="71"/>
      <c r="B133" s="101"/>
      <c r="C133" s="102"/>
      <c r="D133" s="104"/>
      <c r="E133" s="102" t="s">
        <v>329</v>
      </c>
      <c r="F133" s="104">
        <f>F37</f>
        <v>29478126</v>
      </c>
    </row>
    <row r="134" spans="1:6" ht="13.5" thickBot="1">
      <c r="A134" s="71"/>
      <c r="B134" s="105" t="s">
        <v>106</v>
      </c>
      <c r="C134" s="106"/>
      <c r="D134" s="107">
        <f>SUM(D125:D133)</f>
        <v>1444251000</v>
      </c>
      <c r="E134" s="105" t="s">
        <v>106</v>
      </c>
      <c r="F134" s="107">
        <f>SUM(F125:F133)</f>
        <v>989199000</v>
      </c>
    </row>
    <row r="135" spans="1:6" ht="12.75">
      <c r="A135" s="71"/>
      <c r="B135" s="72"/>
      <c r="C135" s="72"/>
      <c r="D135" s="73"/>
      <c r="E135" s="72"/>
      <c r="F135" s="73"/>
    </row>
    <row r="136" spans="1:7" ht="12.75">
      <c r="A136" s="71"/>
      <c r="B136" s="580"/>
      <c r="C136" s="580"/>
      <c r="D136" s="580"/>
      <c r="E136" s="72"/>
      <c r="F136" s="73"/>
      <c r="G136" s="3"/>
    </row>
    <row r="137" spans="1:6" s="354" customFormat="1" ht="21" customHeight="1" thickBot="1">
      <c r="A137" s="351" t="s">
        <v>116</v>
      </c>
      <c r="B137" s="585" t="s">
        <v>125</v>
      </c>
      <c r="C137" s="585"/>
      <c r="D137" s="585"/>
      <c r="E137" s="352"/>
      <c r="F137" s="353"/>
    </row>
    <row r="138" spans="1:6" s="30" customFormat="1" ht="17.25" customHeight="1">
      <c r="A138" s="581"/>
      <c r="B138" s="582" t="s">
        <v>21</v>
      </c>
      <c r="C138" s="584" t="s">
        <v>22</v>
      </c>
      <c r="D138" s="584"/>
      <c r="E138" s="584" t="s">
        <v>23</v>
      </c>
      <c r="F138" s="592"/>
    </row>
    <row r="139" spans="1:6" s="30" customFormat="1" ht="18.75" customHeight="1" thickBot="1">
      <c r="A139" s="581"/>
      <c r="B139" s="583"/>
      <c r="C139" s="37"/>
      <c r="D139" s="38" t="s">
        <v>24</v>
      </c>
      <c r="E139" s="37" t="s">
        <v>25</v>
      </c>
      <c r="F139" s="39" t="s">
        <v>24</v>
      </c>
    </row>
    <row r="140" spans="1:6" ht="12.75">
      <c r="A140" s="40"/>
      <c r="B140" s="144" t="s">
        <v>28</v>
      </c>
      <c r="C140" s="42"/>
      <c r="D140" s="43"/>
      <c r="E140" s="44" t="s">
        <v>29</v>
      </c>
      <c r="F140" s="43"/>
    </row>
    <row r="141" spans="1:6" ht="12.75">
      <c r="A141" s="40"/>
      <c r="B141" s="145" t="s">
        <v>213</v>
      </c>
      <c r="C141" s="61"/>
      <c r="D141" s="63"/>
      <c r="E141" s="61"/>
      <c r="F141" s="63">
        <v>600000</v>
      </c>
    </row>
    <row r="142" spans="1:6" ht="12.75">
      <c r="A142" s="40"/>
      <c r="B142" s="145" t="s">
        <v>214</v>
      </c>
      <c r="C142" s="61"/>
      <c r="D142" s="63"/>
      <c r="E142" s="61"/>
      <c r="F142" s="63">
        <v>240000</v>
      </c>
    </row>
    <row r="143" spans="1:6" ht="12.75">
      <c r="A143" s="40"/>
      <c r="B143" s="145" t="s">
        <v>215</v>
      </c>
      <c r="C143" s="61"/>
      <c r="D143" s="63"/>
      <c r="E143" s="61"/>
      <c r="F143" s="63">
        <v>240000</v>
      </c>
    </row>
    <row r="144" spans="1:6" ht="12.75">
      <c r="A144" s="40"/>
      <c r="B144" s="145" t="s">
        <v>216</v>
      </c>
      <c r="C144" s="61"/>
      <c r="D144" s="63"/>
      <c r="E144" s="61" t="s">
        <v>244</v>
      </c>
      <c r="F144" s="63">
        <v>1800000</v>
      </c>
    </row>
    <row r="145" spans="1:6" ht="12.75">
      <c r="A145" s="40"/>
      <c r="B145" s="145" t="s">
        <v>217</v>
      </c>
      <c r="C145" s="61"/>
      <c r="D145" s="63"/>
      <c r="E145" s="61"/>
      <c r="F145" s="63">
        <v>300000</v>
      </c>
    </row>
    <row r="146" spans="1:6" ht="12.75">
      <c r="A146" s="40"/>
      <c r="B146" s="145" t="s">
        <v>218</v>
      </c>
      <c r="C146" s="61"/>
      <c r="D146" s="63"/>
      <c r="E146" s="61"/>
      <c r="F146" s="63">
        <v>150000</v>
      </c>
    </row>
    <row r="147" spans="1:6" ht="12.75">
      <c r="A147" s="40"/>
      <c r="B147" s="145" t="s">
        <v>225</v>
      </c>
      <c r="C147" s="61"/>
      <c r="D147" s="63"/>
      <c r="E147" s="61"/>
      <c r="F147" s="63">
        <v>350000</v>
      </c>
    </row>
    <row r="148" spans="1:6" ht="12.75">
      <c r="A148" s="40"/>
      <c r="B148" s="145" t="s">
        <v>219</v>
      </c>
      <c r="C148" s="61"/>
      <c r="D148" s="63"/>
      <c r="E148" s="61"/>
      <c r="F148" s="63">
        <v>120000</v>
      </c>
    </row>
    <row r="149" spans="1:6" ht="12.75">
      <c r="A149" s="40"/>
      <c r="B149" s="145" t="s">
        <v>271</v>
      </c>
      <c r="C149" s="61"/>
      <c r="D149" s="63"/>
      <c r="E149" s="61"/>
      <c r="F149" s="63">
        <v>100000</v>
      </c>
    </row>
    <row r="150" spans="1:6" ht="12.75">
      <c r="A150" s="40"/>
      <c r="B150" s="145" t="s">
        <v>220</v>
      </c>
      <c r="C150" s="61"/>
      <c r="D150" s="63"/>
      <c r="E150" s="61"/>
      <c r="F150" s="63">
        <v>300000</v>
      </c>
    </row>
    <row r="151" spans="1:6" ht="12.75">
      <c r="A151" s="40"/>
      <c r="B151" s="145" t="s">
        <v>221</v>
      </c>
      <c r="C151" s="61"/>
      <c r="D151" s="63"/>
      <c r="E151" s="61"/>
      <c r="F151" s="63">
        <v>600000</v>
      </c>
    </row>
    <row r="152" spans="1:6" ht="12.75">
      <c r="A152" s="40"/>
      <c r="B152" s="145" t="s">
        <v>222</v>
      </c>
      <c r="C152" s="61"/>
      <c r="D152" s="63"/>
      <c r="E152" s="61"/>
      <c r="F152" s="63">
        <f>1500000+100000</f>
        <v>1600000</v>
      </c>
    </row>
    <row r="153" spans="1:6" ht="12.75">
      <c r="A153" s="40"/>
      <c r="B153" s="145"/>
      <c r="C153" s="61"/>
      <c r="D153" s="63"/>
      <c r="E153" s="40" t="s">
        <v>318</v>
      </c>
      <c r="F153" s="170">
        <f>SUM(F141:F152)</f>
        <v>6400000</v>
      </c>
    </row>
    <row r="154" spans="1:6" ht="12.75">
      <c r="A154" s="40"/>
      <c r="B154" s="145" t="s">
        <v>223</v>
      </c>
      <c r="C154" s="61"/>
      <c r="D154" s="63"/>
      <c r="E154" s="61" t="s">
        <v>224</v>
      </c>
      <c r="F154" s="63">
        <v>1800000</v>
      </c>
    </row>
    <row r="155" spans="1:6" s="6" customFormat="1" ht="13.5">
      <c r="A155" s="146"/>
      <c r="B155" s="147" t="s">
        <v>2</v>
      </c>
      <c r="C155" s="148"/>
      <c r="D155" s="149"/>
      <c r="E155" s="40" t="s">
        <v>319</v>
      </c>
      <c r="F155" s="170">
        <f>SUM(F154)</f>
        <v>1800000</v>
      </c>
    </row>
    <row r="156" spans="1:6" s="5" customFormat="1" ht="13.5" thickBot="1">
      <c r="A156" s="40"/>
      <c r="B156" s="150" t="s">
        <v>13</v>
      </c>
      <c r="C156" s="69"/>
      <c r="D156" s="70"/>
      <c r="E156" s="69" t="s">
        <v>13</v>
      </c>
      <c r="F156" s="70">
        <f>F155+F153</f>
        <v>8200000</v>
      </c>
    </row>
    <row r="157" spans="1:6" ht="17.25" customHeight="1" thickBot="1">
      <c r="A157" s="40"/>
      <c r="B157" s="61"/>
      <c r="C157" s="61"/>
      <c r="D157" s="62"/>
      <c r="E157" s="61"/>
      <c r="F157" s="62"/>
    </row>
    <row r="158" spans="1:6" ht="12.75">
      <c r="A158" s="40"/>
      <c r="B158" s="144" t="s">
        <v>121</v>
      </c>
      <c r="C158" s="42"/>
      <c r="D158" s="43"/>
      <c r="E158" s="44"/>
      <c r="F158" s="43"/>
    </row>
    <row r="159" spans="1:6" s="25" customFormat="1" ht="12.75">
      <c r="A159" s="45"/>
      <c r="B159" s="49"/>
      <c r="C159" s="47"/>
      <c r="D159" s="48"/>
      <c r="E159" s="45" t="s">
        <v>242</v>
      </c>
      <c r="F159" s="48">
        <v>12096000</v>
      </c>
    </row>
    <row r="160" spans="1:6" s="25" customFormat="1" ht="19.5" customHeight="1">
      <c r="A160" s="45"/>
      <c r="B160" s="49"/>
      <c r="C160" s="47"/>
      <c r="D160" s="48"/>
      <c r="E160" s="45" t="s">
        <v>122</v>
      </c>
      <c r="F160" s="48">
        <v>3265000</v>
      </c>
    </row>
    <row r="161" spans="1:6" s="25" customFormat="1" ht="17.25" customHeight="1" thickBot="1">
      <c r="A161" s="45"/>
      <c r="B161" s="50"/>
      <c r="C161" s="51"/>
      <c r="D161" s="52">
        <f>SUM(D159:D160)</f>
        <v>0</v>
      </c>
      <c r="E161" s="151" t="s">
        <v>2</v>
      </c>
      <c r="F161" s="52">
        <f>SUM(F158:F160)</f>
        <v>15361000</v>
      </c>
    </row>
    <row r="162" spans="1:6" s="25" customFormat="1" ht="17.25" customHeight="1" thickBot="1">
      <c r="A162" s="45"/>
      <c r="B162" s="50"/>
      <c r="C162" s="51"/>
      <c r="D162" s="52"/>
      <c r="E162" s="151"/>
      <c r="F162" s="52"/>
    </row>
    <row r="163" spans="1:6" s="25" customFormat="1" ht="19.5" customHeight="1" thickBot="1">
      <c r="A163" s="45"/>
      <c r="B163" s="152" t="s">
        <v>50</v>
      </c>
      <c r="C163" s="153"/>
      <c r="D163" s="154"/>
      <c r="E163" s="156"/>
      <c r="F163" s="154"/>
    </row>
    <row r="164" spans="1:6" ht="12.75">
      <c r="A164" s="40"/>
      <c r="B164" s="157" t="s">
        <v>40</v>
      </c>
      <c r="C164" s="158"/>
      <c r="D164" s="43"/>
      <c r="E164" s="42"/>
      <c r="F164" s="43"/>
    </row>
    <row r="165" spans="1:6" s="25" customFormat="1" ht="12.75">
      <c r="A165" s="45"/>
      <c r="B165" s="159"/>
      <c r="C165" s="159"/>
      <c r="D165" s="48"/>
      <c r="E165" s="47" t="s">
        <v>46</v>
      </c>
      <c r="F165" s="48">
        <v>4800000</v>
      </c>
    </row>
    <row r="166" spans="1:6" s="25" customFormat="1" ht="12.75">
      <c r="A166" s="45"/>
      <c r="B166" s="159"/>
      <c r="C166" s="159"/>
      <c r="D166" s="48"/>
      <c r="E166" s="47" t="s">
        <v>55</v>
      </c>
      <c r="F166" s="48">
        <v>300000</v>
      </c>
    </row>
    <row r="167" spans="1:6" s="25" customFormat="1" ht="12.75">
      <c r="A167" s="45"/>
      <c r="B167" s="160"/>
      <c r="C167" s="160"/>
      <c r="D167" s="161"/>
      <c r="E167" s="45" t="s">
        <v>8</v>
      </c>
      <c r="F167" s="161">
        <f>SUM(F164:F166)</f>
        <v>5100000</v>
      </c>
    </row>
    <row r="168" spans="1:6" s="26" customFormat="1" ht="18" customHeight="1" thickBot="1">
      <c r="A168" s="45"/>
      <c r="B168" s="162" t="s">
        <v>13</v>
      </c>
      <c r="C168" s="162"/>
      <c r="D168" s="52"/>
      <c r="E168" s="151" t="s">
        <v>13</v>
      </c>
      <c r="F168" s="52">
        <f>F167</f>
        <v>5100000</v>
      </c>
    </row>
    <row r="169" spans="1:6" s="25" customFormat="1" ht="11.25" customHeight="1" thickBot="1">
      <c r="A169" s="45"/>
      <c r="B169" s="47"/>
      <c r="C169" s="47"/>
      <c r="D169" s="155"/>
      <c r="E169" s="47"/>
      <c r="F169" s="155"/>
    </row>
    <row r="170" spans="1:6" s="26" customFormat="1" ht="12.75">
      <c r="A170" s="45"/>
      <c r="B170" s="41" t="s">
        <v>56</v>
      </c>
      <c r="C170" s="158"/>
      <c r="D170" s="163"/>
      <c r="E170" s="164"/>
      <c r="F170" s="163"/>
    </row>
    <row r="171" spans="1:6" s="25" customFormat="1" ht="18" customHeight="1">
      <c r="A171" s="45"/>
      <c r="B171" s="49"/>
      <c r="C171" s="159" t="s">
        <v>60</v>
      </c>
      <c r="D171" s="48">
        <v>635000</v>
      </c>
      <c r="E171" s="47" t="s">
        <v>59</v>
      </c>
      <c r="F171" s="48">
        <v>700000</v>
      </c>
    </row>
    <row r="172" spans="1:6" s="25" customFormat="1" ht="18" customHeight="1">
      <c r="A172" s="45"/>
      <c r="B172" s="46" t="s">
        <v>93</v>
      </c>
      <c r="C172" s="160"/>
      <c r="D172" s="161">
        <f>SUM(D170:D171)</f>
        <v>635000</v>
      </c>
      <c r="E172" s="45" t="s">
        <v>49</v>
      </c>
      <c r="F172" s="161">
        <f>SUM(F170:F171)</f>
        <v>700000</v>
      </c>
    </row>
    <row r="173" spans="1:6" s="26" customFormat="1" ht="19.5" customHeight="1" thickBot="1">
      <c r="A173" s="45"/>
      <c r="B173" s="50" t="s">
        <v>13</v>
      </c>
      <c r="C173" s="162"/>
      <c r="D173" s="52">
        <f>SUM(D170:D171)</f>
        <v>635000</v>
      </c>
      <c r="E173" s="151" t="s">
        <v>13</v>
      </c>
      <c r="F173" s="52">
        <f>F172</f>
        <v>700000</v>
      </c>
    </row>
    <row r="174" spans="1:6" s="25" customFormat="1" ht="12" customHeight="1" thickBot="1">
      <c r="A174" s="45"/>
      <c r="B174" s="47"/>
      <c r="C174" s="47"/>
      <c r="D174" s="155"/>
      <c r="E174" s="47"/>
      <c r="F174" s="155"/>
    </row>
    <row r="175" spans="1:6" s="25" customFormat="1" ht="12.75">
      <c r="A175" s="45"/>
      <c r="B175" s="41" t="s">
        <v>293</v>
      </c>
      <c r="C175" s="164"/>
      <c r="D175" s="163"/>
      <c r="E175" s="165" t="s">
        <v>27</v>
      </c>
      <c r="F175" s="163"/>
    </row>
    <row r="176" spans="1:6" s="25" customFormat="1" ht="27.75" customHeight="1">
      <c r="A176" s="45"/>
      <c r="B176" s="49" t="s">
        <v>311</v>
      </c>
      <c r="C176" s="47"/>
      <c r="D176" s="48">
        <v>4500000</v>
      </c>
      <c r="E176" s="47" t="s">
        <v>297</v>
      </c>
      <c r="F176" s="48">
        <v>9000000</v>
      </c>
    </row>
    <row r="177" spans="1:6" s="25" customFormat="1" ht="18" customHeight="1" thickBot="1">
      <c r="A177" s="45"/>
      <c r="B177" s="50" t="s">
        <v>13</v>
      </c>
      <c r="C177" s="151"/>
      <c r="D177" s="52">
        <f>SUM(D176)</f>
        <v>4500000</v>
      </c>
      <c r="E177" s="162" t="s">
        <v>13</v>
      </c>
      <c r="F177" s="52">
        <f>SUM(F175:F176)</f>
        <v>9000000</v>
      </c>
    </row>
    <row r="178" spans="1:6" s="25" customFormat="1" ht="18" customHeight="1" thickBot="1">
      <c r="A178" s="45"/>
      <c r="B178" s="46"/>
      <c r="C178" s="45"/>
      <c r="D178" s="53"/>
      <c r="E178" s="160"/>
      <c r="F178" s="161"/>
    </row>
    <row r="179" spans="1:6" s="26" customFormat="1" ht="12.75">
      <c r="A179" s="45"/>
      <c r="B179" s="41" t="s">
        <v>62</v>
      </c>
      <c r="C179" s="165"/>
      <c r="D179" s="323"/>
      <c r="E179" s="168" t="s">
        <v>231</v>
      </c>
      <c r="F179" s="420">
        <f>5000000+1500000</f>
        <v>6500000</v>
      </c>
    </row>
    <row r="180" spans="1:6" s="26" customFormat="1" ht="25.5">
      <c r="A180" s="45"/>
      <c r="B180" s="46"/>
      <c r="C180" s="45"/>
      <c r="D180" s="53"/>
      <c r="E180" s="160" t="s">
        <v>230</v>
      </c>
      <c r="F180" s="161">
        <f>SUM(F179)</f>
        <v>6500000</v>
      </c>
    </row>
    <row r="181" spans="1:6" s="25" customFormat="1" ht="18" customHeight="1">
      <c r="A181" s="45"/>
      <c r="B181" s="49"/>
      <c r="C181" s="47"/>
      <c r="D181" s="155"/>
      <c r="E181" s="159" t="s">
        <v>63</v>
      </c>
      <c r="F181" s="48">
        <v>2345000</v>
      </c>
    </row>
    <row r="182" spans="1:6" s="25" customFormat="1" ht="18" customHeight="1">
      <c r="A182" s="45"/>
      <c r="B182" s="49"/>
      <c r="C182" s="47"/>
      <c r="D182" s="155"/>
      <c r="E182" s="159" t="s">
        <v>323</v>
      </c>
      <c r="F182" s="48">
        <v>2000000</v>
      </c>
    </row>
    <row r="183" spans="1:6" s="25" customFormat="1" ht="18" customHeight="1">
      <c r="A183" s="45"/>
      <c r="B183" s="49"/>
      <c r="C183" s="47"/>
      <c r="D183" s="155"/>
      <c r="E183" s="160" t="s">
        <v>49</v>
      </c>
      <c r="F183" s="161">
        <f>SUM(F181:F182)</f>
        <v>4345000</v>
      </c>
    </row>
    <row r="184" spans="1:6" s="25" customFormat="1" ht="14.25" customHeight="1">
      <c r="A184" s="45"/>
      <c r="B184" s="49"/>
      <c r="C184" s="47"/>
      <c r="D184" s="155"/>
      <c r="E184" s="160" t="s">
        <v>64</v>
      </c>
      <c r="F184" s="161">
        <v>1300000</v>
      </c>
    </row>
    <row r="185" spans="1:6" s="25" customFormat="1" ht="14.25" customHeight="1">
      <c r="A185" s="45"/>
      <c r="B185" s="49"/>
      <c r="C185" s="47"/>
      <c r="D185" s="155"/>
      <c r="E185" s="160"/>
      <c r="F185" s="48"/>
    </row>
    <row r="186" spans="1:6" s="26" customFormat="1" ht="16.5" customHeight="1" thickBot="1">
      <c r="A186" s="45"/>
      <c r="B186" s="50" t="s">
        <v>13</v>
      </c>
      <c r="C186" s="151"/>
      <c r="D186" s="171"/>
      <c r="E186" s="162" t="s">
        <v>13</v>
      </c>
      <c r="F186" s="52">
        <f>F180+F183+F184</f>
        <v>12145000</v>
      </c>
    </row>
    <row r="187" spans="1:6" s="25" customFormat="1" ht="36" customHeight="1" thickBot="1">
      <c r="A187" s="166"/>
      <c r="B187" s="166"/>
      <c r="C187" s="166"/>
      <c r="D187" s="166"/>
      <c r="E187" s="166"/>
      <c r="F187" s="166"/>
    </row>
    <row r="188" spans="1:6" ht="17.25" customHeight="1">
      <c r="A188" s="34"/>
      <c r="B188" s="157" t="s">
        <v>234</v>
      </c>
      <c r="C188" s="42"/>
      <c r="D188" s="167"/>
      <c r="E188" s="158" t="s">
        <v>119</v>
      </c>
      <c r="F188" s="167">
        <v>3500000</v>
      </c>
    </row>
    <row r="189" spans="1:6" ht="17.25" customHeight="1">
      <c r="A189" s="34"/>
      <c r="B189" s="60" t="s">
        <v>245</v>
      </c>
      <c r="C189" s="61"/>
      <c r="D189" s="170">
        <v>3500000</v>
      </c>
      <c r="E189" s="159" t="s">
        <v>120</v>
      </c>
      <c r="F189" s="170">
        <v>10000000</v>
      </c>
    </row>
    <row r="190" spans="1:6" ht="18.75" customHeight="1">
      <c r="A190" s="34"/>
      <c r="B190" s="169"/>
      <c r="C190" s="61"/>
      <c r="D190" s="170"/>
      <c r="E190" s="160" t="s">
        <v>118</v>
      </c>
      <c r="F190" s="170">
        <f>SUM(F188:F189)</f>
        <v>13500000</v>
      </c>
    </row>
    <row r="191" spans="1:6" ht="15.75" customHeight="1">
      <c r="A191" s="34"/>
      <c r="B191" s="169"/>
      <c r="C191" s="61"/>
      <c r="D191" s="170"/>
      <c r="E191" s="160" t="s">
        <v>77</v>
      </c>
      <c r="F191" s="170">
        <v>252000</v>
      </c>
    </row>
    <row r="192" spans="1:6" ht="19.5" customHeight="1" thickBot="1">
      <c r="A192" s="34"/>
      <c r="B192" s="68" t="s">
        <v>13</v>
      </c>
      <c r="C192" s="65"/>
      <c r="D192" s="70">
        <f>SUM(D189:D191)</f>
        <v>3500000</v>
      </c>
      <c r="E192" s="162" t="s">
        <v>13</v>
      </c>
      <c r="F192" s="70">
        <f>F190+F191</f>
        <v>13752000</v>
      </c>
    </row>
    <row r="193" spans="1:6" s="25" customFormat="1" ht="14.25" customHeight="1" thickBot="1">
      <c r="A193" s="166"/>
      <c r="B193" s="166"/>
      <c r="C193" s="166"/>
      <c r="D193" s="166"/>
      <c r="E193" s="166"/>
      <c r="F193" s="166"/>
    </row>
    <row r="194" spans="1:6" s="26" customFormat="1" ht="26.25" customHeight="1">
      <c r="A194" s="45"/>
      <c r="B194" s="168" t="s">
        <v>239</v>
      </c>
      <c r="C194" s="164"/>
      <c r="D194" s="163"/>
      <c r="E194" s="338"/>
      <c r="F194" s="339"/>
    </row>
    <row r="195" spans="1:6" s="26" customFormat="1" ht="19.5" customHeight="1">
      <c r="A195" s="45"/>
      <c r="B195" s="159"/>
      <c r="C195" s="47"/>
      <c r="D195" s="48"/>
      <c r="E195" s="47" t="s">
        <v>305</v>
      </c>
      <c r="F195" s="421">
        <v>6750000</v>
      </c>
    </row>
    <row r="196" spans="1:6" s="26" customFormat="1" ht="18.75" customHeight="1">
      <c r="A196" s="45"/>
      <c r="B196" s="160" t="s">
        <v>336</v>
      </c>
      <c r="C196" s="47"/>
      <c r="D196" s="161">
        <v>7921000</v>
      </c>
      <c r="E196" s="45" t="s">
        <v>306</v>
      </c>
      <c r="F196" s="340">
        <f>SUM(F195:F195)</f>
        <v>6750000</v>
      </c>
    </row>
    <row r="197" spans="1:6" ht="15" customHeight="1">
      <c r="A197" s="34"/>
      <c r="B197" s="60"/>
      <c r="C197" s="61"/>
      <c r="D197" s="63"/>
      <c r="E197" s="61"/>
      <c r="F197" s="341"/>
    </row>
    <row r="198" spans="1:6" ht="15" customHeight="1">
      <c r="A198" s="34"/>
      <c r="B198" s="60"/>
      <c r="C198" s="61"/>
      <c r="D198" s="63"/>
      <c r="E198" s="61"/>
      <c r="F198" s="341"/>
    </row>
    <row r="199" spans="1:6" ht="20.25" customHeight="1">
      <c r="A199" s="34"/>
      <c r="B199" s="169" t="s">
        <v>321</v>
      </c>
      <c r="C199" s="61"/>
      <c r="D199" s="170">
        <v>3664000</v>
      </c>
      <c r="E199" s="40" t="s">
        <v>332</v>
      </c>
      <c r="F199" s="342">
        <f>40000*9</f>
        <v>360000</v>
      </c>
    </row>
    <row r="200" spans="1:7" ht="17.25" customHeight="1">
      <c r="A200" s="34"/>
      <c r="B200" s="169" t="s">
        <v>331</v>
      </c>
      <c r="C200" s="61"/>
      <c r="D200" s="170">
        <v>333000</v>
      </c>
      <c r="E200" s="40" t="s">
        <v>333</v>
      </c>
      <c r="F200" s="342">
        <v>87000</v>
      </c>
      <c r="G200" s="3"/>
    </row>
    <row r="201" spans="1:6" ht="18.75" customHeight="1">
      <c r="A201" s="34"/>
      <c r="B201" s="169"/>
      <c r="C201" s="61"/>
      <c r="D201" s="170"/>
      <c r="E201" s="45" t="s">
        <v>322</v>
      </c>
      <c r="F201" s="342">
        <f>3997000-F199-F200</f>
        <v>3550000</v>
      </c>
    </row>
    <row r="202" spans="1:6" ht="19.5" customHeight="1" thickBot="1">
      <c r="A202" s="34"/>
      <c r="B202" s="68" t="s">
        <v>13</v>
      </c>
      <c r="C202" s="65"/>
      <c r="D202" s="70">
        <f>D199+D196+D200</f>
        <v>11918000</v>
      </c>
      <c r="E202" s="343" t="s">
        <v>13</v>
      </c>
      <c r="F202" s="344">
        <f>F199+F200+F201+F196</f>
        <v>10747000</v>
      </c>
    </row>
    <row r="203" spans="1:6" s="25" customFormat="1" ht="18.75" customHeight="1" thickBot="1">
      <c r="A203" s="166"/>
      <c r="B203" s="166"/>
      <c r="C203" s="166"/>
      <c r="D203" s="166"/>
      <c r="E203" s="166"/>
      <c r="F203" s="166"/>
    </row>
    <row r="204" spans="1:6" ht="20.25" customHeight="1">
      <c r="A204" s="34"/>
      <c r="B204" s="157" t="s">
        <v>232</v>
      </c>
      <c r="C204" s="42"/>
      <c r="D204" s="167"/>
      <c r="E204" s="168" t="s">
        <v>233</v>
      </c>
      <c r="F204" s="167">
        <v>2500000</v>
      </c>
    </row>
    <row r="205" spans="1:6" ht="17.25" customHeight="1">
      <c r="A205" s="34"/>
      <c r="B205" s="169" t="s">
        <v>80</v>
      </c>
      <c r="C205" s="61"/>
      <c r="D205" s="170">
        <v>200000</v>
      </c>
      <c r="E205" s="160" t="s">
        <v>229</v>
      </c>
      <c r="F205" s="170">
        <f>127000+1020000</f>
        <v>1147000</v>
      </c>
    </row>
    <row r="206" spans="1:6" ht="17.25" customHeight="1">
      <c r="A206" s="34"/>
      <c r="B206" s="169"/>
      <c r="C206" s="61"/>
      <c r="D206" s="170"/>
      <c r="E206" s="159" t="s">
        <v>324</v>
      </c>
      <c r="F206" s="63">
        <f>3353000+1000000+2000000</f>
        <v>6353000</v>
      </c>
    </row>
    <row r="207" spans="1:6" ht="17.25" customHeight="1">
      <c r="A207" s="34"/>
      <c r="B207" s="169"/>
      <c r="C207" s="61"/>
      <c r="D207" s="170"/>
      <c r="E207" s="159" t="s">
        <v>337</v>
      </c>
      <c r="F207" s="63">
        <f>1260000+100000</f>
        <v>1360000</v>
      </c>
    </row>
    <row r="208" spans="1:6" ht="17.25" customHeight="1">
      <c r="A208" s="34"/>
      <c r="B208" s="169"/>
      <c r="C208" s="61"/>
      <c r="D208" s="170"/>
      <c r="E208" s="159" t="s">
        <v>409</v>
      </c>
      <c r="F208" s="63">
        <v>750000</v>
      </c>
    </row>
    <row r="209" spans="1:6" ht="17.25" customHeight="1">
      <c r="A209" s="34"/>
      <c r="B209" s="169"/>
      <c r="C209" s="61"/>
      <c r="D209" s="170"/>
      <c r="E209" s="159" t="s">
        <v>330</v>
      </c>
      <c r="F209" s="63">
        <f>50000+100000+300000</f>
        <v>450000</v>
      </c>
    </row>
    <row r="210" spans="1:6" ht="18.75" customHeight="1">
      <c r="A210" s="34"/>
      <c r="B210" s="169"/>
      <c r="C210" s="61"/>
      <c r="D210" s="170"/>
      <c r="E210" s="160" t="s">
        <v>118</v>
      </c>
      <c r="F210" s="170">
        <f>SUM(F206:F209)</f>
        <v>8913000</v>
      </c>
    </row>
    <row r="211" spans="1:6" ht="19.5" customHeight="1" thickBot="1">
      <c r="A211" s="34"/>
      <c r="B211" s="68" t="s">
        <v>13</v>
      </c>
      <c r="C211" s="65"/>
      <c r="D211" s="70">
        <f>SUM(D204:D210)</f>
        <v>200000</v>
      </c>
      <c r="E211" s="162" t="s">
        <v>13</v>
      </c>
      <c r="F211" s="70">
        <f>F204+F205+F210</f>
        <v>12560000</v>
      </c>
    </row>
    <row r="212" spans="1:6" s="25" customFormat="1" ht="10.5" customHeight="1" thickBot="1">
      <c r="A212" s="166"/>
      <c r="B212" s="166"/>
      <c r="C212" s="166"/>
      <c r="D212" s="166"/>
      <c r="E212" s="166"/>
      <c r="F212" s="166"/>
    </row>
    <row r="213" spans="1:6" ht="13.5" thickBot="1">
      <c r="A213" s="34"/>
      <c r="B213" s="54" t="s">
        <v>7</v>
      </c>
      <c r="C213" s="55"/>
      <c r="D213" s="56">
        <f>D156+D121+D168+D173+D192+D186+D161+D211+D202+D177</f>
        <v>20753000</v>
      </c>
      <c r="E213" s="57"/>
      <c r="F213" s="56">
        <f>F156+F168+F173+F192+F186+F161+F211+F202+F177</f>
        <v>87565000</v>
      </c>
    </row>
    <row r="214" spans="1:6" ht="12.75">
      <c r="A214" s="34"/>
      <c r="B214" s="58" t="s">
        <v>95</v>
      </c>
      <c r="C214" s="42"/>
      <c r="D214" s="59">
        <f>D192+D173+D177</f>
        <v>8635000</v>
      </c>
      <c r="E214" s="58" t="s">
        <v>96</v>
      </c>
      <c r="F214" s="43">
        <f>F159+F204+F199</f>
        <v>14956000</v>
      </c>
    </row>
    <row r="215" spans="1:6" ht="12.75">
      <c r="A215" s="34"/>
      <c r="B215" s="60" t="s">
        <v>97</v>
      </c>
      <c r="C215" s="61"/>
      <c r="D215" s="62">
        <f>D196</f>
        <v>7921000</v>
      </c>
      <c r="E215" s="60" t="s">
        <v>98</v>
      </c>
      <c r="F215" s="63">
        <f>F205+F160+F200</f>
        <v>4499000</v>
      </c>
    </row>
    <row r="216" spans="1:6" ht="12.75">
      <c r="A216" s="34"/>
      <c r="B216" s="60" t="s">
        <v>99</v>
      </c>
      <c r="C216" s="61"/>
      <c r="D216" s="62">
        <f>D205+D200</f>
        <v>533000</v>
      </c>
      <c r="E216" s="60" t="s">
        <v>100</v>
      </c>
      <c r="F216" s="63">
        <f>F210+F190+F183+F173+F168+F201+F177</f>
        <v>45108000</v>
      </c>
    </row>
    <row r="217" spans="1:6" ht="12.75">
      <c r="A217" s="34"/>
      <c r="B217" s="60" t="s">
        <v>19</v>
      </c>
      <c r="C217" s="61"/>
      <c r="D217" s="62">
        <f>D199</f>
        <v>3664000</v>
      </c>
      <c r="E217" s="60" t="s">
        <v>326</v>
      </c>
      <c r="F217" s="63">
        <f>F155</f>
        <v>1800000</v>
      </c>
    </row>
    <row r="218" spans="1:6" ht="12.75">
      <c r="A218" s="34"/>
      <c r="B218" s="60"/>
      <c r="C218" s="61"/>
      <c r="D218" s="62"/>
      <c r="E218" s="60" t="s">
        <v>325</v>
      </c>
      <c r="F218" s="63">
        <f>F180+F191+F153</f>
        <v>13152000</v>
      </c>
    </row>
    <row r="219" spans="1:6" ht="12.75">
      <c r="A219" s="34"/>
      <c r="B219" s="60"/>
      <c r="C219" s="61"/>
      <c r="D219" s="62"/>
      <c r="E219" s="60" t="s">
        <v>103</v>
      </c>
      <c r="F219" s="63">
        <f>F184+F196</f>
        <v>8050000</v>
      </c>
    </row>
    <row r="220" spans="1:6" ht="12.75">
      <c r="A220" s="34"/>
      <c r="B220" s="60"/>
      <c r="C220" s="61"/>
      <c r="D220" s="62"/>
      <c r="E220" s="60"/>
      <c r="F220" s="63"/>
    </row>
    <row r="221" spans="1:6" ht="13.5" thickBot="1">
      <c r="A221" s="34"/>
      <c r="B221" s="64"/>
      <c r="C221" s="65"/>
      <c r="D221" s="66"/>
      <c r="E221" s="64"/>
      <c r="F221" s="67"/>
    </row>
    <row r="222" spans="1:6" ht="13.5" thickBot="1">
      <c r="A222" s="34"/>
      <c r="B222" s="68" t="s">
        <v>106</v>
      </c>
      <c r="C222" s="69"/>
      <c r="D222" s="70">
        <f>SUM(D214:D221)</f>
        <v>20753000</v>
      </c>
      <c r="E222" s="68" t="s">
        <v>106</v>
      </c>
      <c r="F222" s="70">
        <f>SUM(F214:F221)</f>
        <v>87565000</v>
      </c>
    </row>
    <row r="223" spans="1:7" ht="16.5" customHeight="1">
      <c r="A223" s="34"/>
      <c r="B223" s="35"/>
      <c r="C223" s="35"/>
      <c r="D223" s="36"/>
      <c r="E223" s="35"/>
      <c r="F223" s="36"/>
      <c r="G223" s="3"/>
    </row>
    <row r="224" spans="1:6" ht="15" customHeight="1">
      <c r="A224" s="71"/>
      <c r="B224" s="72"/>
      <c r="C224" s="72"/>
      <c r="D224" s="73"/>
      <c r="E224" s="72"/>
      <c r="F224" s="73"/>
    </row>
    <row r="225" spans="1:6" s="354" customFormat="1" ht="16.5" thickBot="1">
      <c r="A225" s="355" t="s">
        <v>4</v>
      </c>
      <c r="B225" s="588" t="s">
        <v>126</v>
      </c>
      <c r="C225" s="588"/>
      <c r="D225" s="588"/>
      <c r="E225" s="357"/>
      <c r="F225" s="358"/>
    </row>
    <row r="226" spans="1:6" s="30" customFormat="1" ht="17.25" customHeight="1">
      <c r="A226" s="589"/>
      <c r="B226" s="590" t="s">
        <v>21</v>
      </c>
      <c r="C226" s="578" t="s">
        <v>22</v>
      </c>
      <c r="D226" s="578"/>
      <c r="E226" s="578" t="s">
        <v>23</v>
      </c>
      <c r="F226" s="579"/>
    </row>
    <row r="227" spans="1:6" s="30" customFormat="1" ht="22.5" customHeight="1" thickBot="1">
      <c r="A227" s="589"/>
      <c r="B227" s="591"/>
      <c r="C227" s="74"/>
      <c r="D227" s="75" t="s">
        <v>24</v>
      </c>
      <c r="E227" s="74" t="s">
        <v>25</v>
      </c>
      <c r="F227" s="76" t="s">
        <v>24</v>
      </c>
    </row>
    <row r="228" spans="1:6" ht="25.5">
      <c r="A228" s="77"/>
      <c r="B228" s="78" t="s">
        <v>127</v>
      </c>
      <c r="C228" s="79"/>
      <c r="D228" s="80"/>
      <c r="E228" s="81" t="s">
        <v>36</v>
      </c>
      <c r="F228" s="80">
        <v>17424000</v>
      </c>
    </row>
    <row r="229" spans="1:6" s="25" customFormat="1" ht="12.75">
      <c r="A229" s="82"/>
      <c r="B229" s="83" t="s">
        <v>14</v>
      </c>
      <c r="C229" s="84"/>
      <c r="D229" s="85">
        <v>1900000</v>
      </c>
      <c r="E229" s="82" t="s">
        <v>37</v>
      </c>
      <c r="F229" s="85">
        <v>4662000</v>
      </c>
    </row>
    <row r="230" spans="1:6" s="25" customFormat="1" ht="12.75">
      <c r="A230" s="82"/>
      <c r="B230" s="83" t="s">
        <v>97</v>
      </c>
      <c r="C230" s="84"/>
      <c r="D230" s="85"/>
      <c r="E230" s="82" t="s">
        <v>38</v>
      </c>
      <c r="F230" s="85">
        <v>9108000</v>
      </c>
    </row>
    <row r="231" spans="1:6" s="25" customFormat="1" ht="17.25" customHeight="1" thickBot="1">
      <c r="A231" s="82"/>
      <c r="B231" s="87" t="s">
        <v>13</v>
      </c>
      <c r="C231" s="88"/>
      <c r="D231" s="89">
        <f>SUM(D228:D230)</f>
        <v>1900000</v>
      </c>
      <c r="E231" s="88"/>
      <c r="F231" s="89">
        <f>SUM(F228:F230)</f>
        <v>31194000</v>
      </c>
    </row>
    <row r="232" spans="1:6" s="25" customFormat="1" ht="10.5" customHeight="1" thickBot="1">
      <c r="A232" s="82"/>
      <c r="B232" s="82"/>
      <c r="C232" s="84"/>
      <c r="D232" s="90"/>
      <c r="E232" s="84"/>
      <c r="F232" s="90"/>
    </row>
    <row r="233" spans="1:6" ht="12.75">
      <c r="A233" s="77"/>
      <c r="B233" s="78" t="s">
        <v>128</v>
      </c>
      <c r="C233" s="79"/>
      <c r="D233" s="80"/>
      <c r="E233" s="81" t="s">
        <v>36</v>
      </c>
      <c r="F233" s="80">
        <v>0</v>
      </c>
    </row>
    <row r="234" spans="1:6" s="25" customFormat="1" ht="12.75">
      <c r="A234" s="82"/>
      <c r="B234" s="83" t="s">
        <v>14</v>
      </c>
      <c r="C234" s="84"/>
      <c r="D234" s="85"/>
      <c r="E234" s="82" t="s">
        <v>37</v>
      </c>
      <c r="F234" s="85">
        <v>0</v>
      </c>
    </row>
    <row r="235" spans="1:6" s="25" customFormat="1" ht="12.75">
      <c r="A235" s="82"/>
      <c r="B235" s="86"/>
      <c r="C235" s="84"/>
      <c r="D235" s="85"/>
      <c r="E235" s="82" t="s">
        <v>38</v>
      </c>
      <c r="F235" s="85">
        <v>3768000</v>
      </c>
    </row>
    <row r="236" spans="1:6" s="25" customFormat="1" ht="17.25" customHeight="1" thickBot="1">
      <c r="A236" s="82"/>
      <c r="B236" s="87" t="s">
        <v>13</v>
      </c>
      <c r="C236" s="88"/>
      <c r="D236" s="89">
        <f>SUM(D233:D235)</f>
        <v>0</v>
      </c>
      <c r="E236" s="88"/>
      <c r="F236" s="89">
        <f>SUM(F233:F235)</f>
        <v>3768000</v>
      </c>
    </row>
    <row r="237" spans="1:6" ht="23.25" customHeight="1" thickBot="1">
      <c r="A237" s="71"/>
      <c r="B237" s="72"/>
      <c r="C237" s="72"/>
      <c r="D237" s="73"/>
      <c r="E237" s="72"/>
      <c r="F237" s="73"/>
    </row>
    <row r="238" spans="1:6" ht="13.5" thickBot="1">
      <c r="A238" s="71"/>
      <c r="B238" s="91" t="s">
        <v>7</v>
      </c>
      <c r="C238" s="92"/>
      <c r="D238" s="93">
        <f>D231+D236</f>
        <v>1900000</v>
      </c>
      <c r="E238" s="94"/>
      <c r="F238" s="93">
        <f>F231+F236</f>
        <v>34962000</v>
      </c>
    </row>
    <row r="239" spans="1:6" ht="12.75">
      <c r="A239" s="71"/>
      <c r="B239" s="95" t="s">
        <v>95</v>
      </c>
      <c r="C239" s="79"/>
      <c r="D239" s="96">
        <f>D229+D234</f>
        <v>1900000</v>
      </c>
      <c r="E239" s="95" t="s">
        <v>96</v>
      </c>
      <c r="F239" s="80">
        <f>F228+F233</f>
        <v>17424000</v>
      </c>
    </row>
    <row r="240" spans="1:6" ht="12.75">
      <c r="A240" s="71"/>
      <c r="B240" s="97" t="s">
        <v>97</v>
      </c>
      <c r="C240" s="98"/>
      <c r="D240" s="99">
        <f>D230</f>
        <v>0</v>
      </c>
      <c r="E240" s="97" t="s">
        <v>98</v>
      </c>
      <c r="F240" s="100">
        <f>F229+F234</f>
        <v>4662000</v>
      </c>
    </row>
    <row r="241" spans="1:6" ht="12.75">
      <c r="A241" s="71"/>
      <c r="B241" s="97" t="s">
        <v>99</v>
      </c>
      <c r="C241" s="98"/>
      <c r="D241" s="99">
        <f>0</f>
        <v>0</v>
      </c>
      <c r="E241" s="97" t="s">
        <v>100</v>
      </c>
      <c r="F241" s="100">
        <f>F230+F235</f>
        <v>12876000</v>
      </c>
    </row>
    <row r="242" spans="1:6" ht="12.75">
      <c r="A242" s="71"/>
      <c r="B242" s="97" t="s">
        <v>19</v>
      </c>
      <c r="C242" s="98"/>
      <c r="D242" s="99">
        <f>0</f>
        <v>0</v>
      </c>
      <c r="E242" s="97" t="s">
        <v>101</v>
      </c>
      <c r="F242" s="100">
        <f>0</f>
        <v>0</v>
      </c>
    </row>
    <row r="243" spans="1:6" ht="12.75">
      <c r="A243" s="71"/>
      <c r="B243" s="97"/>
      <c r="C243" s="98"/>
      <c r="D243" s="99"/>
      <c r="E243" s="97" t="s">
        <v>102</v>
      </c>
      <c r="F243" s="100">
        <v>0</v>
      </c>
    </row>
    <row r="244" spans="1:6" ht="12.75">
      <c r="A244" s="71"/>
      <c r="B244" s="97"/>
      <c r="C244" s="98"/>
      <c r="D244" s="99"/>
      <c r="E244" s="97" t="s">
        <v>103</v>
      </c>
      <c r="F244" s="100">
        <v>0</v>
      </c>
    </row>
    <row r="245" spans="1:6" ht="12.75">
      <c r="A245" s="71"/>
      <c r="B245" s="97"/>
      <c r="C245" s="98"/>
      <c r="D245" s="99"/>
      <c r="E245" s="97" t="s">
        <v>104</v>
      </c>
      <c r="F245" s="100"/>
    </row>
    <row r="246" spans="1:6" ht="13.5" thickBot="1">
      <c r="A246" s="71"/>
      <c r="B246" s="101"/>
      <c r="C246" s="102"/>
      <c r="D246" s="103"/>
      <c r="E246" s="101" t="s">
        <v>105</v>
      </c>
      <c r="F246" s="104">
        <v>0</v>
      </c>
    </row>
    <row r="247" spans="1:6" ht="13.5" thickBot="1">
      <c r="A247" s="71"/>
      <c r="B247" s="105" t="s">
        <v>106</v>
      </c>
      <c r="C247" s="106"/>
      <c r="D247" s="107">
        <f>SUM(D239:D246)</f>
        <v>1900000</v>
      </c>
      <c r="E247" s="105" t="s">
        <v>106</v>
      </c>
      <c r="F247" s="107">
        <f>SUM(F239:F246)</f>
        <v>34962000</v>
      </c>
    </row>
    <row r="248" spans="1:6" ht="12.75">
      <c r="A248" s="71"/>
      <c r="B248" s="72"/>
      <c r="C248" s="72"/>
      <c r="D248" s="73"/>
      <c r="E248" s="72"/>
      <c r="F248" s="73"/>
    </row>
    <row r="249" spans="1:6" ht="12.75">
      <c r="A249" s="34"/>
      <c r="B249" s="35"/>
      <c r="C249" s="35"/>
      <c r="D249" s="36"/>
      <c r="E249" s="35"/>
      <c r="F249" s="36"/>
    </row>
    <row r="250" spans="1:6" s="354" customFormat="1" ht="19.5" customHeight="1" thickBot="1">
      <c r="A250" s="359" t="s">
        <v>4</v>
      </c>
      <c r="B250" s="593" t="s">
        <v>129</v>
      </c>
      <c r="C250" s="593"/>
      <c r="D250" s="593"/>
      <c r="E250" s="352"/>
      <c r="F250" s="353"/>
    </row>
    <row r="251" spans="1:6" s="30" customFormat="1" ht="17.25" customHeight="1">
      <c r="A251" s="581"/>
      <c r="B251" s="582" t="s">
        <v>21</v>
      </c>
      <c r="C251" s="584" t="s">
        <v>22</v>
      </c>
      <c r="D251" s="584"/>
      <c r="E251" s="584" t="s">
        <v>23</v>
      </c>
      <c r="F251" s="592"/>
    </row>
    <row r="252" spans="1:6" s="30" customFormat="1" ht="22.5" customHeight="1" thickBot="1">
      <c r="A252" s="581"/>
      <c r="B252" s="583"/>
      <c r="C252" s="37"/>
      <c r="D252" s="38" t="s">
        <v>24</v>
      </c>
      <c r="E252" s="37" t="s">
        <v>25</v>
      </c>
      <c r="F252" s="39" t="s">
        <v>24</v>
      </c>
    </row>
    <row r="253" spans="1:6" ht="12.75">
      <c r="A253" s="40"/>
      <c r="B253" s="41"/>
      <c r="C253" s="42"/>
      <c r="D253" s="43"/>
      <c r="E253" s="44" t="s">
        <v>36</v>
      </c>
      <c r="F253" s="43">
        <v>0</v>
      </c>
    </row>
    <row r="254" spans="1:6" s="25" customFormat="1" ht="12.75">
      <c r="A254" s="45"/>
      <c r="B254" s="46" t="s">
        <v>14</v>
      </c>
      <c r="C254" s="47"/>
      <c r="D254" s="48">
        <v>0</v>
      </c>
      <c r="E254" s="45" t="s">
        <v>37</v>
      </c>
      <c r="F254" s="48">
        <v>0</v>
      </c>
    </row>
    <row r="255" spans="1:6" s="25" customFormat="1" ht="12.75">
      <c r="A255" s="45"/>
      <c r="B255" s="46" t="s">
        <v>97</v>
      </c>
      <c r="C255" s="47"/>
      <c r="D255" s="48">
        <v>0</v>
      </c>
      <c r="E255" s="45" t="s">
        <v>38</v>
      </c>
      <c r="F255" s="48">
        <v>0</v>
      </c>
    </row>
    <row r="256" spans="1:6" s="25" customFormat="1" ht="17.25" customHeight="1" thickBot="1">
      <c r="A256" s="45"/>
      <c r="B256" s="50" t="s">
        <v>13</v>
      </c>
      <c r="C256" s="51"/>
      <c r="D256" s="52">
        <f>SUM(D253:D255)</f>
        <v>0</v>
      </c>
      <c r="E256" s="51"/>
      <c r="F256" s="52">
        <f>SUM(F253:F255)</f>
        <v>0</v>
      </c>
    </row>
    <row r="257" spans="1:6" ht="13.5" thickBot="1">
      <c r="A257" s="34"/>
      <c r="B257" s="54" t="s">
        <v>7</v>
      </c>
      <c r="C257" s="55"/>
      <c r="D257" s="56">
        <f>D256</f>
        <v>0</v>
      </c>
      <c r="E257" s="57"/>
      <c r="F257" s="56">
        <f>F256</f>
        <v>0</v>
      </c>
    </row>
    <row r="258" spans="1:6" ht="13.5" thickBot="1">
      <c r="A258" s="34"/>
      <c r="B258" s="40"/>
      <c r="C258" s="40"/>
      <c r="D258" s="210"/>
      <c r="E258" s="45"/>
      <c r="F258" s="210"/>
    </row>
    <row r="259" spans="1:6" ht="12.75">
      <c r="A259" s="34"/>
      <c r="B259" s="58" t="s">
        <v>95</v>
      </c>
      <c r="C259" s="42"/>
      <c r="D259" s="59">
        <f>D254</f>
        <v>0</v>
      </c>
      <c r="E259" s="58" t="s">
        <v>96</v>
      </c>
      <c r="F259" s="43">
        <f>F253</f>
        <v>0</v>
      </c>
    </row>
    <row r="260" spans="1:6" ht="12.75">
      <c r="A260" s="34"/>
      <c r="B260" s="60" t="s">
        <v>97</v>
      </c>
      <c r="C260" s="61"/>
      <c r="D260" s="62">
        <f>D255</f>
        <v>0</v>
      </c>
      <c r="E260" s="60" t="s">
        <v>98</v>
      </c>
      <c r="F260" s="63">
        <f>F254</f>
        <v>0</v>
      </c>
    </row>
    <row r="261" spans="1:6" ht="12.75">
      <c r="A261" s="34"/>
      <c r="B261" s="60" t="s">
        <v>99</v>
      </c>
      <c r="C261" s="61"/>
      <c r="D261" s="62">
        <f>0</f>
        <v>0</v>
      </c>
      <c r="E261" s="60" t="s">
        <v>100</v>
      </c>
      <c r="F261" s="63">
        <f>F255</f>
        <v>0</v>
      </c>
    </row>
    <row r="262" spans="1:6" ht="12.75">
      <c r="A262" s="34"/>
      <c r="B262" s="60" t="s">
        <v>19</v>
      </c>
      <c r="C262" s="61"/>
      <c r="D262" s="62">
        <f>0</f>
        <v>0</v>
      </c>
      <c r="E262" s="60" t="s">
        <v>101</v>
      </c>
      <c r="F262" s="63">
        <f>0</f>
        <v>0</v>
      </c>
    </row>
    <row r="263" spans="1:6" ht="12.75">
      <c r="A263" s="34"/>
      <c r="B263" s="60"/>
      <c r="C263" s="61"/>
      <c r="D263" s="62"/>
      <c r="E263" s="60" t="s">
        <v>102</v>
      </c>
      <c r="F263" s="63">
        <v>0</v>
      </c>
    </row>
    <row r="264" spans="1:6" ht="12.75">
      <c r="A264" s="34"/>
      <c r="B264" s="60"/>
      <c r="C264" s="61"/>
      <c r="D264" s="62"/>
      <c r="E264" s="60" t="s">
        <v>103</v>
      </c>
      <c r="F264" s="63">
        <v>0</v>
      </c>
    </row>
    <row r="265" spans="1:6" ht="12.75">
      <c r="A265" s="34"/>
      <c r="B265" s="60"/>
      <c r="C265" s="61"/>
      <c r="D265" s="62"/>
      <c r="E265" s="60" t="s">
        <v>104</v>
      </c>
      <c r="F265" s="63"/>
    </row>
    <row r="266" spans="1:6" ht="13.5" thickBot="1">
      <c r="A266" s="34"/>
      <c r="B266" s="64"/>
      <c r="C266" s="65"/>
      <c r="D266" s="66"/>
      <c r="E266" s="64" t="s">
        <v>105</v>
      </c>
      <c r="F266" s="67">
        <v>0</v>
      </c>
    </row>
    <row r="267" spans="1:6" ht="13.5" thickBot="1">
      <c r="A267" s="34"/>
      <c r="B267" s="68" t="s">
        <v>106</v>
      </c>
      <c r="C267" s="69"/>
      <c r="D267" s="70">
        <f>SUM(D259:D266)</f>
        <v>0</v>
      </c>
      <c r="E267" s="68" t="s">
        <v>106</v>
      </c>
      <c r="F267" s="70">
        <f>SUM(F259:F266)</f>
        <v>0</v>
      </c>
    </row>
    <row r="268" spans="1:6" ht="12.75">
      <c r="A268" s="34"/>
      <c r="B268" s="35"/>
      <c r="C268" s="35"/>
      <c r="D268" s="36"/>
      <c r="E268" s="35"/>
      <c r="F268" s="36"/>
    </row>
    <row r="269" spans="1:6" s="354" customFormat="1" ht="24.75" customHeight="1" thickBot="1">
      <c r="A269" s="355" t="s">
        <v>5</v>
      </c>
      <c r="B269" s="588" t="s">
        <v>130</v>
      </c>
      <c r="C269" s="588"/>
      <c r="D269" s="588"/>
      <c r="E269" s="357"/>
      <c r="F269" s="358"/>
    </row>
    <row r="270" spans="1:6" s="30" customFormat="1" ht="17.25" customHeight="1">
      <c r="A270" s="589"/>
      <c r="B270" s="590" t="s">
        <v>21</v>
      </c>
      <c r="C270" s="578" t="s">
        <v>22</v>
      </c>
      <c r="D270" s="578"/>
      <c r="E270" s="578" t="s">
        <v>23</v>
      </c>
      <c r="F270" s="579"/>
    </row>
    <row r="271" spans="1:6" s="30" customFormat="1" ht="22.5" customHeight="1" thickBot="1">
      <c r="A271" s="589"/>
      <c r="B271" s="591"/>
      <c r="C271" s="74"/>
      <c r="D271" s="75" t="s">
        <v>24</v>
      </c>
      <c r="E271" s="74" t="s">
        <v>25</v>
      </c>
      <c r="F271" s="76" t="s">
        <v>24</v>
      </c>
    </row>
    <row r="272" spans="1:6" ht="12.75">
      <c r="A272" s="77"/>
      <c r="B272" s="78" t="s">
        <v>132</v>
      </c>
      <c r="C272" s="79"/>
      <c r="D272" s="80"/>
      <c r="E272" s="81" t="s">
        <v>36</v>
      </c>
      <c r="F272" s="80">
        <v>18427000</v>
      </c>
    </row>
    <row r="273" spans="1:6" s="25" customFormat="1" ht="12.75">
      <c r="A273" s="82"/>
      <c r="B273" s="83" t="s">
        <v>14</v>
      </c>
      <c r="C273" s="84"/>
      <c r="D273" s="85">
        <v>30000000</v>
      </c>
      <c r="E273" s="82" t="s">
        <v>37</v>
      </c>
      <c r="F273" s="85">
        <v>4983000</v>
      </c>
    </row>
    <row r="274" spans="1:6" s="25" customFormat="1" ht="12.75">
      <c r="A274" s="82"/>
      <c r="B274" s="83" t="s">
        <v>265</v>
      </c>
      <c r="C274" s="84"/>
      <c r="D274" s="85">
        <v>0</v>
      </c>
      <c r="E274" s="82" t="s">
        <v>38</v>
      </c>
      <c r="F274" s="85">
        <v>29266000</v>
      </c>
    </row>
    <row r="275" spans="1:6" s="25" customFormat="1" ht="17.25" customHeight="1" thickBot="1">
      <c r="A275" s="82"/>
      <c r="B275" s="87" t="s">
        <v>13</v>
      </c>
      <c r="C275" s="88"/>
      <c r="D275" s="89">
        <f>SUM(D272:D274)</f>
        <v>30000000</v>
      </c>
      <c r="E275" s="88"/>
      <c r="F275" s="89">
        <f>SUM(F272:F274)</f>
        <v>52676000</v>
      </c>
    </row>
    <row r="276" spans="1:6" s="25" customFormat="1" ht="17.25" customHeight="1" thickBot="1">
      <c r="A276" s="82"/>
      <c r="B276" s="82"/>
      <c r="C276" s="84"/>
      <c r="D276" s="90"/>
      <c r="E276" s="84"/>
      <c r="F276" s="90"/>
    </row>
    <row r="277" spans="1:6" ht="13.5" thickBot="1">
      <c r="A277" s="71"/>
      <c r="B277" s="91" t="s">
        <v>7</v>
      </c>
      <c r="C277" s="92"/>
      <c r="D277" s="93">
        <f>D275</f>
        <v>30000000</v>
      </c>
      <c r="E277" s="94"/>
      <c r="F277" s="93">
        <f>F275</f>
        <v>52676000</v>
      </c>
    </row>
    <row r="278" spans="1:6" ht="12.75" customHeight="1">
      <c r="A278" s="71"/>
      <c r="B278" s="95" t="s">
        <v>95</v>
      </c>
      <c r="C278" s="79"/>
      <c r="D278" s="96">
        <f>D273</f>
        <v>30000000</v>
      </c>
      <c r="E278" s="95" t="s">
        <v>96</v>
      </c>
      <c r="F278" s="80">
        <f>F272</f>
        <v>18427000</v>
      </c>
    </row>
    <row r="279" spans="1:6" ht="12.75" customHeight="1">
      <c r="A279" s="71"/>
      <c r="B279" s="97" t="s">
        <v>97</v>
      </c>
      <c r="C279" s="98"/>
      <c r="D279" s="99">
        <f>D274</f>
        <v>0</v>
      </c>
      <c r="E279" s="97" t="s">
        <v>98</v>
      </c>
      <c r="F279" s="100">
        <f>F273</f>
        <v>4983000</v>
      </c>
    </row>
    <row r="280" spans="1:6" ht="12.75" customHeight="1">
      <c r="A280" s="71"/>
      <c r="B280" s="97" t="s">
        <v>99</v>
      </c>
      <c r="C280" s="98"/>
      <c r="D280" s="99">
        <f>0</f>
        <v>0</v>
      </c>
      <c r="E280" s="97" t="s">
        <v>100</v>
      </c>
      <c r="F280" s="100">
        <f>F274</f>
        <v>29266000</v>
      </c>
    </row>
    <row r="281" spans="1:6" ht="12.75" customHeight="1">
      <c r="A281" s="71"/>
      <c r="B281" s="97" t="s">
        <v>19</v>
      </c>
      <c r="C281" s="98"/>
      <c r="D281" s="99">
        <f>0</f>
        <v>0</v>
      </c>
      <c r="E281" s="97" t="s">
        <v>101</v>
      </c>
      <c r="F281" s="100">
        <f>0</f>
        <v>0</v>
      </c>
    </row>
    <row r="282" spans="1:6" ht="12.75" customHeight="1">
      <c r="A282" s="71"/>
      <c r="B282" s="97"/>
      <c r="C282" s="98"/>
      <c r="D282" s="99"/>
      <c r="E282" s="97" t="s">
        <v>102</v>
      </c>
      <c r="F282" s="100">
        <v>0</v>
      </c>
    </row>
    <row r="283" spans="1:6" ht="12.75" customHeight="1">
      <c r="A283" s="71"/>
      <c r="B283" s="97"/>
      <c r="C283" s="98"/>
      <c r="D283" s="99"/>
      <c r="E283" s="97" t="s">
        <v>103</v>
      </c>
      <c r="F283" s="100">
        <v>0</v>
      </c>
    </row>
    <row r="284" spans="1:6" ht="12.75" customHeight="1">
      <c r="A284" s="71"/>
      <c r="B284" s="97"/>
      <c r="C284" s="98"/>
      <c r="D284" s="99"/>
      <c r="E284" s="97" t="s">
        <v>104</v>
      </c>
      <c r="F284" s="100"/>
    </row>
    <row r="285" spans="1:6" ht="13.5" customHeight="1" thickBot="1">
      <c r="A285" s="71"/>
      <c r="B285" s="101"/>
      <c r="C285" s="102"/>
      <c r="D285" s="103"/>
      <c r="E285" s="101" t="s">
        <v>105</v>
      </c>
      <c r="F285" s="104">
        <v>0</v>
      </c>
    </row>
    <row r="286" spans="1:6" ht="13.5" customHeight="1" thickBot="1">
      <c r="A286" s="71"/>
      <c r="B286" s="105" t="s">
        <v>106</v>
      </c>
      <c r="C286" s="106"/>
      <c r="D286" s="107">
        <f>SUM(D278:D285)</f>
        <v>30000000</v>
      </c>
      <c r="E286" s="105" t="s">
        <v>106</v>
      </c>
      <c r="F286" s="107">
        <f>SUM(F278:F285)</f>
        <v>52676000</v>
      </c>
    </row>
    <row r="287" spans="1:6" ht="12.75">
      <c r="A287" s="71"/>
      <c r="B287" s="72"/>
      <c r="C287" s="72"/>
      <c r="D287" s="73"/>
      <c r="E287" s="72"/>
      <c r="F287" s="73"/>
    </row>
    <row r="288" spans="1:6" ht="12.75">
      <c r="A288" s="34"/>
      <c r="B288" s="35"/>
      <c r="C288" s="35"/>
      <c r="D288" s="36"/>
      <c r="E288" s="35"/>
      <c r="F288" s="36"/>
    </row>
    <row r="289" spans="1:6" s="354" customFormat="1" ht="16.5" thickBot="1">
      <c r="A289" s="359" t="s">
        <v>5</v>
      </c>
      <c r="B289" s="593" t="s">
        <v>131</v>
      </c>
      <c r="C289" s="593"/>
      <c r="D289" s="593"/>
      <c r="E289" s="352"/>
      <c r="F289" s="353"/>
    </row>
    <row r="290" spans="1:6" s="30" customFormat="1" ht="17.25" customHeight="1">
      <c r="A290" s="581"/>
      <c r="B290" s="582" t="s">
        <v>21</v>
      </c>
      <c r="C290" s="584" t="s">
        <v>22</v>
      </c>
      <c r="D290" s="584"/>
      <c r="E290" s="584" t="s">
        <v>23</v>
      </c>
      <c r="F290" s="592"/>
    </row>
    <row r="291" spans="1:6" s="30" customFormat="1" ht="22.5" customHeight="1" thickBot="1">
      <c r="A291" s="581"/>
      <c r="B291" s="583"/>
      <c r="C291" s="37"/>
      <c r="D291" s="38" t="s">
        <v>24</v>
      </c>
      <c r="E291" s="37" t="s">
        <v>25</v>
      </c>
      <c r="F291" s="39" t="s">
        <v>24</v>
      </c>
    </row>
    <row r="292" spans="1:6" ht="25.5">
      <c r="A292" s="40"/>
      <c r="B292" s="41" t="s">
        <v>133</v>
      </c>
      <c r="C292" s="42"/>
      <c r="D292" s="43"/>
      <c r="E292" s="44" t="s">
        <v>36</v>
      </c>
      <c r="F292" s="43">
        <v>1145000</v>
      </c>
    </row>
    <row r="293" spans="1:6" s="25" customFormat="1" ht="12.75">
      <c r="A293" s="45"/>
      <c r="B293" s="46" t="s">
        <v>14</v>
      </c>
      <c r="C293" s="47"/>
      <c r="D293" s="48">
        <v>6680000</v>
      </c>
      <c r="E293" s="45" t="s">
        <v>37</v>
      </c>
      <c r="F293" s="48">
        <v>459000</v>
      </c>
    </row>
    <row r="294" spans="1:6" s="25" customFormat="1" ht="12.75">
      <c r="A294" s="45"/>
      <c r="B294" s="49"/>
      <c r="C294" s="47"/>
      <c r="D294" s="48"/>
      <c r="E294" s="45" t="s">
        <v>38</v>
      </c>
      <c r="F294" s="48">
        <v>7795000</v>
      </c>
    </row>
    <row r="295" spans="1:6" s="25" customFormat="1" ht="17.25" customHeight="1" thickBot="1">
      <c r="A295" s="45"/>
      <c r="B295" s="50" t="s">
        <v>13</v>
      </c>
      <c r="C295" s="51"/>
      <c r="D295" s="52">
        <f>SUM(D292:D294)</f>
        <v>6680000</v>
      </c>
      <c r="E295" s="51"/>
      <c r="F295" s="52">
        <f>SUM(F292:F294)</f>
        <v>9399000</v>
      </c>
    </row>
    <row r="296" spans="1:6" s="25" customFormat="1" ht="9" customHeight="1" thickBot="1">
      <c r="A296" s="45"/>
      <c r="B296" s="45"/>
      <c r="C296" s="47"/>
      <c r="D296" s="53"/>
      <c r="E296" s="47"/>
      <c r="F296" s="53"/>
    </row>
    <row r="297" spans="1:6" ht="12.75">
      <c r="A297" s="40"/>
      <c r="B297" s="41" t="s">
        <v>134</v>
      </c>
      <c r="C297" s="42"/>
      <c r="D297" s="43"/>
      <c r="E297" s="44" t="s">
        <v>36</v>
      </c>
      <c r="F297" s="43">
        <v>10956000</v>
      </c>
    </row>
    <row r="298" spans="1:6" s="25" customFormat="1" ht="12.75">
      <c r="A298" s="45"/>
      <c r="B298" s="46" t="s">
        <v>14</v>
      </c>
      <c r="C298" s="47"/>
      <c r="D298" s="48">
        <v>22225000</v>
      </c>
      <c r="E298" s="45" t="s">
        <v>37</v>
      </c>
      <c r="F298" s="48">
        <v>3029000</v>
      </c>
    </row>
    <row r="299" spans="1:6" s="25" customFormat="1" ht="12.75">
      <c r="A299" s="45"/>
      <c r="B299" s="46" t="s">
        <v>265</v>
      </c>
      <c r="C299" s="47"/>
      <c r="D299" s="48">
        <v>0</v>
      </c>
      <c r="E299" s="45" t="s">
        <v>38</v>
      </c>
      <c r="F299" s="48">
        <v>19884000</v>
      </c>
    </row>
    <row r="300" spans="1:6" s="25" customFormat="1" ht="12.75">
      <c r="A300" s="45"/>
      <c r="B300" s="46" t="s">
        <v>264</v>
      </c>
      <c r="C300" s="47"/>
      <c r="D300" s="48">
        <v>0</v>
      </c>
      <c r="E300" s="45"/>
      <c r="F300" s="48"/>
    </row>
    <row r="301" spans="1:6" s="25" customFormat="1" ht="17.25" customHeight="1" thickBot="1">
      <c r="A301" s="45"/>
      <c r="B301" s="50" t="s">
        <v>13</v>
      </c>
      <c r="C301" s="51"/>
      <c r="D301" s="52">
        <f>SUM(D297:D300)</f>
        <v>22225000</v>
      </c>
      <c r="E301" s="51"/>
      <c r="F301" s="52">
        <f>SUM(F297:F299)</f>
        <v>33869000</v>
      </c>
    </row>
    <row r="302" spans="1:6" ht="12.75" customHeight="1" thickBot="1">
      <c r="A302" s="34"/>
      <c r="B302" s="35"/>
      <c r="C302" s="35"/>
      <c r="D302" s="36"/>
      <c r="E302" s="35"/>
      <c r="F302" s="36"/>
    </row>
    <row r="303" spans="1:6" ht="12.75">
      <c r="A303" s="40"/>
      <c r="B303" s="144" t="s">
        <v>34</v>
      </c>
      <c r="C303" s="42" t="s">
        <v>35</v>
      </c>
      <c r="D303" s="43">
        <v>8850000</v>
      </c>
      <c r="E303" s="44" t="s">
        <v>36</v>
      </c>
      <c r="F303" s="43">
        <v>720000</v>
      </c>
    </row>
    <row r="304" spans="1:6" s="25" customFormat="1" ht="12.75">
      <c r="A304" s="45"/>
      <c r="B304" s="49"/>
      <c r="C304" s="47"/>
      <c r="D304" s="48">
        <v>0</v>
      </c>
      <c r="E304" s="45" t="s">
        <v>37</v>
      </c>
      <c r="F304" s="48">
        <v>350000</v>
      </c>
    </row>
    <row r="305" spans="1:6" s="25" customFormat="1" ht="12.75">
      <c r="A305" s="45"/>
      <c r="B305" s="49"/>
      <c r="C305" s="47"/>
      <c r="D305" s="48"/>
      <c r="E305" s="45" t="s">
        <v>38</v>
      </c>
      <c r="F305" s="48">
        <v>8843000</v>
      </c>
    </row>
    <row r="306" spans="1:6" s="25" customFormat="1" ht="17.25" customHeight="1" thickBot="1">
      <c r="A306" s="45"/>
      <c r="B306" s="50" t="s">
        <v>13</v>
      </c>
      <c r="C306" s="51"/>
      <c r="D306" s="52">
        <f>SUM(D303:D305)</f>
        <v>8850000</v>
      </c>
      <c r="E306" s="51"/>
      <c r="F306" s="52">
        <f>SUM(F303:F305)</f>
        <v>9913000</v>
      </c>
    </row>
    <row r="307" spans="1:6" s="25" customFormat="1" ht="12.75" customHeight="1" thickBot="1">
      <c r="A307" s="45"/>
      <c r="B307" s="45"/>
      <c r="C307" s="47"/>
      <c r="D307" s="53"/>
      <c r="E307" s="47"/>
      <c r="F307" s="53"/>
    </row>
    <row r="308" spans="1:6" ht="13.5" thickBot="1">
      <c r="A308" s="34"/>
      <c r="B308" s="54" t="s">
        <v>7</v>
      </c>
      <c r="C308" s="55"/>
      <c r="D308" s="56">
        <f>D295+D301+D306</f>
        <v>37755000</v>
      </c>
      <c r="E308" s="57"/>
      <c r="F308" s="56">
        <f>F295+F301+F306</f>
        <v>53181000</v>
      </c>
    </row>
    <row r="309" spans="1:6" ht="12.75">
      <c r="A309" s="34"/>
      <c r="B309" s="58" t="s">
        <v>95</v>
      </c>
      <c r="C309" s="42"/>
      <c r="D309" s="59">
        <f>D293+D298+D303</f>
        <v>37755000</v>
      </c>
      <c r="E309" s="58" t="s">
        <v>96</v>
      </c>
      <c r="F309" s="43">
        <f>F292+F297+F303</f>
        <v>12821000</v>
      </c>
    </row>
    <row r="310" spans="1:6" ht="12.75">
      <c r="A310" s="34"/>
      <c r="B310" s="60" t="s">
        <v>97</v>
      </c>
      <c r="C310" s="61"/>
      <c r="D310" s="62">
        <f>D3068</f>
        <v>0</v>
      </c>
      <c r="E310" s="60" t="s">
        <v>98</v>
      </c>
      <c r="F310" s="63">
        <f>F293+F298+F304</f>
        <v>3838000</v>
      </c>
    </row>
    <row r="311" spans="1:6" ht="12.75">
      <c r="A311" s="34"/>
      <c r="B311" s="60" t="s">
        <v>99</v>
      </c>
      <c r="C311" s="61"/>
      <c r="D311" s="62">
        <f>D300</f>
        <v>0</v>
      </c>
      <c r="E311" s="60" t="s">
        <v>100</v>
      </c>
      <c r="F311" s="63">
        <f>F294+F299+F305</f>
        <v>36522000</v>
      </c>
    </row>
    <row r="312" spans="1:6" ht="12.75">
      <c r="A312" s="34"/>
      <c r="B312" s="60" t="s">
        <v>19</v>
      </c>
      <c r="C312" s="61"/>
      <c r="D312" s="62">
        <f>0</f>
        <v>0</v>
      </c>
      <c r="E312" s="60" t="s">
        <v>101</v>
      </c>
      <c r="F312" s="63">
        <f>0</f>
        <v>0</v>
      </c>
    </row>
    <row r="313" spans="1:6" ht="12.75" hidden="1">
      <c r="A313" s="34"/>
      <c r="B313" s="60"/>
      <c r="C313" s="61"/>
      <c r="D313" s="62"/>
      <c r="E313" s="60" t="s">
        <v>102</v>
      </c>
      <c r="F313" s="63">
        <v>0</v>
      </c>
    </row>
    <row r="314" spans="1:6" ht="12.75" hidden="1">
      <c r="A314" s="34"/>
      <c r="B314" s="60"/>
      <c r="C314" s="61"/>
      <c r="D314" s="62"/>
      <c r="E314" s="60" t="s">
        <v>103</v>
      </c>
      <c r="F314" s="63">
        <v>0</v>
      </c>
    </row>
    <row r="315" spans="1:6" ht="12.75" hidden="1">
      <c r="A315" s="34"/>
      <c r="B315" s="60"/>
      <c r="C315" s="61"/>
      <c r="D315" s="62"/>
      <c r="E315" s="60" t="s">
        <v>104</v>
      </c>
      <c r="F315" s="63"/>
    </row>
    <row r="316" spans="1:6" ht="13.5" hidden="1" thickBot="1">
      <c r="A316" s="34"/>
      <c r="B316" s="64"/>
      <c r="C316" s="65"/>
      <c r="D316" s="66"/>
      <c r="E316" s="64" t="s">
        <v>105</v>
      </c>
      <c r="F316" s="67">
        <v>0</v>
      </c>
    </row>
    <row r="317" spans="1:6" ht="13.5" thickBot="1">
      <c r="A317" s="34"/>
      <c r="B317" s="68" t="s">
        <v>106</v>
      </c>
      <c r="C317" s="69"/>
      <c r="D317" s="70">
        <f>SUM(D309:D316)</f>
        <v>37755000</v>
      </c>
      <c r="E317" s="68" t="s">
        <v>106</v>
      </c>
      <c r="F317" s="70">
        <f>SUM(F309:F316)</f>
        <v>53181000</v>
      </c>
    </row>
    <row r="318" spans="1:7" ht="12.75">
      <c r="A318" s="34"/>
      <c r="B318" s="35"/>
      <c r="C318" s="35"/>
      <c r="D318" s="36"/>
      <c r="E318" s="35"/>
      <c r="F318" s="36"/>
      <c r="G318" s="3"/>
    </row>
    <row r="319" spans="1:6" s="354" customFormat="1" ht="17.25" customHeight="1" thickBot="1">
      <c r="A319" s="355" t="s">
        <v>6</v>
      </c>
      <c r="B319" s="588" t="s">
        <v>135</v>
      </c>
      <c r="C319" s="588"/>
      <c r="D319" s="588"/>
      <c r="E319" s="357"/>
      <c r="F319" s="358"/>
    </row>
    <row r="320" spans="1:6" s="30" customFormat="1" ht="17.25" customHeight="1">
      <c r="A320" s="589"/>
      <c r="B320" s="590" t="s">
        <v>21</v>
      </c>
      <c r="C320" s="578" t="s">
        <v>22</v>
      </c>
      <c r="D320" s="578"/>
      <c r="E320" s="578" t="s">
        <v>23</v>
      </c>
      <c r="F320" s="579"/>
    </row>
    <row r="321" spans="1:6" s="30" customFormat="1" ht="16.5" customHeight="1" thickBot="1">
      <c r="A321" s="589"/>
      <c r="B321" s="591"/>
      <c r="C321" s="74"/>
      <c r="D321" s="75" t="s">
        <v>24</v>
      </c>
      <c r="E321" s="74" t="s">
        <v>25</v>
      </c>
      <c r="F321" s="76" t="s">
        <v>24</v>
      </c>
    </row>
    <row r="322" spans="1:6" ht="16.5" customHeight="1">
      <c r="A322" s="77"/>
      <c r="B322" s="596" t="s">
        <v>136</v>
      </c>
      <c r="C322" s="597"/>
      <c r="D322" s="80"/>
      <c r="E322" s="81" t="s">
        <v>36</v>
      </c>
      <c r="F322" s="80">
        <v>23554000</v>
      </c>
    </row>
    <row r="323" spans="1:6" s="25" customFormat="1" ht="12.75">
      <c r="A323" s="82"/>
      <c r="B323" s="83" t="s">
        <v>14</v>
      </c>
      <c r="C323" s="84"/>
      <c r="D323" s="85">
        <v>3100000</v>
      </c>
      <c r="E323" s="82" t="s">
        <v>37</v>
      </c>
      <c r="F323" s="85">
        <v>6284000</v>
      </c>
    </row>
    <row r="324" spans="1:6" s="25" customFormat="1" ht="12.75">
      <c r="A324" s="82"/>
      <c r="B324" s="83" t="s">
        <v>235</v>
      </c>
      <c r="C324" s="84"/>
      <c r="D324" s="85">
        <v>0</v>
      </c>
      <c r="E324" s="82" t="s">
        <v>38</v>
      </c>
      <c r="F324" s="85">
        <v>9082000</v>
      </c>
    </row>
    <row r="325" spans="1:6" s="25" customFormat="1" ht="17.25" customHeight="1" thickBot="1">
      <c r="A325" s="82"/>
      <c r="B325" s="87" t="s">
        <v>13</v>
      </c>
      <c r="C325" s="88"/>
      <c r="D325" s="89">
        <f>SUM(D322:D324)</f>
        <v>3100000</v>
      </c>
      <c r="E325" s="88"/>
      <c r="F325" s="89">
        <f>SUM(F322:F324)</f>
        <v>38920000</v>
      </c>
    </row>
    <row r="326" spans="1:6" s="25" customFormat="1" ht="17.25" customHeight="1" thickBot="1">
      <c r="A326" s="82"/>
      <c r="B326" s="82"/>
      <c r="C326" s="84"/>
      <c r="D326" s="90"/>
      <c r="E326" s="84"/>
      <c r="F326" s="90"/>
    </row>
    <row r="327" spans="1:6" ht="13.5" thickBot="1">
      <c r="A327" s="71"/>
      <c r="B327" s="91" t="s">
        <v>7</v>
      </c>
      <c r="C327" s="92"/>
      <c r="D327" s="93">
        <f>D325</f>
        <v>3100000</v>
      </c>
      <c r="E327" s="94"/>
      <c r="F327" s="93">
        <f>F325</f>
        <v>38920000</v>
      </c>
    </row>
    <row r="328" spans="1:6" ht="12.75">
      <c r="A328" s="71"/>
      <c r="B328" s="95" t="s">
        <v>95</v>
      </c>
      <c r="C328" s="79"/>
      <c r="D328" s="96">
        <f>D323</f>
        <v>3100000</v>
      </c>
      <c r="E328" s="95" t="s">
        <v>96</v>
      </c>
      <c r="F328" s="80">
        <f>F322</f>
        <v>23554000</v>
      </c>
    </row>
    <row r="329" spans="1:6" ht="12.75">
      <c r="A329" s="71"/>
      <c r="B329" s="97" t="s">
        <v>97</v>
      </c>
      <c r="C329" s="98"/>
      <c r="D329" s="99">
        <v>0</v>
      </c>
      <c r="E329" s="97" t="s">
        <v>98</v>
      </c>
      <c r="F329" s="100">
        <f>F323</f>
        <v>6284000</v>
      </c>
    </row>
    <row r="330" spans="1:6" ht="12.75">
      <c r="A330" s="71"/>
      <c r="B330" s="97" t="s">
        <v>99</v>
      </c>
      <c r="C330" s="98"/>
      <c r="D330" s="99">
        <f>0</f>
        <v>0</v>
      </c>
      <c r="E330" s="97" t="s">
        <v>100</v>
      </c>
      <c r="F330" s="100">
        <f>F324</f>
        <v>9082000</v>
      </c>
    </row>
    <row r="331" spans="1:6" ht="12.75">
      <c r="A331" s="71"/>
      <c r="B331" s="97" t="s">
        <v>19</v>
      </c>
      <c r="C331" s="98"/>
      <c r="D331" s="99">
        <f>D324</f>
        <v>0</v>
      </c>
      <c r="E331" s="97" t="s">
        <v>101</v>
      </c>
      <c r="F331" s="100">
        <f>0</f>
        <v>0</v>
      </c>
    </row>
    <row r="332" spans="1:6" ht="12.75">
      <c r="A332" s="71"/>
      <c r="B332" s="97"/>
      <c r="C332" s="98"/>
      <c r="D332" s="99"/>
      <c r="E332" s="97" t="s">
        <v>102</v>
      </c>
      <c r="F332" s="100">
        <v>0</v>
      </c>
    </row>
    <row r="333" spans="1:6" ht="12.75">
      <c r="A333" s="71"/>
      <c r="B333" s="97"/>
      <c r="C333" s="98"/>
      <c r="D333" s="99"/>
      <c r="E333" s="97" t="s">
        <v>103</v>
      </c>
      <c r="F333" s="100">
        <v>0</v>
      </c>
    </row>
    <row r="334" spans="1:6" ht="12.75">
      <c r="A334" s="71"/>
      <c r="B334" s="97"/>
      <c r="C334" s="98"/>
      <c r="D334" s="99"/>
      <c r="E334" s="97" t="s">
        <v>104</v>
      </c>
      <c r="F334" s="100"/>
    </row>
    <row r="335" spans="1:6" ht="13.5" thickBot="1">
      <c r="A335" s="71"/>
      <c r="B335" s="101"/>
      <c r="C335" s="102"/>
      <c r="D335" s="103"/>
      <c r="E335" s="101" t="s">
        <v>105</v>
      </c>
      <c r="F335" s="104">
        <v>0</v>
      </c>
    </row>
    <row r="336" spans="1:6" ht="13.5" thickBot="1">
      <c r="A336" s="71"/>
      <c r="B336" s="105" t="s">
        <v>106</v>
      </c>
      <c r="C336" s="106"/>
      <c r="D336" s="107">
        <f>SUM(D328:D335)</f>
        <v>3100000</v>
      </c>
      <c r="E336" s="105" t="s">
        <v>106</v>
      </c>
      <c r="F336" s="107">
        <f>SUM(F328:F335)</f>
        <v>38920000</v>
      </c>
    </row>
    <row r="337" spans="1:6" ht="12.75">
      <c r="A337" s="71"/>
      <c r="B337" s="72"/>
      <c r="C337" s="72"/>
      <c r="D337" s="73"/>
      <c r="E337" s="72"/>
      <c r="F337" s="73"/>
    </row>
    <row r="338" spans="1:6" ht="12.75">
      <c r="A338" s="34"/>
      <c r="B338" s="35"/>
      <c r="C338" s="35"/>
      <c r="D338" s="36"/>
      <c r="E338" s="35"/>
      <c r="F338" s="36"/>
    </row>
    <row r="339" spans="1:6" s="354" customFormat="1" ht="16.5" thickBot="1">
      <c r="A339" s="359" t="s">
        <v>6</v>
      </c>
      <c r="B339" s="593" t="s">
        <v>137</v>
      </c>
      <c r="C339" s="593"/>
      <c r="D339" s="593"/>
      <c r="E339" s="352"/>
      <c r="F339" s="353"/>
    </row>
    <row r="340" spans="1:6" s="30" customFormat="1" ht="17.25" customHeight="1">
      <c r="A340" s="581"/>
      <c r="B340" s="582" t="s">
        <v>21</v>
      </c>
      <c r="C340" s="584" t="s">
        <v>22</v>
      </c>
      <c r="D340" s="584"/>
      <c r="E340" s="584" t="s">
        <v>23</v>
      </c>
      <c r="F340" s="592"/>
    </row>
    <row r="341" spans="1:6" s="30" customFormat="1" ht="22.5" customHeight="1" thickBot="1">
      <c r="A341" s="581"/>
      <c r="B341" s="583"/>
      <c r="C341" s="37"/>
      <c r="D341" s="38" t="s">
        <v>24</v>
      </c>
      <c r="E341" s="37" t="s">
        <v>25</v>
      </c>
      <c r="F341" s="39" t="s">
        <v>24</v>
      </c>
    </row>
    <row r="342" spans="1:6" ht="25.5">
      <c r="A342" s="40"/>
      <c r="B342" s="41" t="s">
        <v>127</v>
      </c>
      <c r="C342" s="42"/>
      <c r="D342" s="43"/>
      <c r="E342" s="44" t="s">
        <v>36</v>
      </c>
      <c r="F342" s="43">
        <v>0</v>
      </c>
    </row>
    <row r="343" spans="1:6" s="25" customFormat="1" ht="12.75">
      <c r="A343" s="45"/>
      <c r="B343" s="46" t="s">
        <v>14</v>
      </c>
      <c r="C343" s="47"/>
      <c r="D343" s="48">
        <v>0</v>
      </c>
      <c r="E343" s="45" t="s">
        <v>37</v>
      </c>
      <c r="F343" s="48">
        <v>0</v>
      </c>
    </row>
    <row r="344" spans="1:6" s="25" customFormat="1" ht="12.75">
      <c r="A344" s="45"/>
      <c r="B344" s="49"/>
      <c r="C344" s="47"/>
      <c r="D344" s="48"/>
      <c r="E344" s="45" t="s">
        <v>38</v>
      </c>
      <c r="F344" s="48">
        <v>0</v>
      </c>
    </row>
    <row r="345" spans="1:6" s="25" customFormat="1" ht="17.25" customHeight="1" thickBot="1">
      <c r="A345" s="45"/>
      <c r="B345" s="50" t="s">
        <v>13</v>
      </c>
      <c r="C345" s="51"/>
      <c r="D345" s="52">
        <f>SUM(D342:D344)</f>
        <v>0</v>
      </c>
      <c r="E345" s="51"/>
      <c r="F345" s="52">
        <f>SUM(F342:F344)</f>
        <v>0</v>
      </c>
    </row>
    <row r="346" spans="1:6" s="25" customFormat="1" ht="17.25" customHeight="1" thickBot="1">
      <c r="A346" s="45"/>
      <c r="B346" s="45"/>
      <c r="C346" s="47"/>
      <c r="D346" s="53"/>
      <c r="E346" s="47"/>
      <c r="F346" s="53"/>
    </row>
    <row r="347" spans="1:6" ht="13.5" thickBot="1">
      <c r="A347" s="34"/>
      <c r="B347" s="54" t="s">
        <v>7</v>
      </c>
      <c r="C347" s="55"/>
      <c r="D347" s="56">
        <f>D345</f>
        <v>0</v>
      </c>
      <c r="E347" s="57"/>
      <c r="F347" s="56">
        <f>F345</f>
        <v>0</v>
      </c>
    </row>
    <row r="348" spans="1:6" ht="12.75">
      <c r="A348" s="34"/>
      <c r="B348" s="58" t="s">
        <v>95</v>
      </c>
      <c r="C348" s="42"/>
      <c r="D348" s="59">
        <f>D343</f>
        <v>0</v>
      </c>
      <c r="E348" s="58" t="s">
        <v>96</v>
      </c>
      <c r="F348" s="43">
        <f>F342</f>
        <v>0</v>
      </c>
    </row>
    <row r="349" spans="1:6" ht="12.75">
      <c r="A349" s="34"/>
      <c r="B349" s="60" t="s">
        <v>97</v>
      </c>
      <c r="C349" s="61"/>
      <c r="D349" s="62">
        <v>0</v>
      </c>
      <c r="E349" s="60" t="s">
        <v>98</v>
      </c>
      <c r="F349" s="63">
        <f>F343</f>
        <v>0</v>
      </c>
    </row>
    <row r="350" spans="1:6" ht="12.75">
      <c r="A350" s="34"/>
      <c r="B350" s="60" t="s">
        <v>99</v>
      </c>
      <c r="C350" s="61"/>
      <c r="D350" s="62">
        <f>0</f>
        <v>0</v>
      </c>
      <c r="E350" s="60" t="s">
        <v>100</v>
      </c>
      <c r="F350" s="63">
        <f>F344</f>
        <v>0</v>
      </c>
    </row>
    <row r="351" spans="1:6" ht="12.75">
      <c r="A351" s="34"/>
      <c r="B351" s="60" t="s">
        <v>19</v>
      </c>
      <c r="C351" s="61"/>
      <c r="D351" s="62">
        <f>0</f>
        <v>0</v>
      </c>
      <c r="E351" s="60" t="s">
        <v>101</v>
      </c>
      <c r="F351" s="63">
        <f>0</f>
        <v>0</v>
      </c>
    </row>
    <row r="352" spans="1:6" ht="12.75">
      <c r="A352" s="34"/>
      <c r="B352" s="60"/>
      <c r="C352" s="61"/>
      <c r="D352" s="62"/>
      <c r="E352" s="60" t="s">
        <v>102</v>
      </c>
      <c r="F352" s="63">
        <v>0</v>
      </c>
    </row>
    <row r="353" spans="1:6" ht="12.75">
      <c r="A353" s="34"/>
      <c r="B353" s="60"/>
      <c r="C353" s="61"/>
      <c r="D353" s="62"/>
      <c r="E353" s="60" t="s">
        <v>103</v>
      </c>
      <c r="F353" s="63">
        <v>0</v>
      </c>
    </row>
    <row r="354" spans="1:6" ht="12.75">
      <c r="A354" s="34"/>
      <c r="B354" s="60"/>
      <c r="C354" s="61"/>
      <c r="D354" s="62"/>
      <c r="E354" s="60" t="s">
        <v>104</v>
      </c>
      <c r="F354" s="63"/>
    </row>
    <row r="355" spans="1:6" ht="13.5" thickBot="1">
      <c r="A355" s="34"/>
      <c r="B355" s="64"/>
      <c r="C355" s="65"/>
      <c r="D355" s="66"/>
      <c r="E355" s="64" t="s">
        <v>105</v>
      </c>
      <c r="F355" s="67">
        <v>0</v>
      </c>
    </row>
    <row r="356" spans="1:6" ht="13.5" thickBot="1">
      <c r="A356" s="34"/>
      <c r="B356" s="68" t="s">
        <v>106</v>
      </c>
      <c r="C356" s="69"/>
      <c r="D356" s="70">
        <f>SUM(D348:D355)</f>
        <v>0</v>
      </c>
      <c r="E356" s="68" t="s">
        <v>106</v>
      </c>
      <c r="F356" s="70">
        <f>SUM(F348:F355)</f>
        <v>0</v>
      </c>
    </row>
    <row r="357" spans="1:6" ht="12.75">
      <c r="A357" s="34"/>
      <c r="B357" s="35"/>
      <c r="C357" s="35"/>
      <c r="D357" s="36"/>
      <c r="E357" s="35"/>
      <c r="F357" s="36"/>
    </row>
    <row r="358" spans="1:6" ht="12.75">
      <c r="A358" s="71"/>
      <c r="B358" s="72"/>
      <c r="C358" s="72"/>
      <c r="D358" s="73"/>
      <c r="E358" s="72"/>
      <c r="F358" s="73"/>
    </row>
    <row r="359" spans="1:6" s="354" customFormat="1" ht="16.5" thickBot="1">
      <c r="A359" s="355" t="s">
        <v>138</v>
      </c>
      <c r="B359" s="588" t="s">
        <v>139</v>
      </c>
      <c r="C359" s="588"/>
      <c r="D359" s="588"/>
      <c r="E359" s="357"/>
      <c r="F359" s="358"/>
    </row>
    <row r="360" spans="1:6" s="30" customFormat="1" ht="17.25" customHeight="1">
      <c r="A360" s="589"/>
      <c r="B360" s="590" t="s">
        <v>21</v>
      </c>
      <c r="C360" s="578" t="s">
        <v>22</v>
      </c>
      <c r="D360" s="578"/>
      <c r="E360" s="578" t="s">
        <v>23</v>
      </c>
      <c r="F360" s="579"/>
    </row>
    <row r="361" spans="1:6" s="30" customFormat="1" ht="22.5" customHeight="1" thickBot="1">
      <c r="A361" s="589"/>
      <c r="B361" s="591"/>
      <c r="C361" s="74"/>
      <c r="D361" s="75" t="s">
        <v>24</v>
      </c>
      <c r="E361" s="74" t="s">
        <v>25</v>
      </c>
      <c r="F361" s="76" t="s">
        <v>24</v>
      </c>
    </row>
    <row r="362" spans="1:6" ht="26.25" customHeight="1">
      <c r="A362" s="77"/>
      <c r="B362" s="78" t="s">
        <v>142</v>
      </c>
      <c r="C362" s="79"/>
      <c r="D362" s="80"/>
      <c r="E362" s="81" t="s">
        <v>36</v>
      </c>
      <c r="F362" s="80">
        <f>182447000-F402</f>
        <v>126047000</v>
      </c>
    </row>
    <row r="363" spans="1:6" s="25" customFormat="1" ht="12.75">
      <c r="A363" s="82"/>
      <c r="B363" s="83" t="s">
        <v>14</v>
      </c>
      <c r="C363" s="84"/>
      <c r="D363" s="85">
        <v>1300000</v>
      </c>
      <c r="E363" s="82" t="s">
        <v>37</v>
      </c>
      <c r="F363" s="85">
        <f>54203000-F403</f>
        <v>38976000</v>
      </c>
    </row>
    <row r="364" spans="1:6" s="25" customFormat="1" ht="27.75" customHeight="1">
      <c r="A364" s="82"/>
      <c r="B364" s="86" t="s">
        <v>143</v>
      </c>
      <c r="C364" s="84"/>
      <c r="D364" s="85">
        <f>4246000+3203000</f>
        <v>7449000</v>
      </c>
      <c r="E364" s="82" t="s">
        <v>38</v>
      </c>
      <c r="F364" s="85">
        <f>64905000-F404+300000</f>
        <v>45733000</v>
      </c>
    </row>
    <row r="365" spans="1:6" s="25" customFormat="1" ht="27.75" customHeight="1">
      <c r="A365" s="82"/>
      <c r="B365" s="86" t="s">
        <v>144</v>
      </c>
      <c r="C365" s="84"/>
      <c r="D365" s="85">
        <v>11850000</v>
      </c>
      <c r="E365" s="82"/>
      <c r="F365" s="85"/>
    </row>
    <row r="366" spans="1:6" s="25" customFormat="1" ht="24" customHeight="1">
      <c r="A366" s="82"/>
      <c r="B366" s="83" t="s">
        <v>266</v>
      </c>
      <c r="C366" s="84"/>
      <c r="D366" s="85">
        <f>SUM(D364:D365)</f>
        <v>19299000</v>
      </c>
      <c r="E366" s="82"/>
      <c r="F366" s="85"/>
    </row>
    <row r="367" spans="1:6" s="25" customFormat="1" ht="17.25" customHeight="1" thickBot="1">
      <c r="A367" s="82"/>
      <c r="B367" s="87" t="s">
        <v>13</v>
      </c>
      <c r="C367" s="88"/>
      <c r="D367" s="89">
        <f>D363+D366</f>
        <v>20599000</v>
      </c>
      <c r="E367" s="88"/>
      <c r="F367" s="89">
        <f>SUM(F362:F365)</f>
        <v>210756000</v>
      </c>
    </row>
    <row r="368" spans="1:6" s="25" customFormat="1" ht="17.25" customHeight="1" thickBot="1">
      <c r="A368" s="82"/>
      <c r="B368" s="82"/>
      <c r="C368" s="84"/>
      <c r="D368" s="90"/>
      <c r="E368" s="84"/>
      <c r="F368" s="90"/>
    </row>
    <row r="369" spans="1:6" ht="13.5" thickBot="1">
      <c r="A369" s="71"/>
      <c r="B369" s="91" t="s">
        <v>7</v>
      </c>
      <c r="C369" s="92"/>
      <c r="D369" s="93">
        <f>D367</f>
        <v>20599000</v>
      </c>
      <c r="E369" s="94"/>
      <c r="F369" s="93">
        <f>F367</f>
        <v>210756000</v>
      </c>
    </row>
    <row r="370" spans="1:6" ht="12.75">
      <c r="A370" s="71"/>
      <c r="B370" s="95" t="s">
        <v>95</v>
      </c>
      <c r="C370" s="79"/>
      <c r="D370" s="96">
        <f>D363</f>
        <v>1300000</v>
      </c>
      <c r="E370" s="95" t="s">
        <v>96</v>
      </c>
      <c r="F370" s="80">
        <f>F362</f>
        <v>126047000</v>
      </c>
    </row>
    <row r="371" spans="1:6" ht="12.75">
      <c r="A371" s="71"/>
      <c r="B371" s="97" t="s">
        <v>97</v>
      </c>
      <c r="C371" s="98"/>
      <c r="D371" s="99">
        <f>D366</f>
        <v>19299000</v>
      </c>
      <c r="E371" s="97" t="s">
        <v>98</v>
      </c>
      <c r="F371" s="100">
        <f>F363</f>
        <v>38976000</v>
      </c>
    </row>
    <row r="372" spans="1:6" ht="12.75">
      <c r="A372" s="71"/>
      <c r="B372" s="97" t="s">
        <v>99</v>
      </c>
      <c r="C372" s="98"/>
      <c r="D372" s="99">
        <f>0</f>
        <v>0</v>
      </c>
      <c r="E372" s="97" t="s">
        <v>100</v>
      </c>
      <c r="F372" s="100">
        <f>F364</f>
        <v>45733000</v>
      </c>
    </row>
    <row r="373" spans="1:6" ht="12.75">
      <c r="A373" s="71"/>
      <c r="B373" s="97" t="s">
        <v>19</v>
      </c>
      <c r="C373" s="98"/>
      <c r="D373" s="99">
        <f>0</f>
        <v>0</v>
      </c>
      <c r="E373" s="97" t="s">
        <v>101</v>
      </c>
      <c r="F373" s="100">
        <f>0</f>
        <v>0</v>
      </c>
    </row>
    <row r="374" spans="1:6" ht="12.75">
      <c r="A374" s="71"/>
      <c r="B374" s="97"/>
      <c r="C374" s="98"/>
      <c r="D374" s="99"/>
      <c r="E374" s="97" t="s">
        <v>102</v>
      </c>
      <c r="F374" s="100">
        <v>0</v>
      </c>
    </row>
    <row r="375" spans="1:6" ht="12.75">
      <c r="A375" s="71"/>
      <c r="B375" s="97"/>
      <c r="C375" s="98"/>
      <c r="D375" s="99"/>
      <c r="E375" s="97" t="s">
        <v>103</v>
      </c>
      <c r="F375" s="100">
        <v>0</v>
      </c>
    </row>
    <row r="376" spans="1:6" ht="12.75">
      <c r="A376" s="71"/>
      <c r="B376" s="97"/>
      <c r="C376" s="98"/>
      <c r="D376" s="99"/>
      <c r="E376" s="97" t="s">
        <v>104</v>
      </c>
      <c r="F376" s="100"/>
    </row>
    <row r="377" spans="1:6" ht="13.5" thickBot="1">
      <c r="A377" s="71"/>
      <c r="B377" s="101"/>
      <c r="C377" s="102"/>
      <c r="D377" s="103"/>
      <c r="E377" s="101" t="s">
        <v>105</v>
      </c>
      <c r="F377" s="104">
        <v>0</v>
      </c>
    </row>
    <row r="378" spans="1:6" ht="13.5" thickBot="1">
      <c r="A378" s="71"/>
      <c r="B378" s="105" t="s">
        <v>106</v>
      </c>
      <c r="C378" s="106"/>
      <c r="D378" s="107">
        <f>SUM(D370:D377)</f>
        <v>20599000</v>
      </c>
      <c r="E378" s="105" t="s">
        <v>106</v>
      </c>
      <c r="F378" s="107">
        <f>SUM(F370:F377)</f>
        <v>210756000</v>
      </c>
    </row>
    <row r="379" spans="1:6" ht="17.25" customHeight="1">
      <c r="A379" s="71"/>
      <c r="B379" s="72"/>
      <c r="C379" s="72"/>
      <c r="D379" s="73"/>
      <c r="E379" s="72"/>
      <c r="F379" s="73"/>
    </row>
    <row r="380" spans="1:6" s="354" customFormat="1" ht="21.75" customHeight="1" thickBot="1">
      <c r="A380" s="359" t="s">
        <v>9</v>
      </c>
      <c r="B380" s="593" t="s">
        <v>140</v>
      </c>
      <c r="C380" s="593"/>
      <c r="D380" s="593"/>
      <c r="E380" s="352"/>
      <c r="F380" s="353"/>
    </row>
    <row r="381" spans="1:6" s="30" customFormat="1" ht="17.25" customHeight="1">
      <c r="A381" s="581"/>
      <c r="B381" s="582" t="s">
        <v>21</v>
      </c>
      <c r="C381" s="584" t="s">
        <v>22</v>
      </c>
      <c r="D381" s="584"/>
      <c r="E381" s="584" t="s">
        <v>23</v>
      </c>
      <c r="F381" s="592"/>
    </row>
    <row r="382" spans="1:6" s="30" customFormat="1" ht="15.75" customHeight="1" thickBot="1">
      <c r="A382" s="581"/>
      <c r="B382" s="583"/>
      <c r="C382" s="37"/>
      <c r="D382" s="38" t="s">
        <v>24</v>
      </c>
      <c r="E382" s="37" t="s">
        <v>25</v>
      </c>
      <c r="F382" s="39" t="s">
        <v>24</v>
      </c>
    </row>
    <row r="383" spans="1:6" ht="18.75" customHeight="1">
      <c r="A383" s="40"/>
      <c r="B383" s="41" t="s">
        <v>142</v>
      </c>
      <c r="C383" s="42"/>
      <c r="D383" s="43"/>
      <c r="E383" s="44" t="s">
        <v>36</v>
      </c>
      <c r="F383" s="43">
        <v>0</v>
      </c>
    </row>
    <row r="384" spans="1:6" s="25" customFormat="1" ht="15.75" customHeight="1">
      <c r="A384" s="45"/>
      <c r="B384" s="46" t="s">
        <v>14</v>
      </c>
      <c r="C384" s="47"/>
      <c r="D384" s="48">
        <v>0</v>
      </c>
      <c r="E384" s="45" t="s">
        <v>37</v>
      </c>
      <c r="F384" s="48">
        <v>0</v>
      </c>
    </row>
    <row r="385" spans="1:6" s="25" customFormat="1" ht="12.75">
      <c r="A385" s="45"/>
      <c r="B385" s="49"/>
      <c r="C385" s="47"/>
      <c r="D385" s="48"/>
      <c r="E385" s="45" t="s">
        <v>38</v>
      </c>
      <c r="F385" s="48">
        <v>0</v>
      </c>
    </row>
    <row r="386" spans="1:6" s="25" customFormat="1" ht="17.25" customHeight="1" thickBot="1">
      <c r="A386" s="45"/>
      <c r="B386" s="50" t="s">
        <v>13</v>
      </c>
      <c r="C386" s="51"/>
      <c r="D386" s="52">
        <f>SUM(D383:D385)</f>
        <v>0</v>
      </c>
      <c r="E386" s="51"/>
      <c r="F386" s="52">
        <f>SUM(F383:F385)</f>
        <v>0</v>
      </c>
    </row>
    <row r="387" spans="1:6" ht="13.5" thickBot="1">
      <c r="A387" s="34"/>
      <c r="B387" s="54" t="s">
        <v>7</v>
      </c>
      <c r="C387" s="55"/>
      <c r="D387" s="56">
        <f>D386</f>
        <v>0</v>
      </c>
      <c r="E387" s="57"/>
      <c r="F387" s="56">
        <f>F386</f>
        <v>0</v>
      </c>
    </row>
    <row r="388" spans="1:6" ht="13.5" thickBot="1">
      <c r="A388" s="34"/>
      <c r="B388" s="35"/>
      <c r="C388" s="35"/>
      <c r="D388" s="36"/>
      <c r="E388" s="35"/>
      <c r="F388" s="36"/>
    </row>
    <row r="389" spans="1:6" ht="12.75">
      <c r="A389" s="34"/>
      <c r="B389" s="58" t="s">
        <v>95</v>
      </c>
      <c r="C389" s="42"/>
      <c r="D389" s="59">
        <f>D384</f>
        <v>0</v>
      </c>
      <c r="E389" s="58" t="s">
        <v>96</v>
      </c>
      <c r="F389" s="43">
        <f>F383</f>
        <v>0</v>
      </c>
    </row>
    <row r="390" spans="1:6" ht="12.75">
      <c r="A390" s="34"/>
      <c r="B390" s="60" t="s">
        <v>97</v>
      </c>
      <c r="C390" s="61"/>
      <c r="D390" s="62">
        <v>0</v>
      </c>
      <c r="E390" s="60" t="s">
        <v>98</v>
      </c>
      <c r="F390" s="63">
        <f>F384</f>
        <v>0</v>
      </c>
    </row>
    <row r="391" spans="1:6" ht="12.75">
      <c r="A391" s="34"/>
      <c r="B391" s="60" t="s">
        <v>99</v>
      </c>
      <c r="C391" s="61"/>
      <c r="D391" s="62">
        <f>0</f>
        <v>0</v>
      </c>
      <c r="E391" s="60" t="s">
        <v>100</v>
      </c>
      <c r="F391" s="63">
        <f>F385</f>
        <v>0</v>
      </c>
    </row>
    <row r="392" spans="1:6" ht="12.75">
      <c r="A392" s="34"/>
      <c r="B392" s="60" t="s">
        <v>19</v>
      </c>
      <c r="C392" s="61"/>
      <c r="D392" s="62">
        <f>0</f>
        <v>0</v>
      </c>
      <c r="E392" s="60" t="s">
        <v>101</v>
      </c>
      <c r="F392" s="63">
        <f>0</f>
        <v>0</v>
      </c>
    </row>
    <row r="393" spans="1:6" ht="12.75">
      <c r="A393" s="34"/>
      <c r="B393" s="60"/>
      <c r="C393" s="61"/>
      <c r="D393" s="62"/>
      <c r="E393" s="60" t="s">
        <v>102</v>
      </c>
      <c r="F393" s="63">
        <v>0</v>
      </c>
    </row>
    <row r="394" spans="1:6" ht="12.75">
      <c r="A394" s="34"/>
      <c r="B394" s="60"/>
      <c r="C394" s="61"/>
      <c r="D394" s="62"/>
      <c r="E394" s="60" t="s">
        <v>103</v>
      </c>
      <c r="F394" s="63">
        <v>0</v>
      </c>
    </row>
    <row r="395" spans="1:6" ht="12.75">
      <c r="A395" s="34"/>
      <c r="B395" s="60"/>
      <c r="C395" s="61"/>
      <c r="D395" s="62"/>
      <c r="E395" s="60" t="s">
        <v>104</v>
      </c>
      <c r="F395" s="63"/>
    </row>
    <row r="396" spans="1:6" ht="13.5" thickBot="1">
      <c r="A396" s="34"/>
      <c r="B396" s="64"/>
      <c r="C396" s="65"/>
      <c r="D396" s="66"/>
      <c r="E396" s="64" t="s">
        <v>105</v>
      </c>
      <c r="F396" s="67">
        <v>0</v>
      </c>
    </row>
    <row r="397" spans="1:6" ht="13.5" thickBot="1">
      <c r="A397" s="34"/>
      <c r="B397" s="68" t="s">
        <v>106</v>
      </c>
      <c r="C397" s="69"/>
      <c r="D397" s="70">
        <f>SUM(D389:D396)</f>
        <v>0</v>
      </c>
      <c r="E397" s="68" t="s">
        <v>106</v>
      </c>
      <c r="F397" s="70">
        <f>SUM(F389:F396)</f>
        <v>0</v>
      </c>
    </row>
    <row r="398" spans="1:6" ht="12.75">
      <c r="A398" s="34"/>
      <c r="B398" s="40"/>
      <c r="C398" s="40"/>
      <c r="D398" s="210"/>
      <c r="E398" s="40"/>
      <c r="F398" s="210">
        <f>F397-D397</f>
        <v>0</v>
      </c>
    </row>
    <row r="399" spans="1:6" s="354" customFormat="1" ht="16.5" thickBot="1">
      <c r="A399" s="360" t="s">
        <v>9</v>
      </c>
      <c r="B399" s="601" t="s">
        <v>141</v>
      </c>
      <c r="C399" s="601"/>
      <c r="D399" s="601"/>
      <c r="E399" s="361"/>
      <c r="F399" s="362"/>
    </row>
    <row r="400" spans="1:6" s="30" customFormat="1" ht="17.25" customHeight="1">
      <c r="A400" s="602"/>
      <c r="B400" s="603" t="s">
        <v>21</v>
      </c>
      <c r="C400" s="594" t="s">
        <v>22</v>
      </c>
      <c r="D400" s="594"/>
      <c r="E400" s="594" t="s">
        <v>23</v>
      </c>
      <c r="F400" s="595"/>
    </row>
    <row r="401" spans="1:6" s="30" customFormat="1" ht="15.75" customHeight="1" thickBot="1">
      <c r="A401" s="602"/>
      <c r="B401" s="604"/>
      <c r="C401" s="175"/>
      <c r="D401" s="176" t="s">
        <v>24</v>
      </c>
      <c r="E401" s="175" t="s">
        <v>25</v>
      </c>
      <c r="F401" s="177" t="s">
        <v>24</v>
      </c>
    </row>
    <row r="402" spans="1:6" ht="28.5" customHeight="1">
      <c r="A402" s="178"/>
      <c r="B402" s="179" t="s">
        <v>142</v>
      </c>
      <c r="C402" s="180"/>
      <c r="D402" s="181"/>
      <c r="E402" s="182" t="s">
        <v>36</v>
      </c>
      <c r="F402" s="181">
        <v>56400000</v>
      </c>
    </row>
    <row r="403" spans="1:6" s="25" customFormat="1" ht="12.75">
      <c r="A403" s="183"/>
      <c r="B403" s="184" t="s">
        <v>14</v>
      </c>
      <c r="C403" s="185"/>
      <c r="D403" s="186">
        <v>0</v>
      </c>
      <c r="E403" s="183" t="s">
        <v>37</v>
      </c>
      <c r="F403" s="186">
        <v>15227000</v>
      </c>
    </row>
    <row r="404" spans="1:6" s="25" customFormat="1" ht="12.75">
      <c r="A404" s="183"/>
      <c r="B404" s="187"/>
      <c r="C404" s="185"/>
      <c r="D404" s="186"/>
      <c r="E404" s="183" t="s">
        <v>38</v>
      </c>
      <c r="F404" s="186">
        <v>19472000</v>
      </c>
    </row>
    <row r="405" spans="1:6" s="25" customFormat="1" ht="17.25" customHeight="1" thickBot="1">
      <c r="A405" s="183"/>
      <c r="B405" s="188" t="s">
        <v>13</v>
      </c>
      <c r="C405" s="189"/>
      <c r="D405" s="190">
        <f>SUM(D402:D404)</f>
        <v>0</v>
      </c>
      <c r="E405" s="189"/>
      <c r="F405" s="190">
        <f>SUM(F402:F404)</f>
        <v>91099000</v>
      </c>
    </row>
    <row r="406" spans="1:6" s="25" customFormat="1" ht="17.25" customHeight="1" thickBot="1">
      <c r="A406" s="183"/>
      <c r="B406" s="183"/>
      <c r="C406" s="185"/>
      <c r="D406" s="191"/>
      <c r="E406" s="185"/>
      <c r="F406" s="191"/>
    </row>
    <row r="407" spans="1:6" ht="13.5" thickBot="1">
      <c r="A407" s="172"/>
      <c r="B407" s="192" t="s">
        <v>7</v>
      </c>
      <c r="C407" s="193"/>
      <c r="D407" s="194">
        <f>D405</f>
        <v>0</v>
      </c>
      <c r="E407" s="195"/>
      <c r="F407" s="194">
        <f>F405</f>
        <v>91099000</v>
      </c>
    </row>
    <row r="408" spans="1:6" ht="12.75">
      <c r="A408" s="172"/>
      <c r="B408" s="347" t="s">
        <v>95</v>
      </c>
      <c r="C408" s="180"/>
      <c r="D408" s="197">
        <f>D403</f>
        <v>0</v>
      </c>
      <c r="E408" s="196" t="s">
        <v>96</v>
      </c>
      <c r="F408" s="181">
        <f>F402</f>
        <v>56400000</v>
      </c>
    </row>
    <row r="409" spans="1:6" ht="12.75">
      <c r="A409" s="172"/>
      <c r="B409" s="348" t="s">
        <v>97</v>
      </c>
      <c r="C409" s="199"/>
      <c r="D409" s="200">
        <v>0</v>
      </c>
      <c r="E409" s="198" t="s">
        <v>98</v>
      </c>
      <c r="F409" s="201">
        <f>F403</f>
        <v>15227000</v>
      </c>
    </row>
    <row r="410" spans="1:6" ht="12.75">
      <c r="A410" s="172"/>
      <c r="B410" s="348" t="s">
        <v>99</v>
      </c>
      <c r="C410" s="199"/>
      <c r="D410" s="200">
        <f>0</f>
        <v>0</v>
      </c>
      <c r="E410" s="198" t="s">
        <v>100</v>
      </c>
      <c r="F410" s="201">
        <f>F404</f>
        <v>19472000</v>
      </c>
    </row>
    <row r="411" spans="1:6" ht="12.75">
      <c r="A411" s="172"/>
      <c r="B411" s="348" t="s">
        <v>19</v>
      </c>
      <c r="C411" s="199"/>
      <c r="D411" s="200">
        <f>0</f>
        <v>0</v>
      </c>
      <c r="E411" s="198" t="s">
        <v>101</v>
      </c>
      <c r="F411" s="201">
        <f>0</f>
        <v>0</v>
      </c>
    </row>
    <row r="412" spans="1:6" ht="12.75">
      <c r="A412" s="172"/>
      <c r="B412" s="348"/>
      <c r="C412" s="199"/>
      <c r="D412" s="200"/>
      <c r="E412" s="198" t="s">
        <v>102</v>
      </c>
      <c r="F412" s="201">
        <v>0</v>
      </c>
    </row>
    <row r="413" spans="1:6" ht="12.75">
      <c r="A413" s="172"/>
      <c r="B413" s="348"/>
      <c r="C413" s="199"/>
      <c r="D413" s="200"/>
      <c r="E413" s="198" t="s">
        <v>103</v>
      </c>
      <c r="F413" s="201">
        <v>0</v>
      </c>
    </row>
    <row r="414" spans="1:6" ht="12.75">
      <c r="A414" s="172"/>
      <c r="B414" s="348"/>
      <c r="C414" s="199"/>
      <c r="D414" s="200"/>
      <c r="E414" s="198" t="s">
        <v>104</v>
      </c>
      <c r="F414" s="201"/>
    </row>
    <row r="415" spans="1:6" ht="13.5" thickBot="1">
      <c r="A415" s="172"/>
      <c r="B415" s="349"/>
      <c r="C415" s="203"/>
      <c r="D415" s="204"/>
      <c r="E415" s="202" t="s">
        <v>105</v>
      </c>
      <c r="F415" s="205">
        <v>0</v>
      </c>
    </row>
    <row r="416" spans="1:7" ht="13.5" thickBot="1">
      <c r="A416" s="172"/>
      <c r="B416" s="350" t="s">
        <v>106</v>
      </c>
      <c r="C416" s="207"/>
      <c r="D416" s="208">
        <f>SUM(D408:D415)</f>
        <v>0</v>
      </c>
      <c r="E416" s="206" t="s">
        <v>106</v>
      </c>
      <c r="F416" s="208">
        <f>SUM(F408:F415)</f>
        <v>91099000</v>
      </c>
      <c r="G416" s="3"/>
    </row>
    <row r="417" spans="1:6" ht="12.75">
      <c r="A417" s="172"/>
      <c r="B417" s="173"/>
      <c r="C417" s="173"/>
      <c r="D417" s="174"/>
      <c r="E417" s="173"/>
      <c r="F417" s="174"/>
    </row>
    <row r="418" spans="1:7" ht="16.5" customHeight="1">
      <c r="A418" s="172"/>
      <c r="B418" s="173"/>
      <c r="C418" s="173"/>
      <c r="D418" s="174"/>
      <c r="E418" s="173"/>
      <c r="F418" s="174"/>
      <c r="G418" s="3"/>
    </row>
    <row r="419" ht="14.25" customHeight="1"/>
    <row r="420" spans="1:6" ht="17.25" customHeight="1" thickBot="1">
      <c r="A420" s="600" t="s">
        <v>145</v>
      </c>
      <c r="B420" s="600"/>
      <c r="C420" s="600"/>
      <c r="D420" s="600"/>
      <c r="E420" s="600"/>
      <c r="F420" s="600"/>
    </row>
    <row r="421" spans="1:6" ht="12.75">
      <c r="A421" s="71"/>
      <c r="B421" s="95" t="s">
        <v>267</v>
      </c>
      <c r="C421" s="79"/>
      <c r="D421" s="96">
        <f>D126+D239+D278+D370+D328</f>
        <v>71946000</v>
      </c>
      <c r="E421" s="95" t="s">
        <v>96</v>
      </c>
      <c r="F421" s="80">
        <f>F370+F328+F278+F239+F125</f>
        <v>202551000</v>
      </c>
    </row>
    <row r="422" spans="1:6" ht="12.75">
      <c r="A422" s="71"/>
      <c r="B422" s="97" t="s">
        <v>268</v>
      </c>
      <c r="C422" s="98"/>
      <c r="D422" s="99">
        <f>D125</f>
        <v>424107217</v>
      </c>
      <c r="E422" s="97" t="s">
        <v>98</v>
      </c>
      <c r="F422" s="100">
        <f>F371+F329+F279+F240+F126</f>
        <v>59522000</v>
      </c>
    </row>
    <row r="423" spans="1:6" ht="12.75">
      <c r="A423" s="71"/>
      <c r="B423" s="97"/>
      <c r="C423" s="98"/>
      <c r="D423" s="99"/>
      <c r="E423" s="97" t="s">
        <v>100</v>
      </c>
      <c r="F423" s="100">
        <f>F372+F330+F280+F241+F127</f>
        <v>387772800</v>
      </c>
    </row>
    <row r="424" spans="1:6" ht="12.75">
      <c r="A424" s="71"/>
      <c r="B424" s="97" t="s">
        <v>338</v>
      </c>
      <c r="C424" s="98"/>
      <c r="D424" s="99">
        <f>D129</f>
        <v>852497783</v>
      </c>
      <c r="E424" s="97" t="s">
        <v>339</v>
      </c>
      <c r="F424" s="100">
        <f>F128</f>
        <v>25800000</v>
      </c>
    </row>
    <row r="425" spans="1:6" ht="12.75">
      <c r="A425" s="71"/>
      <c r="B425" s="97" t="s">
        <v>97</v>
      </c>
      <c r="C425" s="98"/>
      <c r="D425" s="99">
        <f>D130+D371</f>
        <v>21299000</v>
      </c>
      <c r="E425" s="97" t="s">
        <v>243</v>
      </c>
      <c r="F425" s="100">
        <f>F129</f>
        <v>113976000</v>
      </c>
    </row>
    <row r="426" spans="1:6" ht="12.75">
      <c r="A426" s="71"/>
      <c r="B426" s="97" t="s">
        <v>99</v>
      </c>
      <c r="C426" s="98"/>
      <c r="D426" s="99">
        <f>D131</f>
        <v>0</v>
      </c>
      <c r="E426" s="97" t="s">
        <v>340</v>
      </c>
      <c r="F426" s="100">
        <f>F130</f>
        <v>472271000</v>
      </c>
    </row>
    <row r="427" spans="1:6" ht="12.75">
      <c r="A427" s="71"/>
      <c r="B427" s="97" t="s">
        <v>19</v>
      </c>
      <c r="C427" s="98"/>
      <c r="D427" s="99">
        <f>D373++D331+D281+D242+D132</f>
        <v>130000000</v>
      </c>
      <c r="E427" s="97" t="s">
        <v>341</v>
      </c>
      <c r="F427" s="100">
        <f>F131</f>
        <v>19501000</v>
      </c>
    </row>
    <row r="428" spans="1:6" ht="12.75">
      <c r="A428" s="71"/>
      <c r="B428" s="97"/>
      <c r="C428" s="98"/>
      <c r="D428" s="99"/>
      <c r="E428" s="97" t="s">
        <v>342</v>
      </c>
      <c r="F428" s="100">
        <f>F377+F132+F335+F285+F246</f>
        <v>15641074</v>
      </c>
    </row>
    <row r="429" spans="1:6" s="365" customFormat="1" ht="13.5" thickBot="1">
      <c r="A429" s="77"/>
      <c r="B429" s="101"/>
      <c r="C429" s="102"/>
      <c r="D429" s="103"/>
      <c r="E429" s="101" t="s">
        <v>343</v>
      </c>
      <c r="F429" s="104">
        <f>F133</f>
        <v>29478126</v>
      </c>
    </row>
    <row r="430" spans="1:6" ht="13.5" thickBot="1">
      <c r="A430" s="71"/>
      <c r="B430" s="105" t="s">
        <v>106</v>
      </c>
      <c r="C430" s="106"/>
      <c r="D430" s="107">
        <f>SUM(D421:D428)</f>
        <v>1499850000</v>
      </c>
      <c r="E430" s="105" t="s">
        <v>106</v>
      </c>
      <c r="F430" s="107">
        <f>SUM(F421:F429)</f>
        <v>1326513000</v>
      </c>
    </row>
    <row r="431" spans="1:7" ht="12.75">
      <c r="A431" s="71"/>
      <c r="B431" s="77"/>
      <c r="C431" s="77"/>
      <c r="D431" s="209"/>
      <c r="E431" s="77"/>
      <c r="F431" s="209"/>
      <c r="G431" s="3"/>
    </row>
    <row r="432" spans="1:6" ht="20.25" customHeight="1" thickBot="1">
      <c r="A432" s="599" t="s">
        <v>146</v>
      </c>
      <c r="B432" s="599"/>
      <c r="C432" s="599"/>
      <c r="D432" s="599"/>
      <c r="E432" s="599"/>
      <c r="F432" s="599"/>
    </row>
    <row r="433" spans="1:6" ht="12.75">
      <c r="A433" s="34"/>
      <c r="B433" s="58" t="s">
        <v>95</v>
      </c>
      <c r="C433" s="42"/>
      <c r="D433" s="59">
        <f>D389+D348+D309+D259+D214</f>
        <v>46390000</v>
      </c>
      <c r="E433" s="58" t="s">
        <v>96</v>
      </c>
      <c r="F433" s="43">
        <f>F214+F259+F348+F389+F309</f>
        <v>27777000</v>
      </c>
    </row>
    <row r="434" spans="1:6" ht="12.75">
      <c r="A434" s="34"/>
      <c r="B434" s="60" t="s">
        <v>97</v>
      </c>
      <c r="C434" s="61"/>
      <c r="D434" s="62">
        <f>D215+D260+D310+D349+D390</f>
        <v>7921000</v>
      </c>
      <c r="E434" s="60" t="s">
        <v>98</v>
      </c>
      <c r="F434" s="63">
        <f>F215+F260+F310+F349+F390</f>
        <v>8337000</v>
      </c>
    </row>
    <row r="435" spans="1:6" ht="12.75">
      <c r="A435" s="34"/>
      <c r="B435" s="60" t="s">
        <v>99</v>
      </c>
      <c r="C435" s="61"/>
      <c r="D435" s="62">
        <f>D216+D261+D311+D350+D391</f>
        <v>533000</v>
      </c>
      <c r="E435" s="60" t="s">
        <v>100</v>
      </c>
      <c r="F435" s="63">
        <f>F216+F261+F311+F350+F391</f>
        <v>81630000</v>
      </c>
    </row>
    <row r="436" spans="1:6" ht="12.75">
      <c r="A436" s="34"/>
      <c r="B436" s="60" t="s">
        <v>19</v>
      </c>
      <c r="C436" s="61"/>
      <c r="D436" s="62">
        <f>D392+D351+D312+D262+D217</f>
        <v>3664000</v>
      </c>
      <c r="E436" s="60" t="s">
        <v>101</v>
      </c>
      <c r="F436" s="63">
        <f>F392+F351+F312+F262+F217</f>
        <v>1800000</v>
      </c>
    </row>
    <row r="437" spans="1:6" ht="12.75">
      <c r="A437" s="34"/>
      <c r="B437" s="60"/>
      <c r="C437" s="61"/>
      <c r="D437" s="62"/>
      <c r="E437" s="60" t="s">
        <v>102</v>
      </c>
      <c r="F437" s="63">
        <f>F393+F352+F313+F263+F218</f>
        <v>13152000</v>
      </c>
    </row>
    <row r="438" spans="1:6" ht="12.75">
      <c r="A438" s="34"/>
      <c r="B438" s="60"/>
      <c r="C438" s="61"/>
      <c r="D438" s="62"/>
      <c r="E438" s="60" t="s">
        <v>103</v>
      </c>
      <c r="F438" s="63">
        <f>F394+F353+F314+F264+F219</f>
        <v>8050000</v>
      </c>
    </row>
    <row r="439" spans="1:6" ht="12.75">
      <c r="A439" s="34"/>
      <c r="B439" s="60"/>
      <c r="C439" s="61"/>
      <c r="D439" s="62"/>
      <c r="E439" s="60" t="s">
        <v>104</v>
      </c>
      <c r="F439" s="63"/>
    </row>
    <row r="440" spans="1:6" ht="13.5" thickBot="1">
      <c r="A440" s="34"/>
      <c r="B440" s="64"/>
      <c r="C440" s="65"/>
      <c r="D440" s="66"/>
      <c r="E440" s="64" t="s">
        <v>105</v>
      </c>
      <c r="F440" s="67">
        <f>F396+F355+F316+F266+F221</f>
        <v>0</v>
      </c>
    </row>
    <row r="441" spans="1:6" ht="13.5" thickBot="1">
      <c r="A441" s="34"/>
      <c r="B441" s="68" t="s">
        <v>106</v>
      </c>
      <c r="C441" s="69"/>
      <c r="D441" s="70">
        <f>SUM(D433:D440)</f>
        <v>58508000</v>
      </c>
      <c r="E441" s="68" t="s">
        <v>106</v>
      </c>
      <c r="F441" s="70">
        <f>SUM(F433:F440)</f>
        <v>140746000</v>
      </c>
    </row>
    <row r="442" spans="1:7" ht="12.75">
      <c r="A442" s="34"/>
      <c r="B442" s="35"/>
      <c r="C442" s="35"/>
      <c r="D442" s="36"/>
      <c r="E442" s="35"/>
      <c r="F442" s="36"/>
      <c r="G442" s="3"/>
    </row>
    <row r="443" spans="1:6" ht="18" customHeight="1" thickBot="1">
      <c r="A443" s="598" t="s">
        <v>147</v>
      </c>
      <c r="B443" s="598"/>
      <c r="C443" s="598"/>
      <c r="D443" s="598"/>
      <c r="E443" s="598"/>
      <c r="F443" s="598"/>
    </row>
    <row r="444" spans="1:6" ht="12.75">
      <c r="A444" s="172"/>
      <c r="B444" s="196" t="s">
        <v>95</v>
      </c>
      <c r="C444" s="180"/>
      <c r="D444" s="197">
        <f>D408</f>
        <v>0</v>
      </c>
      <c r="E444" s="196" t="s">
        <v>96</v>
      </c>
      <c r="F444" s="181">
        <f>F408</f>
        <v>56400000</v>
      </c>
    </row>
    <row r="445" spans="1:6" ht="12.75">
      <c r="A445" s="172"/>
      <c r="B445" s="198" t="s">
        <v>97</v>
      </c>
      <c r="C445" s="199"/>
      <c r="D445" s="200">
        <v>0</v>
      </c>
      <c r="E445" s="198" t="s">
        <v>98</v>
      </c>
      <c r="F445" s="201">
        <f>F409</f>
        <v>15227000</v>
      </c>
    </row>
    <row r="446" spans="1:6" ht="12.75">
      <c r="A446" s="172"/>
      <c r="B446" s="198" t="s">
        <v>99</v>
      </c>
      <c r="C446" s="199"/>
      <c r="D446" s="200">
        <f>0</f>
        <v>0</v>
      </c>
      <c r="E446" s="198" t="s">
        <v>100</v>
      </c>
      <c r="F446" s="201">
        <f>F410</f>
        <v>19472000</v>
      </c>
    </row>
    <row r="447" spans="1:6" ht="12.75">
      <c r="A447" s="172"/>
      <c r="B447" s="198" t="s">
        <v>19</v>
      </c>
      <c r="C447" s="199"/>
      <c r="D447" s="200">
        <f>0</f>
        <v>0</v>
      </c>
      <c r="E447" s="198" t="s">
        <v>101</v>
      </c>
      <c r="F447" s="201">
        <f>0</f>
        <v>0</v>
      </c>
    </row>
    <row r="448" spans="1:6" ht="12.75">
      <c r="A448" s="172"/>
      <c r="B448" s="198"/>
      <c r="C448" s="199"/>
      <c r="D448" s="200"/>
      <c r="E448" s="198" t="s">
        <v>102</v>
      </c>
      <c r="F448" s="201">
        <v>0</v>
      </c>
    </row>
    <row r="449" spans="1:6" ht="12.75">
      <c r="A449" s="172"/>
      <c r="B449" s="198"/>
      <c r="C449" s="199"/>
      <c r="D449" s="200"/>
      <c r="E449" s="198" t="s">
        <v>103</v>
      </c>
      <c r="F449" s="201">
        <v>0</v>
      </c>
    </row>
    <row r="450" spans="1:6" ht="12.75">
      <c r="A450" s="172"/>
      <c r="B450" s="198"/>
      <c r="C450" s="199"/>
      <c r="D450" s="200"/>
      <c r="E450" s="198" t="s">
        <v>104</v>
      </c>
      <c r="F450" s="201"/>
    </row>
    <row r="451" spans="1:6" ht="13.5" thickBot="1">
      <c r="A451" s="172"/>
      <c r="B451" s="202"/>
      <c r="C451" s="203"/>
      <c r="D451" s="204"/>
      <c r="E451" s="202" t="s">
        <v>105</v>
      </c>
      <c r="F451" s="205">
        <v>0</v>
      </c>
    </row>
    <row r="452" spans="1:6" ht="13.5" thickBot="1">
      <c r="A452" s="172"/>
      <c r="B452" s="206" t="s">
        <v>106</v>
      </c>
      <c r="C452" s="207"/>
      <c r="D452" s="208">
        <f>SUM(D444:D451)</f>
        <v>0</v>
      </c>
      <c r="E452" s="206" t="s">
        <v>106</v>
      </c>
      <c r="F452" s="208">
        <f>SUM(F444:F451)</f>
        <v>91099000</v>
      </c>
    </row>
    <row r="453" spans="1:7" ht="12.75">
      <c r="A453" s="172"/>
      <c r="B453" s="173"/>
      <c r="C453" s="173"/>
      <c r="D453" s="174"/>
      <c r="E453" s="173"/>
      <c r="F453" s="174"/>
      <c r="G453" s="3"/>
    </row>
    <row r="454" ht="13.5" thickBot="1"/>
    <row r="455" spans="2:7" s="324" customFormat="1" ht="25.5" customHeight="1" thickBot="1">
      <c r="B455" s="325" t="s">
        <v>236</v>
      </c>
      <c r="C455" s="326"/>
      <c r="D455" s="327">
        <f>D430+D441+D452</f>
        <v>1558358000</v>
      </c>
      <c r="E455" s="328"/>
      <c r="F455" s="327">
        <f>F430+F441+F452</f>
        <v>1558358000</v>
      </c>
      <c r="G455" s="363"/>
    </row>
    <row r="457" spans="3:6" ht="12.75">
      <c r="C457" s="3"/>
      <c r="D457" s="3">
        <f>D416+D397+D378+D356+D336+D317+D286+D267+D247+D222+D134</f>
        <v>1558358000</v>
      </c>
      <c r="E457" s="3"/>
      <c r="F457" s="3">
        <f>F416+F397+F378+F356+F336+F317+F286+F267+F247+F222+F134</f>
        <v>1558358000</v>
      </c>
    </row>
  </sheetData>
  <sheetProtection/>
  <mergeCells count="62">
    <mergeCell ref="A1:C1"/>
    <mergeCell ref="B322:C322"/>
    <mergeCell ref="A443:F443"/>
    <mergeCell ref="A432:F432"/>
    <mergeCell ref="A420:F420"/>
    <mergeCell ref="E381:F381"/>
    <mergeCell ref="B399:D399"/>
    <mergeCell ref="A400:A401"/>
    <mergeCell ref="B400:B401"/>
    <mergeCell ref="C400:D400"/>
    <mergeCell ref="E400:F400"/>
    <mergeCell ref="B380:D380"/>
    <mergeCell ref="A381:A382"/>
    <mergeCell ref="B381:B382"/>
    <mergeCell ref="C381:D381"/>
    <mergeCell ref="E340:F340"/>
    <mergeCell ref="B359:D359"/>
    <mergeCell ref="A360:A361"/>
    <mergeCell ref="B360:B361"/>
    <mergeCell ref="C360:D360"/>
    <mergeCell ref="E360:F360"/>
    <mergeCell ref="B339:D339"/>
    <mergeCell ref="A340:A341"/>
    <mergeCell ref="B340:B341"/>
    <mergeCell ref="C340:D340"/>
    <mergeCell ref="E290:F290"/>
    <mergeCell ref="B319:D319"/>
    <mergeCell ref="A320:A321"/>
    <mergeCell ref="B320:B321"/>
    <mergeCell ref="C320:D320"/>
    <mergeCell ref="E320:F320"/>
    <mergeCell ref="B289:D289"/>
    <mergeCell ref="A290:A291"/>
    <mergeCell ref="B290:B291"/>
    <mergeCell ref="C290:D290"/>
    <mergeCell ref="E251:F251"/>
    <mergeCell ref="B269:D269"/>
    <mergeCell ref="A270:A271"/>
    <mergeCell ref="B270:B271"/>
    <mergeCell ref="C270:D270"/>
    <mergeCell ref="E270:F270"/>
    <mergeCell ref="B250:D250"/>
    <mergeCell ref="A251:A252"/>
    <mergeCell ref="B251:B252"/>
    <mergeCell ref="C251:D251"/>
    <mergeCell ref="B2:F2"/>
    <mergeCell ref="B4:D4"/>
    <mergeCell ref="B225:D225"/>
    <mergeCell ref="A226:A227"/>
    <mergeCell ref="B226:B227"/>
    <mergeCell ref="C226:D226"/>
    <mergeCell ref="E226:F226"/>
    <mergeCell ref="E138:F138"/>
    <mergeCell ref="A5:A6"/>
    <mergeCell ref="B5:B6"/>
    <mergeCell ref="C5:D5"/>
    <mergeCell ref="E5:F5"/>
    <mergeCell ref="B136:D136"/>
    <mergeCell ref="A138:A139"/>
    <mergeCell ref="B138:B139"/>
    <mergeCell ref="C138:D138"/>
    <mergeCell ref="B137:D137"/>
  </mergeCells>
  <printOptions/>
  <pageMargins left="0.3937007874015748" right="0.3937007874015748" top="0.4" bottom="0.37" header="0.17" footer="0.17"/>
  <pageSetup horizontalDpi="600" verticalDpi="600" orientation="landscape" paperSize="9" scale="78" r:id="rId1"/>
  <rowBreaks count="12" manualBreakCount="12">
    <brk id="43" max="255" man="1"/>
    <brk id="80" max="255" man="1"/>
    <brk id="116" max="255" man="1"/>
    <brk id="136" max="255" man="1"/>
    <brk id="178" max="255" man="1"/>
    <brk id="193" max="5" man="1"/>
    <brk id="223" max="255" man="1"/>
    <brk id="268" max="255" man="1"/>
    <brk id="317" max="6" man="1"/>
    <brk id="358" max="255" man="1"/>
    <brk id="398" max="255" man="1"/>
    <brk id="4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4.75390625" style="18" customWidth="1"/>
    <col min="2" max="2" width="27.875" style="18" customWidth="1"/>
    <col min="3" max="3" width="10.25390625" style="18" customWidth="1"/>
    <col min="4" max="4" width="11.00390625" style="18" customWidth="1"/>
    <col min="5" max="5" width="11.00390625" style="2" customWidth="1"/>
    <col min="6" max="6" width="11.00390625" style="18" customWidth="1"/>
    <col min="7" max="8" width="11.00390625" style="2" customWidth="1"/>
    <col min="9" max="9" width="11.125" style="18" customWidth="1"/>
    <col min="10" max="10" width="12.75390625" style="18" customWidth="1"/>
    <col min="11" max="11" width="13.75390625" style="18" customWidth="1"/>
    <col min="12" max="16384" width="9.125" style="18" customWidth="1"/>
  </cols>
  <sheetData>
    <row r="1" spans="1:8" ht="13.5">
      <c r="A1" s="479" t="s">
        <v>269</v>
      </c>
      <c r="B1" s="479"/>
      <c r="C1" s="479"/>
      <c r="D1" s="479"/>
      <c r="E1" s="3"/>
      <c r="F1" s="3"/>
      <c r="G1" s="3"/>
      <c r="H1" s="3"/>
    </row>
    <row r="2" spans="2:13" ht="12.75">
      <c r="B2" s="605" t="s">
        <v>15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</row>
    <row r="3" spans="2:13" ht="12.75" customHeight="1">
      <c r="B3" s="605" t="s">
        <v>115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</row>
    <row r="4" ht="12.75" customHeight="1">
      <c r="B4" s="19"/>
    </row>
    <row r="5" spans="2:9" s="21" customFormat="1" ht="24.75" customHeight="1">
      <c r="B5" s="20"/>
      <c r="C5" s="27">
        <v>2016</v>
      </c>
      <c r="D5" s="27">
        <v>2017</v>
      </c>
      <c r="E5" s="27">
        <v>2018</v>
      </c>
      <c r="F5" s="27">
        <v>2019</v>
      </c>
      <c r="G5" s="27">
        <v>2020</v>
      </c>
      <c r="H5" s="24" t="s">
        <v>348</v>
      </c>
      <c r="I5" s="23" t="s">
        <v>10</v>
      </c>
    </row>
    <row r="6" spans="1:9" ht="21" customHeight="1">
      <c r="A6" s="21" t="s">
        <v>3</v>
      </c>
      <c r="B6" s="22" t="s">
        <v>346</v>
      </c>
      <c r="C6" s="19">
        <v>3997</v>
      </c>
      <c r="D6" s="3"/>
      <c r="E6" s="3"/>
      <c r="F6" s="3"/>
      <c r="G6" s="3"/>
      <c r="H6" s="19"/>
      <c r="I6" s="20">
        <f>H6+C6+E6+D6</f>
        <v>3997</v>
      </c>
    </row>
    <row r="7" spans="2:9" s="21" customFormat="1" ht="21.75" customHeight="1">
      <c r="B7" s="20" t="s">
        <v>2</v>
      </c>
      <c r="C7" s="20">
        <f aca="true" t="shared" si="0" ref="C7:I7">SUM(C6:C6)</f>
        <v>3997</v>
      </c>
      <c r="D7" s="20">
        <f t="shared" si="0"/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3997</v>
      </c>
    </row>
    <row r="8" spans="3:10" ht="12.75">
      <c r="C8" s="19"/>
      <c r="D8" s="19"/>
      <c r="E8" s="3"/>
      <c r="F8" s="19"/>
      <c r="G8" s="3"/>
      <c r="H8" s="3"/>
      <c r="I8" s="19"/>
      <c r="J8" s="19"/>
    </row>
    <row r="9" spans="2:10" ht="12.75">
      <c r="B9" s="607" t="s">
        <v>347</v>
      </c>
      <c r="C9" s="608"/>
      <c r="D9" s="608"/>
      <c r="E9" s="608"/>
      <c r="F9" s="608"/>
      <c r="G9" s="608"/>
      <c r="H9" s="608"/>
      <c r="I9" s="608"/>
      <c r="J9" s="608"/>
    </row>
    <row r="10" spans="2:10" ht="12.75">
      <c r="B10" s="608"/>
      <c r="C10" s="608"/>
      <c r="D10" s="608"/>
      <c r="E10" s="608"/>
      <c r="F10" s="608"/>
      <c r="G10" s="608"/>
      <c r="H10" s="608"/>
      <c r="I10" s="608"/>
      <c r="J10" s="608"/>
    </row>
  </sheetData>
  <sheetProtection/>
  <mergeCells count="4">
    <mergeCell ref="B2:M2"/>
    <mergeCell ref="B3:M3"/>
    <mergeCell ref="B9:J10"/>
    <mergeCell ref="A1:D1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SheetLayoutView="100" workbookViewId="0" topLeftCell="A1">
      <selection activeCell="E44" sqref="E44"/>
    </sheetView>
  </sheetViews>
  <sheetFormatPr defaultColWidth="9.00390625" defaultRowHeight="12.75"/>
  <cols>
    <col min="1" max="1" width="27.625" style="422" customWidth="1"/>
    <col min="2" max="2" width="8.25390625" style="19" customWidth="1"/>
    <col min="3" max="3" width="9.75390625" style="19" customWidth="1"/>
    <col min="4" max="4" width="8.625" style="19" customWidth="1"/>
    <col min="5" max="5" width="10.875" style="19" customWidth="1"/>
    <col min="6" max="6" width="10.375" style="19" bestFit="1" customWidth="1"/>
    <col min="7" max="16384" width="9.125" style="18" customWidth="1"/>
  </cols>
  <sheetData>
    <row r="1" spans="1:4" ht="13.5">
      <c r="A1" s="479" t="s">
        <v>349</v>
      </c>
      <c r="B1" s="479"/>
      <c r="C1" s="479"/>
      <c r="D1" s="479"/>
    </row>
    <row r="2" spans="1:7" ht="13.5">
      <c r="A2" s="613" t="s">
        <v>15</v>
      </c>
      <c r="B2" s="614"/>
      <c r="C2" s="614"/>
      <c r="D2" s="614"/>
      <c r="E2" s="614"/>
      <c r="F2" s="614"/>
      <c r="G2" s="614"/>
    </row>
    <row r="3" spans="1:7" ht="12.75">
      <c r="A3" s="611" t="s">
        <v>350</v>
      </c>
      <c r="B3" s="611"/>
      <c r="C3" s="611"/>
      <c r="D3" s="611"/>
      <c r="E3" s="612"/>
      <c r="F3" s="612"/>
      <c r="G3" s="612"/>
    </row>
    <row r="4" spans="1:5" ht="12.75">
      <c r="A4" s="423"/>
      <c r="B4" s="610" t="s">
        <v>351</v>
      </c>
      <c r="C4" s="610"/>
      <c r="D4" s="610"/>
      <c r="E4" s="425"/>
    </row>
    <row r="5" spans="1:5" ht="12.75">
      <c r="A5" s="423"/>
      <c r="B5" s="424"/>
      <c r="C5" s="424"/>
      <c r="D5" s="424"/>
      <c r="E5" s="425"/>
    </row>
    <row r="6" spans="1:7" ht="13.5">
      <c r="A6" s="615" t="s">
        <v>352</v>
      </c>
      <c r="B6" s="616"/>
      <c r="C6" s="616"/>
      <c r="D6" s="616"/>
      <c r="E6" s="616"/>
      <c r="F6" s="616"/>
      <c r="G6" s="616"/>
    </row>
    <row r="7" spans="1:5" ht="26.25" customHeight="1">
      <c r="A7" s="617" t="s">
        <v>353</v>
      </c>
      <c r="B7" s="612"/>
      <c r="C7" s="612"/>
      <c r="D7" s="612"/>
      <c r="E7" s="428">
        <v>48765</v>
      </c>
    </row>
    <row r="8" spans="1:5" ht="12.75">
      <c r="A8" s="423" t="s">
        <v>354</v>
      </c>
      <c r="B8" s="424"/>
      <c r="C8" s="424"/>
      <c r="D8" s="424"/>
      <c r="E8" s="429">
        <v>23490</v>
      </c>
    </row>
    <row r="9" spans="1:5" ht="12.75">
      <c r="A9" s="430" t="s">
        <v>355</v>
      </c>
      <c r="B9" s="424"/>
      <c r="C9" s="424"/>
      <c r="D9" s="424"/>
      <c r="E9" s="425">
        <f>E7-E8</f>
        <v>25275</v>
      </c>
    </row>
    <row r="10" spans="1:5" ht="12.75">
      <c r="A10" s="423"/>
      <c r="B10" s="424"/>
      <c r="C10" s="424"/>
      <c r="D10" s="424"/>
      <c r="E10" s="425"/>
    </row>
    <row r="11" spans="1:6" s="433" customFormat="1" ht="25.5">
      <c r="A11" s="430" t="s">
        <v>356</v>
      </c>
      <c r="B11" s="424"/>
      <c r="C11" s="424"/>
      <c r="D11" s="424"/>
      <c r="E11" s="431">
        <v>150</v>
      </c>
      <c r="F11" s="432"/>
    </row>
    <row r="12" spans="1:5" ht="12.75">
      <c r="A12" s="423"/>
      <c r="B12" s="424"/>
      <c r="C12" s="424"/>
      <c r="D12" s="424"/>
      <c r="E12" s="425"/>
    </row>
    <row r="13" spans="1:5" ht="13.5">
      <c r="A13" s="615" t="s">
        <v>357</v>
      </c>
      <c r="B13" s="616"/>
      <c r="C13" s="434"/>
      <c r="D13" s="434"/>
      <c r="E13" s="20">
        <f>E8+E11</f>
        <v>23640</v>
      </c>
    </row>
    <row r="14" spans="1:5" ht="13.5">
      <c r="A14" s="426"/>
      <c r="B14" s="427"/>
      <c r="C14" s="434"/>
      <c r="D14" s="434"/>
      <c r="E14" s="20"/>
    </row>
    <row r="15" spans="1:7" ht="13.5">
      <c r="A15" s="615" t="s">
        <v>358</v>
      </c>
      <c r="B15" s="612"/>
      <c r="C15" s="612"/>
      <c r="D15" s="612"/>
      <c r="E15" s="612"/>
      <c r="F15" s="612"/>
      <c r="G15" s="612"/>
    </row>
    <row r="16" spans="1:7" ht="12.75">
      <c r="A16" s="621" t="s">
        <v>359</v>
      </c>
      <c r="B16" s="612"/>
      <c r="C16" s="612"/>
      <c r="D16" s="612"/>
      <c r="E16" s="612"/>
      <c r="F16" s="612"/>
      <c r="G16" s="612"/>
    </row>
    <row r="17" spans="1:5" ht="12.75">
      <c r="A17" s="423"/>
      <c r="B17" s="424"/>
      <c r="C17" s="424"/>
      <c r="D17" s="424"/>
      <c r="E17" s="425"/>
    </row>
    <row r="18" spans="1:7" s="433" customFormat="1" ht="13.5">
      <c r="A18" s="615" t="s">
        <v>360</v>
      </c>
      <c r="B18" s="616"/>
      <c r="C18" s="616"/>
      <c r="D18" s="616"/>
      <c r="E18" s="616"/>
      <c r="F18" s="616"/>
      <c r="G18" s="616"/>
    </row>
    <row r="19" spans="1:5" ht="12.75">
      <c r="A19" s="430" t="s">
        <v>17</v>
      </c>
      <c r="B19" s="435"/>
      <c r="C19" s="435"/>
      <c r="D19" s="435"/>
      <c r="E19" s="3">
        <v>48699</v>
      </c>
    </row>
    <row r="20" spans="1:6" s="440" customFormat="1" ht="12.75">
      <c r="A20" s="436" t="s">
        <v>354</v>
      </c>
      <c r="B20" s="437"/>
      <c r="C20" s="437"/>
      <c r="D20" s="437"/>
      <c r="E20" s="438">
        <v>6289</v>
      </c>
      <c r="F20" s="439"/>
    </row>
    <row r="21" spans="1:6" s="433" customFormat="1" ht="12.75">
      <c r="A21" s="430" t="s">
        <v>355</v>
      </c>
      <c r="B21" s="441"/>
      <c r="C21" s="441"/>
      <c r="D21" s="441"/>
      <c r="E21" s="442">
        <f>E19-E20</f>
        <v>42410</v>
      </c>
      <c r="F21" s="432"/>
    </row>
    <row r="22" spans="1:5" ht="6.75" customHeight="1">
      <c r="A22" s="423"/>
      <c r="B22" s="435"/>
      <c r="C22" s="435"/>
      <c r="D22" s="435"/>
      <c r="E22" s="3"/>
    </row>
    <row r="23" spans="1:5" ht="12.75">
      <c r="A23" s="430" t="s">
        <v>361</v>
      </c>
      <c r="B23" s="435"/>
      <c r="C23" s="435"/>
      <c r="D23" s="435"/>
      <c r="E23" s="3">
        <f>82668</f>
        <v>82668</v>
      </c>
    </row>
    <row r="24" spans="1:5" ht="12.75">
      <c r="A24" s="423" t="s">
        <v>362</v>
      </c>
      <c r="B24" s="435"/>
      <c r="C24" s="435"/>
      <c r="D24" s="435"/>
      <c r="E24" s="3">
        <f>2713</f>
        <v>2713</v>
      </c>
    </row>
    <row r="25" spans="1:5" ht="12.75">
      <c r="A25" s="423" t="s">
        <v>363</v>
      </c>
      <c r="B25" s="435"/>
      <c r="C25" s="435"/>
      <c r="D25" s="435"/>
      <c r="E25" s="3">
        <f>2560</f>
        <v>2560</v>
      </c>
    </row>
    <row r="26" spans="1:7" s="21" customFormat="1" ht="13.5">
      <c r="A26" s="430" t="s">
        <v>355</v>
      </c>
      <c r="B26" s="443"/>
      <c r="C26" s="443"/>
      <c r="D26" s="443"/>
      <c r="E26" s="444">
        <f>E23-E24-E25</f>
        <v>77395</v>
      </c>
      <c r="F26" s="20"/>
      <c r="G26" s="445"/>
    </row>
    <row r="27" spans="1:4" ht="12.75">
      <c r="A27" s="423"/>
      <c r="B27" s="434"/>
      <c r="C27" s="434"/>
      <c r="D27" s="434"/>
    </row>
    <row r="28" spans="1:5" ht="28.5" customHeight="1">
      <c r="A28" s="609" t="s">
        <v>364</v>
      </c>
      <c r="B28" s="609"/>
      <c r="C28" s="609"/>
      <c r="D28" s="609"/>
      <c r="E28" s="20">
        <f>E20+(E24+E25)*0.4</f>
        <v>8398.2</v>
      </c>
    </row>
    <row r="29" spans="1:4" ht="12.75">
      <c r="A29" s="423"/>
      <c r="B29" s="434"/>
      <c r="C29" s="434"/>
      <c r="D29" s="434"/>
    </row>
    <row r="30" spans="1:7" ht="13.5">
      <c r="A30" s="622" t="s">
        <v>365</v>
      </c>
      <c r="B30" s="612"/>
      <c r="C30" s="612"/>
      <c r="D30" s="612"/>
      <c r="E30" s="612"/>
      <c r="F30" s="612"/>
      <c r="G30" s="612"/>
    </row>
    <row r="31" spans="1:4" ht="27" customHeight="1">
      <c r="A31" s="620" t="s">
        <v>366</v>
      </c>
      <c r="B31" s="612"/>
      <c r="C31" s="612"/>
      <c r="D31" s="434"/>
    </row>
    <row r="32" spans="1:5" ht="12.75">
      <c r="A32" s="620" t="s">
        <v>367</v>
      </c>
      <c r="B32" s="612"/>
      <c r="C32" s="612"/>
      <c r="D32" s="612"/>
      <c r="E32" s="446">
        <v>23440</v>
      </c>
    </row>
    <row r="33" spans="1:4" ht="12.75">
      <c r="A33" s="423"/>
      <c r="B33" s="434"/>
      <c r="C33" s="434"/>
      <c r="D33" s="434"/>
    </row>
    <row r="34" spans="1:5" ht="13.5">
      <c r="A34" s="615" t="s">
        <v>357</v>
      </c>
      <c r="B34" s="616"/>
      <c r="C34" s="434"/>
      <c r="D34" s="434"/>
      <c r="E34" s="20">
        <f>E32</f>
        <v>23440</v>
      </c>
    </row>
    <row r="35" spans="1:4" ht="12.75">
      <c r="A35" s="423"/>
      <c r="B35" s="434"/>
      <c r="C35" s="434"/>
      <c r="D35" s="434"/>
    </row>
    <row r="36" spans="1:7" ht="13.5">
      <c r="A36" s="615" t="s">
        <v>368</v>
      </c>
      <c r="B36" s="616"/>
      <c r="C36" s="616"/>
      <c r="D36" s="616"/>
      <c r="E36" s="616"/>
      <c r="F36" s="616"/>
      <c r="G36" s="616"/>
    </row>
    <row r="37" spans="1:5" ht="12.75">
      <c r="A37" s="620" t="s">
        <v>369</v>
      </c>
      <c r="B37" s="612"/>
      <c r="C37" s="612"/>
      <c r="D37" s="434"/>
      <c r="E37" s="446">
        <v>1000</v>
      </c>
    </row>
    <row r="38" spans="1:5" ht="12.75">
      <c r="A38" s="423" t="s">
        <v>354</v>
      </c>
      <c r="B38" s="435"/>
      <c r="C38" s="435"/>
      <c r="D38" s="435"/>
      <c r="E38" s="446">
        <v>100</v>
      </c>
    </row>
    <row r="39" spans="1:6" s="21" customFormat="1" ht="13.5">
      <c r="A39" s="430" t="s">
        <v>355</v>
      </c>
      <c r="B39" s="443"/>
      <c r="C39" s="443"/>
      <c r="D39" s="443"/>
      <c r="E39" s="432">
        <f>E37-E38</f>
        <v>900</v>
      </c>
      <c r="F39" s="20"/>
    </row>
    <row r="40" spans="1:4" ht="12.75">
      <c r="A40" s="423"/>
      <c r="B40" s="434"/>
      <c r="C40" s="434"/>
      <c r="D40" s="434"/>
    </row>
    <row r="41" spans="1:5" ht="13.5">
      <c r="A41" s="615" t="s">
        <v>357</v>
      </c>
      <c r="B41" s="616"/>
      <c r="C41" s="434"/>
      <c r="D41" s="434"/>
      <c r="E41" s="20">
        <f>E38</f>
        <v>100</v>
      </c>
    </row>
    <row r="42" spans="1:4" ht="12.75">
      <c r="A42" s="423"/>
      <c r="B42" s="434"/>
      <c r="C42" s="434"/>
      <c r="D42" s="434"/>
    </row>
    <row r="43" spans="1:6" s="433" customFormat="1" ht="12.75">
      <c r="A43" s="618" t="s">
        <v>370</v>
      </c>
      <c r="B43" s="619"/>
      <c r="C43" s="619"/>
      <c r="D43" s="447"/>
      <c r="E43" s="432">
        <f>E41+E34+E28+E13</f>
        <v>55578.2</v>
      </c>
      <c r="F43" s="432"/>
    </row>
    <row r="44" spans="1:4" ht="12.75">
      <c r="A44" s="423"/>
      <c r="B44" s="434"/>
      <c r="C44" s="434"/>
      <c r="D44" s="434"/>
    </row>
  </sheetData>
  <sheetProtection/>
  <mergeCells count="19">
    <mergeCell ref="A16:G16"/>
    <mergeCell ref="A37:C37"/>
    <mergeCell ref="A41:B41"/>
    <mergeCell ref="A30:G30"/>
    <mergeCell ref="A43:C43"/>
    <mergeCell ref="A31:C31"/>
    <mergeCell ref="A32:D32"/>
    <mergeCell ref="A34:B34"/>
    <mergeCell ref="A36:G36"/>
    <mergeCell ref="A1:D1"/>
    <mergeCell ref="A28:D28"/>
    <mergeCell ref="B4:D4"/>
    <mergeCell ref="A3:G3"/>
    <mergeCell ref="A2:G2"/>
    <mergeCell ref="A18:G18"/>
    <mergeCell ref="A6:G6"/>
    <mergeCell ref="A7:D7"/>
    <mergeCell ref="A13:B13"/>
    <mergeCell ref="A15:G15"/>
  </mergeCells>
  <printOptions/>
  <pageMargins left="0.7874015748031497" right="0.7874015748031497" top="1.1023622047244095" bottom="1.1811023622047245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B25" sqref="B25"/>
    </sheetView>
  </sheetViews>
  <sheetFormatPr defaultColWidth="9.00390625" defaultRowHeight="12.75"/>
  <cols>
    <col min="1" max="1" width="27.875" style="448" customWidth="1"/>
    <col min="2" max="2" width="7.625" style="448" customWidth="1"/>
    <col min="3" max="3" width="7.875" style="448" customWidth="1"/>
    <col min="4" max="4" width="8.25390625" style="448" customWidth="1"/>
    <col min="5" max="6" width="7.375" style="448" customWidth="1"/>
    <col min="7" max="7" width="7.875" style="448" customWidth="1"/>
    <col min="8" max="8" width="7.25390625" style="448" customWidth="1"/>
    <col min="9" max="9" width="9.375" style="448" customWidth="1"/>
    <col min="10" max="10" width="10.625" style="448" customWidth="1"/>
    <col min="11" max="11" width="8.625" style="448" customWidth="1"/>
    <col min="12" max="12" width="9.75390625" style="448" customWidth="1"/>
    <col min="13" max="14" width="9.00390625" style="448" customWidth="1"/>
    <col min="15" max="15" width="12.125" style="448" customWidth="1"/>
    <col min="16" max="16" width="11.875" style="448" customWidth="1"/>
    <col min="17" max="16384" width="9.125" style="448" customWidth="1"/>
  </cols>
  <sheetData>
    <row r="1" ht="13.5">
      <c r="A1" s="211" t="s">
        <v>371</v>
      </c>
    </row>
    <row r="2" ht="13.5">
      <c r="A2" s="211"/>
    </row>
    <row r="3" spans="1:15" s="450" customFormat="1" ht="33" customHeight="1">
      <c r="A3" s="623" t="s">
        <v>372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449"/>
    </row>
    <row r="4" spans="14:15" s="451" customFormat="1" ht="9" customHeight="1">
      <c r="N4" s="452"/>
      <c r="O4" s="453"/>
    </row>
    <row r="5" spans="1:15" s="458" customFormat="1" ht="12.75">
      <c r="A5" s="454"/>
      <c r="B5" s="455" t="s">
        <v>373</v>
      </c>
      <c r="C5" s="455" t="s">
        <v>374</v>
      </c>
      <c r="D5" s="455" t="s">
        <v>375</v>
      </c>
      <c r="E5" s="455" t="s">
        <v>376</v>
      </c>
      <c r="F5" s="455" t="s">
        <v>377</v>
      </c>
      <c r="G5" s="455" t="s">
        <v>378</v>
      </c>
      <c r="H5" s="455" t="s">
        <v>379</v>
      </c>
      <c r="I5" s="455" t="s">
        <v>380</v>
      </c>
      <c r="J5" s="455" t="s">
        <v>381</v>
      </c>
      <c r="K5" s="455" t="s">
        <v>382</v>
      </c>
      <c r="L5" s="455" t="s">
        <v>383</v>
      </c>
      <c r="M5" s="455" t="s">
        <v>384</v>
      </c>
      <c r="N5" s="456" t="s">
        <v>10</v>
      </c>
      <c r="O5" s="457"/>
    </row>
    <row r="6" spans="1:15" s="451" customFormat="1" ht="12.75">
      <c r="A6" s="459" t="s">
        <v>385</v>
      </c>
      <c r="B6" s="460">
        <f>71377+5429</f>
        <v>76806</v>
      </c>
      <c r="C6" s="460">
        <v>71376</v>
      </c>
      <c r="D6" s="460">
        <v>71377</v>
      </c>
      <c r="E6" s="460">
        <f>71376+7921</f>
        <v>79297</v>
      </c>
      <c r="F6" s="460">
        <v>71377</v>
      </c>
      <c r="G6" s="460">
        <v>71376</v>
      </c>
      <c r="H6" s="460">
        <v>71377</v>
      </c>
      <c r="I6" s="460">
        <v>71376</v>
      </c>
      <c r="J6" s="460">
        <v>71377</v>
      </c>
      <c r="K6" s="460">
        <f>71376+11850</f>
        <v>83226</v>
      </c>
      <c r="L6" s="460">
        <v>71377</v>
      </c>
      <c r="M6" s="460">
        <v>71376</v>
      </c>
      <c r="N6" s="461">
        <f aca="true" t="shared" si="0" ref="N6:N17">SUM(B6:M6)</f>
        <v>881718</v>
      </c>
      <c r="O6" s="453"/>
    </row>
    <row r="7" spans="1:15" s="451" customFormat="1" ht="12.75">
      <c r="A7" s="459" t="s">
        <v>386</v>
      </c>
      <c r="B7" s="462">
        <v>500</v>
      </c>
      <c r="C7" s="462">
        <v>500</v>
      </c>
      <c r="D7" s="460">
        <v>190000</v>
      </c>
      <c r="E7" s="460">
        <v>4500</v>
      </c>
      <c r="F7" s="460">
        <v>5000</v>
      </c>
      <c r="G7" s="460">
        <v>5000</v>
      </c>
      <c r="H7" s="460">
        <v>5000</v>
      </c>
      <c r="I7" s="460">
        <v>5000</v>
      </c>
      <c r="J7" s="460">
        <v>190000</v>
      </c>
      <c r="K7" s="460">
        <v>3900</v>
      </c>
      <c r="L7" s="460">
        <v>500</v>
      </c>
      <c r="M7" s="460">
        <f>15011-804</f>
        <v>14207</v>
      </c>
      <c r="N7" s="461">
        <f t="shared" si="0"/>
        <v>424107</v>
      </c>
      <c r="O7" s="453"/>
    </row>
    <row r="8" spans="1:15" s="451" customFormat="1" ht="15" customHeight="1">
      <c r="A8" s="463" t="s">
        <v>387</v>
      </c>
      <c r="B8" s="460">
        <v>8028</v>
      </c>
      <c r="C8" s="460">
        <v>8028</v>
      </c>
      <c r="D8" s="460">
        <v>8028</v>
      </c>
      <c r="E8" s="460">
        <v>8028</v>
      </c>
      <c r="F8" s="460">
        <v>8028</v>
      </c>
      <c r="G8" s="460">
        <f>5000+8028</f>
        <v>13028</v>
      </c>
      <c r="H8" s="460">
        <f>17000+8028</f>
        <v>25028</v>
      </c>
      <c r="I8" s="460">
        <v>8028</v>
      </c>
      <c r="J8" s="460">
        <v>8028</v>
      </c>
      <c r="K8" s="460">
        <v>8028</v>
      </c>
      <c r="L8" s="460">
        <v>8028</v>
      </c>
      <c r="M8" s="460">
        <v>8028</v>
      </c>
      <c r="N8" s="461">
        <f t="shared" si="0"/>
        <v>118336</v>
      </c>
      <c r="O8" s="453"/>
    </row>
    <row r="9" spans="1:15" s="451" customFormat="1" ht="12.75">
      <c r="A9" s="459" t="s">
        <v>388</v>
      </c>
      <c r="B9" s="464"/>
      <c r="C9" s="464"/>
      <c r="D9" s="464"/>
      <c r="E9" s="464">
        <v>200</v>
      </c>
      <c r="F9" s="464"/>
      <c r="G9" s="464"/>
      <c r="H9" s="464"/>
      <c r="I9" s="464"/>
      <c r="J9" s="464"/>
      <c r="K9" s="464"/>
      <c r="L9" s="464"/>
      <c r="M9" s="464">
        <v>333</v>
      </c>
      <c r="N9" s="461">
        <f t="shared" si="0"/>
        <v>533</v>
      </c>
      <c r="O9" s="453"/>
    </row>
    <row r="10" spans="1:15" s="451" customFormat="1" ht="12.75">
      <c r="A10" s="459" t="s">
        <v>389</v>
      </c>
      <c r="B10" s="464"/>
      <c r="C10" s="464"/>
      <c r="D10" s="464"/>
      <c r="E10" s="464">
        <v>100000</v>
      </c>
      <c r="F10" s="464"/>
      <c r="G10" s="464"/>
      <c r="H10" s="464"/>
      <c r="I10" s="464"/>
      <c r="J10" s="464"/>
      <c r="K10" s="464"/>
      <c r="L10" s="464"/>
      <c r="M10" s="464"/>
      <c r="N10" s="461">
        <f t="shared" si="0"/>
        <v>100000</v>
      </c>
      <c r="O10" s="453"/>
    </row>
    <row r="11" spans="1:15" s="451" customFormat="1" ht="12.75">
      <c r="A11" s="459" t="s">
        <v>390</v>
      </c>
      <c r="B11" s="460"/>
      <c r="C11" s="460"/>
      <c r="D11" s="460">
        <v>5000</v>
      </c>
      <c r="E11" s="460"/>
      <c r="F11" s="460"/>
      <c r="G11" s="460">
        <v>5000</v>
      </c>
      <c r="H11" s="460">
        <v>10000</v>
      </c>
      <c r="I11" s="460">
        <v>10000</v>
      </c>
      <c r="J11" s="460">
        <v>5000</v>
      </c>
      <c r="K11" s="460">
        <v>10000</v>
      </c>
      <c r="L11" s="460">
        <v>26415</v>
      </c>
      <c r="M11" s="460">
        <v>5000</v>
      </c>
      <c r="N11" s="461">
        <f t="shared" si="0"/>
        <v>76415</v>
      </c>
      <c r="O11" s="453"/>
    </row>
    <row r="12" spans="1:15" s="451" customFormat="1" ht="25.5">
      <c r="A12" s="463" t="s">
        <v>391</v>
      </c>
      <c r="B12" s="460">
        <v>1210</v>
      </c>
      <c r="C12" s="460">
        <v>1210</v>
      </c>
      <c r="D12" s="460">
        <v>1210</v>
      </c>
      <c r="E12" s="460">
        <v>1210</v>
      </c>
      <c r="F12" s="460">
        <v>1210</v>
      </c>
      <c r="G12" s="460">
        <v>1210</v>
      </c>
      <c r="H12" s="460">
        <v>1210</v>
      </c>
      <c r="I12" s="460">
        <v>1220</v>
      </c>
      <c r="J12" s="460">
        <v>1210</v>
      </c>
      <c r="K12" s="460">
        <f>1210+12434</f>
        <v>13644</v>
      </c>
      <c r="L12" s="460">
        <v>1210</v>
      </c>
      <c r="M12" s="460">
        <v>1210</v>
      </c>
      <c r="N12" s="461">
        <f t="shared" si="0"/>
        <v>26964</v>
      </c>
      <c r="O12" s="453"/>
    </row>
    <row r="13" spans="1:15" s="451" customFormat="1" ht="15" customHeight="1">
      <c r="A13" s="465" t="s">
        <v>392</v>
      </c>
      <c r="B13" s="461">
        <f aca="true" t="shared" si="1" ref="B13:M13">B6+B7+B8+B9+B10+B11+B12</f>
        <v>86544</v>
      </c>
      <c r="C13" s="461">
        <f t="shared" si="1"/>
        <v>81114</v>
      </c>
      <c r="D13" s="461">
        <f t="shared" si="1"/>
        <v>275615</v>
      </c>
      <c r="E13" s="461">
        <f t="shared" si="1"/>
        <v>193235</v>
      </c>
      <c r="F13" s="461">
        <f t="shared" si="1"/>
        <v>85615</v>
      </c>
      <c r="G13" s="461">
        <f t="shared" si="1"/>
        <v>95614</v>
      </c>
      <c r="H13" s="461">
        <f t="shared" si="1"/>
        <v>112615</v>
      </c>
      <c r="I13" s="461">
        <f t="shared" si="1"/>
        <v>95624</v>
      </c>
      <c r="J13" s="461">
        <f t="shared" si="1"/>
        <v>275615</v>
      </c>
      <c r="K13" s="461">
        <f t="shared" si="1"/>
        <v>118798</v>
      </c>
      <c r="L13" s="461">
        <f t="shared" si="1"/>
        <v>107530</v>
      </c>
      <c r="M13" s="461">
        <f t="shared" si="1"/>
        <v>100154</v>
      </c>
      <c r="N13" s="461">
        <f t="shared" si="0"/>
        <v>1628073</v>
      </c>
      <c r="O13" s="453"/>
    </row>
    <row r="14" spans="1:15" s="451" customFormat="1" ht="17.25" customHeight="1">
      <c r="A14" s="465" t="s">
        <v>393</v>
      </c>
      <c r="B14" s="461">
        <f aca="true" t="shared" si="2" ref="B14:M14">B13-B28</f>
        <v>-48406</v>
      </c>
      <c r="C14" s="461">
        <f t="shared" si="2"/>
        <v>-45907</v>
      </c>
      <c r="D14" s="461">
        <f t="shared" si="2"/>
        <v>145194</v>
      </c>
      <c r="E14" s="461">
        <f t="shared" si="2"/>
        <v>64781</v>
      </c>
      <c r="F14" s="461">
        <f t="shared" si="2"/>
        <v>-47588</v>
      </c>
      <c r="G14" s="461">
        <f t="shared" si="2"/>
        <v>-39541</v>
      </c>
      <c r="H14" s="461">
        <f t="shared" si="2"/>
        <v>-53547</v>
      </c>
      <c r="I14" s="461">
        <f t="shared" si="2"/>
        <v>-80603</v>
      </c>
      <c r="J14" s="461">
        <f t="shared" si="2"/>
        <v>121953</v>
      </c>
      <c r="K14" s="461">
        <f t="shared" si="2"/>
        <v>-61866</v>
      </c>
      <c r="L14" s="461">
        <f t="shared" si="2"/>
        <v>-56072</v>
      </c>
      <c r="M14" s="461">
        <f t="shared" si="2"/>
        <v>-32734</v>
      </c>
      <c r="N14" s="461">
        <f t="shared" si="0"/>
        <v>-134336</v>
      </c>
      <c r="O14" s="453"/>
    </row>
    <row r="15" spans="1:15" s="451" customFormat="1" ht="25.5">
      <c r="A15" s="463" t="s">
        <v>394</v>
      </c>
      <c r="B15" s="460"/>
      <c r="C15" s="460"/>
      <c r="D15" s="460"/>
      <c r="E15" s="460"/>
      <c r="F15" s="460">
        <v>163814</v>
      </c>
      <c r="G15" s="460"/>
      <c r="H15" s="460"/>
      <c r="I15" s="460"/>
      <c r="J15" s="460"/>
      <c r="K15" s="460"/>
      <c r="L15" s="460"/>
      <c r="M15" s="460"/>
      <c r="N15" s="461">
        <f t="shared" si="0"/>
        <v>163814</v>
      </c>
      <c r="O15" s="453"/>
    </row>
    <row r="16" spans="1:15" s="451" customFormat="1" ht="25.5">
      <c r="A16" s="463" t="s">
        <v>395</v>
      </c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1">
        <f t="shared" si="0"/>
        <v>0</v>
      </c>
      <c r="O16" s="453"/>
    </row>
    <row r="17" spans="1:15" s="451" customFormat="1" ht="25.5">
      <c r="A17" s="463" t="s">
        <v>396</v>
      </c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1">
        <f t="shared" si="0"/>
        <v>0</v>
      </c>
      <c r="O17" s="453"/>
    </row>
    <row r="18" spans="1:15" s="451" customFormat="1" ht="21.75" customHeight="1">
      <c r="A18" s="465" t="s">
        <v>397</v>
      </c>
      <c r="B18" s="461">
        <f aca="true" t="shared" si="3" ref="B18:N18">B13+B15+B17</f>
        <v>86544</v>
      </c>
      <c r="C18" s="461">
        <f t="shared" si="3"/>
        <v>81114</v>
      </c>
      <c r="D18" s="461">
        <f t="shared" si="3"/>
        <v>275615</v>
      </c>
      <c r="E18" s="461">
        <f t="shared" si="3"/>
        <v>193235</v>
      </c>
      <c r="F18" s="461">
        <f t="shared" si="3"/>
        <v>249429</v>
      </c>
      <c r="G18" s="461">
        <f t="shared" si="3"/>
        <v>95614</v>
      </c>
      <c r="H18" s="461">
        <f t="shared" si="3"/>
        <v>112615</v>
      </c>
      <c r="I18" s="461">
        <f t="shared" si="3"/>
        <v>95624</v>
      </c>
      <c r="J18" s="461">
        <f t="shared" si="3"/>
        <v>275615</v>
      </c>
      <c r="K18" s="461">
        <f t="shared" si="3"/>
        <v>118798</v>
      </c>
      <c r="L18" s="461">
        <f t="shared" si="3"/>
        <v>107530</v>
      </c>
      <c r="M18" s="461">
        <f t="shared" si="3"/>
        <v>100154</v>
      </c>
      <c r="N18" s="461">
        <f t="shared" si="3"/>
        <v>1791887</v>
      </c>
      <c r="O18" s="453"/>
    </row>
    <row r="19" spans="1:15" s="451" customFormat="1" ht="12.75">
      <c r="A19" s="466"/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8"/>
      <c r="O19" s="453"/>
    </row>
    <row r="20" spans="1:16" s="452" customFormat="1" ht="12.75">
      <c r="A20" s="459" t="s">
        <v>398</v>
      </c>
      <c r="B20" s="460">
        <v>23477</v>
      </c>
      <c r="C20" s="460">
        <v>23477</v>
      </c>
      <c r="D20" s="460">
        <v>23477</v>
      </c>
      <c r="E20" s="460">
        <v>23477</v>
      </c>
      <c r="F20" s="460">
        <f>23477+1000</f>
        <v>24477</v>
      </c>
      <c r="G20" s="460">
        <v>23477</v>
      </c>
      <c r="H20" s="460">
        <f>23477</f>
        <v>23477</v>
      </c>
      <c r="I20" s="460">
        <f>23477+567</f>
        <v>24044</v>
      </c>
      <c r="J20" s="460">
        <v>23477</v>
      </c>
      <c r="K20" s="460">
        <f>23477+1000+820</f>
        <v>25297</v>
      </c>
      <c r="L20" s="460">
        <f>23477+1245</f>
        <v>24722</v>
      </c>
      <c r="M20" s="460">
        <f>23477+372</f>
        <v>23849</v>
      </c>
      <c r="N20" s="461">
        <f aca="true" t="shared" si="4" ref="N20:N27">SUM(B20:M20)</f>
        <v>286728</v>
      </c>
      <c r="O20" s="469"/>
      <c r="P20" s="469"/>
    </row>
    <row r="21" spans="1:16" s="452" customFormat="1" ht="12.75">
      <c r="A21" s="459" t="s">
        <v>399</v>
      </c>
      <c r="B21" s="460">
        <v>6694</v>
      </c>
      <c r="C21" s="460">
        <v>6694</v>
      </c>
      <c r="D21" s="460">
        <v>6694</v>
      </c>
      <c r="E21" s="460">
        <v>6694</v>
      </c>
      <c r="F21" s="460">
        <f>6674+500</f>
        <v>7174</v>
      </c>
      <c r="G21" s="460">
        <v>6694</v>
      </c>
      <c r="H21" s="460">
        <v>6694</v>
      </c>
      <c r="I21" s="460">
        <f>6674+200+200</f>
        <v>7074</v>
      </c>
      <c r="J21" s="460">
        <v>6694</v>
      </c>
      <c r="K21" s="460">
        <f>6674+1000+58</f>
        <v>7732</v>
      </c>
      <c r="L21" s="460">
        <f>6674+500+100</f>
        <v>7274</v>
      </c>
      <c r="M21" s="460">
        <f>6674+300</f>
        <v>6974</v>
      </c>
      <c r="N21" s="461">
        <f t="shared" si="4"/>
        <v>83086</v>
      </c>
      <c r="O21" s="469"/>
      <c r="P21" s="469"/>
    </row>
    <row r="22" spans="1:16" s="452" customFormat="1" ht="12.75">
      <c r="A22" s="459" t="s">
        <v>400</v>
      </c>
      <c r="B22" s="460">
        <v>39100</v>
      </c>
      <c r="C22" s="460">
        <v>39100</v>
      </c>
      <c r="D22" s="460">
        <f>39100+300+750</f>
        <v>40150</v>
      </c>
      <c r="E22" s="460">
        <f>38985+2000</f>
        <v>40985</v>
      </c>
      <c r="F22" s="460">
        <v>39100</v>
      </c>
      <c r="G22" s="460">
        <f>38985+3000</f>
        <v>41985</v>
      </c>
      <c r="H22" s="460">
        <f>38985+5000</f>
        <v>43985</v>
      </c>
      <c r="I22" s="460">
        <f>38985+5000</f>
        <v>43985</v>
      </c>
      <c r="J22" s="460">
        <f>38985+3000</f>
        <v>41985</v>
      </c>
      <c r="K22" s="460">
        <f>38985+1000</f>
        <v>39985</v>
      </c>
      <c r="L22" s="460">
        <v>39100</v>
      </c>
      <c r="M22" s="460">
        <v>39415</v>
      </c>
      <c r="N22" s="461">
        <f t="shared" si="4"/>
        <v>488875</v>
      </c>
      <c r="O22" s="469"/>
      <c r="P22" s="469"/>
    </row>
    <row r="23" spans="1:15" s="452" customFormat="1" ht="12.75">
      <c r="A23" s="459" t="s">
        <v>401</v>
      </c>
      <c r="B23" s="459">
        <v>2150</v>
      </c>
      <c r="C23" s="459">
        <v>2150</v>
      </c>
      <c r="D23" s="459">
        <v>2150</v>
      </c>
      <c r="E23" s="459">
        <v>2150</v>
      </c>
      <c r="F23" s="459">
        <v>2150</v>
      </c>
      <c r="G23" s="459">
        <v>2150</v>
      </c>
      <c r="H23" s="459">
        <v>2150</v>
      </c>
      <c r="I23" s="459">
        <v>2150</v>
      </c>
      <c r="J23" s="459">
        <v>2150</v>
      </c>
      <c r="K23" s="459">
        <v>2150</v>
      </c>
      <c r="L23" s="459">
        <v>2150</v>
      </c>
      <c r="M23" s="459">
        <v>2150</v>
      </c>
      <c r="N23" s="461">
        <f t="shared" si="4"/>
        <v>25800</v>
      </c>
      <c r="O23" s="469"/>
    </row>
    <row r="24" spans="1:15" s="452" customFormat="1" ht="12.75">
      <c r="A24" s="459" t="s">
        <v>402</v>
      </c>
      <c r="B24" s="460">
        <f>53500+5429</f>
        <v>58929</v>
      </c>
      <c r="C24" s="460">
        <v>53500</v>
      </c>
      <c r="D24" s="460">
        <f>53500-750-300-100+100</f>
        <v>52450</v>
      </c>
      <c r="E24" s="460">
        <f>46356+5000-268</f>
        <v>51088</v>
      </c>
      <c r="F24" s="460">
        <v>53500</v>
      </c>
      <c r="G24" s="460">
        <v>51500</v>
      </c>
      <c r="H24" s="460">
        <f>46356+5000</f>
        <v>51356</v>
      </c>
      <c r="I24" s="460">
        <f>46356+10000</f>
        <v>56356</v>
      </c>
      <c r="J24" s="460">
        <f>46356+10000</f>
        <v>56356</v>
      </c>
      <c r="K24" s="460">
        <v>52500</v>
      </c>
      <c r="L24" s="460">
        <f>46356+5000</f>
        <v>51356</v>
      </c>
      <c r="M24" s="460">
        <v>55500</v>
      </c>
      <c r="N24" s="461">
        <f t="shared" si="4"/>
        <v>644391</v>
      </c>
      <c r="O24" s="469"/>
    </row>
    <row r="25" spans="1:15" s="451" customFormat="1" ht="12.75">
      <c r="A25" s="459" t="s">
        <v>403</v>
      </c>
      <c r="B25" s="464">
        <f>3500</f>
        <v>3500</v>
      </c>
      <c r="C25" s="464"/>
      <c r="D25" s="464">
        <v>500</v>
      </c>
      <c r="E25" s="464">
        <v>1600</v>
      </c>
      <c r="F25" s="464"/>
      <c r="G25" s="464"/>
      <c r="H25" s="464">
        <f>14000-500</f>
        <v>13500</v>
      </c>
      <c r="I25" s="464">
        <f>14000-600</f>
        <v>13400</v>
      </c>
      <c r="J25" s="464">
        <v>18000</v>
      </c>
      <c r="K25" s="464">
        <v>18000</v>
      </c>
      <c r="L25" s="464">
        <v>4000</v>
      </c>
      <c r="M25" s="464"/>
      <c r="N25" s="461">
        <f t="shared" si="4"/>
        <v>72500</v>
      </c>
      <c r="O25" s="453"/>
    </row>
    <row r="26" spans="1:15" s="452" customFormat="1" ht="12.75">
      <c r="A26" s="459" t="s">
        <v>404</v>
      </c>
      <c r="B26" s="460">
        <v>1100</v>
      </c>
      <c r="C26" s="460">
        <v>2100</v>
      </c>
      <c r="D26" s="460">
        <v>5000</v>
      </c>
      <c r="E26" s="460">
        <v>1000</v>
      </c>
      <c r="F26" s="460">
        <v>1000</v>
      </c>
      <c r="G26" s="460">
        <v>5000</v>
      </c>
      <c r="H26" s="460">
        <v>25000</v>
      </c>
      <c r="I26" s="460">
        <f>30000-782</f>
        <v>29218</v>
      </c>
      <c r="J26" s="460">
        <v>5000</v>
      </c>
      <c r="K26" s="460">
        <v>35000</v>
      </c>
      <c r="L26" s="460">
        <v>35000</v>
      </c>
      <c r="M26" s="460">
        <v>5000</v>
      </c>
      <c r="N26" s="461">
        <f t="shared" si="4"/>
        <v>149418</v>
      </c>
      <c r="O26" s="469"/>
    </row>
    <row r="27" spans="1:15" s="451" customFormat="1" ht="12.75">
      <c r="A27" s="459" t="s">
        <v>405</v>
      </c>
      <c r="B27" s="459"/>
      <c r="C27" s="459"/>
      <c r="D27" s="459"/>
      <c r="E27" s="459">
        <v>1460</v>
      </c>
      <c r="F27" s="459">
        <v>5802</v>
      </c>
      <c r="G27" s="459">
        <f>10151-5802</f>
        <v>4349</v>
      </c>
      <c r="H27" s="459"/>
      <c r="I27" s="459"/>
      <c r="J27" s="459"/>
      <c r="K27" s="459"/>
      <c r="L27" s="459"/>
      <c r="M27" s="459"/>
      <c r="N27" s="461">
        <f t="shared" si="4"/>
        <v>11611</v>
      </c>
      <c r="O27" s="453"/>
    </row>
    <row r="28" spans="1:15" s="451" customFormat="1" ht="12.75">
      <c r="A28" s="465" t="s">
        <v>406</v>
      </c>
      <c r="B28" s="461">
        <f aca="true" t="shared" si="5" ref="B28:N28">B20+B21+B22+B23+B24+B25+B26+B27</f>
        <v>134950</v>
      </c>
      <c r="C28" s="461">
        <f t="shared" si="5"/>
        <v>127021</v>
      </c>
      <c r="D28" s="461">
        <f t="shared" si="5"/>
        <v>130421</v>
      </c>
      <c r="E28" s="461">
        <f t="shared" si="5"/>
        <v>128454</v>
      </c>
      <c r="F28" s="461">
        <f t="shared" si="5"/>
        <v>133203</v>
      </c>
      <c r="G28" s="461">
        <f t="shared" si="5"/>
        <v>135155</v>
      </c>
      <c r="H28" s="461">
        <f t="shared" si="5"/>
        <v>166162</v>
      </c>
      <c r="I28" s="461">
        <f t="shared" si="5"/>
        <v>176227</v>
      </c>
      <c r="J28" s="461">
        <f t="shared" si="5"/>
        <v>153662</v>
      </c>
      <c r="K28" s="461">
        <f t="shared" si="5"/>
        <v>180664</v>
      </c>
      <c r="L28" s="461">
        <f t="shared" si="5"/>
        <v>163602</v>
      </c>
      <c r="M28" s="461">
        <f t="shared" si="5"/>
        <v>132888</v>
      </c>
      <c r="N28" s="461">
        <f t="shared" si="5"/>
        <v>1762409</v>
      </c>
      <c r="O28" s="453"/>
    </row>
    <row r="29" spans="1:15" s="451" customFormat="1" ht="24.75" customHeight="1">
      <c r="A29" s="463" t="s">
        <v>407</v>
      </c>
      <c r="B29" s="460">
        <v>29478</v>
      </c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1">
        <f>SUM(B29:M29)</f>
        <v>29478</v>
      </c>
      <c r="O29" s="453"/>
    </row>
    <row r="30" spans="1:15" s="451" customFormat="1" ht="12.75">
      <c r="A30" s="465" t="s">
        <v>408</v>
      </c>
      <c r="B30" s="461">
        <f aca="true" t="shared" si="6" ref="B30:N30">B28+B29</f>
        <v>164428</v>
      </c>
      <c r="C30" s="461">
        <f t="shared" si="6"/>
        <v>127021</v>
      </c>
      <c r="D30" s="461">
        <f t="shared" si="6"/>
        <v>130421</v>
      </c>
      <c r="E30" s="461">
        <f t="shared" si="6"/>
        <v>128454</v>
      </c>
      <c r="F30" s="461">
        <f t="shared" si="6"/>
        <v>133203</v>
      </c>
      <c r="G30" s="461">
        <f t="shared" si="6"/>
        <v>135155</v>
      </c>
      <c r="H30" s="461">
        <f t="shared" si="6"/>
        <v>166162</v>
      </c>
      <c r="I30" s="461">
        <f t="shared" si="6"/>
        <v>176227</v>
      </c>
      <c r="J30" s="461">
        <f t="shared" si="6"/>
        <v>153662</v>
      </c>
      <c r="K30" s="461">
        <f t="shared" si="6"/>
        <v>180664</v>
      </c>
      <c r="L30" s="461">
        <f t="shared" si="6"/>
        <v>163602</v>
      </c>
      <c r="M30" s="461">
        <f t="shared" si="6"/>
        <v>132888</v>
      </c>
      <c r="N30" s="461">
        <f t="shared" si="6"/>
        <v>1791887</v>
      </c>
      <c r="O30" s="453"/>
    </row>
  </sheetData>
  <sheetProtection/>
  <mergeCells count="1">
    <mergeCell ref="A3:N3"/>
  </mergeCells>
  <printOptions/>
  <pageMargins left="0.49" right="0.57" top="0.42" bottom="0.4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Szilvi</cp:lastModifiedBy>
  <cp:lastPrinted>2016-03-04T09:01:00Z</cp:lastPrinted>
  <dcterms:created xsi:type="dcterms:W3CDTF">2007-11-15T07:32:30Z</dcterms:created>
  <dcterms:modified xsi:type="dcterms:W3CDTF">2016-03-04T09:33:16Z</dcterms:modified>
  <cp:category/>
  <cp:version/>
  <cp:contentType/>
  <cp:contentStatus/>
</cp:coreProperties>
</file>