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szinten.laszlo\Documents\Hivatal\Képviselőtestületi ülések\2017\2017.10.30\Költségvetés\"/>
    </mc:Choice>
  </mc:AlternateContent>
  <bookViews>
    <workbookView xWindow="0" yWindow="0" windowWidth="20955" windowHeight="7815" tabRatio="597"/>
  </bookViews>
  <sheets>
    <sheet name="Össz.önkor.mérleg." sheetId="47" r:id="rId1"/>
    <sheet name="működ. mérleg " sheetId="48" r:id="rId2"/>
    <sheet name="felhalm. mérleg" sheetId="49" r:id="rId3"/>
    <sheet name="2017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state="hidden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state="hidden" r:id="rId22"/>
    <sheet name="létszám" sheetId="68" r:id="rId23"/>
    <sheet name="Kötváll Ph." sheetId="65" state="hidden" r:id="rId24"/>
    <sheet name="Kötváll Önk" sheetId="66" state="hidden" r:id="rId25"/>
    <sheet name="kötváll. " sheetId="56" state="hidden" r:id="rId26"/>
    <sheet name="közvetett t." sheetId="54" state="hidden" r:id="rId27"/>
    <sheet name="hitelállomány " sheetId="55" state="hidden" r:id="rId28"/>
  </sheets>
  <definedNames>
    <definedName name="Excel_BuiltIn_Print_Titles" localSheetId="15">'ellátottak önk.'!$B$8:$IM$9</definedName>
    <definedName name="Excel_BuiltIn_Print_Titles" localSheetId="22">#REF!</definedName>
    <definedName name="Excel_BuiltIn_Print_Titles">#REF!</definedName>
    <definedName name="_xlnm.Print_Titles" localSheetId="15">'ellátottak önk.'!$8:$9</definedName>
    <definedName name="_xlnm.Print_Titles" localSheetId="7">'felh. bev.  '!$7:$9</definedName>
    <definedName name="_xlnm.Print_Titles" localSheetId="9">'felhalm. kiad.  '!$5:$9</definedName>
    <definedName name="_xlnm.Print_Titles" localSheetId="25">'kötváll. '!$7:$8</definedName>
    <definedName name="_xlnm.Print_Titles" localSheetId="22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E118" i="8" l="1"/>
  <c r="D118" i="8"/>
  <c r="E119" i="8"/>
  <c r="D119" i="8"/>
  <c r="Q106" i="68" l="1"/>
  <c r="N106" i="68"/>
  <c r="M106" i="68"/>
  <c r="H106" i="68"/>
  <c r="G106" i="68"/>
  <c r="F106" i="68"/>
  <c r="AT104" i="68"/>
  <c r="AT106" i="68" s="1"/>
  <c r="AR104" i="68"/>
  <c r="AR106" i="68" s="1"/>
  <c r="AP104" i="68"/>
  <c r="AP106" i="68" s="1"/>
  <c r="AH104" i="68"/>
  <c r="AF104" i="68"/>
  <c r="AF106" i="68" s="1"/>
  <c r="AD104" i="68"/>
  <c r="AD106" i="68" s="1"/>
  <c r="S104" i="68"/>
  <c r="S106" i="68" s="1"/>
  <c r="Q104" i="68"/>
  <c r="P104" i="68"/>
  <c r="P106" i="68" s="1"/>
  <c r="O104" i="68"/>
  <c r="L104" i="68"/>
  <c r="L106" i="68" s="1"/>
  <c r="I104" i="68"/>
  <c r="I106" i="68" s="1"/>
  <c r="C104" i="68"/>
  <c r="C106" i="68" s="1"/>
  <c r="AQ101" i="68"/>
  <c r="AP101" i="68"/>
  <c r="AO101" i="68"/>
  <c r="AL101" i="68"/>
  <c r="AK101" i="68"/>
  <c r="AA101" i="68"/>
  <c r="AM101" i="68" s="1"/>
  <c r="Z101" i="68"/>
  <c r="R101" i="68"/>
  <c r="X101" i="68" s="1"/>
  <c r="AV100" i="68"/>
  <c r="AM100" i="68"/>
  <c r="X100" i="68"/>
  <c r="AV99" i="68"/>
  <c r="AM99" i="68"/>
  <c r="X99" i="68"/>
  <c r="AJ98" i="68"/>
  <c r="AV98" i="68" s="1"/>
  <c r="AA98" i="68"/>
  <c r="AM98" i="68" s="1"/>
  <c r="X98" i="68"/>
  <c r="AM93" i="68"/>
  <c r="AL93" i="68"/>
  <c r="AK93" i="68"/>
  <c r="AC93" i="68"/>
  <c r="AA93" i="68"/>
  <c r="Z93" i="68"/>
  <c r="Y93" i="68"/>
  <c r="X93" i="68"/>
  <c r="AJ93" i="68" s="1"/>
  <c r="S93" i="68"/>
  <c r="R93" i="68"/>
  <c r="AM92" i="68"/>
  <c r="AJ92" i="68"/>
  <c r="AV92" i="68" s="1"/>
  <c r="X92" i="68"/>
  <c r="AM91" i="68"/>
  <c r="AJ91" i="68"/>
  <c r="AV91" i="68" s="1"/>
  <c r="X91" i="68"/>
  <c r="AM90" i="68"/>
  <c r="AJ90" i="68"/>
  <c r="AV90" i="68" s="1"/>
  <c r="X90" i="68"/>
  <c r="AM88" i="68"/>
  <c r="AJ88" i="68"/>
  <c r="AV88" i="68" s="1"/>
  <c r="X88" i="68"/>
  <c r="AM87" i="68"/>
  <c r="AJ87" i="68"/>
  <c r="AV87" i="68" s="1"/>
  <c r="X87" i="68"/>
  <c r="AM86" i="68"/>
  <c r="AJ86" i="68"/>
  <c r="AV86" i="68" s="1"/>
  <c r="X86" i="68"/>
  <c r="AM85" i="68"/>
  <c r="AJ85" i="68"/>
  <c r="AV85" i="68" s="1"/>
  <c r="X85" i="68"/>
  <c r="AM84" i="68"/>
  <c r="AJ84" i="68"/>
  <c r="AV84" i="68" s="1"/>
  <c r="X84" i="68"/>
  <c r="AM83" i="68"/>
  <c r="AJ83" i="68"/>
  <c r="AV83" i="68" s="1"/>
  <c r="X83" i="68"/>
  <c r="AM82" i="68"/>
  <c r="AJ82" i="68"/>
  <c r="AV82" i="68" s="1"/>
  <c r="X82" i="68"/>
  <c r="AM81" i="68"/>
  <c r="AJ81" i="68"/>
  <c r="AV81" i="68" s="1"/>
  <c r="X81" i="68"/>
  <c r="AM79" i="68"/>
  <c r="AJ79" i="68"/>
  <c r="AV79" i="68" s="1"/>
  <c r="X79" i="68"/>
  <c r="AM78" i="68"/>
  <c r="AJ78" i="68"/>
  <c r="AV78" i="68" s="1"/>
  <c r="X78" i="68"/>
  <c r="AM77" i="68"/>
  <c r="AJ77" i="68"/>
  <c r="AV77" i="68" s="1"/>
  <c r="X77" i="68"/>
  <c r="AM76" i="68"/>
  <c r="AJ76" i="68"/>
  <c r="AV76" i="68" s="1"/>
  <c r="X76" i="68"/>
  <c r="AM75" i="68"/>
  <c r="AJ75" i="68"/>
  <c r="AV75" i="68" s="1"/>
  <c r="X75" i="68"/>
  <c r="AM74" i="68"/>
  <c r="AJ74" i="68"/>
  <c r="AV74" i="68" s="1"/>
  <c r="X74" i="68"/>
  <c r="AM73" i="68"/>
  <c r="AJ73" i="68"/>
  <c r="AV73" i="68" s="1"/>
  <c r="X73" i="68"/>
  <c r="AM72" i="68"/>
  <c r="AJ72" i="68"/>
  <c r="AV72" i="68" s="1"/>
  <c r="X72" i="68"/>
  <c r="AM71" i="68"/>
  <c r="AJ71" i="68"/>
  <c r="AV71" i="68" s="1"/>
  <c r="X71" i="68"/>
  <c r="X42" i="68"/>
  <c r="AL41" i="68"/>
  <c r="AL104" i="68" s="1"/>
  <c r="AL106" i="68" s="1"/>
  <c r="AK41" i="68"/>
  <c r="AK104" i="68" s="1"/>
  <c r="AK106" i="68" s="1"/>
  <c r="AA41" i="68"/>
  <c r="Z41" i="68"/>
  <c r="Z104" i="68" s="1"/>
  <c r="Z106" i="68" s="1"/>
  <c r="Y41" i="68"/>
  <c r="Y104" i="68" s="1"/>
  <c r="Y106" i="68" s="1"/>
  <c r="W41" i="68"/>
  <c r="W104" i="68" s="1"/>
  <c r="W106" i="68" s="1"/>
  <c r="S41" i="68"/>
  <c r="R41" i="68"/>
  <c r="AM41" i="68" s="1"/>
  <c r="AU40" i="68"/>
  <c r="AU41" i="68" s="1"/>
  <c r="AU104" i="68" s="1"/>
  <c r="AU106" i="68" s="1"/>
  <c r="AJ40" i="68"/>
  <c r="AI40" i="68"/>
  <c r="AI41" i="68" s="1"/>
  <c r="AI104" i="68" s="1"/>
  <c r="AI106" i="68" s="1"/>
  <c r="X40" i="68"/>
  <c r="AV40" i="68" s="1"/>
  <c r="AV39" i="68"/>
  <c r="AM39" i="68"/>
  <c r="X39" i="68"/>
  <c r="AJ39" i="68" s="1"/>
  <c r="AV38" i="68"/>
  <c r="AM38" i="68"/>
  <c r="X38" i="68"/>
  <c r="AJ38" i="68" s="1"/>
  <c r="AV37" i="68"/>
  <c r="AM37" i="68"/>
  <c r="X37" i="68"/>
  <c r="AJ37" i="68" s="1"/>
  <c r="AV36" i="68"/>
  <c r="AM36" i="68"/>
  <c r="X36" i="68"/>
  <c r="AJ36" i="68" s="1"/>
  <c r="AM35" i="68"/>
  <c r="AA35" i="68"/>
  <c r="X35" i="68"/>
  <c r="AV35" i="68" s="1"/>
  <c r="AM34" i="68"/>
  <c r="X34" i="68"/>
  <c r="AV34" i="68" s="1"/>
  <c r="AV33" i="68"/>
  <c r="AM33" i="68"/>
  <c r="AJ33" i="68"/>
  <c r="AC33" i="68"/>
  <c r="AO33" i="68" s="1"/>
  <c r="AA33" i="68"/>
  <c r="X33" i="68"/>
  <c r="AV32" i="68"/>
  <c r="AM32" i="68"/>
  <c r="AA32" i="68"/>
  <c r="X32" i="68"/>
  <c r="AJ32" i="68" s="1"/>
  <c r="AV31" i="68"/>
  <c r="AM31" i="68"/>
  <c r="AL31" i="68"/>
  <c r="AK31" i="68"/>
  <c r="AJ31" i="68"/>
  <c r="X31" i="68"/>
  <c r="AM30" i="68"/>
  <c r="AJ30" i="68"/>
  <c r="AA30" i="68"/>
  <c r="X30" i="68"/>
  <c r="AV30" i="68" s="1"/>
  <c r="AM29" i="68"/>
  <c r="AA29" i="68"/>
  <c r="X29" i="68"/>
  <c r="AJ29" i="68" s="1"/>
  <c r="AA25" i="68"/>
  <c r="AM25" i="68" s="1"/>
  <c r="AM104" i="68" s="1"/>
  <c r="V25" i="68"/>
  <c r="V104" i="68" s="1"/>
  <c r="V106" i="68" s="1"/>
  <c r="U25" i="68"/>
  <c r="U104" i="68" s="1"/>
  <c r="U106" i="68" s="1"/>
  <c r="T25" i="68"/>
  <c r="T104" i="68" s="1"/>
  <c r="T106" i="68" s="1"/>
  <c r="S25" i="68"/>
  <c r="X25" i="68" s="1"/>
  <c r="R25" i="68"/>
  <c r="R104" i="68" s="1"/>
  <c r="R106" i="68" s="1"/>
  <c r="AO24" i="68"/>
  <c r="AN24" i="68"/>
  <c r="AG24" i="68"/>
  <c r="AG25" i="68" s="1"/>
  <c r="AG104" i="68" s="1"/>
  <c r="AG106" i="68" s="1"/>
  <c r="X24" i="68"/>
  <c r="AJ24" i="68" s="1"/>
  <c r="AV24" i="68" s="1"/>
  <c r="AO23" i="68"/>
  <c r="AO25" i="68" s="1"/>
  <c r="AN23" i="68"/>
  <c r="AM23" i="68"/>
  <c r="AE23" i="68"/>
  <c r="AE25" i="68" s="1"/>
  <c r="AE104" i="68" s="1"/>
  <c r="AE106" i="68" s="1"/>
  <c r="AC23" i="68"/>
  <c r="AC25" i="68" s="1"/>
  <c r="AC104" i="68" s="1"/>
  <c r="AC106" i="68" s="1"/>
  <c r="AB23" i="68"/>
  <c r="AA23" i="68"/>
  <c r="X23" i="68"/>
  <c r="AJ23" i="68" s="1"/>
  <c r="AV23" i="68" s="1"/>
  <c r="AN22" i="68"/>
  <c r="AA22" i="68"/>
  <c r="X22" i="68"/>
  <c r="AJ22" i="68" s="1"/>
  <c r="AV22" i="68" s="1"/>
  <c r="AN21" i="68"/>
  <c r="AM21" i="68"/>
  <c r="AJ21" i="68"/>
  <c r="AV21" i="68" s="1"/>
  <c r="AA21" i="68"/>
  <c r="X21" i="68"/>
  <c r="AN20" i="68"/>
  <c r="AA20" i="68"/>
  <c r="AM20" i="68" s="1"/>
  <c r="X20" i="68"/>
  <c r="AJ20" i="68" s="1"/>
  <c r="AV20" i="68" s="1"/>
  <c r="AN19" i="68"/>
  <c r="AM19" i="68"/>
  <c r="AJ19" i="68"/>
  <c r="AV19" i="68" s="1"/>
  <c r="AA19" i="68"/>
  <c r="X19" i="68"/>
  <c r="AN18" i="68"/>
  <c r="AA18" i="68"/>
  <c r="AM18" i="68" s="1"/>
  <c r="X18" i="68"/>
  <c r="AJ18" i="68" s="1"/>
  <c r="AV18" i="68" s="1"/>
  <c r="AN17" i="68"/>
  <c r="AM17" i="68"/>
  <c r="AJ17" i="68"/>
  <c r="AV17" i="68" s="1"/>
  <c r="AA17" i="68"/>
  <c r="X17" i="68"/>
  <c r="AB16" i="68"/>
  <c r="AN16" i="68" s="1"/>
  <c r="AA16" i="68"/>
  <c r="AM16" i="68" s="1"/>
  <c r="X16" i="68"/>
  <c r="AJ16" i="68" s="1"/>
  <c r="AT12" i="68"/>
  <c r="AQ12" i="68"/>
  <c r="AP12" i="68"/>
  <c r="AO12" i="68"/>
  <c r="AH12" i="68"/>
  <c r="AH106" i="68" s="1"/>
  <c r="AG12" i="68"/>
  <c r="AS12" i="68" s="1"/>
  <c r="AE12" i="68"/>
  <c r="AD12" i="68"/>
  <c r="AC12" i="68"/>
  <c r="AA12" i="68"/>
  <c r="AM12" i="68" s="1"/>
  <c r="O12" i="68"/>
  <c r="O106" i="68" s="1"/>
  <c r="I12" i="68"/>
  <c r="AT10" i="68"/>
  <c r="AR10" i="68"/>
  <c r="AV10" i="68" s="1"/>
  <c r="AV16" i="68" l="1"/>
  <c r="AV25" i="68" s="1"/>
  <c r="AJ25" i="68"/>
  <c r="AA106" i="68"/>
  <c r="AO106" i="68"/>
  <c r="AO104" i="68"/>
  <c r="AM106" i="68"/>
  <c r="AV12" i="68"/>
  <c r="AV93" i="68"/>
  <c r="AS24" i="68"/>
  <c r="AS25" i="68" s="1"/>
  <c r="AS104" i="68" s="1"/>
  <c r="AS106" i="68" s="1"/>
  <c r="AV29" i="68"/>
  <c r="AA104" i="68"/>
  <c r="AQ23" i="68"/>
  <c r="AB25" i="68"/>
  <c r="AJ34" i="68"/>
  <c r="X41" i="68"/>
  <c r="Y42" i="68"/>
  <c r="AJ101" i="68"/>
  <c r="AV101" i="68" s="1"/>
  <c r="AJ12" i="68"/>
  <c r="AJ35" i="68"/>
  <c r="AN25" i="68" l="1"/>
  <c r="AN104" i="68" s="1"/>
  <c r="AN106" i="68" s="1"/>
  <c r="AB104" i="68"/>
  <c r="AB106" i="68" s="1"/>
  <c r="AQ25" i="68"/>
  <c r="AQ104" i="68"/>
  <c r="AQ106" i="68" s="1"/>
  <c r="AJ104" i="68"/>
  <c r="AJ106" i="68" s="1"/>
  <c r="AV41" i="68"/>
  <c r="AJ41" i="68"/>
  <c r="X104" i="68"/>
  <c r="X106" i="68" s="1"/>
  <c r="AV104" i="68"/>
  <c r="AV106" i="68" s="1"/>
  <c r="E53" i="47" l="1"/>
  <c r="C31" i="48"/>
  <c r="C11" i="47"/>
  <c r="D11" i="47"/>
  <c r="E11" i="47"/>
  <c r="D21" i="10"/>
  <c r="D23" i="10" s="1"/>
  <c r="D19" i="46"/>
  <c r="E11" i="46"/>
  <c r="D11" i="46"/>
  <c r="C11" i="46"/>
  <c r="C27" i="10"/>
  <c r="G13" i="64"/>
  <c r="H13" i="64"/>
  <c r="G12" i="64"/>
  <c r="H12" i="64"/>
  <c r="C15" i="10"/>
  <c r="F55" i="7" l="1"/>
  <c r="F54" i="7"/>
  <c r="D17" i="7"/>
  <c r="E67" i="15"/>
  <c r="I76" i="15"/>
  <c r="H76" i="15"/>
  <c r="G76" i="15"/>
  <c r="E76" i="15"/>
  <c r="H74" i="15"/>
  <c r="H73" i="15"/>
  <c r="I72" i="15"/>
  <c r="G72" i="15"/>
  <c r="E72" i="15"/>
  <c r="I69" i="15"/>
  <c r="I67" i="15"/>
  <c r="G67" i="15"/>
  <c r="M65" i="15"/>
  <c r="I61" i="15"/>
  <c r="G61" i="15"/>
  <c r="E61" i="15"/>
  <c r="H59" i="15"/>
  <c r="E55" i="15"/>
  <c r="H53" i="15"/>
  <c r="H46" i="15"/>
  <c r="H10" i="15"/>
  <c r="H14" i="45"/>
  <c r="G14" i="44"/>
  <c r="H13" i="44"/>
  <c r="H12" i="44"/>
  <c r="C20" i="44"/>
  <c r="E133" i="8"/>
  <c r="H14" i="64"/>
  <c r="D133" i="8"/>
  <c r="E124" i="8"/>
  <c r="E128" i="8"/>
  <c r="G128" i="8"/>
  <c r="H128" i="8"/>
  <c r="D128" i="8"/>
  <c r="F127" i="8"/>
  <c r="F125" i="8"/>
  <c r="F126" i="8"/>
  <c r="D124" i="8"/>
  <c r="G121" i="8"/>
  <c r="E121" i="8"/>
  <c r="D121" i="8"/>
  <c r="F120" i="8"/>
  <c r="D102" i="8"/>
  <c r="E64" i="8"/>
  <c r="F72" i="8"/>
  <c r="F71" i="8"/>
  <c r="F73" i="8"/>
  <c r="D74" i="8"/>
  <c r="D64" i="8"/>
  <c r="E49" i="8"/>
  <c r="F58" i="8"/>
  <c r="F57" i="8"/>
  <c r="F56" i="8"/>
  <c r="E52" i="8"/>
  <c r="D52" i="8"/>
  <c r="D49" i="8"/>
  <c r="F42" i="8"/>
  <c r="G42" i="8" s="1"/>
  <c r="F41" i="8"/>
  <c r="G41" i="8" s="1"/>
  <c r="E34" i="8"/>
  <c r="D34" i="8"/>
  <c r="E33" i="8"/>
  <c r="D33" i="8"/>
  <c r="E32" i="8"/>
  <c r="D32" i="8"/>
  <c r="D59" i="8" s="1"/>
  <c r="F18" i="8"/>
  <c r="F17" i="8"/>
  <c r="H142" i="8"/>
  <c r="F141" i="8"/>
  <c r="E140" i="8"/>
  <c r="E142" i="8" s="1"/>
  <c r="D140" i="8"/>
  <c r="D142" i="8" s="1"/>
  <c r="H14" i="42"/>
  <c r="H13" i="42"/>
  <c r="H12" i="42"/>
  <c r="G13" i="51"/>
  <c r="G12" i="51"/>
  <c r="G14" i="64"/>
  <c r="D20" i="64"/>
  <c r="C20" i="64"/>
  <c r="D28" i="6"/>
  <c r="E28" i="6"/>
  <c r="F28" i="6"/>
  <c r="F27" i="6"/>
  <c r="F26" i="6"/>
  <c r="F25" i="6"/>
  <c r="E42" i="5"/>
  <c r="E40" i="5"/>
  <c r="D66" i="5"/>
  <c r="D55" i="5"/>
  <c r="D39" i="5"/>
  <c r="C39" i="5"/>
  <c r="E41" i="5"/>
  <c r="E50" i="5"/>
  <c r="E46" i="5"/>
  <c r="D50" i="5"/>
  <c r="E48" i="5"/>
  <c r="E47" i="5"/>
  <c r="D22" i="5"/>
  <c r="D42" i="5"/>
  <c r="E34" i="5"/>
  <c r="E33" i="5"/>
  <c r="E32" i="5"/>
  <c r="E31" i="5"/>
  <c r="C25" i="5"/>
  <c r="C22" i="5" s="1"/>
  <c r="E22" i="5" s="1"/>
  <c r="C19" i="5"/>
  <c r="C17" i="5"/>
  <c r="D14" i="5"/>
  <c r="C14" i="5"/>
  <c r="C13" i="5"/>
  <c r="E11" i="14"/>
  <c r="D11" i="14"/>
  <c r="F11" i="14"/>
  <c r="E59" i="8" l="1"/>
  <c r="E39" i="5"/>
  <c r="F55" i="8"/>
  <c r="G55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E35" i="48"/>
  <c r="D35" i="48"/>
  <c r="E31" i="48"/>
  <c r="D30" i="48"/>
  <c r="E42" i="47"/>
  <c r="C42" i="47"/>
  <c r="D42" i="47"/>
  <c r="C43" i="47"/>
  <c r="E43" i="47"/>
  <c r="D43" i="47"/>
  <c r="D39" i="47"/>
  <c r="C39" i="47"/>
  <c r="C30" i="49" s="1"/>
  <c r="D24" i="47"/>
  <c r="C24" i="47"/>
  <c r="D33" i="42"/>
  <c r="E43" i="42"/>
  <c r="C25" i="42"/>
  <c r="E25" i="42" s="1"/>
  <c r="E33" i="42" s="1"/>
  <c r="F45" i="6"/>
  <c r="F44" i="6"/>
  <c r="D45" i="6"/>
  <c r="I20" i="64"/>
  <c r="E44" i="64"/>
  <c r="E43" i="64"/>
  <c r="C33" i="42" l="1"/>
  <c r="C30" i="48"/>
  <c r="E39" i="46"/>
  <c r="E39" i="47" s="1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11" i="15"/>
  <c r="R19" i="15"/>
  <c r="R20" i="15"/>
  <c r="R21" i="15"/>
  <c r="R22" i="15"/>
  <c r="R23" i="15"/>
  <c r="E77" i="15"/>
  <c r="F77" i="15"/>
  <c r="G77" i="15"/>
  <c r="H77" i="15"/>
  <c r="I77" i="15"/>
  <c r="M77" i="15"/>
  <c r="N77" i="15"/>
  <c r="O77" i="15"/>
  <c r="D77" i="15"/>
  <c r="R69" i="15"/>
  <c r="R70" i="15"/>
  <c r="R71" i="15"/>
  <c r="R72" i="15"/>
  <c r="R73" i="15"/>
  <c r="R74" i="15"/>
  <c r="R75" i="15"/>
  <c r="R76" i="15"/>
  <c r="R33" i="15"/>
  <c r="E106" i="8"/>
  <c r="D106" i="8"/>
  <c r="F104" i="8"/>
  <c r="H104" i="8" s="1"/>
  <c r="F101" i="8"/>
  <c r="G101" i="8" s="1"/>
  <c r="E96" i="8"/>
  <c r="D96" i="8"/>
  <c r="G94" i="8"/>
  <c r="G96" i="8" s="1"/>
  <c r="F94" i="8"/>
  <c r="F96" i="8" s="1"/>
  <c r="E30" i="48" l="1"/>
  <c r="E30" i="49"/>
  <c r="H94" i="8"/>
  <c r="H96" i="8" s="1"/>
  <c r="F68" i="8" l="1"/>
  <c r="H68" i="8" s="1"/>
  <c r="F69" i="8"/>
  <c r="H69" i="8" s="1"/>
  <c r="F70" i="8"/>
  <c r="G70" i="8" s="1"/>
  <c r="G74" i="8" s="1"/>
  <c r="F67" i="8"/>
  <c r="H67" i="8" s="1"/>
  <c r="F53" i="8"/>
  <c r="G53" i="8" s="1"/>
  <c r="F54" i="8"/>
  <c r="G54" i="8" s="1"/>
  <c r="F52" i="8"/>
  <c r="H52" i="8" s="1"/>
  <c r="F51" i="8"/>
  <c r="H51" i="8" s="1"/>
  <c r="F31" i="8"/>
  <c r="F32" i="8"/>
  <c r="G31" i="8"/>
  <c r="D27" i="8"/>
  <c r="E27" i="8"/>
  <c r="F25" i="8"/>
  <c r="H25" i="8" s="1"/>
  <c r="D19" i="8"/>
  <c r="E19" i="8"/>
  <c r="F15" i="8"/>
  <c r="F16" i="8"/>
  <c r="E23" i="63"/>
  <c r="G23" i="63"/>
  <c r="H23" i="63"/>
  <c r="I23" i="63"/>
  <c r="J23" i="63"/>
  <c r="F23" i="63"/>
  <c r="G16" i="63"/>
  <c r="G17" i="63"/>
  <c r="G18" i="63"/>
  <c r="G19" i="63"/>
  <c r="G15" i="63"/>
  <c r="G32" i="8" l="1"/>
  <c r="A23" i="10"/>
  <c r="A24" i="10" s="1"/>
  <c r="A25" i="10" s="1"/>
  <c r="A26" i="10" s="1"/>
  <c r="A27" i="10" s="1"/>
  <c r="A28" i="10" s="1"/>
  <c r="A29" i="10" s="1"/>
  <c r="A30" i="10" s="1"/>
  <c r="A31" i="10" s="1"/>
  <c r="A22" i="10"/>
  <c r="E22" i="10"/>
  <c r="E16" i="10"/>
  <c r="F27" i="7"/>
  <c r="F53" i="7"/>
  <c r="F52" i="7"/>
  <c r="F51" i="7"/>
  <c r="F50" i="7"/>
  <c r="F30" i="7"/>
  <c r="F49" i="7"/>
  <c r="F48" i="7"/>
  <c r="F47" i="7"/>
  <c r="F46" i="7"/>
  <c r="E22" i="7" l="1"/>
  <c r="D22" i="7"/>
  <c r="F20" i="7"/>
  <c r="F21" i="7"/>
  <c r="B37" i="6"/>
  <c r="B31" i="6"/>
  <c r="B32" i="6" s="1"/>
  <c r="E65" i="5"/>
  <c r="E66" i="5"/>
  <c r="C50" i="5"/>
  <c r="E49" i="5"/>
  <c r="D35" i="5"/>
  <c r="C35" i="5"/>
  <c r="E30" i="5"/>
  <c r="E28" i="47" l="1"/>
  <c r="E19" i="48" s="1"/>
  <c r="E28" i="46"/>
  <c r="D28" i="47"/>
  <c r="D19" i="48" s="1"/>
  <c r="D28" i="46"/>
  <c r="D71" i="5"/>
  <c r="C28" i="47"/>
  <c r="C19" i="48" s="1"/>
  <c r="C28" i="46"/>
  <c r="E71" i="5"/>
  <c r="C43" i="5"/>
  <c r="C13" i="46" s="1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D30" i="10" l="1"/>
  <c r="C30" i="10"/>
  <c r="F15" i="14"/>
  <c r="A23" i="66" l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A22" i="66"/>
  <c r="H77" i="66" l="1"/>
  <c r="G77" i="66"/>
  <c r="F77" i="66"/>
  <c r="E77" i="66"/>
  <c r="H66" i="8" l="1"/>
  <c r="F19" i="7" l="1"/>
  <c r="F103" i="8" l="1"/>
  <c r="H103" i="8" s="1"/>
  <c r="E26" i="5" l="1"/>
  <c r="F50" i="8"/>
  <c r="R68" i="15"/>
  <c r="R63" i="15"/>
  <c r="E135" i="8"/>
  <c r="D135" i="8"/>
  <c r="F132" i="8"/>
  <c r="G132" i="8" s="1"/>
  <c r="G135" i="8" s="1"/>
  <c r="G27" i="64" s="1"/>
  <c r="F131" i="8"/>
  <c r="H131" i="8" s="1"/>
  <c r="G50" i="8" l="1"/>
  <c r="F14" i="8"/>
  <c r="H14" i="8" s="1"/>
  <c r="H19" i="8" s="1"/>
  <c r="R67" i="15"/>
  <c r="R66" i="15"/>
  <c r="F45" i="7"/>
  <c r="F87" i="8" l="1"/>
  <c r="G87" i="8" s="1"/>
  <c r="F88" i="8"/>
  <c r="G88" i="8" s="1"/>
  <c r="F89" i="8"/>
  <c r="G89" i="8" s="1"/>
  <c r="F24" i="8"/>
  <c r="G24" i="8" s="1"/>
  <c r="F49" i="8" l="1"/>
  <c r="G49" i="8" s="1"/>
  <c r="F48" i="8"/>
  <c r="G48" i="8" s="1"/>
  <c r="F47" i="8"/>
  <c r="G47" i="8" s="1"/>
  <c r="F139" i="8" l="1"/>
  <c r="G139" i="8" s="1"/>
  <c r="F138" i="8"/>
  <c r="G138" i="8" l="1"/>
  <c r="G142" i="8" s="1"/>
  <c r="G20" i="46"/>
  <c r="F94" i="67" l="1"/>
  <c r="F44" i="7" l="1"/>
  <c r="F43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R13" i="15"/>
  <c r="G13" i="18"/>
  <c r="E12" i="18"/>
  <c r="F17" i="18"/>
  <c r="Q26" i="15"/>
  <c r="Q24" i="15"/>
  <c r="G27" i="63"/>
  <c r="F31" i="63"/>
  <c r="E31" i="63"/>
  <c r="F28" i="63"/>
  <c r="G22" i="63"/>
  <c r="F32" i="63" l="1"/>
  <c r="E28" i="63"/>
  <c r="P29" i="15"/>
  <c r="H15" i="55"/>
  <c r="D15" i="55"/>
  <c r="C15" i="55"/>
  <c r="G13" i="63" l="1"/>
  <c r="G20" i="63"/>
  <c r="G26" i="63"/>
  <c r="G28" i="63" s="1"/>
  <c r="E32" i="63"/>
  <c r="K92" i="67" l="1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G10" i="46"/>
  <c r="G10" i="47" s="1"/>
  <c r="G11" i="46"/>
  <c r="H11" i="46"/>
  <c r="H12" i="46"/>
  <c r="G18" i="46"/>
  <c r="H18" i="46"/>
  <c r="G12" i="46"/>
  <c r="G12" i="47" s="1"/>
  <c r="R16" i="15"/>
  <c r="R10" i="15"/>
  <c r="R11" i="15"/>
  <c r="R12" i="15"/>
  <c r="R15" i="15"/>
  <c r="R29" i="15"/>
  <c r="R64" i="15"/>
  <c r="F46" i="8"/>
  <c r="G46" i="8" s="1"/>
  <c r="F45" i="8"/>
  <c r="G45" i="8" s="1"/>
  <c r="F44" i="8"/>
  <c r="G44" i="8" s="1"/>
  <c r="F43" i="8"/>
  <c r="H43" i="8" s="1"/>
  <c r="F40" i="8"/>
  <c r="G40" i="8" s="1"/>
  <c r="F39" i="8"/>
  <c r="G39" i="8" s="1"/>
  <c r="F38" i="8"/>
  <c r="G38" i="8" s="1"/>
  <c r="F37" i="8"/>
  <c r="G37" i="8" s="1"/>
  <c r="F33" i="8"/>
  <c r="F34" i="8"/>
  <c r="G34" i="8" s="1"/>
  <c r="F35" i="8"/>
  <c r="G35" i="8" s="1"/>
  <c r="F36" i="8"/>
  <c r="H36" i="8" s="1"/>
  <c r="H59" i="8" s="1"/>
  <c r="F23" i="8"/>
  <c r="H23" i="8" s="1"/>
  <c r="H27" i="8" s="1"/>
  <c r="F22" i="8"/>
  <c r="F13" i="8"/>
  <c r="F19" i="8" s="1"/>
  <c r="F102" i="8"/>
  <c r="H102" i="8" s="1"/>
  <c r="H106" i="8" s="1"/>
  <c r="D24" i="10"/>
  <c r="D31" i="10" s="1"/>
  <c r="E27" i="10"/>
  <c r="E30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3" i="44"/>
  <c r="D20" i="44"/>
  <c r="I14" i="64"/>
  <c r="I14" i="42"/>
  <c r="C34" i="48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G27" i="44"/>
  <c r="G33" i="44" s="1"/>
  <c r="C49" i="44" s="1"/>
  <c r="G33" i="64"/>
  <c r="E20" i="42"/>
  <c r="D11" i="5"/>
  <c r="C11" i="5"/>
  <c r="H27" i="45"/>
  <c r="H33" i="45" s="1"/>
  <c r="D49" i="45" s="1"/>
  <c r="I53" i="64"/>
  <c r="H53" i="64"/>
  <c r="G53" i="64"/>
  <c r="D32" i="64"/>
  <c r="D34" i="64" s="1"/>
  <c r="C32" i="64"/>
  <c r="C34" i="64"/>
  <c r="G24" i="64"/>
  <c r="E20" i="64"/>
  <c r="E18" i="64"/>
  <c r="E16" i="64"/>
  <c r="E14" i="64"/>
  <c r="I13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1" i="24"/>
  <c r="D41" i="24"/>
  <c r="C41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C17" i="10"/>
  <c r="G31" i="46" s="1"/>
  <c r="Q28" i="15"/>
  <c r="Q25" i="15"/>
  <c r="R25" i="15" s="1"/>
  <c r="Q18" i="15"/>
  <c r="R18" i="15" s="1"/>
  <c r="R24" i="15"/>
  <c r="Q17" i="15"/>
  <c r="P28" i="15"/>
  <c r="P77" i="15" s="1"/>
  <c r="Q27" i="15"/>
  <c r="R27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E42" i="46"/>
  <c r="F18" i="7"/>
  <c r="R26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6" i="5"/>
  <c r="E37" i="5"/>
  <c r="E24" i="5"/>
  <c r="E15" i="5"/>
  <c r="A15" i="10"/>
  <c r="E84" i="8"/>
  <c r="F84" i="8" s="1"/>
  <c r="H84" i="8" s="1"/>
  <c r="E83" i="8"/>
  <c r="F83" i="8" s="1"/>
  <c r="E63" i="8"/>
  <c r="E74" i="8" s="1"/>
  <c r="E20" i="10"/>
  <c r="F29" i="7"/>
  <c r="F28" i="7"/>
  <c r="H20" i="46"/>
  <c r="H20" i="47" s="1"/>
  <c r="H20" i="48" s="1"/>
  <c r="F110" i="8"/>
  <c r="H110" i="8" s="1"/>
  <c r="H10" i="46"/>
  <c r="H10" i="47" s="1"/>
  <c r="H10" i="48" s="1"/>
  <c r="E13" i="14"/>
  <c r="C17" i="47"/>
  <c r="C14" i="49" s="1"/>
  <c r="F13" i="6"/>
  <c r="F13" i="7"/>
  <c r="F14" i="7"/>
  <c r="R34" i="15"/>
  <c r="K24" i="13"/>
  <c r="H23" i="13"/>
  <c r="K23" i="13" s="1"/>
  <c r="G22" i="13"/>
  <c r="K22" i="13" s="1"/>
  <c r="G19" i="13"/>
  <c r="K19" i="13" s="1"/>
  <c r="D17" i="10"/>
  <c r="F85" i="8"/>
  <c r="H85" i="8" s="1"/>
  <c r="F86" i="8"/>
  <c r="G86" i="8" s="1"/>
  <c r="G91" i="8" s="1"/>
  <c r="F140" i="8"/>
  <c r="F142" i="8" s="1"/>
  <c r="H27" i="42"/>
  <c r="H33" i="42" s="1"/>
  <c r="D49" i="42" s="1"/>
  <c r="F42" i="7"/>
  <c r="F41" i="7"/>
  <c r="G40" i="6"/>
  <c r="H40" i="6"/>
  <c r="I40" i="6"/>
  <c r="B20" i="6"/>
  <c r="B21" i="6" s="1"/>
  <c r="E21" i="6"/>
  <c r="D25" i="46" s="1"/>
  <c r="D25" i="47" s="1"/>
  <c r="D16" i="49" s="1"/>
  <c r="D21" i="6"/>
  <c r="C25" i="46" s="1"/>
  <c r="F20" i="6"/>
  <c r="F21" i="6" s="1"/>
  <c r="E25" i="46" s="1"/>
  <c r="F14" i="6"/>
  <c r="E24" i="47" s="1"/>
  <c r="E20" i="5"/>
  <c r="R60" i="15"/>
  <c r="R61" i="15"/>
  <c r="R58" i="15"/>
  <c r="R54" i="15"/>
  <c r="R53" i="15"/>
  <c r="R44" i="15"/>
  <c r="R45" i="15"/>
  <c r="R43" i="15"/>
  <c r="R40" i="15"/>
  <c r="R39" i="15"/>
  <c r="R36" i="15"/>
  <c r="R37" i="15"/>
  <c r="R38" i="15"/>
  <c r="R42" i="15"/>
  <c r="R32" i="15"/>
  <c r="R30" i="15"/>
  <c r="R31" i="15"/>
  <c r="R35" i="15"/>
  <c r="R14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/>
  <c r="J20" i="45"/>
  <c r="F43" i="45"/>
  <c r="E43" i="51"/>
  <c r="E43" i="44"/>
  <c r="F119" i="8"/>
  <c r="F65" i="8"/>
  <c r="H65" i="8" s="1"/>
  <c r="H74" i="8" s="1"/>
  <c r="D67" i="5"/>
  <c r="D68" i="5" s="1"/>
  <c r="C67" i="5"/>
  <c r="C14" i="42" s="1"/>
  <c r="C32" i="42" s="1"/>
  <c r="E19" i="5"/>
  <c r="G20" i="47"/>
  <c r="G20" i="48" s="1"/>
  <c r="C23" i="10"/>
  <c r="E29" i="10"/>
  <c r="G146" i="8"/>
  <c r="G27" i="51" s="1"/>
  <c r="G33" i="51" s="1"/>
  <c r="E146" i="8"/>
  <c r="D146" i="8"/>
  <c r="F146" i="8"/>
  <c r="R57" i="15"/>
  <c r="E21" i="10"/>
  <c r="E15" i="10"/>
  <c r="E14" i="10"/>
  <c r="D91" i="8"/>
  <c r="F40" i="7"/>
  <c r="F39" i="7"/>
  <c r="E32" i="6"/>
  <c r="F31" i="6"/>
  <c r="F32" i="6" s="1"/>
  <c r="D57" i="5"/>
  <c r="C57" i="5"/>
  <c r="E56" i="5"/>
  <c r="E55" i="5"/>
  <c r="E13" i="5"/>
  <c r="E14" i="5"/>
  <c r="E16" i="5"/>
  <c r="E17" i="5"/>
  <c r="E12" i="5"/>
  <c r="E29" i="5"/>
  <c r="E28" i="5"/>
  <c r="E25" i="5"/>
  <c r="D56" i="7"/>
  <c r="D59" i="7" s="1"/>
  <c r="F23" i="14"/>
  <c r="I71" i="56"/>
  <c r="H71" i="56"/>
  <c r="G71" i="56"/>
  <c r="F71" i="56"/>
  <c r="E71" i="56"/>
  <c r="E56" i="7"/>
  <c r="E59" i="7" s="1"/>
  <c r="F36" i="7"/>
  <c r="G79" i="8"/>
  <c r="E79" i="8"/>
  <c r="E111" i="8"/>
  <c r="F64" i="8"/>
  <c r="R50" i="15"/>
  <c r="F35" i="7"/>
  <c r="F34" i="7"/>
  <c r="F33" i="7"/>
  <c r="D58" i="7"/>
  <c r="F32" i="7"/>
  <c r="D111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59" i="15"/>
  <c r="R52" i="15"/>
  <c r="R51" i="15"/>
  <c r="R41" i="15"/>
  <c r="R46" i="15"/>
  <c r="R56" i="15"/>
  <c r="R55" i="15"/>
  <c r="R47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79" i="8"/>
  <c r="D79" i="8"/>
  <c r="H79" i="8"/>
  <c r="F100" i="8"/>
  <c r="F109" i="8"/>
  <c r="G111" i="8"/>
  <c r="F124" i="8"/>
  <c r="F128" i="8" s="1"/>
  <c r="H27" i="44"/>
  <c r="H33" i="44" s="1"/>
  <c r="D49" i="44" s="1"/>
  <c r="F15" i="7"/>
  <c r="F16" i="7"/>
  <c r="F17" i="7"/>
  <c r="F26" i="7"/>
  <c r="F31" i="7"/>
  <c r="B12" i="6"/>
  <c r="B13" i="6" s="1"/>
  <c r="B14" i="6" s="1"/>
  <c r="B15" i="6" s="1"/>
  <c r="B16" i="6" s="1"/>
  <c r="B17" i="6" s="1"/>
  <c r="B24" i="6"/>
  <c r="B28" i="6" s="1"/>
  <c r="B38" i="6"/>
  <c r="F15" i="6"/>
  <c r="F24" i="6"/>
  <c r="C14" i="46"/>
  <c r="F37" i="6"/>
  <c r="F38" i="6" s="1"/>
  <c r="D38" i="6"/>
  <c r="C29" i="47" s="1"/>
  <c r="C29" i="46"/>
  <c r="E38" i="6"/>
  <c r="E10" i="5"/>
  <c r="D43" i="5"/>
  <c r="D13" i="46" s="1"/>
  <c r="E27" i="5"/>
  <c r="E62" i="5"/>
  <c r="E63" i="5"/>
  <c r="E64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I28" i="47"/>
  <c r="O36" i="24" s="1"/>
  <c r="C36" i="24" s="1"/>
  <c r="D40" i="47"/>
  <c r="E40" i="47" s="1"/>
  <c r="J12" i="45"/>
  <c r="G53" i="51"/>
  <c r="R62" i="15"/>
  <c r="G27" i="42"/>
  <c r="G33" i="42" s="1"/>
  <c r="C49" i="42" s="1"/>
  <c r="D34" i="48"/>
  <c r="D52" i="46"/>
  <c r="C52" i="46"/>
  <c r="F29" i="14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K44" i="24"/>
  <c r="E42" i="24"/>
  <c r="E44" i="24" s="1"/>
  <c r="L22" i="24"/>
  <c r="I22" i="24"/>
  <c r="M22" i="24"/>
  <c r="N22" i="24"/>
  <c r="D22" i="24"/>
  <c r="E22" i="24"/>
  <c r="G24" i="44"/>
  <c r="G24" i="51"/>
  <c r="C48" i="51" s="1"/>
  <c r="I12" i="51"/>
  <c r="H24" i="64"/>
  <c r="H24" i="42"/>
  <c r="E23" i="10"/>
  <c r="F133" i="8"/>
  <c r="F135" i="8" s="1"/>
  <c r="I27" i="64" s="1"/>
  <c r="E89" i="58"/>
  <c r="F89" i="58"/>
  <c r="J13" i="45"/>
  <c r="H121" i="8" l="1"/>
  <c r="Q77" i="15"/>
  <c r="G100" i="8"/>
  <c r="G106" i="8" s="1"/>
  <c r="F106" i="8"/>
  <c r="F59" i="8"/>
  <c r="D48" i="64"/>
  <c r="C48" i="64"/>
  <c r="E34" i="64"/>
  <c r="E32" i="64"/>
  <c r="E29" i="47"/>
  <c r="D29" i="47"/>
  <c r="D19" i="49" s="1"/>
  <c r="C58" i="5"/>
  <c r="C14" i="44"/>
  <c r="D58" i="5"/>
  <c r="D14" i="44"/>
  <c r="D32" i="44" s="1"/>
  <c r="D34" i="44" s="1"/>
  <c r="D48" i="44" s="1"/>
  <c r="D53" i="44" s="1"/>
  <c r="D54" i="44" s="1"/>
  <c r="C34" i="42"/>
  <c r="C48" i="42"/>
  <c r="D11" i="48"/>
  <c r="D52" i="5"/>
  <c r="C11" i="48"/>
  <c r="C52" i="5"/>
  <c r="I24" i="42"/>
  <c r="I24" i="51"/>
  <c r="E48" i="51" s="1"/>
  <c r="H34" i="51"/>
  <c r="H54" i="51" s="1"/>
  <c r="F27" i="8"/>
  <c r="G33" i="8"/>
  <c r="I20" i="46"/>
  <c r="H19" i="46"/>
  <c r="H19" i="47" s="1"/>
  <c r="H19" i="48" s="1"/>
  <c r="C24" i="10"/>
  <c r="F22" i="7"/>
  <c r="E29" i="46"/>
  <c r="D29" i="46"/>
  <c r="E34" i="6"/>
  <c r="E40" i="6" s="1"/>
  <c r="E47" i="6" s="1"/>
  <c r="E24" i="46"/>
  <c r="C32" i="46"/>
  <c r="F17" i="6"/>
  <c r="D34" i="6"/>
  <c r="D40" i="6" s="1"/>
  <c r="D47" i="6" s="1"/>
  <c r="F34" i="6"/>
  <c r="F40" i="6" s="1"/>
  <c r="F47" i="6" s="1"/>
  <c r="E35" i="5"/>
  <c r="E57" i="5"/>
  <c r="E58" i="5" s="1"/>
  <c r="H21" i="13"/>
  <c r="H40" i="13" s="1"/>
  <c r="E11" i="5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D32" i="46"/>
  <c r="I14" i="49"/>
  <c r="E25" i="47"/>
  <c r="E16" i="49" s="1"/>
  <c r="E49" i="47"/>
  <c r="E42" i="48" s="1"/>
  <c r="G16" i="46"/>
  <c r="G16" i="47" s="1"/>
  <c r="G16" i="48" s="1"/>
  <c r="J65" i="15"/>
  <c r="J77" i="15" s="1"/>
  <c r="F63" i="8"/>
  <c r="F74" i="8" s="1"/>
  <c r="G17" i="46"/>
  <c r="G17" i="47" s="1"/>
  <c r="G17" i="48" s="1"/>
  <c r="C12" i="48"/>
  <c r="E15" i="49"/>
  <c r="G37" i="48"/>
  <c r="G44" i="48" s="1"/>
  <c r="D52" i="47"/>
  <c r="R17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91" i="8"/>
  <c r="E114" i="8" s="1"/>
  <c r="G30" i="46"/>
  <c r="G30" i="47" s="1"/>
  <c r="H27" i="47"/>
  <c r="H13" i="49" s="1"/>
  <c r="H27" i="46"/>
  <c r="D114" i="8"/>
  <c r="H133" i="8"/>
  <c r="H135" i="8" s="1"/>
  <c r="H27" i="64" s="1"/>
  <c r="G13" i="8"/>
  <c r="G19" i="8" s="1"/>
  <c r="F118" i="8"/>
  <c r="I27" i="45" s="1"/>
  <c r="G22" i="8"/>
  <c r="G27" i="8" s="1"/>
  <c r="I27" i="44"/>
  <c r="I33" i="44" s="1"/>
  <c r="E49" i="44" s="1"/>
  <c r="G18" i="47"/>
  <c r="G18" i="48" s="1"/>
  <c r="I18" i="46"/>
  <c r="I18" i="47" s="1"/>
  <c r="I18" i="48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L45" i="67"/>
  <c r="K81" i="67"/>
  <c r="F56" i="7"/>
  <c r="F59" i="7" s="1"/>
  <c r="H17" i="46"/>
  <c r="H17" i="47" s="1"/>
  <c r="H17" i="48" s="1"/>
  <c r="H12" i="47"/>
  <c r="H12" i="48" s="1"/>
  <c r="I12" i="46"/>
  <c r="I10" i="46"/>
  <c r="E34" i="48"/>
  <c r="E52" i="46"/>
  <c r="G32" i="63"/>
  <c r="H14" i="46"/>
  <c r="D14" i="42"/>
  <c r="D32" i="42" s="1"/>
  <c r="E67" i="5"/>
  <c r="E68" i="5" s="1"/>
  <c r="C68" i="5"/>
  <c r="E32" i="51"/>
  <c r="L65" i="15"/>
  <c r="L77" i="15" s="1"/>
  <c r="D61" i="7"/>
  <c r="G10" i="48"/>
  <c r="G29" i="47"/>
  <c r="G29" i="46"/>
  <c r="D70" i="5"/>
  <c r="F111" i="8"/>
  <c r="H109" i="8"/>
  <c r="H111" i="8" s="1"/>
  <c r="H30" i="46" s="1"/>
  <c r="H30" i="47" s="1"/>
  <c r="H16" i="49" s="1"/>
  <c r="I52" i="47"/>
  <c r="I37" i="48"/>
  <c r="I44" i="48" s="1"/>
  <c r="H83" i="8"/>
  <c r="H91" i="8" s="1"/>
  <c r="F91" i="8"/>
  <c r="G11" i="47"/>
  <c r="I11" i="46"/>
  <c r="D152" i="8"/>
  <c r="H34" i="42"/>
  <c r="H54" i="42" s="1"/>
  <c r="H29" i="47"/>
  <c r="H15" i="49" s="1"/>
  <c r="H29" i="46"/>
  <c r="G14" i="46"/>
  <c r="R28" i="15"/>
  <c r="G31" i="47"/>
  <c r="G17" i="49" s="1"/>
  <c r="E17" i="10"/>
  <c r="D11" i="49"/>
  <c r="C49" i="51"/>
  <c r="G34" i="51"/>
  <c r="G54" i="51" s="1"/>
  <c r="E31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1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E94" i="67"/>
  <c r="K35" i="67"/>
  <c r="M44" i="24"/>
  <c r="G30" i="8"/>
  <c r="H11" i="47"/>
  <c r="C13" i="47"/>
  <c r="F44" i="24"/>
  <c r="K54" i="67"/>
  <c r="F121" i="8" l="1"/>
  <c r="G59" i="8"/>
  <c r="G114" i="8" s="1"/>
  <c r="E48" i="64"/>
  <c r="D73" i="5"/>
  <c r="C32" i="44"/>
  <c r="C34" i="44" s="1"/>
  <c r="E14" i="44"/>
  <c r="E32" i="44" s="1"/>
  <c r="E43" i="5"/>
  <c r="E13" i="46" s="1"/>
  <c r="D31" i="46"/>
  <c r="D33" i="46" s="1"/>
  <c r="D53" i="46" s="1"/>
  <c r="D34" i="42"/>
  <c r="E34" i="42" s="1"/>
  <c r="D48" i="42"/>
  <c r="D53" i="42" s="1"/>
  <c r="E11" i="48"/>
  <c r="E52" i="5"/>
  <c r="D14" i="48"/>
  <c r="E53" i="51"/>
  <c r="E54" i="51" s="1"/>
  <c r="F114" i="8"/>
  <c r="I19" i="47"/>
  <c r="I19" i="48" s="1"/>
  <c r="I19" i="46"/>
  <c r="C31" i="10"/>
  <c r="E24" i="10"/>
  <c r="E31" i="10" s="1"/>
  <c r="E32" i="46"/>
  <c r="K21" i="13"/>
  <c r="D13" i="47"/>
  <c r="D13" i="48" s="1"/>
  <c r="D22" i="48" s="1"/>
  <c r="D24" i="48" s="1"/>
  <c r="D14" i="49"/>
  <c r="D22" i="49" s="1"/>
  <c r="D23" i="49" s="1"/>
  <c r="O15" i="24"/>
  <c r="E14" i="49"/>
  <c r="D32" i="47"/>
  <c r="E52" i="47"/>
  <c r="O21" i="24" s="1"/>
  <c r="C21" i="24" s="1"/>
  <c r="E152" i="8"/>
  <c r="G23" i="46"/>
  <c r="O25" i="24"/>
  <c r="C25" i="24" s="1"/>
  <c r="G27" i="47"/>
  <c r="H33" i="64"/>
  <c r="F152" i="8"/>
  <c r="I34" i="44"/>
  <c r="I54" i="44" s="1"/>
  <c r="H26" i="46"/>
  <c r="C53" i="42"/>
  <c r="C54" i="42" s="1"/>
  <c r="G48" i="46"/>
  <c r="I34" i="42"/>
  <c r="I54" i="42" s="1"/>
  <c r="I29" i="46"/>
  <c r="I34" i="51"/>
  <c r="I54" i="51" s="1"/>
  <c r="G40" i="13"/>
  <c r="K94" i="67"/>
  <c r="I17" i="46"/>
  <c r="I17" i="47" s="1"/>
  <c r="I17" i="48" s="1"/>
  <c r="I12" i="47"/>
  <c r="O27" i="24" s="1"/>
  <c r="C27" i="24" s="1"/>
  <c r="H24" i="45"/>
  <c r="H34" i="45" s="1"/>
  <c r="H54" i="45" s="1"/>
  <c r="J16" i="45"/>
  <c r="J24" i="45" s="1"/>
  <c r="H14" i="47"/>
  <c r="H14" i="48" s="1"/>
  <c r="E14" i="42"/>
  <c r="E32" i="42" s="1"/>
  <c r="E48" i="42" s="1"/>
  <c r="E53" i="42" s="1"/>
  <c r="E54" i="42" s="1"/>
  <c r="I33" i="45"/>
  <c r="J27" i="45"/>
  <c r="J33" i="45" s="1"/>
  <c r="F49" i="45" s="1"/>
  <c r="C16" i="48"/>
  <c r="E19" i="47"/>
  <c r="C53" i="51"/>
  <c r="C54" i="51" s="1"/>
  <c r="C32" i="47"/>
  <c r="E14" i="47"/>
  <c r="C11" i="49"/>
  <c r="C22" i="49" s="1"/>
  <c r="C23" i="49" s="1"/>
  <c r="C16" i="46"/>
  <c r="F31" i="14"/>
  <c r="E16" i="46" s="1"/>
  <c r="I30" i="47"/>
  <c r="G16" i="49"/>
  <c r="H152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E19" i="49"/>
  <c r="F58" i="7"/>
  <c r="F61" i="7" s="1"/>
  <c r="I16" i="46"/>
  <c r="I16" i="47" s="1"/>
  <c r="I30" i="46"/>
  <c r="H114" i="8"/>
  <c r="I31" i="46"/>
  <c r="I31" i="47"/>
  <c r="C70" i="5"/>
  <c r="C73" i="5"/>
  <c r="C13" i="48"/>
  <c r="G26" i="46" l="1"/>
  <c r="G26" i="47" s="1"/>
  <c r="D54" i="42"/>
  <c r="O8" i="24"/>
  <c r="C8" i="24" s="1"/>
  <c r="E70" i="5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E73" i="5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52" i="8"/>
  <c r="H32" i="46"/>
  <c r="J34" i="45"/>
  <c r="J54" i="45" s="1"/>
  <c r="E13" i="47"/>
  <c r="E13" i="48" s="1"/>
  <c r="K40" i="13"/>
  <c r="O31" i="24"/>
  <c r="C31" i="24" s="1"/>
  <c r="I12" i="48"/>
  <c r="F48" i="45"/>
  <c r="F53" i="45" s="1"/>
  <c r="F54" i="45" s="1"/>
  <c r="D48" i="45"/>
  <c r="D53" i="45" s="1"/>
  <c r="D54" i="45" s="1"/>
  <c r="I14" i="47"/>
  <c r="I14" i="48" s="1"/>
  <c r="G22" i="48"/>
  <c r="G24" i="48" s="1"/>
  <c r="G45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E49" i="45"/>
  <c r="H48" i="46" s="1"/>
  <c r="I34" i="45"/>
  <c r="I54" i="45" s="1"/>
  <c r="O26" i="24"/>
  <c r="I11" i="48"/>
  <c r="O11" i="24"/>
  <c r="C11" i="24" s="1"/>
  <c r="E16" i="48"/>
  <c r="E32" i="47"/>
  <c r="E11" i="49"/>
  <c r="E22" i="49" s="1"/>
  <c r="E23" i="49" s="1"/>
  <c r="I23" i="46"/>
  <c r="H34" i="64"/>
  <c r="H54" i="64" s="1"/>
  <c r="D49" i="64"/>
  <c r="D53" i="64" s="1"/>
  <c r="D54" i="64" s="1"/>
  <c r="I16" i="48"/>
  <c r="O30" i="24"/>
  <c r="C30" i="24" s="1"/>
  <c r="C17" i="24"/>
  <c r="C19" i="24" s="1"/>
  <c r="O19" i="24"/>
  <c r="I26" i="46" l="1"/>
  <c r="O9" i="24"/>
  <c r="C9" i="24" s="1"/>
  <c r="I32" i="46"/>
  <c r="I33" i="46" s="1"/>
  <c r="G32" i="46"/>
  <c r="G33" i="46" s="1"/>
  <c r="C35" i="46" s="1"/>
  <c r="E49" i="64"/>
  <c r="E53" i="64" s="1"/>
  <c r="E54" i="64" s="1"/>
  <c r="H32" i="47"/>
  <c r="G47" i="46"/>
  <c r="G52" i="46" s="1"/>
  <c r="I23" i="47"/>
  <c r="O29" i="24"/>
  <c r="C29" i="24" s="1"/>
  <c r="C26" i="24"/>
  <c r="E16" i="47"/>
  <c r="E31" i="47" s="1"/>
  <c r="C14" i="48"/>
  <c r="C22" i="48" s="1"/>
  <c r="C24" i="48" s="1"/>
  <c r="C33" i="47"/>
  <c r="H42" i="49"/>
  <c r="D25" i="49"/>
  <c r="C53" i="46"/>
  <c r="E33" i="46"/>
  <c r="H52" i="46"/>
  <c r="E53" i="45"/>
  <c r="E54" i="45" s="1"/>
  <c r="G12" i="49"/>
  <c r="G18" i="49" s="1"/>
  <c r="G23" i="49" s="1"/>
  <c r="I26" i="47"/>
  <c r="G32" i="47"/>
  <c r="G33" i="47" s="1"/>
  <c r="I22" i="48"/>
  <c r="I24" i="48" s="1"/>
  <c r="I45" i="48" s="1"/>
  <c r="D33" i="49" l="1"/>
  <c r="D36" i="48" s="1"/>
  <c r="D44" i="48" s="1"/>
  <c r="D45" i="48" s="1"/>
  <c r="G53" i="46"/>
  <c r="I48" i="46"/>
  <c r="E35" i="46"/>
  <c r="G53" i="47"/>
  <c r="C35" i="47"/>
  <c r="I47" i="46"/>
  <c r="C33" i="24"/>
  <c r="O33" i="24"/>
  <c r="C53" i="47"/>
  <c r="E33" i="47"/>
  <c r="I12" i="49"/>
  <c r="I18" i="49" s="1"/>
  <c r="I23" i="49" s="1"/>
  <c r="O34" i="24"/>
  <c r="I32" i="47"/>
  <c r="I33" i="47" s="1"/>
  <c r="C26" i="48"/>
  <c r="G42" i="49"/>
  <c r="C25" i="49"/>
  <c r="E53" i="46"/>
  <c r="E14" i="48"/>
  <c r="E22" i="48" s="1"/>
  <c r="E24" i="48" s="1"/>
  <c r="O10" i="24"/>
  <c r="D41" i="49" l="1"/>
  <c r="D42" i="49" s="1"/>
  <c r="C33" i="49"/>
  <c r="C36" i="48" s="1"/>
  <c r="I52" i="46"/>
  <c r="I53" i="46" s="1"/>
  <c r="I53" i="47"/>
  <c r="E55" i="47" s="1"/>
  <c r="E35" i="47"/>
  <c r="E26" i="48"/>
  <c r="I42" i="49"/>
  <c r="E25" i="49"/>
  <c r="C10" i="24"/>
  <c r="C14" i="24" s="1"/>
  <c r="C22" i="24" s="1"/>
  <c r="O14" i="24"/>
  <c r="O22" i="24" s="1"/>
  <c r="O42" i="24"/>
  <c r="C34" i="24"/>
  <c r="C42" i="24" s="1"/>
  <c r="C44" i="24" s="1"/>
  <c r="O44" i="24" s="1"/>
  <c r="E33" i="49" l="1"/>
  <c r="E36" i="48" s="1"/>
  <c r="E41" i="49" l="1"/>
  <c r="E42" i="49" s="1"/>
  <c r="C41" i="49"/>
  <c r="C42" i="49" s="1"/>
  <c r="E44" i="48" l="1"/>
  <c r="E45" i="48" s="1"/>
  <c r="C44" i="48"/>
  <c r="C45" i="48" s="1"/>
  <c r="E58" i="7" l="1"/>
  <c r="E61" i="7" s="1"/>
  <c r="H16" i="46"/>
  <c r="H16" i="47" s="1"/>
  <c r="K65" i="15" l="1"/>
  <c r="H16" i="48"/>
  <c r="H22" i="48" s="1"/>
  <c r="H24" i="48" s="1"/>
  <c r="H45" i="48" s="1"/>
  <c r="D26" i="48" s="1"/>
  <c r="H23" i="47"/>
  <c r="H33" i="47" s="1"/>
  <c r="H23" i="46"/>
  <c r="H33" i="46" s="1"/>
  <c r="R65" i="15" l="1"/>
  <c r="R77" i="15" s="1"/>
  <c r="K77" i="15"/>
  <c r="H53" i="46"/>
  <c r="D35" i="46"/>
  <c r="D35" i="47"/>
  <c r="H53" i="47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<sst xmlns="http://schemas.openxmlformats.org/spreadsheetml/2006/main" count="2852" uniqueCount="1307">
  <si>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</si>
  <si>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</si>
  <si>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</si>
  <si>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</si>
  <si>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</si>
  <si>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</si>
  <si>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</si>
  <si>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</si>
  <si>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</si>
  <si>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</si>
  <si>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</si>
  <si>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</si>
  <si>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</si>
  <si>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</si>
  <si>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</si>
  <si>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</si>
  <si>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</si>
  <si>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</si>
  <si>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</si>
  <si>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</si>
  <si>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</si>
  <si>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</si>
  <si>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</si>
  <si>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</si>
  <si>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</si>
  <si>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</si>
  <si>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</si>
  <si>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</si>
  <si>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</si>
  <si>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</si>
  <si>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</si>
  <si>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</si>
  <si>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</si>
  <si>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</si>
  <si>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</si>
  <si>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</si>
  <si>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</si>
  <si>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</si>
  <si>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</si>
  <si>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</si>
  <si>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</si>
  <si>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</si>
  <si>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</si>
  <si>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</si>
  <si>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</si>
  <si>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</si>
  <si>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</si>
  <si>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</si>
  <si>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</si>
  <si>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</si>
  <si>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</si>
  <si>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</si>
  <si>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</si>
  <si>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</si>
  <si>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</si>
  <si>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</si>
  <si>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</si>
  <si>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</si>
  <si>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</si>
  <si>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</si>
  <si>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</si>
  <si>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</si>
  <si>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</si>
  <si>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</si>
  <si>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</si>
  <si>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</si>
  <si>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</si>
  <si>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</si>
  <si>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</si>
  <si>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</si>
  <si>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</si>
  <si>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</si>
  <si>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</si>
  <si>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</si>
  <si>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</si>
  <si>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</si>
  <si>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</si>
  <si>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</si>
  <si>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</si>
  <si>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</si>
  <si>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</si>
  <si>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</si>
  <si>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</si>
  <si>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</si>
  <si>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</si>
  <si>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</si>
  <si>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</si>
  <si>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</si>
  <si>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</si>
  <si>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</si>
  <si>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</si>
  <si>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</si>
  <si>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</si>
  <si>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</si>
  <si>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</si>
  <si>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</si>
  <si>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</si>
  <si>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</si>
  <si>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</si>
  <si>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</si>
  <si>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</si>
  <si>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</si>
  <si>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</si>
  <si>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</si>
  <si>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</si>
  <si>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</si>
  <si>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</si>
  <si>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</si>
  <si>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</si>
  <si>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</si>
  <si>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</si>
  <si>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</si>
  <si>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</si>
  <si>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</si>
  <si>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</si>
  <si>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</si>
  <si>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</si>
  <si>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</si>
  <si>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</si>
  <si>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</si>
  <si>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</si>
  <si>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</si>
  <si>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</si>
  <si>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</si>
  <si>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</si>
  <si>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</si>
  <si>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</si>
  <si>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</si>
  <si>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</si>
  <si>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</si>
  <si>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</si>
  <si>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</si>
  <si>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</si>
  <si>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</si>
  <si>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</si>
  <si>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</si>
  <si>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</si>
  <si>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</si>
  <si>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</si>
  <si>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</si>
  <si>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</si>
  <si>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</si>
  <si>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</si>
  <si>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</si>
  <si>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</si>
  <si>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</si>
  <si>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</si>
  <si>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</si>
  <si>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</si>
  <si>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</si>
  <si>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</si>
  <si>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</si>
  <si>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</si>
  <si>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</si>
  <si>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</si>
  <si>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</si>
  <si>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</si>
  <si>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</si>
  <si>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</si>
  <si>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</si>
  <si>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</si>
  <si>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</si>
  <si>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</si>
  <si>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</si>
  <si>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</si>
  <si>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</si>
  <si>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</si>
  <si>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</si>
  <si>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</si>
  <si>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</si>
  <si>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</si>
  <si>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</si>
  <si>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</si>
  <si>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</si>
  <si>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</si>
  <si>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</si>
  <si>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</si>
  <si>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</si>
  <si>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</si>
  <si>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</si>
  <si>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</si>
  <si>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</si>
  <si>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</si>
  <si>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</si>
  <si>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</si>
  <si>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</si>
  <si>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</si>
  <si>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</si>
  <si>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</si>
  <si>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</si>
  <si>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</si>
  <si>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</si>
  <si>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</si>
  <si>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</si>
  <si>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</si>
  <si>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</si>
  <si>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</si>
  <si>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</si>
  <si>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</si>
  <si>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</si>
  <si>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</si>
  <si>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</si>
  <si>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</si>
  <si>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</si>
  <si>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</si>
  <si>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</si>
  <si>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</si>
  <si>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</si>
  <si>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</si>
  <si>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</si>
  <si>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</si>
  <si>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</si>
  <si>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</si>
  <si>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</si>
  <si>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</si>
  <si>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</si>
  <si>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</si>
  <si>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</si>
  <si>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</si>
  <si>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</si>
  <si>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</si>
  <si>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</si>
  <si>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</si>
  <si>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</si>
  <si>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</si>
  <si>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</si>
  <si>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</si>
  <si>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</si>
  <si>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</si>
  <si>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</si>
  <si>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</si>
  <si>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</si>
  <si>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</si>
  <si>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</si>
  <si>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</si>
  <si>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</si>
  <si>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</si>
  <si>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</si>
  <si>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</si>
  <si>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</si>
  <si>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</si>
  <si>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</si>
  <si>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</si>
  <si>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</si>
  <si>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</si>
  <si>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</si>
  <si>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</si>
  <si>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</si>
  <si>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</si>
  <si>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</si>
  <si>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</si>
  <si>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</si>
  <si>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</si>
  <si>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</si>
  <si>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</si>
  <si>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</si>
  <si>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</si>
  <si>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</si>
  <si>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</si>
  <si>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</si>
  <si>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</si>
  <si>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</si>
  <si>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</si>
  <si>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</si>
  <si>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</si>
  <si>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</si>
  <si>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</si>
  <si>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</si>
  <si>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</si>
  <si>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</si>
  <si>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</si>
  <si>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</si>
  <si>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</si>
  <si>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</si>
  <si>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</si>
  <si>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</si>
  <si>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</si>
  <si>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</si>
  <si>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</si>
  <si>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</si>
  <si>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</si>
  <si>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</si>
  <si>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</si>
  <si>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</si>
  <si>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</si>
  <si>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</si>
  <si>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</si>
  <si>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</si>
  <si>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</si>
  <si>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</si>
  <si>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</si>
  <si>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</si>
  <si>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</si>
  <si>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</si>
  <si>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</si>
  <si>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</si>
  <si>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</si>
  <si>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</si>
  <si>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</si>
  <si>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</si>
  <si>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</si>
  <si>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</si>
  <si>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</si>
  <si>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</si>
  <si>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</si>
  <si>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</si>
  <si>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</si>
  <si>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</si>
  <si>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</si>
  <si>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</si>
  <si>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</si>
  <si>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</si>
  <si>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</si>
  <si>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</si>
  <si>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</si>
  <si>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</si>
  <si>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</si>
  <si>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</si>
  <si>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</si>
  <si>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</si>
  <si>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</si>
  <si>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</si>
  <si>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</si>
  <si>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</si>
  <si>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</si>
  <si>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</si>
  <si>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</si>
  <si>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</si>
  <si>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</si>
  <si>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</si>
  <si>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</si>
  <si>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</si>
  <si>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</si>
  <si>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</si>
  <si>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</si>
  <si>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</si>
  <si>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</si>
  <si>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</si>
  <si>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</si>
  <si>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</si>
  <si>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</si>
  <si>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</si>
  <si>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</si>
  <si>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</si>
  <si>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</si>
  <si>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</si>
  <si>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</si>
  <si>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</si>
  <si>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</si>
  <si>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</si>
  <si>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</si>
  <si>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</si>
  <si>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</si>
  <si>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</si>
  <si>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</si>
  <si>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</si>
  <si>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</si>
  <si>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</si>
  <si>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</si>
  <si>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</si>
  <si>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</si>
  <si>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</si>
  <si>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</si>
  <si>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</si>
  <si>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</si>
  <si>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</si>
  <si>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</si>
  <si>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</si>
  <si>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</si>
  <si>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</si>
  <si>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</si>
  <si>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</si>
  <si>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</si>
  <si>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</si>
  <si>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</si>
  <si>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</si>
  <si>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</si>
  <si>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</si>
  <si>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</si>
  <si>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</si>
  <si>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</si>
  <si>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</si>
  <si>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</si>
  <si>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</si>
  <si>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</si>
  <si>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</si>
  <si>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</si>
  <si>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</si>
  <si>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</si>
  <si>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</si>
  <si>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</si>
  <si>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</si>
  <si>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</si>
  <si>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</si>
  <si>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</si>
  <si>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</si>
  <si>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</si>
  <si>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</si>
  <si>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</si>
  <si>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</si>
  <si>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</si>
  <si>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</si>
  <si>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</si>
  <si>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</si>
  <si>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</si>
  <si>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</si>
  <si>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</si>
  <si>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</si>
  <si>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</si>
  <si>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</si>
  <si>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</si>
  <si>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</si>
  <si>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</si>
  <si>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</si>
  <si>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</si>
  <si>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</si>
  <si>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</si>
  <si>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</si>
  <si>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</si>
  <si>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</si>
  <si>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</si>
  <si>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</si>
  <si>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</si>
  <si>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</si>
  <si>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</si>
  <si>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</si>
  <si>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</si>
  <si>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</si>
  <si>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</si>
  <si>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</si>
  <si>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</si>
  <si>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</si>
  <si>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</si>
  <si>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</si>
  <si>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</si>
  <si>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</si>
  <si>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</si>
  <si>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</si>
  <si>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</si>
  <si>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</si>
  <si>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</si>
  <si>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</si>
  <si>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</si>
  <si>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</si>
  <si>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</si>
  <si>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</si>
  <si>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</si>
  <si>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</si>
  <si>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</si>
  <si>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</si>
  <si>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</si>
  <si>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</si>
  <si>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</si>
  <si>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</si>
  <si>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</si>
  <si>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</si>
  <si>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</si>
  <si>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</si>
  <si>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</si>
  <si>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</si>
  <si>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</si>
  <si>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</si>
  <si>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</si>
  <si>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</si>
  <si>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</si>
  <si>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</si>
  <si>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</si>
  <si>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</si>
  <si>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</si>
  <si>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</si>
  <si>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</si>
  <si>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</si>
  <si>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</si>
  <si>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</si>
  <si>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</si>
  <si>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</si>
  <si>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</si>
  <si>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</si>
  <si>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</si>
  <si>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</si>
  <si>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</si>
  <si>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</si>
  <si>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</si>
  <si>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</si>
  <si>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</si>
  <si>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</si>
  <si>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</si>
  <si>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</si>
  <si>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</si>
  <si>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</si>
  <si>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</si>
  <si>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</si>
  <si>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</si>
  <si>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</si>
  <si>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</si>
  <si>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</si>
  <si>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</si>
  <si>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</si>
  <si>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</si>
  <si>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</si>
  <si>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</si>
  <si>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</si>
  <si>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</si>
  <si>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</si>
  <si>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</si>
  <si>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</si>
  <si>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</si>
  <si>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</si>
  <si>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</si>
  <si>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</si>
  <si>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</si>
  <si>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</si>
  <si>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</si>
  <si>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</si>
  <si>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</si>
  <si>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</si>
  <si>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</si>
  <si>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</si>
  <si>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</si>
  <si>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</si>
  <si>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</si>
  <si>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</si>
  <si>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</si>
  <si>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</si>
  <si>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</si>
  <si>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</si>
  <si>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</si>
  <si>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</si>
  <si>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</si>
  <si>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</si>
  <si>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</si>
  <si>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</si>
  <si>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</si>
  <si>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</si>
  <si>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</si>
  <si>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</si>
  <si>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</si>
  <si>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</si>
  <si>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</si>
  <si>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</si>
  <si>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</si>
  <si>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</si>
  <si>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</si>
  <si>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</si>
  <si>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</si>
  <si>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</si>
  <si>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</si>
  <si>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</si>
  <si>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</si>
  <si>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</si>
  <si>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</si>
  <si>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</si>
  <si>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</si>
  <si>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</si>
  <si>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</si>
  <si>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</si>
  <si>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</si>
  <si>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</si>
  <si>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</si>
  <si>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</si>
  <si>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</si>
  <si>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</si>
  <si>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</si>
  <si>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</si>
  <si>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</si>
  <si>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</si>
  <si>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</si>
  <si>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</si>
  <si>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</si>
  <si>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</si>
  <si>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</si>
  <si>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</si>
  <si>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</si>
  <si>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</si>
  <si>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</si>
  <si>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</si>
  <si>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</si>
  <si>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</si>
  <si>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</si>
  <si>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</si>
  <si>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</si>
  <si>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</si>
  <si>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</si>
  <si>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</si>
  <si>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</si>
  <si>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</si>
  <si>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</si>
  <si>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</si>
  <si>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</si>
  <si>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</si>
  <si>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</si>
  <si>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</si>
  <si>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</si>
  <si>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</si>
  <si>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</si>
  <si>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</si>
  <si>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</si>
  <si>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</si>
  <si>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</si>
  <si>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</si>
  <si>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</si>
  <si>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</si>
  <si>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</si>
  <si>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</si>
  <si>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</si>
  <si>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</si>
  <si>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</si>
  <si>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</si>
  <si>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</si>
  <si>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</si>
  <si>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</si>
  <si>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</si>
  <si>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</si>
  <si>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</si>
  <si>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</si>
  <si>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</si>
  <si>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</si>
  <si>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</si>
  <si>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</si>
  <si>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</si>
  <si>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</si>
  <si>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</si>
  <si>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</si>
  <si>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</si>
  <si>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</si>
  <si>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</si>
  <si>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</si>
  <si>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</si>
  <si>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</si>
  <si>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</si>
  <si>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</si>
  <si>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</si>
  <si>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</si>
  <si>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</si>
  <si>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</si>
  <si>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</si>
  <si>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</si>
  <si>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</si>
  <si>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</si>
  <si>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</si>
  <si>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</si>
  <si>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</si>
  <si>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</si>
  <si>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</si>
  <si>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</si>
  <si>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</si>
  <si>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</si>
  <si>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</si>
  <si>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</si>
  <si>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</si>
  <si>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</si>
  <si>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</si>
  <si>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</si>
  <si>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</si>
  <si>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</si>
  <si>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</si>
  <si>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</si>
  <si>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</si>
  <si>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</si>
  <si>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</si>
  <si>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</si>
  <si>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</si>
  <si>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</si>
  <si>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</si>
  <si>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</si>
  <si>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</si>
  <si>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</si>
  <si>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</si>
  <si>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</si>
  <si>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</si>
  <si>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</si>
  <si>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</si>
  <si>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</si>
  <si>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</si>
  <si>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</si>
  <si>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</si>
  <si>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</si>
  <si>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</si>
  <si>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</si>
  <si>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</si>
  <si>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</si>
  <si>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</si>
  <si>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</si>
  <si>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</si>
  <si>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</si>
  <si>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</si>
  <si>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</si>
  <si>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</si>
  <si>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</si>
  <si>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</si>
  <si>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</si>
  <si>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</si>
  <si>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</si>
  <si>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</si>
  <si>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</si>
  <si>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</si>
  <si>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</si>
  <si>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</si>
  <si>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</si>
  <si>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</si>
  <si>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</si>
  <si>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</si>
  <si>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</si>
  <si>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</si>
  <si>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</si>
  <si>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</si>
  <si>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</si>
  <si>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</si>
  <si>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</si>
  <si>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</si>
  <si>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</si>
  <si>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</si>
  <si>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</si>
  <si>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</si>
  <si>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</si>
  <si>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</si>
  <si>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</si>
  <si>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</si>
  <si>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</si>
  <si>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</si>
  <si>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</si>
  <si>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</si>
  <si>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</si>
  <si>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</si>
  <si>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</si>
  <si>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</si>
  <si>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</si>
  <si>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</si>
  <si>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</si>
  <si>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</si>
  <si>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</si>
  <si>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</si>
  <si>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</si>
  <si>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</si>
  <si>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</si>
  <si>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</si>
  <si>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</si>
  <si>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</si>
  <si>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</si>
  <si>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</si>
  <si>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</si>
  <si>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</si>
  <si>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</si>
  <si>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</si>
  <si>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</si>
  <si>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</si>
  <si>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</si>
  <si>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</si>
  <si>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</si>
  <si>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</si>
  <si>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</si>
  <si>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</si>
  <si>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</si>
  <si>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</si>
  <si>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</si>
  <si>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</si>
  <si>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</si>
  <si>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</si>
  <si>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</si>
  <si>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</si>
  <si>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</si>
  <si>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</si>
  <si>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</si>
  <si>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</si>
  <si>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</si>
  <si>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</si>
  <si>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</si>
  <si>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</si>
  <si>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</si>
  <si>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</si>
  <si>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</si>
  <si>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</si>
  <si>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</si>
  <si>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</si>
  <si>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</si>
  <si>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</si>
  <si>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</si>
  <si>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</si>
  <si>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</si>
  <si>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</si>
  <si>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</si>
  <si>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</si>
  <si>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</si>
  <si>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</si>
  <si>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</si>
  <si>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</si>
  <si>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</si>
  <si>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</si>
  <si>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</si>
  <si>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</si>
  <si>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</si>
  <si>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</si>
  <si>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</si>
  <si>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</si>
  <si>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</si>
  <si>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</si>
  <si>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</si>
  <si>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</si>
  <si>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</si>
  <si>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</si>
  <si>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</si>
  <si>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</si>
  <si>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</si>
  <si>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</si>
  <si>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</si>
  <si>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</si>
  <si>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</si>
  <si>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</si>
  <si>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</si>
  <si>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</si>
  <si>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</si>
  <si>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</si>
  <si>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</si>
  <si>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</si>
  <si>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</si>
  <si>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</si>
  <si>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</si>
  <si>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</si>
  <si>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</si>
  <si>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</si>
  <si>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</si>
  <si>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</si>
  <si>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</si>
  <si>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</si>
  <si>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</si>
  <si>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</si>
  <si>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</si>
  <si>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</si>
  <si>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</si>
  <si>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</si>
  <si>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</si>
  <si>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</si>
  <si>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</si>
  <si>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</si>
  <si>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</si>
  <si>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</si>
  <si>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</si>
  <si>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</si>
  <si>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</si>
  <si>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</si>
  <si>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</si>
  <si>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</si>
  <si>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</si>
  <si>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</si>
  <si>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</si>
  <si>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</si>
  <si>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</si>
  <si>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</si>
  <si>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</si>
  <si>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</si>
  <si>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</si>
  <si>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</si>
  <si>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</si>
  <si>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</si>
  <si>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</si>
  <si>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</si>
  <si>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</si>
  <si>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</si>
  <si>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</si>
  <si>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</si>
  <si>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</si>
  <si>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</si>
  <si>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</si>
  <si>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</si>
  <si>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</si>
  <si>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</si>
  <si>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</si>
  <si>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</si>
  <si>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</si>
  <si>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</si>
  <si>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</si>
  <si>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</si>
  <si>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</si>
  <si>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</si>
  <si>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</si>
  <si>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</si>
  <si>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</si>
  <si>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</si>
  <si>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</si>
  <si>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</si>
  <si>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</si>
  <si>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</si>
  <si>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</si>
  <si>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</si>
  <si>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</si>
  <si>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</si>
  <si>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</si>
  <si>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</si>
  <si>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</si>
  <si>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</si>
  <si>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</si>
  <si>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</si>
  <si>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</si>
  <si>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</si>
  <si>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</si>
  <si>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</si>
  <si>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</si>
  <si>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</si>
  <si>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</si>
  <si>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</si>
  <si>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</si>
  <si>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</si>
  <si>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</si>
  <si>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</si>
  <si>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</si>
  <si>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</si>
  <si>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</si>
  <si>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</si>
  <si>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</si>
  <si>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</si>
  <si>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</si>
  <si>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</si>
  <si>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</si>
  <si>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</si>
  <si>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</si>
  <si>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</si>
  <si>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</si>
  <si>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</si>
  <si>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</si>
  <si>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</si>
  <si>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</si>
  <si>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</si>
  <si>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</si>
  <si>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</si>
  <si>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</si>
  <si>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</si>
  <si>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</si>
  <si>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</si>
  <si>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</si>
  <si>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</si>
  <si>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</si>
  <si>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</si>
  <si>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</si>
  <si>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</si>
  <si>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</si>
  <si>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</si>
  <si>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</si>
  <si>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</si>
  <si>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</si>
  <si>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</si>
  <si>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</si>
  <si>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</si>
  <si>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</si>
  <si>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</si>
  <si>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</si>
  <si>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</si>
  <si>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</si>
  <si>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</si>
  <si>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</si>
  <si>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</si>
  <si>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</si>
  <si>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</si>
  <si>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</si>
  <si>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</si>
  <si>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</si>
  <si>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</si>
  <si>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</si>
  <si>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</si>
  <si>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</si>
  <si>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</si>
  <si>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</si>
  <si>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</si>
  <si>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</si>
  <si>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</si>
  <si>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számítógép szerverek váratlan meghibásodása miatti beszerzés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</si>
  <si>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</si>
  <si>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</si>
  <si>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</si>
  <si>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</si>
  <si>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</si>
  <si>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</si>
  <si>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</si>
  <si>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</si>
  <si>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</si>
  <si>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</si>
  <si>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</si>
  <si>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</si>
  <si>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</si>
  <si>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</si>
  <si>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</si>
  <si>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</si>
  <si>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</si>
  <si>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</si>
  <si>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</si>
  <si>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</si>
  <si>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</si>
  <si>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</si>
  <si>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</si>
  <si>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</si>
  <si>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</si>
  <si>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</si>
  <si>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</si>
  <si>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</si>
  <si>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</si>
  <si>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</si>
  <si>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</si>
  <si>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</si>
  <si>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</si>
  <si>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</si>
  <si>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>2017 évi költségvetés</t>
  </si>
  <si>
    <t xml:space="preserve">2017. évi bevételi előirányzat </t>
  </si>
  <si>
    <t xml:space="preserve">                                                                    2017. évi bérkompenzáció</t>
  </si>
  <si>
    <t>2017. évi költségvetés felhalmozási bevételek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</si>
  <si>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</si>
  <si>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</si>
  <si>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</si>
  <si>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</si>
  <si>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</si>
  <si>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</si>
  <si>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</si>
  <si>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</si>
  <si>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</si>
  <si>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</si>
  <si>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</si>
  <si>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</si>
  <si>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</si>
  <si>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</si>
  <si>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</si>
  <si>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</si>
  <si>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</si>
  <si>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</si>
  <si>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</si>
  <si>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</si>
  <si>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</si>
  <si>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</si>
  <si>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Hévíz Tv épületének felújítása</t>
  </si>
  <si>
    <t>Egregyi temetőkápolna állagmegóvási munkái</t>
  </si>
  <si>
    <t>Hévíz 2102. hrsz-ú terület megvásárlása</t>
  </si>
  <si>
    <t>Egészségügyi Központ fejlesztése TOP-4.1.15</t>
  </si>
  <si>
    <t>Nagyparkoló zöldterületének és közlekedési ter. megújítása (Zöldváros) Top-2.1.2-15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</si>
  <si>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</si>
  <si>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</si>
  <si>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</si>
  <si>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3.108 adótárgy, 276.180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</si>
  <si>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336 db adóalany esetén</t>
    </r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</si>
  <si>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</si>
  <si>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</si>
  <si>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</si>
  <si>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</si>
  <si>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</si>
  <si>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</si>
  <si>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</si>
  <si>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</si>
  <si>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</si>
  <si>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</si>
  <si>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</si>
  <si>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</si>
  <si>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</si>
  <si>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</si>
  <si>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</si>
  <si>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</si>
  <si>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</si>
  <si>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</si>
  <si>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</si>
  <si>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</si>
  <si>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</si>
  <si>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</si>
  <si>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</si>
  <si>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</si>
  <si>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</si>
  <si>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</si>
  <si>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</si>
  <si>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</si>
  <si>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</si>
  <si>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</si>
  <si>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</si>
  <si>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</si>
  <si>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</si>
  <si>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</si>
  <si>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</si>
  <si>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</si>
  <si>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</si>
  <si>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</si>
  <si>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</si>
  <si>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</si>
  <si>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</si>
  <si>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</si>
  <si>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</si>
  <si>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</si>
  <si>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</si>
  <si>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</si>
  <si>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</si>
  <si>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</si>
  <si>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</si>
  <si>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</si>
  <si>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</si>
  <si>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</si>
  <si>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</si>
  <si>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</si>
  <si>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</si>
  <si>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</si>
  <si>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</si>
  <si>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</si>
  <si>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</si>
  <si>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</si>
  <si>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</si>
  <si>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</si>
  <si>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</si>
  <si>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</si>
  <si>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</si>
  <si>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Óvodai nevelés ellátás</t>
  </si>
  <si>
    <t xml:space="preserve"> Települési Támogatás (születési, temetési, méltányossági)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</si>
  <si>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</si>
  <si>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</si>
  <si>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</si>
  <si>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</si>
  <si>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</si>
  <si>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</si>
  <si>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Önkormányzati igazgatás</t>
  </si>
  <si>
    <t xml:space="preserve"> Sport létesít.működtetése</t>
  </si>
  <si>
    <t xml:space="preserve"> Mindenféle m.n.s.szabadi.tev.</t>
  </si>
  <si>
    <t xml:space="preserve"> Közfoglalkoztatás </t>
  </si>
  <si>
    <t xml:space="preserve"> Állat-eü feladatok</t>
  </si>
  <si>
    <t xml:space="preserve"> Önként vállalt feladatok</t>
  </si>
  <si>
    <t xml:space="preserve"> Igazgatási tevékenység.</t>
  </si>
  <si>
    <t xml:space="preserve">2. </t>
  </si>
  <si>
    <t>Gazdasági honlap</t>
  </si>
  <si>
    <t>Mozi szék</t>
  </si>
  <si>
    <t>Gondnok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</si>
  <si>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</si>
  <si>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</si>
  <si>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</si>
  <si>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</si>
  <si>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</si>
  <si>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</si>
  <si>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</si>
  <si>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</si>
  <si>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</si>
  <si>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</si>
  <si>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</si>
  <si>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</si>
  <si>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</si>
  <si>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</si>
  <si>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</si>
  <si>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</si>
  <si>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</si>
  <si>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</si>
  <si>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</si>
  <si>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</si>
  <si>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</si>
  <si>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>4/2017. (II.13.)önkormányzati rendelet 1/3. melléklete</t>
  </si>
  <si>
    <t>4/2017. (II.13.)önkormányzati rendelet 2/4. melléklete</t>
  </si>
  <si>
    <t>4/2017. (II.13.)önkormányzati rendelet 4. melléklete</t>
  </si>
  <si>
    <t xml:space="preserve"> 4/2017. (II.13.) önkormányzati rendelet 6. melléklete</t>
  </si>
  <si>
    <t>4/2017. (II.13.)önkormányzati rendelet 7. melléklete</t>
  </si>
  <si>
    <t>4/2017. (II.13.)önkormányzati rendelet 8. melléklete</t>
  </si>
  <si>
    <t xml:space="preserve">         8.1.3.2. előző évi vállalkozási maradvány igénybevétele (B8132)</t>
  </si>
  <si>
    <t>2017. évi közhatalmi bevételek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</si>
  <si>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</si>
  <si>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</si>
  <si>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</si>
  <si>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</si>
  <si>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</si>
  <si>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</si>
  <si>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" Fenntartható közlekedés" TOP-3.1.1.-15-ZA1-2016-00007</t>
  </si>
  <si>
    <t>Központi költségvetési szervektől működési célra átvett peszk.:</t>
  </si>
  <si>
    <t>Zm-i Rendőr-Főkapitányság 2016. évi fel nem használt tám. Visszafiz.</t>
  </si>
  <si>
    <t>Zm-i Kormány Hivatal Munkaügyi Központja</t>
  </si>
  <si>
    <t>Működési célú pénzeszköz átvétel Áht-n kívülről:</t>
  </si>
  <si>
    <t>"Transzforming your  city"</t>
  </si>
  <si>
    <t>MVM OVIT Zrt. részvényeinek értékesítése</t>
  </si>
  <si>
    <t>Felhalmozási célú támoghatás Áht-n belülről:</t>
  </si>
  <si>
    <t xml:space="preserve">"Fenntartható közlekedés" TOP-3.1.1-15-ZA1-2016-00007 </t>
  </si>
  <si>
    <t>Hévíz Tv Nonprofit Kft. 2016. évi fel nem használt támogatás visszafiz.</t>
  </si>
  <si>
    <t>Karmacs Község Önkormányzat</t>
  </si>
  <si>
    <t>Nagykanizsai Tankerületi Központ</t>
  </si>
  <si>
    <t>Helikon Kórus és Baráti Köre Közhasznú Egyesület</t>
  </si>
  <si>
    <t>Hévíz és Térsége KamaraiTagok Kultúrális Alapítványa</t>
  </si>
  <si>
    <t xml:space="preserve">Magyar Máltai Szeretetszolgálat </t>
  </si>
  <si>
    <t>Hévízi Turisztikai Nonprofit Kft Szakács olimpia</t>
  </si>
  <si>
    <t>Szentlélek Római Katolikus Egyházközösség</t>
  </si>
  <si>
    <t>Magyar-Izraeli Baráti Társaság</t>
  </si>
  <si>
    <t>Keszthelyi Mentők Alapítvány</t>
  </si>
  <si>
    <t>Hévízi Kulturális Központ Nonprofit Kft.</t>
  </si>
  <si>
    <t xml:space="preserve">Hévíz Sportkör visszatérítendő támogatás 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</si>
  <si>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(Buszpályaudvar áttelepítés)</t>
    </r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</si>
  <si>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</si>
  <si>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</si>
  <si>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</si>
  <si>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</si>
  <si>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</si>
  <si>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</si>
  <si>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3. </t>
  </si>
  <si>
    <t xml:space="preserve">4. </t>
  </si>
  <si>
    <t>Arculati kézikönyv</t>
  </si>
  <si>
    <t>hevizfejlödik.heviz.hu weboldal</t>
  </si>
  <si>
    <t>2 db tárgyaló felújítás</t>
  </si>
  <si>
    <t>Festetics sétány kialakítására vonatkozó tervek</t>
  </si>
  <si>
    <t>1/1.</t>
  </si>
  <si>
    <t>2016. június 5-i vis maior esemény miatti felújítások önrész</t>
  </si>
  <si>
    <t xml:space="preserve">Zrínyi utca  99-179. házszám közötti szakasz út, közmű és zöldfelületi felújítás ( terv készítés) </t>
  </si>
  <si>
    <t>Fenntartható közlekedés TOP-3.1.1-15-ZA1-2016-00007</t>
  </si>
  <si>
    <t xml:space="preserve">új beruházás </t>
  </si>
  <si>
    <t>Polgármesteri Hivatal biztonsági kamerarendszer kiépítése</t>
  </si>
  <si>
    <t>2001. hrsz-ú telekvásárlás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</si>
  <si>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</si>
  <si>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t>Árpád-kori templom biztonsági kamera</t>
  </si>
  <si>
    <t xml:space="preserve">Hévíz, Dombföldi u. és Egregyi u. (Hévíz, 304. hrsz.) HEBI buszváró területén biztonsági kamerarendszer </t>
  </si>
  <si>
    <t>Sebességmérő</t>
  </si>
  <si>
    <t>Zala Megyei Önkormányzat</t>
  </si>
  <si>
    <t>Hévíz Sortkör felhalmozási támogatás (weboldal fejlesztés)</t>
  </si>
  <si>
    <t>Hévízi Evangélikis és Református Templomépítő és Fenntartó Alapítvány</t>
  </si>
  <si>
    <t>Mobil színpad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</si>
  <si>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</si>
  <si>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</si>
  <si>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</si>
  <si>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 xml:space="preserve"> 502212Lőtér (Egregyi szabadidőtér - Barnamező TOP-2.1.1-15)</t>
  </si>
  <si>
    <t>502219 Termelői piac fejlesztés TOP-1.1.3-15</t>
  </si>
  <si>
    <t>502220 Kálvária ("Kultúrbarangolás Hévízen") TOP-1.2.1-15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</si>
  <si>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</si>
  <si>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</si>
  <si>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</si>
  <si>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</si>
  <si>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</si>
  <si>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</si>
  <si>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</si>
  <si>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</si>
  <si>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</si>
  <si>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</si>
  <si>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</si>
  <si>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</si>
  <si>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</si>
  <si>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</si>
  <si>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</si>
  <si>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</si>
  <si>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</si>
  <si>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</si>
  <si>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</si>
  <si>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</si>
  <si>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505701 Vagyongazdálkodás kiadásai</t>
  </si>
  <si>
    <t>505702 "Hévíz - Gyógytó kifolyó víz hőszivattyús energiahasznosítása"</t>
  </si>
  <si>
    <t>505801 "Európa a polgárokért" program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</si>
  <si>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</si>
  <si>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</si>
  <si>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</si>
  <si>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</si>
  <si>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</si>
  <si>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</si>
  <si>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</si>
  <si>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</si>
  <si>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</si>
  <si>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</si>
  <si>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</si>
  <si>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</si>
  <si>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</si>
  <si>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</si>
  <si>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</si>
  <si>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</si>
  <si>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Teréz Anya Szociális Integrált Intézmény</t>
  </si>
  <si>
    <t>TASZII  mindösszesen:</t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</si>
  <si>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</si>
  <si>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</si>
  <si>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</si>
  <si>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</si>
  <si>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</si>
  <si>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szükséges!)</t>
    </r>
  </si>
  <si>
    <r>
      <t>Buszpályaudvar- terület vásárlás</t>
    </r>
    <r>
      <rPr>
        <b/>
        <sz val="8"/>
        <rFont val="Times New Roman"/>
        <family val="1"/>
        <charset val="238"/>
      </rPr>
      <t/>
    </r>
  </si>
  <si>
    <t>Hévíz, Zrinyí utca fejlesztés (Kormányzati döntés szükséges!)</t>
  </si>
  <si>
    <t>"Zala két keréken" TOP 3.1.1-15-ZA1-2016-00005</t>
  </si>
  <si>
    <t>"Hévíz Városának fenntartható közlekedésfejlesztése" TOP-3.1.1-15-ZA1-2016-00007</t>
  </si>
  <si>
    <t>"Hévíz Termelői piac megújulása" TOP-1.1.3-15-ZA1-2016-00005</t>
  </si>
  <si>
    <t>EEM Szociális és Gyermekvédelmi Főigazgatóság</t>
  </si>
  <si>
    <t>Dunántúli Református Egyházkerület</t>
  </si>
  <si>
    <t>Rosszcsont Alapítvány</t>
  </si>
  <si>
    <t>Német Evangélikus Egyház</t>
  </si>
  <si>
    <t>Zala Megyei Kormányhivatal Családtámogatási és TB. Főosztálya</t>
  </si>
  <si>
    <t>Vis Maior eszköz</t>
  </si>
  <si>
    <t>"SportOverBorders" weblapfejlesztés</t>
  </si>
  <si>
    <t>"SportOverBorders" arculattervezés</t>
  </si>
  <si>
    <t>1/2.</t>
  </si>
  <si>
    <t>9/1.</t>
  </si>
  <si>
    <t>9/2.</t>
  </si>
  <si>
    <t>9/3.</t>
  </si>
  <si>
    <t>Hévíz 022/14 hrsz-ú (Hévíz Egregyi Szőlőhegy 106.) ingatlan vásárlás</t>
  </si>
  <si>
    <t>Nagyparkoló átalakítása (Kormányzati döntés szükséges!)</t>
  </si>
  <si>
    <t>HEBI dokk létesítés (Fenntartható közlekedés TOP-3.1.1-15-ZA1-00007)</t>
  </si>
  <si>
    <t>ASP ccsatlakozás egyéb gép</t>
  </si>
  <si>
    <t xml:space="preserve">Informatikai eszközök beszerzése </t>
  </si>
  <si>
    <t>Információ átadási szabályzat, ütemterv az elektronikus ügyintézéshez</t>
  </si>
  <si>
    <t>4 db lézer nyomtató</t>
  </si>
  <si>
    <t>1db sószórógép</t>
  </si>
  <si>
    <t>2 db gránit urnafal</t>
  </si>
  <si>
    <t>Egyéb  tárgyi eszköz beszerzés</t>
  </si>
  <si>
    <t>502207 "Gyógyhelyi főtér" GINOP-7.1.9-17</t>
  </si>
  <si>
    <t>5022255 "Zala két keréken" TOP-3.1.1-15-ZA-2016-00005</t>
  </si>
  <si>
    <t>Keszthelyi Kiscápák Egyesület</t>
  </si>
  <si>
    <t>Megafilm Service Kft.</t>
  </si>
  <si>
    <t>DRV Széchenyi u. visszaaszfaltozása</t>
  </si>
  <si>
    <t>Ápolás, gondozás, otthoni ellátás+mentalhigiénés munkatárs</t>
  </si>
  <si>
    <t>1. melléklet a 28/2017. (X.30) rendelethez, 1. melléklet a 4/2017. (II.13.) önkormányzati rendelethez</t>
  </si>
  <si>
    <t>2. melléklet a 28/2017. (X.30) rendelethez, 1/1. melléklet a 4/2017. (II.13.) önkormányzati rendelethez</t>
  </si>
  <si>
    <t>4. melléklet a 28/2017. (X.30) rendelethez, 1/4. melléklet a 4/2017. (II.13.) önkormányzati rendelethez</t>
  </si>
  <si>
    <t>5. melléklet a 28/2017. (X.30) rendelethez, 1/5. melléklet a 4/2017. (II.13.) önkormányzati rendelethez</t>
  </si>
  <si>
    <t>6. melléklet a 28/2017. (X.30) rendelethez, 1/6. melléklet a 4/2017. (II.13.) önkormányzati rendelethez</t>
  </si>
  <si>
    <t>7. melléklet a 28/2017. (X.30) rendelethez, 1/7. melléklet a 4/2017. (II.13.) önkormányzati rendelethez</t>
  </si>
  <si>
    <t>8. melléklet a 28/2017. (X.30) rendelethez, 1/8. melléklet a 4/2017. (II.13.) önkormányzati rendelethez</t>
  </si>
  <si>
    <t>9. melléklet a 28/2017. (X.30) rendelethez, 1/9. melléklet a 4/2017. (II.13.) önkormányzati rendelethez</t>
  </si>
  <si>
    <t>10. melléklet a 28/2017. (X.30) rendelethez, 2/1. melléklet a 4/2017. (II.13.) önkormányzati rendelethez</t>
  </si>
  <si>
    <t>11. melléklet a 28/2017. (X.30) rendelethez, 2/1/1. melléklet a 4/2017. (II.13.) önkormányzati rendelethez</t>
  </si>
  <si>
    <t>12. melléklet a28/2017. (X.30) rendelethez, 2/2. melléklet a 4/2017. (II.13.) önkormányzati rendelethez</t>
  </si>
  <si>
    <t>13. melléklet a 28/2017. (X.30) rendelethez, 2/3. melléklet a 4/2017. (II.13.) önkormányzati rendelethez</t>
  </si>
  <si>
    <t>16. melléklet a 28/2017. (X.30) rendelethez, 3/3. melléklet a 4/2017. (II.13.) önkormányzati rendelethez</t>
  </si>
  <si>
    <t>17. melléklet a28/2017. (X.30) rendelethez, 3/4. melléklet a 4/2017. (II.13.) önkormányzati rendelethez</t>
  </si>
  <si>
    <t>18. melléklet a28/2017. (X.30) rendelethez, 5. melléklet a 4/2017. (II.13.) önkormányzati rendelethez</t>
  </si>
  <si>
    <t>15. melléklet a 28/2017. (X.30) rendelethez, 3/2. melléklet a 4/2017. (II.13.) önkormányzati rendelethez</t>
  </si>
  <si>
    <t>14. melléklet a 28/2017. (X.30) rendelethez, 3/1. melléklet a 4/2017. (II.13.) önkormányzati rendelethez</t>
  </si>
  <si>
    <t>3. melléklet a 28/2017. (X.30) rendelethez, 1/2. melléklet a 4/2017.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</si>
</sst>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6"/>
      <color rgb="FF00B05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8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8" fillId="0" borderId="0"/>
    <xf numFmtId="0" fontId="1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3" fillId="0" borderId="0"/>
    <xf numFmtId="0" fontId="20" fillId="0" borderId="0"/>
    <xf numFmtId="0" fontId="96" fillId="0" borderId="0"/>
    <xf numFmtId="0" fontId="19" fillId="0" borderId="0"/>
    <xf numFmtId="0" fontId="18" fillId="0" borderId="0"/>
    <xf numFmtId="0" fontId="68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21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3" fillId="0" borderId="0" xfId="71" applyFont="1" applyAlignment="1">
      <alignment vertical="center"/>
    </xf>
    <xf numFmtId="0" fontId="33" fillId="0" borderId="0" xfId="71" applyFont="1" applyBorder="1" applyAlignment="1">
      <alignment vertical="center"/>
    </xf>
    <xf numFmtId="0" fontId="34" fillId="0" borderId="0" xfId="0" applyFont="1"/>
    <xf numFmtId="0" fontId="37" fillId="0" borderId="0" xfId="0" applyFont="1"/>
    <xf numFmtId="0" fontId="36" fillId="0" borderId="0" xfId="0" applyFont="1"/>
    <xf numFmtId="0" fontId="31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8" fillId="0" borderId="0" xfId="0" applyFont="1" applyAlignment="1">
      <alignment horizontal="right"/>
    </xf>
    <xf numFmtId="0" fontId="47" fillId="0" borderId="0" xfId="0" applyFont="1"/>
    <xf numFmtId="0" fontId="45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0" fillId="0" borderId="0" xfId="0" applyFont="1"/>
    <xf numFmtId="0" fontId="45" fillId="0" borderId="0" xfId="0" applyFont="1" applyBorder="1" applyAlignment="1">
      <alignment horizontal="left" vertical="center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9" fillId="0" borderId="0" xfId="0" applyFont="1" applyFill="1" applyAlignment="1">
      <alignment wrapText="1"/>
    </xf>
    <xf numFmtId="3" fontId="45" fillId="0" borderId="0" xfId="0" applyNumberFormat="1" applyFont="1"/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4" fillId="0" borderId="0" xfId="0" applyFont="1"/>
    <xf numFmtId="3" fontId="20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3" fillId="0" borderId="0" xfId="0" applyNumberFormat="1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 wrapText="1"/>
    </xf>
    <xf numFmtId="166" fontId="29" fillId="0" borderId="1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left" vertical="center" wrapText="1"/>
    </xf>
    <xf numFmtId="49" fontId="49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wrapText="1"/>
    </xf>
    <xf numFmtId="0" fontId="49" fillId="0" borderId="12" xfId="0" applyFont="1" applyBorder="1"/>
    <xf numFmtId="0" fontId="49" fillId="0" borderId="12" xfId="0" applyFont="1" applyBorder="1" applyAlignment="1">
      <alignment horizontal="right"/>
    </xf>
    <xf numFmtId="4" fontId="49" fillId="0" borderId="12" xfId="0" applyNumberFormat="1" applyFont="1" applyBorder="1" applyAlignment="1">
      <alignment horizontal="right"/>
    </xf>
    <xf numFmtId="167" fontId="49" fillId="0" borderId="12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4" xfId="0" applyFont="1" applyBorder="1" applyAlignment="1">
      <alignment wrapText="1"/>
    </xf>
    <xf numFmtId="0" fontId="49" fillId="0" borderId="14" xfId="0" applyFont="1" applyBorder="1"/>
    <xf numFmtId="0" fontId="49" fillId="0" borderId="14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49" fillId="0" borderId="14" xfId="0" applyFont="1" applyBorder="1" applyAlignment="1"/>
    <xf numFmtId="0" fontId="55" fillId="0" borderId="12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15" xfId="0" applyFont="1" applyBorder="1" applyAlignment="1">
      <alignment wrapText="1"/>
    </xf>
    <xf numFmtId="0" fontId="51" fillId="0" borderId="15" xfId="0" applyFont="1" applyBorder="1"/>
    <xf numFmtId="0" fontId="51" fillId="0" borderId="15" xfId="0" applyFont="1" applyBorder="1" applyAlignment="1">
      <alignment horizontal="right"/>
    </xf>
    <xf numFmtId="0" fontId="49" fillId="0" borderId="15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4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wrapText="1"/>
    </xf>
    <xf numFmtId="49" fontId="49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6" fillId="0" borderId="0" xfId="78" applyFont="1"/>
    <xf numFmtId="0" fontId="38" fillId="0" borderId="0" xfId="78" applyFont="1"/>
    <xf numFmtId="3" fontId="29" fillId="0" borderId="0" xfId="78" applyNumberFormat="1" applyFont="1"/>
    <xf numFmtId="3" fontId="36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/>
    <xf numFmtId="3" fontId="25" fillId="0" borderId="0" xfId="78" applyNumberFormat="1" applyFont="1" applyBorder="1"/>
    <xf numFmtId="3" fontId="29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1" fillId="0" borderId="0" xfId="78" applyNumberFormat="1" applyFont="1" applyBorder="1" applyAlignment="1">
      <alignment horizontal="left" vertical="center" wrapText="1"/>
    </xf>
    <xf numFmtId="3" fontId="36" fillId="0" borderId="0" xfId="78" applyNumberFormat="1" applyFont="1" applyFill="1" applyBorder="1" applyAlignment="1">
      <alignment horizontal="left" vertical="center" wrapText="1"/>
    </xf>
    <xf numFmtId="3" fontId="29" fillId="0" borderId="0" xfId="78" applyNumberFormat="1" applyFont="1" applyFill="1" applyBorder="1"/>
    <xf numFmtId="3" fontId="25" fillId="0" borderId="0" xfId="78" applyNumberFormat="1" applyFont="1"/>
    <xf numFmtId="3" fontId="31" fillId="0" borderId="0" xfId="78" applyNumberFormat="1" applyFont="1"/>
    <xf numFmtId="3" fontId="31" fillId="0" borderId="0" xfId="78" applyNumberFormat="1" applyFont="1" applyFill="1" applyBorder="1" applyAlignment="1">
      <alignment horizontal="left" vertical="center" wrapText="1"/>
    </xf>
    <xf numFmtId="0" fontId="29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1" fillId="0" borderId="0" xfId="78" applyFont="1"/>
    <xf numFmtId="3" fontId="29" fillId="0" borderId="0" xfId="0" applyNumberFormat="1" applyFont="1" applyFill="1" applyAlignment="1">
      <alignment wrapText="1"/>
    </xf>
    <xf numFmtId="3" fontId="31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 applyAlignment="1">
      <alignment horizontal="left" vertical="center" wrapText="1"/>
    </xf>
    <xf numFmtId="3" fontId="38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1" fillId="0" borderId="0" xfId="78" applyFont="1"/>
    <xf numFmtId="3" fontId="29" fillId="0" borderId="18" xfId="78" applyNumberFormat="1" applyFont="1" applyBorder="1"/>
    <xf numFmtId="3" fontId="38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9" xfId="0" applyNumberFormat="1" applyFont="1" applyBorder="1"/>
    <xf numFmtId="0" fontId="65" fillId="0" borderId="0" xfId="0" applyFont="1"/>
    <xf numFmtId="0" fontId="36" fillId="0" borderId="0" xfId="0" applyFont="1" applyAlignment="1"/>
    <xf numFmtId="0" fontId="31" fillId="0" borderId="0" xfId="0" applyFont="1" applyAlignment="1">
      <alignment horizontal="center" vertical="center"/>
    </xf>
    <xf numFmtId="0" fontId="67" fillId="0" borderId="0" xfId="0" applyFont="1"/>
    <xf numFmtId="3" fontId="35" fillId="0" borderId="0" xfId="0" applyNumberFormat="1" applyFont="1" applyBorder="1"/>
    <xf numFmtId="3" fontId="65" fillId="0" borderId="0" xfId="0" applyNumberFormat="1" applyFont="1" applyBorder="1"/>
    <xf numFmtId="0" fontId="58" fillId="0" borderId="0" xfId="0" applyFont="1" applyBorder="1" applyAlignment="1">
      <alignment wrapText="1"/>
    </xf>
    <xf numFmtId="3" fontId="36" fillId="0" borderId="0" xfId="78" applyNumberFormat="1" applyFont="1" applyBorder="1"/>
    <xf numFmtId="3" fontId="69" fillId="0" borderId="0" xfId="0" applyNumberFormat="1" applyFont="1" applyBorder="1"/>
    <xf numFmtId="49" fontId="29" fillId="0" borderId="0" xfId="78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51" fillId="0" borderId="20" xfId="0" applyFont="1" applyBorder="1" applyAlignment="1">
      <alignment horizontal="right"/>
    </xf>
    <xf numFmtId="0" fontId="49" fillId="0" borderId="20" xfId="0" applyFont="1" applyBorder="1" applyAlignment="1">
      <alignment horizontal="right"/>
    </xf>
    <xf numFmtId="3" fontId="70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1" xfId="0" applyNumberFormat="1" applyFont="1" applyBorder="1"/>
    <xf numFmtId="3" fontId="58" fillId="0" borderId="22" xfId="0" applyNumberFormat="1" applyFont="1" applyBorder="1"/>
    <xf numFmtId="3" fontId="65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3" fontId="57" fillId="0" borderId="0" xfId="0" applyNumberFormat="1" applyFont="1"/>
    <xf numFmtId="0" fontId="57" fillId="0" borderId="0" xfId="0" applyFont="1" applyAlignment="1">
      <alignment wrapText="1"/>
    </xf>
    <xf numFmtId="3" fontId="32" fillId="0" borderId="0" xfId="0" applyNumberFormat="1" applyFont="1"/>
    <xf numFmtId="0" fontId="72" fillId="0" borderId="0" xfId="0" applyFont="1"/>
    <xf numFmtId="0" fontId="32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3" fontId="62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35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70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5" fillId="0" borderId="15" xfId="0" applyFont="1" applyBorder="1"/>
    <xf numFmtId="3" fontId="25" fillId="0" borderId="15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29" fillId="0" borderId="0" xfId="0" applyNumberFormat="1" applyFont="1" applyBorder="1"/>
    <xf numFmtId="0" fontId="64" fillId="0" borderId="0" xfId="0" applyFont="1" applyBorder="1"/>
    <xf numFmtId="3" fontId="29" fillId="0" borderId="22" xfId="0" applyNumberFormat="1" applyFont="1" applyBorder="1"/>
    <xf numFmtId="3" fontId="35" fillId="0" borderId="22" xfId="0" applyNumberFormat="1" applyFont="1" applyBorder="1"/>
    <xf numFmtId="3" fontId="25" fillId="0" borderId="0" xfId="0" applyNumberFormat="1" applyFont="1" applyBorder="1"/>
    <xf numFmtId="0" fontId="35" fillId="0" borderId="0" xfId="0" applyFont="1"/>
    <xf numFmtId="0" fontId="69" fillId="0" borderId="0" xfId="0" applyFont="1" applyBorder="1"/>
    <xf numFmtId="3" fontId="69" fillId="0" borderId="22" xfId="0" applyNumberFormat="1" applyFont="1" applyBorder="1"/>
    <xf numFmtId="3" fontId="39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9" fillId="0" borderId="0" xfId="0" applyFont="1" applyBorder="1"/>
    <xf numFmtId="3" fontId="58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2" xfId="0" applyFont="1" applyBorder="1"/>
    <xf numFmtId="3" fontId="65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9" fillId="0" borderId="0" xfId="0" applyFont="1"/>
    <xf numFmtId="3" fontId="31" fillId="0" borderId="0" xfId="0" applyNumberFormat="1" applyFont="1"/>
    <xf numFmtId="0" fontId="36" fillId="0" borderId="22" xfId="0" applyFont="1" applyBorder="1"/>
    <xf numFmtId="0" fontId="57" fillId="0" borderId="0" xfId="71" applyFont="1" applyAlignment="1">
      <alignment vertical="center"/>
    </xf>
    <xf numFmtId="3" fontId="76" fillId="0" borderId="33" xfId="71" applyNumberFormat="1" applyFont="1" applyFill="1" applyBorder="1" applyAlignment="1">
      <alignment horizontal="center" vertical="center" wrapText="1"/>
    </xf>
    <xf numFmtId="0" fontId="57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7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80" fillId="0" borderId="0" xfId="0" applyFont="1" applyBorder="1" applyAlignment="1">
      <alignment horizontal="left" vertical="center" wrapText="1"/>
    </xf>
    <xf numFmtId="3" fontId="35" fillId="0" borderId="0" xfId="0" applyNumberFormat="1" applyFont="1"/>
    <xf numFmtId="0" fontId="25" fillId="0" borderId="0" xfId="0" applyFont="1" applyAlignment="1">
      <alignment horizontal="left" wrapText="1"/>
    </xf>
    <xf numFmtId="0" fontId="8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5" xfId="0" applyNumberFormat="1" applyFont="1" applyBorder="1" applyAlignment="1">
      <alignment horizontal="center" vertical="center"/>
    </xf>
    <xf numFmtId="3" fontId="65" fillId="0" borderId="36" xfId="0" applyNumberFormat="1" applyFont="1" applyBorder="1" applyAlignment="1">
      <alignment horizontal="center" vertical="center" wrapText="1"/>
    </xf>
    <xf numFmtId="3" fontId="65" fillId="0" borderId="37" xfId="0" applyNumberFormat="1" applyFont="1" applyBorder="1" applyAlignment="1">
      <alignment horizontal="center" vertical="center" wrapText="1"/>
    </xf>
    <xf numFmtId="0" fontId="58" fillId="0" borderId="23" xfId="0" applyFont="1" applyBorder="1" applyAlignment="1">
      <alignment horizontal="right"/>
    </xf>
    <xf numFmtId="0" fontId="58" fillId="0" borderId="0" xfId="0" applyFont="1" applyFill="1" applyBorder="1"/>
    <xf numFmtId="3" fontId="58" fillId="0" borderId="38" xfId="0" applyNumberFormat="1" applyFont="1" applyFill="1" applyBorder="1"/>
    <xf numFmtId="3" fontId="58" fillId="0" borderId="19" xfId="0" applyNumberFormat="1" applyFont="1" applyFill="1" applyBorder="1"/>
    <xf numFmtId="3" fontId="58" fillId="0" borderId="0" xfId="0" applyNumberFormat="1" applyFont="1" applyFill="1" applyBorder="1"/>
    <xf numFmtId="3" fontId="65" fillId="0" borderId="23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2" xfId="0" applyNumberFormat="1" applyFont="1" applyFill="1" applyBorder="1"/>
    <xf numFmtId="0" fontId="58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 wrapText="1"/>
    </xf>
    <xf numFmtId="0" fontId="82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26" xfId="0" applyFont="1" applyBorder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3" fontId="44" fillId="0" borderId="26" xfId="0" applyNumberFormat="1" applyFont="1" applyBorder="1"/>
    <xf numFmtId="3" fontId="45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8" fillId="0" borderId="0" xfId="78" applyFont="1" applyAlignment="1">
      <alignment horizontal="center" vertical="center"/>
    </xf>
    <xf numFmtId="0" fontId="83" fillId="0" borderId="0" xfId="0" applyFont="1"/>
    <xf numFmtId="165" fontId="49" fillId="0" borderId="12" xfId="0" applyNumberFormat="1" applyFont="1" applyBorder="1" applyAlignment="1">
      <alignment horizontal="right"/>
    </xf>
    <xf numFmtId="0" fontId="49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4" xfId="0" applyFont="1" applyBorder="1" applyAlignment="1">
      <alignment wrapText="1"/>
    </xf>
    <xf numFmtId="0" fontId="49" fillId="0" borderId="24" xfId="0" applyFont="1" applyBorder="1"/>
    <xf numFmtId="0" fontId="51" fillId="0" borderId="24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49" fillId="0" borderId="24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4" xfId="0" applyFont="1" applyBorder="1"/>
    <xf numFmtId="0" fontId="56" fillId="0" borderId="24" xfId="0" applyFont="1" applyBorder="1" applyAlignment="1">
      <alignment horizontal="right"/>
    </xf>
    <xf numFmtId="3" fontId="29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6" fillId="0" borderId="46" xfId="71" applyNumberFormat="1" applyFont="1" applyFill="1" applyBorder="1" applyAlignment="1">
      <alignment horizontal="center" vertical="center" wrapText="1"/>
    </xf>
    <xf numFmtId="3" fontId="76" fillId="0" borderId="47" xfId="71" applyNumberFormat="1" applyFont="1" applyFill="1" applyBorder="1" applyAlignment="1">
      <alignment horizontal="center" vertical="center" wrapText="1"/>
    </xf>
    <xf numFmtId="3" fontId="32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6" fillId="0" borderId="0" xfId="0" applyNumberFormat="1" applyFont="1"/>
    <xf numFmtId="0" fontId="36" fillId="0" borderId="0" xfId="0" applyFont="1" applyBorder="1"/>
    <xf numFmtId="3" fontId="36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2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4" fillId="0" borderId="0" xfId="0" applyNumberFormat="1" applyFont="1"/>
    <xf numFmtId="3" fontId="24" fillId="0" borderId="0" xfId="0" applyNumberFormat="1" applyFont="1"/>
    <xf numFmtId="3" fontId="79" fillId="0" borderId="0" xfId="0" applyNumberFormat="1" applyFont="1" applyAlignment="1"/>
    <xf numFmtId="0" fontId="45" fillId="0" borderId="27" xfId="0" applyFont="1" applyBorder="1"/>
    <xf numFmtId="0" fontId="45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58" fillId="0" borderId="35" xfId="0" applyNumberFormat="1" applyFont="1" applyBorder="1" applyAlignment="1">
      <alignment horizontal="center" vertical="center"/>
    </xf>
    <xf numFmtId="3" fontId="60" fillId="0" borderId="34" xfId="0" applyNumberFormat="1" applyFont="1" applyBorder="1"/>
    <xf numFmtId="0" fontId="84" fillId="0" borderId="0" xfId="0" applyFont="1"/>
    <xf numFmtId="3" fontId="65" fillId="0" borderId="51" xfId="0" applyNumberFormat="1" applyFont="1" applyBorder="1" applyAlignment="1">
      <alignment horizontal="center" vertical="center" wrapText="1"/>
    </xf>
    <xf numFmtId="3" fontId="65" fillId="0" borderId="52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58" fillId="0" borderId="56" xfId="0" applyNumberFormat="1" applyFont="1" applyBorder="1" applyAlignment="1">
      <alignment horizontal="right" vertical="center" wrapText="1"/>
    </xf>
    <xf numFmtId="3" fontId="65" fillId="0" borderId="57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8" xfId="0" applyNumberFormat="1" applyFont="1" applyBorder="1" applyAlignment="1">
      <alignment horizontal="right"/>
    </xf>
    <xf numFmtId="3" fontId="60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9" fillId="0" borderId="0" xfId="78" applyNumberFormat="1" applyFont="1" applyAlignment="1">
      <alignment horizontal="center" vertical="center" wrapText="1"/>
    </xf>
    <xf numFmtId="0" fontId="85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5" fillId="0" borderId="41" xfId="0" applyNumberFormat="1" applyFont="1" applyBorder="1"/>
    <xf numFmtId="3" fontId="28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87" fillId="0" borderId="0" xfId="78" applyNumberFormat="1" applyFont="1"/>
    <xf numFmtId="3" fontId="87" fillId="0" borderId="0" xfId="78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9" fillId="0" borderId="0" xfId="78" applyNumberFormat="1" applyFont="1" applyAlignment="1">
      <alignment wrapText="1"/>
    </xf>
    <xf numFmtId="0" fontId="38" fillId="0" borderId="0" xfId="78" applyFont="1" applyAlignment="1">
      <alignment wrapText="1"/>
    </xf>
    <xf numFmtId="3" fontId="88" fillId="0" borderId="0" xfId="78" applyNumberFormat="1" applyFont="1" applyBorder="1"/>
    <xf numFmtId="0" fontId="0" fillId="0" borderId="61" xfId="0" applyBorder="1" applyAlignment="1"/>
    <xf numFmtId="0" fontId="86" fillId="0" borderId="0" xfId="0" applyFont="1"/>
    <xf numFmtId="0" fontId="90" fillId="0" borderId="0" xfId="0" applyFont="1"/>
    <xf numFmtId="0" fontId="90" fillId="0" borderId="0" xfId="0" applyFont="1" applyAlignment="1">
      <alignment horizontal="right"/>
    </xf>
    <xf numFmtId="3" fontId="92" fillId="0" borderId="28" xfId="0" applyNumberFormat="1" applyFont="1" applyBorder="1" applyAlignment="1">
      <alignment horizontal="center" vertical="center" wrapText="1"/>
    </xf>
    <xf numFmtId="3" fontId="92" fillId="0" borderId="29" xfId="0" applyNumberFormat="1" applyFont="1" applyBorder="1" applyAlignment="1">
      <alignment horizontal="center" vertical="center" wrapText="1"/>
    </xf>
    <xf numFmtId="3" fontId="92" fillId="0" borderId="12" xfId="0" applyNumberFormat="1" applyFont="1" applyBorder="1" applyAlignment="1">
      <alignment horizontal="center" vertical="center" wrapText="1"/>
    </xf>
    <xf numFmtId="0" fontId="93" fillId="0" borderId="0" xfId="0" applyFont="1"/>
    <xf numFmtId="3" fontId="90" fillId="0" borderId="0" xfId="0" applyNumberFormat="1" applyFont="1" applyBorder="1"/>
    <xf numFmtId="0" fontId="90" fillId="0" borderId="0" xfId="0" applyFont="1" applyBorder="1"/>
    <xf numFmtId="0" fontId="91" fillId="0" borderId="0" xfId="0" applyFont="1"/>
    <xf numFmtId="3" fontId="91" fillId="0" borderId="0" xfId="0" applyNumberFormat="1" applyFont="1"/>
    <xf numFmtId="3" fontId="90" fillId="0" borderId="0" xfId="0" applyNumberFormat="1" applyFont="1"/>
    <xf numFmtId="3" fontId="65" fillId="0" borderId="65" xfId="0" applyNumberFormat="1" applyFont="1" applyFill="1" applyBorder="1"/>
    <xf numFmtId="3" fontId="65" fillId="0" borderId="66" xfId="0" applyNumberFormat="1" applyFont="1" applyBorder="1"/>
    <xf numFmtId="3" fontId="40" fillId="0" borderId="0" xfId="0" applyNumberFormat="1" applyFont="1" applyAlignment="1">
      <alignment horizontal="right"/>
    </xf>
    <xf numFmtId="3" fontId="94" fillId="0" borderId="12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0" fillId="0" borderId="0" xfId="0" applyNumberFormat="1" applyFont="1" applyBorder="1"/>
    <xf numFmtId="3" fontId="67" fillId="0" borderId="0" xfId="0" applyNumberFormat="1" applyFont="1" applyBorder="1"/>
    <xf numFmtId="3" fontId="31" fillId="0" borderId="0" xfId="0" applyNumberFormat="1" applyFont="1" applyBorder="1"/>
    <xf numFmtId="3" fontId="31" fillId="0" borderId="1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42" fillId="0" borderId="0" xfId="0" applyNumberFormat="1" applyFont="1"/>
    <xf numFmtId="0" fontId="44" fillId="0" borderId="0" xfId="73" applyFont="1"/>
    <xf numFmtId="0" fontId="20" fillId="0" borderId="0" xfId="73" applyFont="1"/>
    <xf numFmtId="0" fontId="45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3" fillId="0" borderId="0" xfId="77" applyFont="1"/>
    <xf numFmtId="0" fontId="20" fillId="0" borderId="0" xfId="77" applyFont="1"/>
    <xf numFmtId="0" fontId="54" fillId="0" borderId="0" xfId="77" applyFont="1"/>
    <xf numFmtId="0" fontId="20" fillId="0" borderId="0" xfId="77" applyFont="1" applyAlignment="1">
      <alignment horizontal="center"/>
    </xf>
    <xf numFmtId="0" fontId="43" fillId="0" borderId="0" xfId="77" applyFont="1"/>
    <xf numFmtId="0" fontId="84" fillId="0" borderId="0" xfId="77" applyFont="1"/>
    <xf numFmtId="0" fontId="43" fillId="0" borderId="0" xfId="73" applyFont="1"/>
    <xf numFmtId="3" fontId="43" fillId="0" borderId="0" xfId="73" applyNumberFormat="1" applyFont="1"/>
    <xf numFmtId="3" fontId="97" fillId="0" borderId="0" xfId="0" applyNumberFormat="1" applyFont="1"/>
    <xf numFmtId="0" fontId="98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3" fillId="0" borderId="0" xfId="77" applyFont="1"/>
    <xf numFmtId="3" fontId="53" fillId="0" borderId="0" xfId="77" applyNumberFormat="1" applyFont="1"/>
    <xf numFmtId="3" fontId="53" fillId="0" borderId="0" xfId="77" applyNumberFormat="1" applyFont="1" applyAlignment="1">
      <alignment horizontal="right"/>
    </xf>
    <xf numFmtId="0" fontId="53" fillId="0" borderId="0" xfId="77" applyFont="1" applyAlignment="1">
      <alignment horizontal="right"/>
    </xf>
    <xf numFmtId="9" fontId="53" fillId="0" borderId="0" xfId="77" applyNumberFormat="1" applyFont="1" applyAlignment="1">
      <alignment horizontal="right"/>
    </xf>
    <xf numFmtId="3" fontId="54" fillId="0" borderId="0" xfId="77" applyNumberFormat="1" applyFont="1"/>
    <xf numFmtId="0" fontId="54" fillId="0" borderId="0" xfId="77" applyFont="1" applyAlignment="1">
      <alignment horizontal="right"/>
    </xf>
    <xf numFmtId="3" fontId="84" fillId="0" borderId="0" xfId="0" applyNumberFormat="1" applyFont="1"/>
    <xf numFmtId="0" fontId="101" fillId="0" borderId="0" xfId="72" applyFont="1" applyAlignment="1"/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99" fillId="0" borderId="0" xfId="72" applyNumberFormat="1" applyFont="1" applyAlignment="1"/>
    <xf numFmtId="0" fontId="99" fillId="0" borderId="0" xfId="72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Alignment="1"/>
    <xf numFmtId="14" fontId="99" fillId="0" borderId="0" xfId="72" applyNumberFormat="1" applyFont="1" applyAlignment="1">
      <alignment horizontal="right"/>
    </xf>
    <xf numFmtId="0" fontId="99" fillId="0" borderId="0" xfId="72" applyFont="1" applyBorder="1" applyAlignment="1">
      <alignment horizontal="left"/>
    </xf>
    <xf numFmtId="0" fontId="99" fillId="0" borderId="0" xfId="72" applyFont="1" applyBorder="1" applyAlignment="1">
      <alignment horizontal="left" wrapText="1"/>
    </xf>
    <xf numFmtId="14" fontId="99" fillId="0" borderId="0" xfId="72" applyNumberFormat="1" applyFont="1" applyBorder="1" applyAlignment="1">
      <alignment horizontal="right"/>
    </xf>
    <xf numFmtId="0" fontId="99" fillId="0" borderId="0" xfId="72" applyFont="1" applyBorder="1" applyAlignment="1">
      <alignment horizontal="right"/>
    </xf>
    <xf numFmtId="14" fontId="99" fillId="0" borderId="0" xfId="72" applyNumberFormat="1" applyFont="1" applyBorder="1" applyAlignment="1" applyProtection="1">
      <alignment horizontal="left"/>
      <protection locked="0"/>
    </xf>
    <xf numFmtId="0" fontId="99" fillId="0" borderId="0" xfId="72" applyFont="1" applyBorder="1" applyAlignment="1" applyProtection="1">
      <alignment horizontal="left" wrapText="1"/>
      <protection locked="0"/>
    </xf>
    <xf numFmtId="14" fontId="99" fillId="0" borderId="0" xfId="72" applyNumberFormat="1" applyFont="1" applyBorder="1" applyAlignment="1" applyProtection="1">
      <alignment horizontal="right"/>
      <protection locked="0"/>
    </xf>
    <xf numFmtId="1" fontId="99" fillId="0" borderId="0" xfId="72" applyNumberFormat="1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99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9" fillId="0" borderId="0" xfId="72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9" fillId="0" borderId="0" xfId="72" applyFont="1"/>
    <xf numFmtId="0" fontId="99" fillId="0" borderId="0" xfId="72" applyFont="1" applyAlignment="1">
      <alignment horizontal="left" wrapText="1"/>
    </xf>
    <xf numFmtId="0" fontId="99" fillId="0" borderId="0" xfId="72" applyFont="1" applyAlignment="1">
      <alignment wrapText="1"/>
    </xf>
    <xf numFmtId="0" fontId="99" fillId="0" borderId="0" xfId="72" applyFont="1" applyAlignment="1">
      <alignment horizontal="right" wrapText="1"/>
    </xf>
    <xf numFmtId="3" fontId="99" fillId="0" borderId="0" xfId="72" applyNumberFormat="1" applyFont="1" applyAlignment="1">
      <alignment wrapText="1"/>
    </xf>
    <xf numFmtId="0" fontId="99" fillId="0" borderId="0" xfId="72" applyFont="1" applyBorder="1" applyAlignment="1">
      <alignment wrapText="1"/>
    </xf>
    <xf numFmtId="0" fontId="99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9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101" fillId="0" borderId="24" xfId="72" applyNumberFormat="1" applyFont="1" applyBorder="1" applyAlignment="1">
      <alignment horizontal="center"/>
    </xf>
    <xf numFmtId="0" fontId="101" fillId="0" borderId="24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101" fillId="0" borderId="0" xfId="72" applyFont="1" applyAlignment="1">
      <alignment horizontal="left"/>
    </xf>
    <xf numFmtId="0" fontId="101" fillId="0" borderId="0" xfId="72" applyFont="1" applyBorder="1" applyAlignment="1">
      <alignment horizontal="center"/>
    </xf>
    <xf numFmtId="0" fontId="101" fillId="0" borderId="0" xfId="72" applyFont="1" applyBorder="1" applyAlignment="1">
      <alignment horizontal="right"/>
    </xf>
    <xf numFmtId="0" fontId="102" fillId="0" borderId="0" xfId="72" applyFont="1" applyBorder="1" applyAlignment="1">
      <alignment horizontal="left"/>
    </xf>
    <xf numFmtId="3" fontId="101" fillId="0" borderId="24" xfId="72" applyNumberFormat="1" applyFont="1" applyBorder="1" applyAlignment="1"/>
    <xf numFmtId="3" fontId="106" fillId="0" borderId="0" xfId="0" applyNumberFormat="1" applyFont="1"/>
    <xf numFmtId="3" fontId="58" fillId="0" borderId="69" xfId="74" applyNumberFormat="1" applyFont="1" applyBorder="1"/>
    <xf numFmtId="3" fontId="35" fillId="0" borderId="69" xfId="0" applyNumberFormat="1" applyFont="1" applyBorder="1"/>
    <xf numFmtId="3" fontId="29" fillId="0" borderId="69" xfId="0" applyNumberFormat="1" applyFont="1" applyBorder="1"/>
    <xf numFmtId="3" fontId="31" fillId="0" borderId="69" xfId="0" applyNumberFormat="1" applyFont="1" applyBorder="1"/>
    <xf numFmtId="3" fontId="39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9" fillId="0" borderId="71" xfId="0" applyNumberFormat="1" applyFont="1" applyBorder="1"/>
    <xf numFmtId="3" fontId="58" fillId="0" borderId="69" xfId="0" applyNumberFormat="1" applyFont="1" applyBorder="1"/>
    <xf numFmtId="3" fontId="25" fillId="0" borderId="70" xfId="0" applyNumberFormat="1" applyFont="1" applyBorder="1"/>
    <xf numFmtId="3" fontId="29" fillId="0" borderId="72" xfId="0" applyNumberFormat="1" applyFont="1" applyBorder="1"/>
    <xf numFmtId="0" fontId="35" fillId="0" borderId="69" xfId="0" applyFont="1" applyBorder="1"/>
    <xf numFmtId="3" fontId="35" fillId="0" borderId="71" xfId="0" applyNumberFormat="1" applyFont="1" applyBorder="1"/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4" xfId="73" applyFont="1" applyBorder="1" applyAlignment="1">
      <alignment horizontal="center"/>
    </xf>
    <xf numFmtId="0" fontId="54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3" fillId="0" borderId="0" xfId="73" applyFont="1" applyAlignment="1">
      <alignment wrapText="1"/>
    </xf>
    <xf numFmtId="0" fontId="105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9" fillId="0" borderId="0" xfId="73" applyFont="1"/>
    <xf numFmtId="3" fontId="36" fillId="0" borderId="71" xfId="0" applyNumberFormat="1" applyFont="1" applyBorder="1"/>
    <xf numFmtId="3" fontId="59" fillId="0" borderId="69" xfId="74" applyNumberFormat="1" applyFont="1" applyBorder="1"/>
    <xf numFmtId="3" fontId="59" fillId="0" borderId="69" xfId="0" applyNumberFormat="1" applyFont="1" applyBorder="1"/>
    <xf numFmtId="3" fontId="36" fillId="0" borderId="69" xfId="0" applyNumberFormat="1" applyFont="1" applyBorder="1"/>
    <xf numFmtId="3" fontId="40" fillId="0" borderId="69" xfId="0" applyNumberFormat="1" applyFont="1" applyBorder="1"/>
    <xf numFmtId="3" fontId="67" fillId="0" borderId="69" xfId="0" applyNumberFormat="1" applyFont="1" applyBorder="1"/>
    <xf numFmtId="0" fontId="31" fillId="0" borderId="69" xfId="0" applyFont="1" applyBorder="1"/>
    <xf numFmtId="3" fontId="31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2" xfId="0" applyNumberFormat="1" applyFont="1" applyBorder="1" applyAlignment="1">
      <alignment horizontal="right"/>
    </xf>
    <xf numFmtId="3" fontId="29" fillId="0" borderId="0" xfId="78" applyNumberFormat="1" applyFont="1" applyFill="1" applyBorder="1" applyAlignment="1">
      <alignment vertical="center"/>
    </xf>
    <xf numFmtId="3" fontId="29" fillId="0" borderId="0" xfId="78" applyNumberFormat="1" applyFont="1" applyBorder="1" applyAlignment="1">
      <alignment vertical="center"/>
    </xf>
    <xf numFmtId="3" fontId="36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9" fillId="0" borderId="41" xfId="78" applyNumberFormat="1" applyFont="1" applyBorder="1" applyAlignment="1">
      <alignment horizontal="left" vertical="center" wrapText="1"/>
    </xf>
    <xf numFmtId="49" fontId="29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9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9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6" fillId="0" borderId="41" xfId="78" applyNumberFormat="1" applyFont="1" applyBorder="1"/>
    <xf numFmtId="3" fontId="25" fillId="0" borderId="76" xfId="78" applyNumberFormat="1" applyFont="1" applyBorder="1"/>
    <xf numFmtId="3" fontId="45" fillId="0" borderId="24" xfId="0" applyNumberFormat="1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3" fontId="54" fillId="0" borderId="24" xfId="0" applyNumberFormat="1" applyFont="1" applyBorder="1"/>
    <xf numFmtId="0" fontId="54" fillId="0" borderId="24" xfId="0" applyFont="1" applyBorder="1"/>
    <xf numFmtId="3" fontId="59" fillId="0" borderId="19" xfId="0" applyNumberFormat="1" applyFont="1" applyBorder="1"/>
    <xf numFmtId="3" fontId="59" fillId="0" borderId="19" xfId="0" applyNumberFormat="1" applyFont="1" applyFill="1" applyBorder="1"/>
    <xf numFmtId="3" fontId="59" fillId="0" borderId="22" xfId="0" applyNumberFormat="1" applyFont="1" applyBorder="1"/>
    <xf numFmtId="3" fontId="59" fillId="0" borderId="0" xfId="0" applyNumberFormat="1" applyFont="1" applyFill="1" applyBorder="1"/>
    <xf numFmtId="3" fontId="60" fillId="0" borderId="75" xfId="0" applyNumberFormat="1" applyFont="1" applyBorder="1"/>
    <xf numFmtId="3" fontId="65" fillId="0" borderId="78" xfId="0" applyNumberFormat="1" applyFont="1" applyBorder="1" applyAlignment="1">
      <alignment horizontal="right" vertical="center" wrapText="1"/>
    </xf>
    <xf numFmtId="3" fontId="65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3" fontId="31" fillId="0" borderId="80" xfId="0" applyNumberFormat="1" applyFont="1" applyBorder="1"/>
    <xf numFmtId="0" fontId="25" fillId="0" borderId="27" xfId="0" applyFont="1" applyBorder="1"/>
    <xf numFmtId="3" fontId="31" fillId="0" borderId="73" xfId="0" applyNumberFormat="1" applyFont="1" applyBorder="1"/>
    <xf numFmtId="3" fontId="31" fillId="0" borderId="18" xfId="0" applyNumberFormat="1" applyFont="1" applyBorder="1"/>
    <xf numFmtId="3" fontId="65" fillId="0" borderId="61" xfId="0" applyNumberFormat="1" applyFont="1" applyBorder="1"/>
    <xf numFmtId="0" fontId="49" fillId="0" borderId="28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3" fillId="0" borderId="0" xfId="0" applyFont="1" applyBorder="1"/>
    <xf numFmtId="167" fontId="49" fillId="24" borderId="12" xfId="0" applyNumberFormat="1" applyFont="1" applyFill="1" applyBorder="1" applyAlignment="1">
      <alignment horizontal="right" vertical="center"/>
    </xf>
    <xf numFmtId="0" fontId="31" fillId="0" borderId="22" xfId="0" applyFont="1" applyBorder="1"/>
    <xf numFmtId="0" fontId="25" fillId="0" borderId="22" xfId="0" applyFont="1" applyBorder="1"/>
    <xf numFmtId="3" fontId="31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2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9" xfId="0" applyFont="1" applyFill="1" applyBorder="1" applyAlignment="1"/>
    <xf numFmtId="3" fontId="58" fillId="0" borderId="81" xfId="0" applyNumberFormat="1" applyFont="1" applyFill="1" applyBorder="1"/>
    <xf numFmtId="3" fontId="58" fillId="0" borderId="69" xfId="0" applyNumberFormat="1" applyFont="1" applyBorder="1" applyAlignment="1">
      <alignment horizontal="center" vertical="center" wrapText="1"/>
    </xf>
    <xf numFmtId="3" fontId="65" fillId="0" borderId="69" xfId="0" applyNumberFormat="1" applyFont="1" applyBorder="1"/>
    <xf numFmtId="3" fontId="60" fillId="0" borderId="69" xfId="0" applyNumberFormat="1" applyFont="1" applyBorder="1"/>
    <xf numFmtId="3" fontId="65" fillId="0" borderId="82" xfId="0" applyNumberFormat="1" applyFont="1" applyFill="1" applyBorder="1"/>
    <xf numFmtId="3" fontId="65" fillId="0" borderId="58" xfId="0" applyNumberFormat="1" applyFont="1" applyBorder="1" applyAlignment="1">
      <alignment horizontal="right" vertical="center" wrapText="1"/>
    </xf>
    <xf numFmtId="0" fontId="65" fillId="0" borderId="83" xfId="0" applyFont="1" applyFill="1" applyBorder="1" applyAlignment="1"/>
    <xf numFmtId="3" fontId="65" fillId="0" borderId="50" xfId="0" applyNumberFormat="1" applyFont="1" applyFill="1" applyBorder="1"/>
    <xf numFmtId="3" fontId="65" fillId="0" borderId="65" xfId="0" applyNumberFormat="1" applyFont="1" applyBorder="1"/>
    <xf numFmtId="3" fontId="65" fillId="0" borderId="84" xfId="0" applyNumberFormat="1" applyFont="1" applyBorder="1"/>
    <xf numFmtId="3" fontId="65" fillId="0" borderId="85" xfId="0" applyNumberFormat="1" applyFont="1" applyBorder="1"/>
    <xf numFmtId="3" fontId="65" fillId="0" borderId="69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90" fillId="0" borderId="0" xfId="0" applyFont="1" applyAlignment="1">
      <alignment horizontal="center"/>
    </xf>
    <xf numFmtId="3" fontId="65" fillId="0" borderId="86" xfId="0" applyNumberFormat="1" applyFont="1" applyBorder="1" applyAlignment="1">
      <alignment horizontal="center"/>
    </xf>
    <xf numFmtId="0" fontId="39" fillId="0" borderId="22" xfId="0" applyFont="1" applyBorder="1"/>
    <xf numFmtId="3" fontId="93" fillId="0" borderId="0" xfId="0" applyNumberFormat="1" applyFont="1"/>
    <xf numFmtId="3" fontId="93" fillId="0" borderId="22" xfId="0" applyNumberFormat="1" applyFont="1" applyBorder="1"/>
    <xf numFmtId="0" fontId="58" fillId="0" borderId="22" xfId="0" applyFont="1" applyBorder="1"/>
    <xf numFmtId="0" fontId="93" fillId="0" borderId="0" xfId="0" applyFont="1" applyBorder="1"/>
    <xf numFmtId="165" fontId="49" fillId="0" borderId="28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0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60" fillId="0" borderId="65" xfId="0" applyNumberFormat="1" applyFont="1" applyFill="1" applyBorder="1"/>
    <xf numFmtId="3" fontId="60" fillId="0" borderId="84" xfId="0" applyNumberFormat="1" applyFont="1" applyFill="1" applyBorder="1"/>
    <xf numFmtId="3" fontId="81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3" fillId="0" borderId="24" xfId="71" applyFont="1" applyBorder="1" applyAlignment="1">
      <alignment vertical="center"/>
    </xf>
    <xf numFmtId="4" fontId="32" fillId="0" borderId="24" xfId="71" applyNumberFormat="1" applyFont="1" applyBorder="1" applyAlignment="1">
      <alignment vertical="center"/>
    </xf>
    <xf numFmtId="3" fontId="32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6" fillId="0" borderId="24" xfId="71" applyNumberFormat="1" applyFont="1" applyFill="1" applyBorder="1" applyAlignment="1">
      <alignment vertical="center" wrapText="1"/>
    </xf>
    <xf numFmtId="0" fontId="32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2" fillId="0" borderId="0" xfId="0" applyFont="1"/>
    <xf numFmtId="0" fontId="1" fillId="0" borderId="0" xfId="70" applyAlignment="1">
      <alignment vertical="center"/>
    </xf>
    <xf numFmtId="0" fontId="30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3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8" xfId="0" applyFont="1" applyBorder="1"/>
    <xf numFmtId="0" fontId="58" fillId="0" borderId="69" xfId="0" applyFont="1" applyBorder="1"/>
    <xf numFmtId="0" fontId="58" fillId="0" borderId="72" xfId="0" applyFont="1" applyBorder="1"/>
    <xf numFmtId="3" fontId="65" fillId="0" borderId="72" xfId="0" applyNumberFormat="1" applyFont="1" applyBorder="1" applyAlignment="1">
      <alignment horizontal="right"/>
    </xf>
    <xf numFmtId="0" fontId="112" fillId="0" borderId="0" xfId="0" applyFont="1" applyAlignment="1">
      <alignment horizontal="left"/>
    </xf>
    <xf numFmtId="3" fontId="112" fillId="0" borderId="0" xfId="0" applyNumberFormat="1" applyFont="1"/>
    <xf numFmtId="3" fontId="113" fillId="0" borderId="0" xfId="0" applyNumberFormat="1" applyFont="1"/>
    <xf numFmtId="0" fontId="112" fillId="0" borderId="0" xfId="0" applyFont="1" applyBorder="1"/>
    <xf numFmtId="0" fontId="113" fillId="0" borderId="0" xfId="0" applyFont="1"/>
    <xf numFmtId="3" fontId="93" fillId="0" borderId="0" xfId="0" applyNumberFormat="1" applyFont="1" applyAlignment="1">
      <alignment wrapText="1"/>
    </xf>
    <xf numFmtId="0" fontId="29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10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8" fillId="0" borderId="0" xfId="0" applyFont="1" applyFill="1"/>
    <xf numFmtId="0" fontId="90" fillId="0" borderId="0" xfId="0" applyFont="1" applyFill="1"/>
    <xf numFmtId="0" fontId="86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9" fillId="0" borderId="19" xfId="0" applyNumberFormat="1" applyFont="1" applyBorder="1" applyAlignment="1">
      <alignment horizontal="righ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/>
    <xf numFmtId="0" fontId="55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3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3" fillId="0" borderId="22" xfId="71" applyFont="1" applyBorder="1" applyAlignment="1">
      <alignment vertical="center" wrapText="1"/>
    </xf>
    <xf numFmtId="0" fontId="107" fillId="0" borderId="22" xfId="71" applyFont="1" applyBorder="1" applyAlignment="1">
      <alignment horizontal="center" vertical="center" wrapText="1"/>
    </xf>
    <xf numFmtId="0" fontId="34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8" fillId="0" borderId="22" xfId="71" applyFont="1" applyBorder="1" applyAlignment="1">
      <alignment vertical="center" wrapText="1"/>
    </xf>
    <xf numFmtId="0" fontId="34" fillId="0" borderId="22" xfId="0" applyFont="1" applyBorder="1"/>
    <xf numFmtId="0" fontId="41" fillId="0" borderId="22" xfId="0" applyFont="1" applyBorder="1"/>
    <xf numFmtId="0" fontId="38" fillId="0" borderId="22" xfId="78" applyFont="1" applyBorder="1"/>
    <xf numFmtId="0" fontId="29" fillId="0" borderId="22" xfId="78" applyFont="1" applyBorder="1"/>
    <xf numFmtId="0" fontId="61" fillId="0" borderId="22" xfId="78" applyFont="1" applyBorder="1"/>
    <xf numFmtId="0" fontId="36" fillId="0" borderId="22" xfId="78" applyFont="1" applyBorder="1"/>
    <xf numFmtId="0" fontId="62" fillId="0" borderId="22" xfId="78" applyFont="1" applyBorder="1"/>
    <xf numFmtId="0" fontId="31" fillId="0" borderId="22" xfId="78" applyFont="1" applyBorder="1"/>
    <xf numFmtId="3" fontId="36" fillId="0" borderId="22" xfId="0" applyNumberFormat="1" applyFont="1" applyBorder="1"/>
    <xf numFmtId="0" fontId="36" fillId="0" borderId="22" xfId="0" applyFont="1" applyBorder="1" applyAlignment="1"/>
    <xf numFmtId="0" fontId="31" fillId="0" borderId="22" xfId="0" applyFont="1" applyBorder="1" applyAlignment="1">
      <alignment horizontal="center" vertical="center"/>
    </xf>
    <xf numFmtId="0" fontId="67" fillId="0" borderId="22" xfId="0" applyFont="1" applyBorder="1"/>
    <xf numFmtId="0" fontId="23" fillId="0" borderId="22" xfId="0" applyFont="1" applyBorder="1"/>
    <xf numFmtId="0" fontId="84" fillId="0" borderId="22" xfId="0" applyFont="1" applyBorder="1"/>
    <xf numFmtId="0" fontId="20" fillId="0" borderId="22" xfId="0" applyFont="1" applyBorder="1"/>
    <xf numFmtId="0" fontId="54" fillId="0" borderId="22" xfId="0" applyFont="1" applyBorder="1"/>
    <xf numFmtId="0" fontId="31" fillId="0" borderId="22" xfId="0" applyFont="1" applyBorder="1" applyAlignment="1">
      <alignment horizontal="center" vertical="center" wrapText="1"/>
    </xf>
    <xf numFmtId="0" fontId="36" fillId="0" borderId="0" xfId="78" applyFont="1" applyBorder="1"/>
    <xf numFmtId="3" fontId="38" fillId="0" borderId="90" xfId="78" applyNumberFormat="1" applyFont="1" applyBorder="1"/>
    <xf numFmtId="3" fontId="38" fillId="0" borderId="0" xfId="78" applyNumberFormat="1" applyFont="1" applyBorder="1"/>
    <xf numFmtId="3" fontId="61" fillId="0" borderId="0" xfId="78" applyNumberFormat="1" applyFont="1" applyBorder="1"/>
    <xf numFmtId="3" fontId="85" fillId="0" borderId="0" xfId="78" applyNumberFormat="1" applyFont="1" applyBorder="1"/>
    <xf numFmtId="3" fontId="44" fillId="0" borderId="44" xfId="0" applyNumberFormat="1" applyFont="1" applyBorder="1"/>
    <xf numFmtId="3" fontId="43" fillId="0" borderId="93" xfId="0" applyNumberFormat="1" applyFont="1" applyBorder="1"/>
    <xf numFmtId="0" fontId="43" fillId="0" borderId="94" xfId="0" applyFont="1" applyBorder="1"/>
    <xf numFmtId="3" fontId="44" fillId="0" borderId="22" xfId="0" applyNumberFormat="1" applyFont="1" applyBorder="1"/>
    <xf numFmtId="3" fontId="43" fillId="0" borderId="0" xfId="0" applyNumberFormat="1" applyFont="1" applyBorder="1"/>
    <xf numFmtId="0" fontId="43" fillId="0" borderId="69" xfId="0" applyFont="1" applyBorder="1"/>
    <xf numFmtId="3" fontId="44" fillId="0" borderId="0" xfId="0" applyNumberFormat="1" applyFont="1" applyBorder="1"/>
    <xf numFmtId="3" fontId="54" fillId="0" borderId="69" xfId="0" applyNumberFormat="1" applyFont="1" applyBorder="1"/>
    <xf numFmtId="3" fontId="20" fillId="0" borderId="0" xfId="0" applyNumberFormat="1" applyFont="1" applyBorder="1"/>
    <xf numFmtId="3" fontId="45" fillId="0" borderId="22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54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1" fillId="0" borderId="0" xfId="78" applyFont="1" applyBorder="1"/>
    <xf numFmtId="0" fontId="39" fillId="0" borderId="0" xfId="0" applyFont="1" applyBorder="1"/>
    <xf numFmtId="0" fontId="49" fillId="0" borderId="0" xfId="0" applyNumberFormat="1" applyFont="1" applyBorder="1" applyAlignment="1">
      <alignment horizontal="right"/>
    </xf>
    <xf numFmtId="3" fontId="32" fillId="0" borderId="26" xfId="0" applyNumberFormat="1" applyFont="1" applyBorder="1"/>
    <xf numFmtId="3" fontId="60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49" fillId="0" borderId="20" xfId="0" applyFont="1" applyBorder="1"/>
    <xf numFmtId="0" fontId="55" fillId="0" borderId="20" xfId="0" applyFont="1" applyBorder="1" applyAlignment="1">
      <alignment horizontal="right"/>
    </xf>
    <xf numFmtId="4" fontId="49" fillId="0" borderId="20" xfId="0" applyNumberFormat="1" applyFont="1" applyBorder="1" applyAlignment="1">
      <alignment horizontal="right"/>
    </xf>
    <xf numFmtId="1" fontId="49" fillId="0" borderId="24" xfId="0" applyNumberFormat="1" applyFont="1" applyBorder="1" applyAlignment="1">
      <alignment horizontal="right"/>
    </xf>
    <xf numFmtId="0" fontId="56" fillId="0" borderId="15" xfId="0" applyFont="1" applyBorder="1" applyAlignment="1">
      <alignment wrapText="1"/>
    </xf>
    <xf numFmtId="3" fontId="121" fillId="0" borderId="24" xfId="71" applyNumberFormat="1" applyFont="1" applyBorder="1" applyAlignment="1">
      <alignment vertical="center"/>
    </xf>
    <xf numFmtId="0" fontId="122" fillId="0" borderId="22" xfId="0" applyFont="1" applyBorder="1"/>
    <xf numFmtId="3" fontId="123" fillId="0" borderId="0" xfId="0" applyNumberFormat="1" applyFont="1"/>
    <xf numFmtId="3" fontId="65" fillId="0" borderId="72" xfId="0" applyNumberFormat="1" applyFont="1" applyBorder="1"/>
    <xf numFmtId="0" fontId="55" fillId="0" borderId="0" xfId="72" applyFont="1" applyAlignment="1">
      <alignment horizontal="center"/>
    </xf>
    <xf numFmtId="0" fontId="49" fillId="0" borderId="24" xfId="72" applyFont="1" applyBorder="1" applyAlignment="1">
      <alignment horizontal="center"/>
    </xf>
    <xf numFmtId="0" fontId="49" fillId="0" borderId="24" xfId="72" applyFont="1" applyFill="1" applyBorder="1" applyAlignment="1">
      <alignment horizontal="center"/>
    </xf>
    <xf numFmtId="49" fontId="101" fillId="0" borderId="24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4" fillId="0" borderId="0" xfId="0" applyNumberFormat="1" applyFont="1" applyFill="1"/>
    <xf numFmtId="14" fontId="99" fillId="0" borderId="0" xfId="72" applyNumberFormat="1" applyFont="1" applyFill="1" applyBorder="1" applyAlignment="1" applyProtection="1">
      <alignment horizontal="left"/>
      <protection locked="0"/>
    </xf>
    <xf numFmtId="3" fontId="125" fillId="0" borderId="0" xfId="72" applyNumberFormat="1" applyFont="1" applyFill="1" applyBorder="1" applyAlignment="1" applyProtection="1">
      <alignment wrapText="1"/>
      <protection locked="0"/>
    </xf>
    <xf numFmtId="3" fontId="99" fillId="0" borderId="0" xfId="0" applyNumberFormat="1" applyFont="1" applyFill="1"/>
    <xf numFmtId="3" fontId="99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6" fillId="0" borderId="0" xfId="0" applyFont="1" applyFill="1"/>
    <xf numFmtId="0" fontId="127" fillId="0" borderId="24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99" fillId="0" borderId="0" xfId="72" applyNumberFormat="1" applyFont="1" applyFill="1" applyBorder="1" applyAlignment="1" applyProtection="1">
      <alignment horizontal="right"/>
      <protection locked="0"/>
    </xf>
    <xf numFmtId="0" fontId="124" fillId="0" borderId="0" xfId="0" applyFont="1" applyFill="1" applyAlignment="1">
      <alignment horizontal="center"/>
    </xf>
    <xf numFmtId="3" fontId="127" fillId="0" borderId="0" xfId="0" applyNumberFormat="1" applyFont="1"/>
    <xf numFmtId="0" fontId="0" fillId="0" borderId="0" xfId="0" applyAlignment="1"/>
    <xf numFmtId="0" fontId="32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8" fillId="0" borderId="24" xfId="71" applyNumberFormat="1" applyFont="1" applyFill="1" applyBorder="1" applyAlignment="1">
      <alignment vertical="center"/>
    </xf>
    <xf numFmtId="0" fontId="121" fillId="0" borderId="24" xfId="71" applyFont="1" applyBorder="1" applyAlignment="1">
      <alignment vertical="center"/>
    </xf>
    <xf numFmtId="4" fontId="121" fillId="0" borderId="24" xfId="71" applyNumberFormat="1" applyFont="1" applyBorder="1" applyAlignment="1">
      <alignment vertical="center"/>
    </xf>
    <xf numFmtId="3" fontId="33" fillId="0" borderId="0" xfId="71" applyNumberFormat="1" applyFont="1" applyAlignment="1">
      <alignment vertical="center"/>
    </xf>
    <xf numFmtId="0" fontId="111" fillId="0" borderId="24" xfId="71" applyFont="1" applyBorder="1" applyAlignment="1">
      <alignment vertical="center"/>
    </xf>
    <xf numFmtId="167" fontId="32" fillId="0" borderId="24" xfId="71" applyNumberFormat="1" applyFont="1" applyBorder="1" applyAlignment="1">
      <alignment vertical="center"/>
    </xf>
    <xf numFmtId="4" fontId="122" fillId="0" borderId="24" xfId="71" applyNumberFormat="1" applyFont="1" applyFill="1" applyBorder="1" applyAlignment="1">
      <alignment vertical="center"/>
    </xf>
    <xf numFmtId="3" fontId="129" fillId="0" borderId="24" xfId="71" applyNumberFormat="1" applyFont="1" applyFill="1" applyBorder="1" applyAlignment="1">
      <alignment vertical="center" wrapText="1"/>
    </xf>
    <xf numFmtId="0" fontId="121" fillId="0" borderId="24" xfId="71" applyFont="1" applyBorder="1" applyAlignment="1">
      <alignment vertical="center" wrapText="1"/>
    </xf>
    <xf numFmtId="3" fontId="36" fillId="0" borderId="24" xfId="71" applyNumberFormat="1" applyFont="1" applyFill="1" applyBorder="1" applyAlignment="1">
      <alignment vertical="center" shrinkToFit="1"/>
    </xf>
    <xf numFmtId="164" fontId="122" fillId="0" borderId="24" xfId="71" applyNumberFormat="1" applyFont="1" applyFill="1" applyBorder="1" applyAlignment="1">
      <alignment vertical="center"/>
    </xf>
    <xf numFmtId="165" fontId="122" fillId="0" borderId="24" xfId="71" applyNumberFormat="1" applyFont="1" applyFill="1" applyBorder="1" applyAlignment="1">
      <alignment vertical="center"/>
    </xf>
    <xf numFmtId="168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/>
    </xf>
    <xf numFmtId="3" fontId="122" fillId="0" borderId="24" xfId="71" applyNumberFormat="1" applyFont="1" applyBorder="1" applyAlignment="1">
      <alignment horizontal="right" vertical="center"/>
    </xf>
    <xf numFmtId="165" fontId="122" fillId="0" borderId="24" xfId="71" applyNumberFormat="1" applyFont="1" applyBorder="1" applyAlignment="1">
      <alignment vertical="center"/>
    </xf>
    <xf numFmtId="0" fontId="130" fillId="0" borderId="24" xfId="75" applyFont="1" applyBorder="1" applyAlignment="1">
      <alignment vertical="center"/>
    </xf>
    <xf numFmtId="3" fontId="122" fillId="0" borderId="24" xfId="75" applyNumberFormat="1" applyFont="1" applyBorder="1" applyAlignment="1">
      <alignment vertical="center"/>
    </xf>
    <xf numFmtId="0" fontId="111" fillId="0" borderId="24" xfId="71" applyFont="1" applyBorder="1" applyAlignment="1">
      <alignment vertical="center" wrapText="1"/>
    </xf>
    <xf numFmtId="9" fontId="122" fillId="0" borderId="24" xfId="71" applyNumberFormat="1" applyFont="1" applyFill="1" applyBorder="1" applyAlignment="1">
      <alignment vertical="center"/>
    </xf>
    <xf numFmtId="0" fontId="121" fillId="0" borderId="25" xfId="71" applyFont="1" applyBorder="1" applyAlignment="1">
      <alignment vertical="center" wrapText="1"/>
    </xf>
    <xf numFmtId="3" fontId="122" fillId="0" borderId="25" xfId="71" applyNumberFormat="1" applyFont="1" applyBorder="1" applyAlignment="1">
      <alignment vertical="center"/>
    </xf>
    <xf numFmtId="3" fontId="122" fillId="0" borderId="25" xfId="71" applyNumberFormat="1" applyFont="1" applyFill="1" applyBorder="1" applyAlignment="1">
      <alignment vertical="center"/>
    </xf>
    <xf numFmtId="165" fontId="122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/>
    </xf>
    <xf numFmtId="4" fontId="121" fillId="0" borderId="25" xfId="71" applyNumberFormat="1" applyFont="1" applyBorder="1" applyAlignment="1">
      <alignment vertical="center"/>
    </xf>
    <xf numFmtId="0" fontId="111" fillId="0" borderId="98" xfId="71" applyFont="1" applyFill="1" applyBorder="1" applyAlignment="1">
      <alignment vertical="center"/>
    </xf>
    <xf numFmtId="3" fontId="131" fillId="0" borderId="65" xfId="71" applyNumberFormat="1" applyFont="1" applyFill="1" applyBorder="1" applyAlignment="1">
      <alignment vertical="center"/>
    </xf>
    <xf numFmtId="3" fontId="131" fillId="0" borderId="84" xfId="71" applyNumberFormat="1" applyFont="1" applyFill="1" applyBorder="1" applyAlignment="1">
      <alignment vertical="center"/>
    </xf>
    <xf numFmtId="3" fontId="131" fillId="0" borderId="34" xfId="71" applyNumberFormat="1" applyFont="1" applyFill="1" applyBorder="1" applyAlignment="1">
      <alignment vertical="center"/>
    </xf>
    <xf numFmtId="3" fontId="33" fillId="0" borderId="0" xfId="71" applyNumberFormat="1" applyFont="1" applyBorder="1" applyAlignment="1">
      <alignment vertical="center"/>
    </xf>
    <xf numFmtId="0" fontId="49" fillId="0" borderId="99" xfId="0" applyFont="1" applyBorder="1"/>
    <xf numFmtId="0" fontId="51" fillId="0" borderId="99" xfId="0" applyFont="1" applyBorder="1" applyAlignment="1">
      <alignment horizontal="right"/>
    </xf>
    <xf numFmtId="0" fontId="55" fillId="0" borderId="99" xfId="0" applyFont="1" applyBorder="1" applyAlignment="1">
      <alignment horizontal="right"/>
    </xf>
    <xf numFmtId="0" fontId="49" fillId="0" borderId="99" xfId="0" applyFont="1" applyBorder="1" applyAlignment="1">
      <alignment horizontal="right"/>
    </xf>
    <xf numFmtId="4" fontId="49" fillId="0" borderId="99" xfId="0" applyNumberFormat="1" applyFont="1" applyBorder="1" applyAlignment="1">
      <alignment horizontal="right"/>
    </xf>
    <xf numFmtId="0" fontId="49" fillId="0" borderId="45" xfId="0" applyFont="1" applyBorder="1" applyAlignment="1">
      <alignment shrinkToFit="1"/>
    </xf>
    <xf numFmtId="0" fontId="55" fillId="0" borderId="96" xfId="0" applyFont="1" applyBorder="1"/>
    <xf numFmtId="0" fontId="56" fillId="0" borderId="96" xfId="0" applyFont="1" applyBorder="1" applyAlignment="1">
      <alignment horizontal="right"/>
    </xf>
    <xf numFmtId="0" fontId="55" fillId="0" borderId="96" xfId="0" applyFont="1" applyBorder="1" applyAlignment="1">
      <alignment horizontal="right"/>
    </xf>
    <xf numFmtId="0" fontId="49" fillId="0" borderId="96" xfId="0" applyFont="1" applyBorder="1" applyAlignment="1">
      <alignment horizontal="right"/>
    </xf>
    <xf numFmtId="0" fontId="49" fillId="0" borderId="97" xfId="0" applyFont="1" applyFill="1" applyBorder="1" applyAlignment="1">
      <alignment horizontal="right"/>
    </xf>
    <xf numFmtId="14" fontId="99" fillId="0" borderId="0" xfId="72" applyNumberFormat="1" applyFont="1" applyFill="1" applyBorder="1" applyAlignment="1" applyProtection="1">
      <alignment horizontal="left" wrapText="1"/>
      <protection locked="0"/>
    </xf>
    <xf numFmtId="0" fontId="111" fillId="0" borderId="25" xfId="71" applyFont="1" applyBorder="1" applyAlignment="1">
      <alignment vertical="center" wrapText="1"/>
    </xf>
    <xf numFmtId="0" fontId="32" fillId="0" borderId="25" xfId="71" applyFont="1" applyBorder="1" applyAlignment="1">
      <alignment vertical="center" wrapText="1"/>
    </xf>
    <xf numFmtId="3" fontId="32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5" fillId="0" borderId="0" xfId="0" applyNumberFormat="1" applyFont="1" applyBorder="1" applyAlignment="1"/>
    <xf numFmtId="3" fontId="29" fillId="25" borderId="0" xfId="0" applyNumberFormat="1" applyFont="1" applyFill="1" applyBorder="1"/>
    <xf numFmtId="3" fontId="123" fillId="0" borderId="0" xfId="78" applyNumberFormat="1" applyFont="1" applyBorder="1"/>
    <xf numFmtId="167" fontId="49" fillId="0" borderId="24" xfId="0" applyNumberFormat="1" applyFont="1" applyBorder="1" applyAlignment="1">
      <alignment horizontal="right"/>
    </xf>
    <xf numFmtId="167" fontId="49" fillId="0" borderId="12" xfId="0" applyNumberFormat="1" applyFont="1" applyBorder="1"/>
    <xf numFmtId="3" fontId="123" fillId="0" borderId="0" xfId="78" applyNumberFormat="1" applyFont="1" applyBorder="1" applyAlignment="1">
      <alignment horizontal="left" vertical="center" wrapText="1"/>
    </xf>
    <xf numFmtId="0" fontId="29" fillId="0" borderId="0" xfId="78" applyFont="1" applyAlignment="1">
      <alignment vertical="center" wrapText="1"/>
    </xf>
    <xf numFmtId="0" fontId="120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4" fillId="0" borderId="0" xfId="73" applyNumberFormat="1" applyFont="1"/>
    <xf numFmtId="0" fontId="135" fillId="0" borderId="24" xfId="71" applyFont="1" applyBorder="1" applyAlignment="1">
      <alignment vertical="center"/>
    </xf>
    <xf numFmtId="2" fontId="122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36" fillId="0" borderId="24" xfId="71" applyFont="1" applyBorder="1" applyAlignment="1">
      <alignment vertical="center"/>
    </xf>
    <xf numFmtId="3" fontId="122" fillId="0" borderId="24" xfId="71" applyNumberFormat="1" applyFont="1" applyFill="1" applyBorder="1" applyAlignment="1">
      <alignment vertical="center" shrinkToFit="1"/>
    </xf>
    <xf numFmtId="165" fontId="32" fillId="0" borderId="24" xfId="71" applyNumberFormat="1" applyFont="1" applyBorder="1" applyAlignment="1">
      <alignment vertical="center"/>
    </xf>
    <xf numFmtId="3" fontId="129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165" fontId="23" fillId="0" borderId="24" xfId="71" applyNumberFormat="1" applyFont="1" applyBorder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 wrapText="1"/>
    </xf>
    <xf numFmtId="0" fontId="116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2" fillId="0" borderId="25" xfId="71" applyNumberFormat="1" applyFont="1" applyBorder="1" applyAlignment="1">
      <alignment vertical="center" wrapText="1"/>
    </xf>
    <xf numFmtId="4" fontId="32" fillId="0" borderId="25" xfId="71" applyNumberFormat="1" applyFont="1" applyBorder="1" applyAlignment="1">
      <alignment vertical="center"/>
    </xf>
    <xf numFmtId="3" fontId="32" fillId="0" borderId="25" xfId="71" applyNumberFormat="1" applyFont="1" applyBorder="1" applyAlignment="1">
      <alignment vertical="center"/>
    </xf>
    <xf numFmtId="0" fontId="108" fillId="0" borderId="0" xfId="71" applyFont="1" applyBorder="1" applyAlignment="1">
      <alignment vertical="center"/>
    </xf>
    <xf numFmtId="0" fontId="137" fillId="0" borderId="0" xfId="71" applyFont="1" applyAlignment="1">
      <alignment vertical="center"/>
    </xf>
    <xf numFmtId="0" fontId="44" fillId="0" borderId="0" xfId="71" applyFont="1" applyAlignment="1">
      <alignment vertical="center"/>
    </xf>
    <xf numFmtId="3" fontId="44" fillId="0" borderId="0" xfId="71" applyNumberFormat="1" applyFont="1" applyAlignment="1">
      <alignment vertical="center"/>
    </xf>
    <xf numFmtId="0" fontId="117" fillId="0" borderId="0" xfId="71" applyFont="1" applyAlignment="1">
      <alignment vertical="center"/>
    </xf>
    <xf numFmtId="0" fontId="37" fillId="0" borderId="0" xfId="0" applyFont="1" applyBorder="1"/>
    <xf numFmtId="0" fontId="54" fillId="0" borderId="24" xfId="77" applyFont="1" applyBorder="1" applyAlignment="1">
      <alignment horizontal="center"/>
    </xf>
    <xf numFmtId="0" fontId="36" fillId="0" borderId="0" xfId="77" applyFont="1" applyAlignment="1"/>
    <xf numFmtId="0" fontId="44" fillId="0" borderId="0" xfId="0" applyFont="1" applyBorder="1" applyAlignment="1">
      <alignment horizontal="left"/>
    </xf>
    <xf numFmtId="0" fontId="44" fillId="0" borderId="69" xfId="0" applyFont="1" applyBorder="1"/>
    <xf numFmtId="0" fontId="44" fillId="0" borderId="69" xfId="0" applyFont="1" applyFill="1" applyBorder="1" applyAlignment="1">
      <alignment horizontal="left" wrapText="1"/>
    </xf>
    <xf numFmtId="0" fontId="45" fillId="0" borderId="26" xfId="0" applyFont="1" applyBorder="1"/>
    <xf numFmtId="0" fontId="45" fillId="0" borderId="42" xfId="0" applyFont="1" applyBorder="1"/>
    <xf numFmtId="3" fontId="45" fillId="0" borderId="34" xfId="0" applyNumberFormat="1" applyFont="1" applyBorder="1"/>
    <xf numFmtId="0" fontId="25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101" fillId="0" borderId="24" xfId="7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4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4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4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01" fillId="0" borderId="24" xfId="72" applyFont="1" applyFill="1" applyBorder="1" applyAlignment="1">
      <alignment horizontal="center"/>
    </xf>
    <xf numFmtId="0" fontId="101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1" fillId="0" borderId="24" xfId="72" applyFont="1" applyBorder="1" applyAlignment="1">
      <alignment horizontal="center" wrapText="1"/>
    </xf>
    <xf numFmtId="49" fontId="101" fillId="0" borderId="24" xfId="72" applyNumberFormat="1" applyFont="1" applyFill="1" applyBorder="1" applyAlignment="1">
      <alignment horizontal="center" wrapText="1"/>
    </xf>
    <xf numFmtId="0" fontId="101" fillId="0" borderId="24" xfId="0" applyFont="1" applyBorder="1" applyAlignment="1">
      <alignment horizontal="center" wrapText="1"/>
    </xf>
    <xf numFmtId="0" fontId="99" fillId="0" borderId="0" xfId="72" applyFont="1" applyFill="1" applyBorder="1" applyAlignment="1">
      <alignment horizontal="center"/>
    </xf>
    <xf numFmtId="0" fontId="99" fillId="0" borderId="0" xfId="72" applyFont="1" applyFill="1" applyAlignment="1">
      <alignment horizontal="left" wrapText="1"/>
    </xf>
    <xf numFmtId="0" fontId="99" fillId="0" borderId="0" xfId="72" applyFont="1" applyFill="1" applyAlignment="1">
      <alignment wrapText="1"/>
    </xf>
    <xf numFmtId="0" fontId="99" fillId="0" borderId="0" xfId="72" applyFont="1" applyFill="1" applyAlignment="1">
      <alignment horizontal="center"/>
    </xf>
    <xf numFmtId="3" fontId="99" fillId="0" borderId="0" xfId="72" applyNumberFormat="1" applyFont="1" applyFill="1" applyAlignment="1">
      <alignment wrapText="1"/>
    </xf>
    <xf numFmtId="0" fontId="99" fillId="0" borderId="0" xfId="72" applyFont="1" applyFill="1" applyAlignment="1">
      <alignment horizontal="left"/>
    </xf>
    <xf numFmtId="0" fontId="99" fillId="0" borderId="0" xfId="72" applyFont="1" applyFill="1" applyAlignment="1"/>
    <xf numFmtId="3" fontId="99" fillId="0" borderId="0" xfId="72" applyNumberFormat="1" applyFont="1" applyFill="1" applyAlignment="1"/>
    <xf numFmtId="14" fontId="99" fillId="0" borderId="0" xfId="72" applyNumberFormat="1" applyFont="1" applyFill="1" applyAlignment="1">
      <alignment horizontal="center"/>
    </xf>
    <xf numFmtId="0" fontId="99" fillId="0" borderId="0" xfId="72" applyFont="1" applyFill="1" applyBorder="1" applyAlignment="1">
      <alignment horizontal="left"/>
    </xf>
    <xf numFmtId="0" fontId="99" fillId="0" borderId="0" xfId="72" applyFont="1" applyFill="1" applyBorder="1" applyAlignment="1">
      <alignment horizontal="left" wrapText="1"/>
    </xf>
    <xf numFmtId="14" fontId="99" fillId="0" borderId="0" xfId="72" applyNumberFormat="1" applyFont="1" applyFill="1" applyBorder="1" applyAlignment="1">
      <alignment horizontal="center"/>
    </xf>
    <xf numFmtId="3" fontId="99" fillId="0" borderId="0" xfId="72" applyNumberFormat="1" applyFont="1" applyFill="1" applyBorder="1" applyAlignment="1">
      <alignment horizontal="right"/>
    </xf>
    <xf numFmtId="0" fontId="99" fillId="0" borderId="0" xfId="72" applyFont="1" applyFill="1" applyBorder="1" applyAlignment="1" applyProtection="1">
      <alignment wrapText="1"/>
      <protection locked="0"/>
    </xf>
    <xf numFmtId="14" fontId="99" fillId="0" borderId="0" xfId="72" applyNumberFormat="1" applyFont="1" applyFill="1" applyBorder="1" applyAlignment="1" applyProtection="1">
      <alignment horizontal="center"/>
      <protection locked="0"/>
    </xf>
    <xf numFmtId="3" fontId="99" fillId="0" borderId="0" xfId="72" applyNumberFormat="1" applyFont="1" applyFill="1" applyBorder="1" applyAlignment="1" applyProtection="1">
      <alignment horizontal="right" wrapText="1"/>
      <protection locked="0"/>
    </xf>
    <xf numFmtId="3" fontId="99" fillId="0" borderId="0" xfId="72" applyNumberFormat="1" applyFont="1" applyFill="1" applyBorder="1" applyAlignment="1" applyProtection="1">
      <protection locked="0"/>
    </xf>
    <xf numFmtId="0" fontId="99" fillId="0" borderId="0" xfId="72" applyFont="1" applyFill="1" applyBorder="1" applyAlignment="1" applyProtection="1">
      <alignment horizontal="left" wrapText="1"/>
      <protection locked="0"/>
    </xf>
    <xf numFmtId="14" fontId="99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9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0" applyFont="1" applyFill="1"/>
    <xf numFmtId="14" fontId="2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01" fillId="0" borderId="0" xfId="0" applyNumberFormat="1" applyFont="1" applyFill="1"/>
    <xf numFmtId="3" fontId="32" fillId="0" borderId="24" xfId="71" applyNumberFormat="1" applyFont="1" applyBorder="1" applyAlignment="1">
      <alignment vertical="center" wrapText="1"/>
    </xf>
    <xf numFmtId="3" fontId="138" fillId="0" borderId="24" xfId="71" applyNumberFormat="1" applyFont="1" applyFill="1" applyBorder="1" applyAlignment="1">
      <alignment vertical="center"/>
    </xf>
    <xf numFmtId="3" fontId="36" fillId="0" borderId="24" xfId="71" applyNumberFormat="1" applyFont="1" applyBorder="1" applyAlignment="1">
      <alignment vertical="center" wrapText="1"/>
    </xf>
    <xf numFmtId="3" fontId="36" fillId="0" borderId="0" xfId="78" applyNumberFormat="1" applyFont="1" applyBorder="1" applyAlignment="1">
      <alignment vertical="center"/>
    </xf>
    <xf numFmtId="3" fontId="31" fillId="0" borderId="0" xfId="78" applyNumberFormat="1" applyFont="1" applyBorder="1" applyAlignment="1">
      <alignment vertical="center"/>
    </xf>
    <xf numFmtId="0" fontId="140" fillId="0" borderId="22" xfId="78" applyFont="1" applyBorder="1"/>
    <xf numFmtId="3" fontId="25" fillId="0" borderId="75" xfId="78" applyNumberFormat="1" applyFont="1" applyBorder="1"/>
    <xf numFmtId="3" fontId="36" fillId="0" borderId="0" xfId="78" applyNumberFormat="1" applyFont="1" applyBorder="1" applyAlignment="1">
      <alignment horizontal="left" vertical="center" wrapText="1"/>
    </xf>
    <xf numFmtId="0" fontId="67" fillId="0" borderId="0" xfId="0" applyFont="1" applyBorder="1"/>
    <xf numFmtId="3" fontId="25" fillId="0" borderId="75" xfId="0" applyNumberFormat="1" applyFont="1" applyBorder="1"/>
    <xf numFmtId="3" fontId="31" fillId="0" borderId="77" xfId="0" applyNumberFormat="1" applyFont="1" applyBorder="1"/>
    <xf numFmtId="3" fontId="31" fillId="0" borderId="59" xfId="0" applyNumberFormat="1" applyFont="1" applyBorder="1"/>
    <xf numFmtId="165" fontId="44" fillId="0" borderId="0" xfId="0" applyNumberFormat="1" applyFont="1"/>
    <xf numFmtId="0" fontId="90" fillId="0" borderId="22" xfId="0" applyFont="1" applyBorder="1"/>
    <xf numFmtId="3" fontId="59" fillId="0" borderId="0" xfId="0" applyNumberFormat="1" applyFont="1" applyBorder="1" applyAlignment="1">
      <alignment vertical="center"/>
    </xf>
    <xf numFmtId="3" fontId="59" fillId="0" borderId="69" xfId="0" applyNumberFormat="1" applyFont="1" applyBorder="1" applyAlignment="1">
      <alignment vertical="center"/>
    </xf>
    <xf numFmtId="3" fontId="59" fillId="0" borderId="0" xfId="0" applyNumberFormat="1" applyFont="1" applyAlignment="1">
      <alignment vertical="center"/>
    </xf>
    <xf numFmtId="49" fontId="29" fillId="0" borderId="0" xfId="78" applyNumberFormat="1" applyFont="1" applyBorder="1" applyAlignment="1">
      <alignment horizontal="center" wrapText="1"/>
    </xf>
    <xf numFmtId="3" fontId="29" fillId="0" borderId="0" xfId="78" applyNumberFormat="1" applyFont="1" applyFill="1" applyBorder="1" applyAlignment="1"/>
    <xf numFmtId="3" fontId="29" fillId="0" borderId="0" xfId="78" applyNumberFormat="1" applyFont="1" applyBorder="1" applyAlignment="1"/>
    <xf numFmtId="3" fontId="25" fillId="0" borderId="0" xfId="78" applyNumberFormat="1" applyFont="1" applyBorder="1" applyAlignment="1"/>
    <xf numFmtId="3" fontId="29" fillId="0" borderId="0" xfId="78" applyNumberFormat="1" applyFont="1" applyAlignment="1"/>
    <xf numFmtId="0" fontId="32" fillId="0" borderId="0" xfId="0" applyFont="1" applyBorder="1" applyAlignment="1">
      <alignment vertical="center" wrapText="1"/>
    </xf>
    <xf numFmtId="3" fontId="31" fillId="0" borderId="18" xfId="78" applyNumberFormat="1" applyFont="1" applyBorder="1"/>
    <xf numFmtId="3" fontId="31" fillId="0" borderId="27" xfId="78" applyNumberFormat="1" applyFont="1" applyBorder="1"/>
    <xf numFmtId="0" fontId="59" fillId="0" borderId="0" xfId="0" applyFont="1" applyBorder="1" applyAlignment="1">
      <alignment horizontal="left" vertical="center" wrapText="1"/>
    </xf>
    <xf numFmtId="3" fontId="94" fillId="0" borderId="0" xfId="0" applyNumberFormat="1" applyFont="1" applyBorder="1" applyAlignment="1">
      <alignment horizontal="center" vertical="center" wrapText="1"/>
    </xf>
    <xf numFmtId="3" fontId="94" fillId="0" borderId="19" xfId="0" applyNumberFormat="1" applyFont="1" applyBorder="1" applyAlignment="1">
      <alignment horizontal="center" vertical="center" wrapText="1"/>
    </xf>
    <xf numFmtId="3" fontId="83" fillId="0" borderId="19" xfId="0" applyNumberFormat="1" applyFont="1" applyBorder="1" applyAlignment="1">
      <alignment horizontal="center" vertical="center" wrapText="1"/>
    </xf>
    <xf numFmtId="3" fontId="94" fillId="0" borderId="63" xfId="0" applyNumberFormat="1" applyFont="1" applyBorder="1" applyAlignment="1">
      <alignment horizontal="center" vertical="center" wrapText="1"/>
    </xf>
    <xf numFmtId="3" fontId="94" fillId="0" borderId="71" xfId="0" applyNumberFormat="1" applyFont="1" applyBorder="1" applyAlignment="1">
      <alignment horizontal="center" vertical="center" wrapText="1"/>
    </xf>
    <xf numFmtId="3" fontId="60" fillId="0" borderId="64" xfId="0" applyNumberFormat="1" applyFont="1" applyBorder="1" applyAlignment="1">
      <alignment vertical="center"/>
    </xf>
    <xf numFmtId="3" fontId="94" fillId="0" borderId="69" xfId="0" applyNumberFormat="1" applyFont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60" fillId="0" borderId="63" xfId="0" applyNumberFormat="1" applyFont="1" applyBorder="1" applyAlignment="1">
      <alignment horizontal="center" vertical="center" wrapText="1"/>
    </xf>
    <xf numFmtId="3" fontId="60" fillId="0" borderId="69" xfId="0" applyNumberFormat="1" applyFont="1" applyBorder="1" applyAlignment="1">
      <alignment horizontal="center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/>
    <xf numFmtId="3" fontId="60" fillId="0" borderId="64" xfId="0" applyNumberFormat="1" applyFont="1" applyBorder="1"/>
    <xf numFmtId="0" fontId="59" fillId="0" borderId="0" xfId="0" applyFont="1" applyFill="1" applyBorder="1"/>
    <xf numFmtId="3" fontId="59" fillId="0" borderId="22" xfId="0" applyNumberFormat="1" applyFont="1" applyFill="1" applyBorder="1"/>
    <xf numFmtId="3" fontId="59" fillId="0" borderId="63" xfId="0" applyNumberFormat="1" applyFont="1" applyFill="1" applyBorder="1"/>
    <xf numFmtId="3" fontId="59" fillId="0" borderId="69" xfId="0" applyNumberFormat="1" applyFont="1" applyFill="1" applyBorder="1"/>
    <xf numFmtId="3" fontId="60" fillId="0" borderId="64" xfId="0" applyNumberFormat="1" applyFont="1" applyFill="1" applyBorder="1"/>
    <xf numFmtId="0" fontId="59" fillId="0" borderId="0" xfId="0" applyFont="1" applyBorder="1" applyAlignment="1">
      <alignment wrapText="1"/>
    </xf>
    <xf numFmtId="3" fontId="59" fillId="0" borderId="19" xfId="0" applyNumberFormat="1" applyFont="1" applyBorder="1" applyAlignment="1">
      <alignment vertical="center"/>
    </xf>
    <xf numFmtId="3" fontId="59" fillId="0" borderId="63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 vertical="center" wrapText="1"/>
    </xf>
    <xf numFmtId="0" fontId="141" fillId="0" borderId="0" xfId="0" applyFont="1" applyBorder="1"/>
    <xf numFmtId="3" fontId="141" fillId="0" borderId="22" xfId="0" applyNumberFormat="1" applyFont="1" applyBorder="1"/>
    <xf numFmtId="0" fontId="59" fillId="0" borderId="0" xfId="0" applyFont="1" applyBorder="1" applyAlignment="1">
      <alignment vertical="center" wrapText="1"/>
    </xf>
    <xf numFmtId="3" fontId="59" fillId="0" borderId="22" xfId="0" applyNumberFormat="1" applyFont="1" applyBorder="1" applyAlignment="1">
      <alignment vertical="center"/>
    </xf>
    <xf numFmtId="0" fontId="59" fillId="0" borderId="69" xfId="0" applyFont="1" applyBorder="1" applyAlignment="1">
      <alignment horizontal="left" vertical="center" wrapText="1"/>
    </xf>
    <xf numFmtId="0" fontId="91" fillId="0" borderId="128" xfId="0" applyFont="1" applyBorder="1" applyAlignment="1">
      <alignment horizontal="center"/>
    </xf>
    <xf numFmtId="0" fontId="91" fillId="0" borderId="55" xfId="0" applyFont="1" applyBorder="1" applyAlignment="1">
      <alignment horizontal="center"/>
    </xf>
    <xf numFmtId="0" fontId="59" fillId="0" borderId="69" xfId="0" applyFont="1" applyBorder="1"/>
    <xf numFmtId="0" fontId="83" fillId="0" borderId="69" xfId="0" applyFont="1" applyBorder="1"/>
    <xf numFmtId="0" fontId="86" fillId="0" borderId="69" xfId="0" applyFont="1" applyBorder="1"/>
    <xf numFmtId="0" fontId="86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4" fillId="0" borderId="0" xfId="0" applyFont="1" applyBorder="1"/>
    <xf numFmtId="0" fontId="78" fillId="0" borderId="0" xfId="0" applyFont="1" applyBorder="1"/>
    <xf numFmtId="0" fontId="25" fillId="0" borderId="0" xfId="0" applyFont="1" applyBorder="1" applyAlignment="1">
      <alignment horizontal="left"/>
    </xf>
    <xf numFmtId="3" fontId="65" fillId="0" borderId="91" xfId="0" applyNumberFormat="1" applyFont="1" applyBorder="1" applyAlignment="1">
      <alignment horizontal="center" vertical="center" wrapText="1"/>
    </xf>
    <xf numFmtId="3" fontId="29" fillId="0" borderId="94" xfId="0" applyNumberFormat="1" applyFont="1" applyBorder="1"/>
    <xf numFmtId="3" fontId="25" fillId="0" borderId="69" xfId="0" applyNumberFormat="1" applyFont="1" applyFill="1" applyBorder="1"/>
    <xf numFmtId="3" fontId="29" fillId="25" borderId="69" xfId="0" applyNumberFormat="1" applyFont="1" applyFill="1" applyBorder="1"/>
    <xf numFmtId="0" fontId="78" fillId="0" borderId="93" xfId="0" applyFont="1" applyBorder="1" applyAlignment="1">
      <alignment horizontal="left" vertical="center"/>
    </xf>
    <xf numFmtId="0" fontId="29" fillId="0" borderId="71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3" fillId="0" borderId="0" xfId="71" applyFont="1" applyAlignment="1">
      <alignment vertical="center" wrapText="1"/>
    </xf>
    <xf numFmtId="0" fontId="116" fillId="0" borderId="0" xfId="71" applyFont="1" applyAlignment="1">
      <alignment vertical="center" wrapText="1"/>
    </xf>
    <xf numFmtId="169" fontId="29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right"/>
    </xf>
    <xf numFmtId="1" fontId="49" fillId="0" borderId="12" xfId="0" applyNumberFormat="1" applyFont="1" applyBorder="1" applyAlignment="1">
      <alignment horizontal="right"/>
    </xf>
    <xf numFmtId="0" fontId="123" fillId="0" borderId="0" xfId="0" applyFont="1"/>
    <xf numFmtId="3" fontId="83" fillId="0" borderId="22" xfId="0" applyNumberFormat="1" applyFont="1" applyBorder="1"/>
    <xf numFmtId="3" fontId="143" fillId="0" borderId="0" xfId="0" applyNumberFormat="1" applyFont="1" applyBorder="1"/>
    <xf numFmtId="3" fontId="40" fillId="0" borderId="22" xfId="0" applyNumberFormat="1" applyFont="1" applyBorder="1"/>
    <xf numFmtId="3" fontId="60" fillId="0" borderId="22" xfId="0" applyNumberFormat="1" applyFont="1" applyBorder="1"/>
    <xf numFmtId="3" fontId="141" fillId="0" borderId="0" xfId="0" applyNumberFormat="1" applyFont="1" applyBorder="1"/>
    <xf numFmtId="3" fontId="31" fillId="0" borderId="22" xfId="0" applyNumberFormat="1" applyFont="1" applyBorder="1"/>
    <xf numFmtId="3" fontId="59" fillId="0" borderId="22" xfId="0" applyNumberFormat="1" applyFont="1" applyBorder="1" applyAlignment="1">
      <alignment wrapText="1"/>
    </xf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0" fontId="31" fillId="0" borderId="91" xfId="0" applyFont="1" applyBorder="1" applyAlignment="1">
      <alignment horizontal="center" vertical="center"/>
    </xf>
    <xf numFmtId="3" fontId="94" fillId="0" borderId="91" xfId="0" applyNumberFormat="1" applyFont="1" applyBorder="1" applyAlignment="1">
      <alignment horizontal="center" vertical="center" wrapText="1"/>
    </xf>
    <xf numFmtId="3" fontId="94" fillId="0" borderId="92" xfId="0" applyNumberFormat="1" applyFont="1" applyBorder="1" applyAlignment="1">
      <alignment horizontal="center" vertical="center" wrapText="1"/>
    </xf>
    <xf numFmtId="3" fontId="31" fillId="0" borderId="3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93" xfId="0" applyFont="1" applyBorder="1"/>
    <xf numFmtId="3" fontId="31" fillId="0" borderId="93" xfId="0" applyNumberFormat="1" applyFont="1" applyBorder="1"/>
    <xf numFmtId="3" fontId="60" fillId="0" borderId="21" xfId="0" applyNumberFormat="1" applyFont="1" applyBorder="1"/>
    <xf numFmtId="3" fontId="141" fillId="0" borderId="0" xfId="74" applyNumberFormat="1" applyFont="1" applyBorder="1"/>
    <xf numFmtId="0" fontId="31" fillId="0" borderId="0" xfId="0" applyFont="1" applyBorder="1"/>
    <xf numFmtId="0" fontId="36" fillId="0" borderId="0" xfId="0" applyFont="1" applyAlignment="1">
      <alignment horizontal="center" vertical="center"/>
    </xf>
    <xf numFmtId="0" fontId="31" fillId="0" borderId="0" xfId="0" applyFont="1" applyBorder="1" applyAlignment="1">
      <alignment wrapText="1"/>
    </xf>
    <xf numFmtId="3" fontId="60" fillId="0" borderId="0" xfId="0" applyNumberFormat="1" applyFont="1" applyFill="1" applyBorder="1"/>
    <xf numFmtId="3" fontId="59" fillId="0" borderId="0" xfId="0" applyNumberFormat="1" applyFont="1" applyAlignment="1">
      <alignment wrapText="1"/>
    </xf>
    <xf numFmtId="0" fontId="31" fillId="0" borderId="13" xfId="0" applyFont="1" applyBorder="1"/>
    <xf numFmtId="3" fontId="31" fillId="0" borderId="31" xfId="0" applyNumberFormat="1" applyFont="1" applyBorder="1"/>
    <xf numFmtId="0" fontId="31" fillId="0" borderId="88" xfId="0" applyFont="1" applyBorder="1"/>
    <xf numFmtId="3" fontId="31" fillId="0" borderId="32" xfId="0" applyNumberFormat="1" applyFont="1" applyBorder="1"/>
    <xf numFmtId="3" fontId="31" fillId="0" borderId="89" xfId="0" applyNumberFormat="1" applyFont="1" applyFill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111" fillId="0" borderId="24" xfId="0" applyNumberFormat="1" applyFont="1" applyBorder="1" applyAlignment="1">
      <alignment horizontal="center" vertical="center" wrapText="1"/>
    </xf>
    <xf numFmtId="0" fontId="144" fillId="0" borderId="0" xfId="0" applyFont="1" applyBorder="1" applyAlignment="1">
      <alignment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3" fontId="32" fillId="0" borderId="25" xfId="0" applyNumberFormat="1" applyFont="1" applyBorder="1"/>
    <xf numFmtId="0" fontId="1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3" fontId="32" fillId="0" borderId="0" xfId="0" applyNumberFormat="1" applyFont="1" applyBorder="1"/>
    <xf numFmtId="3" fontId="111" fillId="0" borderId="26" xfId="0" applyNumberFormat="1" applyFont="1" applyBorder="1"/>
    <xf numFmtId="0" fontId="32" fillId="0" borderId="0" xfId="0" applyFont="1" applyBorder="1" applyAlignment="1">
      <alignment wrapText="1"/>
    </xf>
    <xf numFmtId="0" fontId="111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3" fontId="32" fillId="0" borderId="26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111" fillId="0" borderId="0" xfId="0" applyFont="1" applyBorder="1" applyAlignment="1">
      <alignment horizontal="left" wrapText="1"/>
    </xf>
    <xf numFmtId="0" fontId="111" fillId="0" borderId="34" xfId="0" applyFont="1" applyBorder="1" applyAlignment="1">
      <alignment wrapText="1"/>
    </xf>
    <xf numFmtId="3" fontId="111" fillId="0" borderId="34" xfId="0" applyNumberFormat="1" applyFont="1" applyBorder="1"/>
    <xf numFmtId="3" fontId="111" fillId="0" borderId="59" xfId="0" applyNumberFormat="1" applyFont="1" applyBorder="1"/>
    <xf numFmtId="3" fontId="54" fillId="0" borderId="22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4" fillId="0" borderId="95" xfId="0" applyNumberFormat="1" applyFont="1" applyBorder="1"/>
    <xf numFmtId="3" fontId="54" fillId="0" borderId="96" xfId="0" applyNumberFormat="1" applyFont="1" applyBorder="1"/>
    <xf numFmtId="3" fontId="54" fillId="0" borderId="97" xfId="0" applyNumberFormat="1" applyFont="1" applyBorder="1"/>
    <xf numFmtId="3" fontId="54" fillId="0" borderId="26" xfId="0" applyNumberFormat="1" applyFont="1" applyBorder="1"/>
    <xf numFmtId="3" fontId="36" fillId="0" borderId="69" xfId="74" applyNumberFormat="1" applyFont="1" applyBorder="1"/>
    <xf numFmtId="3" fontId="40" fillId="0" borderId="0" xfId="74" applyNumberFormat="1" applyFont="1" applyBorder="1"/>
    <xf numFmtId="0" fontId="59" fillId="0" borderId="22" xfId="0" applyFont="1" applyBorder="1"/>
    <xf numFmtId="3" fontId="31" fillId="0" borderId="50" xfId="0" applyNumberFormat="1" applyFont="1" applyBorder="1"/>
    <xf numFmtId="3" fontId="31" fillId="0" borderId="82" xfId="0" applyNumberFormat="1" applyFont="1" applyFill="1" applyBorder="1"/>
    <xf numFmtId="0" fontId="31" fillId="0" borderId="27" xfId="0" applyFont="1" applyBorder="1"/>
    <xf numFmtId="3" fontId="31" fillId="0" borderId="88" xfId="0" applyNumberFormat="1" applyFont="1" applyFill="1" applyBorder="1"/>
    <xf numFmtId="0" fontId="44" fillId="0" borderId="0" xfId="0" applyFont="1" applyAlignment="1">
      <alignment horizontal="center"/>
    </xf>
    <xf numFmtId="165" fontId="49" fillId="24" borderId="12" xfId="0" applyNumberFormat="1" applyFont="1" applyFill="1" applyBorder="1" applyAlignment="1">
      <alignment horizontal="right" vertical="center"/>
    </xf>
    <xf numFmtId="3" fontId="49" fillId="0" borderId="24" xfId="0" applyNumberFormat="1" applyFont="1" applyBorder="1" applyAlignment="1">
      <alignment horizontal="right"/>
    </xf>
    <xf numFmtId="3" fontId="49" fillId="0" borderId="12" xfId="0" applyNumberFormat="1" applyFont="1" applyBorder="1"/>
    <xf numFmtId="170" fontId="49" fillId="0" borderId="12" xfId="0" applyNumberFormat="1" applyFont="1" applyBorder="1" applyAlignment="1">
      <alignment horizontal="right"/>
    </xf>
    <xf numFmtId="167" fontId="49" fillId="0" borderId="28" xfId="0" applyNumberFormat="1" applyFont="1" applyBorder="1" applyAlignment="1">
      <alignment horizontal="right"/>
    </xf>
    <xf numFmtId="0" fontId="35" fillId="0" borderId="0" xfId="0" applyFont="1" applyBorder="1" applyAlignment="1">
      <alignment wrapText="1"/>
    </xf>
    <xf numFmtId="3" fontId="44" fillId="0" borderId="22" xfId="0" applyNumberFormat="1" applyFont="1" applyBorder="1" applyAlignment="1">
      <alignment horizontal="center" vertical="center"/>
    </xf>
    <xf numFmtId="3" fontId="44" fillId="0" borderId="0" xfId="0" applyNumberFormat="1" applyFont="1" applyBorder="1" applyAlignment="1">
      <alignment horizontal="right" vertical="center"/>
    </xf>
    <xf numFmtId="3" fontId="54" fillId="0" borderId="69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3" fontId="29" fillId="0" borderId="0" xfId="0" applyNumberFormat="1" applyFont="1" applyFill="1" applyAlignment="1">
      <alignment vertical="center" wrapText="1"/>
    </xf>
    <xf numFmtId="3" fontId="29" fillId="0" borderId="0" xfId="78" applyNumberFormat="1" applyFont="1" applyAlignment="1">
      <alignment vertical="center"/>
    </xf>
    <xf numFmtId="0" fontId="31" fillId="0" borderId="22" xfId="78" applyFont="1" applyBorder="1" applyAlignment="1">
      <alignment vertical="center"/>
    </xf>
    <xf numFmtId="0" fontId="31" fillId="0" borderId="0" xfId="78" applyFont="1" applyAlignment="1">
      <alignment vertical="center"/>
    </xf>
    <xf numFmtId="3" fontId="29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1" fontId="59" fillId="0" borderId="69" xfId="0" applyNumberFormat="1" applyFont="1" applyBorder="1" applyAlignment="1">
      <alignment horizontal="center" vertical="center"/>
    </xf>
    <xf numFmtId="3" fontId="25" fillId="0" borderId="131" xfId="0" applyNumberFormat="1" applyFont="1" applyBorder="1"/>
    <xf numFmtId="3" fontId="25" fillId="0" borderId="82" xfId="0" applyNumberFormat="1" applyFont="1" applyBorder="1"/>
    <xf numFmtId="0" fontId="35" fillId="0" borderId="0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3" fontId="25" fillId="0" borderId="88" xfId="0" applyNumberFormat="1" applyFont="1" applyBorder="1"/>
    <xf numFmtId="3" fontId="64" fillId="0" borderId="0" xfId="74" applyNumberFormat="1" applyFont="1" applyBorder="1"/>
    <xf numFmtId="0" fontId="36" fillId="0" borderId="0" xfId="0" applyFont="1" applyAlignment="1">
      <alignment wrapText="1"/>
    </xf>
    <xf numFmtId="0" fontId="29" fillId="0" borderId="49" xfId="0" applyFont="1" applyBorder="1" applyAlignment="1">
      <alignment horizontal="center"/>
    </xf>
    <xf numFmtId="3" fontId="31" fillId="0" borderId="132" xfId="0" applyNumberFormat="1" applyFont="1" applyBorder="1"/>
    <xf numFmtId="3" fontId="31" fillId="0" borderId="66" xfId="0" applyNumberFormat="1" applyFont="1" applyFill="1" applyBorder="1"/>
    <xf numFmtId="0" fontId="57" fillId="0" borderId="0" xfId="0" applyFont="1" applyAlignment="1">
      <alignment horizontal="center" vertical="center"/>
    </xf>
    <xf numFmtId="0" fontId="111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142" fillId="0" borderId="0" xfId="78" applyFont="1" applyAlignment="1">
      <alignment vertical="center" wrapText="1"/>
    </xf>
    <xf numFmtId="0" fontId="49" fillId="0" borderId="0" xfId="0" applyFont="1" applyBorder="1" applyAlignment="1">
      <alignment horizontal="center" wrapText="1"/>
    </xf>
    <xf numFmtId="3" fontId="25" fillId="0" borderId="49" xfId="0" applyNumberFormat="1" applyFont="1" applyBorder="1"/>
    <xf numFmtId="3" fontId="31" fillId="0" borderId="49" xfId="0" applyNumberFormat="1" applyFont="1" applyBorder="1"/>
    <xf numFmtId="3" fontId="31" fillId="0" borderId="27" xfId="0" applyNumberFormat="1" applyFont="1" applyBorder="1"/>
    <xf numFmtId="3" fontId="31" fillId="0" borderId="88" xfId="0" applyNumberFormat="1" applyFont="1" applyBorder="1"/>
    <xf numFmtId="3" fontId="57" fillId="0" borderId="0" xfId="78" applyNumberFormat="1" applyFont="1" applyBorder="1" applyAlignment="1">
      <alignment horizontal="left" vertical="center" wrapText="1"/>
    </xf>
    <xf numFmtId="3" fontId="32" fillId="0" borderId="0" xfId="78" applyNumberFormat="1" applyFont="1"/>
    <xf numFmtId="3" fontId="25" fillId="0" borderId="83" xfId="0" applyNumberFormat="1" applyFont="1" applyBorder="1"/>
    <xf numFmtId="3" fontId="25" fillId="0" borderId="83" xfId="0" applyNumberFormat="1" applyFont="1" applyFill="1" applyBorder="1"/>
    <xf numFmtId="3" fontId="35" fillId="0" borderId="0" xfId="0" applyNumberFormat="1" applyFont="1" applyBorder="1" applyAlignment="1">
      <alignment horizontal="right"/>
    </xf>
    <xf numFmtId="3" fontId="65" fillId="0" borderId="12" xfId="0" applyNumberFormat="1" applyFont="1" applyBorder="1" applyAlignment="1">
      <alignment horizontal="center" vertical="center"/>
    </xf>
    <xf numFmtId="3" fontId="65" fillId="0" borderId="29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5" fillId="0" borderId="100" xfId="0" applyNumberFormat="1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3" fontId="60" fillId="0" borderId="12" xfId="0" applyNumberFormat="1" applyFont="1" applyBorder="1" applyAlignment="1">
      <alignment horizontal="center" vertical="center"/>
    </xf>
    <xf numFmtId="3" fontId="60" fillId="0" borderId="29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right"/>
    </xf>
    <xf numFmtId="0" fontId="36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3" fontId="37" fillId="0" borderId="10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76" fillId="0" borderId="102" xfId="71" applyFont="1" applyFill="1" applyBorder="1" applyAlignment="1">
      <alignment horizontal="center" vertical="center"/>
    </xf>
    <xf numFmtId="0" fontId="76" fillId="0" borderId="103" xfId="7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/>
    </xf>
    <xf numFmtId="3" fontId="76" fillId="0" borderId="27" xfId="71" applyNumberFormat="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 wrapText="1"/>
    </xf>
    <xf numFmtId="3" fontId="76" fillId="0" borderId="27" xfId="71" applyNumberFormat="1" applyFont="1" applyFill="1" applyBorder="1" applyAlignment="1">
      <alignment horizontal="center" vertical="center" wrapText="1"/>
    </xf>
    <xf numFmtId="3" fontId="76" fillId="0" borderId="88" xfId="71" applyNumberFormat="1" applyFont="1" applyFill="1" applyBorder="1" applyAlignment="1">
      <alignment horizontal="center" vertical="center" wrapText="1"/>
    </xf>
    <xf numFmtId="3" fontId="111" fillId="0" borderId="34" xfId="71" applyNumberFormat="1" applyFont="1" applyBorder="1" applyAlignment="1">
      <alignment horizontal="right" vertical="center"/>
    </xf>
    <xf numFmtId="3" fontId="111" fillId="0" borderId="59" xfId="71" applyNumberFormat="1" applyFont="1" applyBorder="1" applyAlignment="1">
      <alignment horizontal="right" vertical="center"/>
    </xf>
    <xf numFmtId="0" fontId="28" fillId="0" borderId="0" xfId="75" applyFont="1" applyAlignment="1">
      <alignment horizontal="right"/>
    </xf>
    <xf numFmtId="0" fontId="118" fillId="0" borderId="0" xfId="71" applyFont="1" applyAlignment="1">
      <alignment horizontal="right" vertical="center"/>
    </xf>
    <xf numFmtId="0" fontId="30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3" fillId="0" borderId="0" xfId="71" applyFont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82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9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5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9" fillId="0" borderId="14" xfId="0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25" fillId="0" borderId="0" xfId="76" applyFont="1" applyBorder="1" applyAlignment="1">
      <alignment horizontal="center"/>
    </xf>
    <xf numFmtId="0" fontId="3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3" fontId="30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30" fillId="0" borderId="2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Alignment="1"/>
    <xf numFmtId="3" fontId="35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1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4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9" fillId="0" borderId="24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/>
    </xf>
    <xf numFmtId="0" fontId="48" fillId="0" borderId="24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65" fillId="0" borderId="110" xfId="0" applyFont="1" applyBorder="1" applyAlignment="1">
      <alignment horizontal="center" vertical="center"/>
    </xf>
    <xf numFmtId="3" fontId="75" fillId="0" borderId="101" xfId="0" applyNumberFormat="1" applyFont="1" applyBorder="1" applyAlignment="1">
      <alignment horizontal="center" vertical="center"/>
    </xf>
    <xf numFmtId="0" fontId="65" fillId="0" borderId="0" xfId="74" applyFont="1" applyBorder="1" applyAlignment="1">
      <alignment horizontal="center"/>
    </xf>
    <xf numFmtId="0" fontId="65" fillId="0" borderId="49" xfId="0" applyFont="1" applyFill="1" applyBorder="1" applyAlignment="1"/>
    <xf numFmtId="0" fontId="79" fillId="0" borderId="88" xfId="0" applyFont="1" applyBorder="1" applyAlignment="1"/>
    <xf numFmtId="0" fontId="65" fillId="0" borderId="119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 wrapText="1"/>
    </xf>
    <xf numFmtId="3" fontId="65" fillId="0" borderId="12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3" fontId="65" fillId="0" borderId="111" xfId="0" applyNumberFormat="1" applyFont="1" applyBorder="1" applyAlignment="1">
      <alignment horizontal="center" vertical="center" wrapText="1"/>
    </xf>
    <xf numFmtId="3" fontId="58" fillId="0" borderId="112" xfId="0" applyNumberFormat="1" applyFont="1" applyBorder="1" applyAlignment="1">
      <alignment horizontal="center" vertical="center" wrapText="1"/>
    </xf>
    <xf numFmtId="3" fontId="58" fillId="0" borderId="113" xfId="0" applyNumberFormat="1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textRotation="255"/>
    </xf>
    <xf numFmtId="0" fontId="58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5" fillId="0" borderId="117" xfId="0" applyNumberFormat="1" applyFont="1" applyBorder="1" applyAlignment="1">
      <alignment horizontal="center" vertical="center" wrapText="1"/>
    </xf>
    <xf numFmtId="3" fontId="65" fillId="0" borderId="118" xfId="0" applyNumberFormat="1" applyFont="1" applyBorder="1" applyAlignment="1">
      <alignment horizontal="center" vertical="center" wrapText="1"/>
    </xf>
    <xf numFmtId="3" fontId="65" fillId="0" borderId="16" xfId="0" applyNumberFormat="1" applyFont="1" applyBorder="1" applyAlignment="1">
      <alignment horizontal="center" vertical="center"/>
    </xf>
    <xf numFmtId="3" fontId="65" fillId="0" borderId="120" xfId="0" applyNumberFormat="1" applyFont="1" applyBorder="1" applyAlignment="1">
      <alignment horizontal="center" vertical="center"/>
    </xf>
    <xf numFmtId="3" fontId="65" fillId="0" borderId="122" xfId="0" applyNumberFormat="1" applyFont="1" applyBorder="1" applyAlignment="1">
      <alignment horizontal="center" vertical="center"/>
    </xf>
    <xf numFmtId="3" fontId="65" fillId="0" borderId="121" xfId="0" applyNumberFormat="1" applyFont="1" applyBorder="1" applyAlignment="1">
      <alignment horizontal="center" vertical="center"/>
    </xf>
    <xf numFmtId="3" fontId="65" fillId="0" borderId="123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3" fontId="65" fillId="0" borderId="10" xfId="0" applyNumberFormat="1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24" xfId="0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125" xfId="0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9" fillId="0" borderId="0" xfId="0" applyFont="1" applyAlignment="1">
      <alignment horizontal="right"/>
    </xf>
    <xf numFmtId="0" fontId="79" fillId="0" borderId="0" xfId="0" applyFont="1" applyAlignment="1"/>
    <xf numFmtId="3" fontId="59" fillId="0" borderId="0" xfId="0" applyNumberFormat="1" applyFont="1" applyAlignment="1">
      <alignment horizontal="center"/>
    </xf>
    <xf numFmtId="3" fontId="65" fillId="0" borderId="61" xfId="0" applyNumberFormat="1" applyFont="1" applyBorder="1" applyAlignment="1">
      <alignment horizontal="right"/>
    </xf>
    <xf numFmtId="3" fontId="65" fillId="0" borderId="112" xfId="0" applyNumberFormat="1" applyFont="1" applyBorder="1" applyAlignment="1">
      <alignment horizontal="center" vertical="center" wrapText="1"/>
    </xf>
    <xf numFmtId="0" fontId="65" fillId="0" borderId="126" xfId="0" applyFont="1" applyBorder="1" applyAlignment="1">
      <alignment horizontal="center" vertical="center" readingOrder="2"/>
    </xf>
    <xf numFmtId="0" fontId="79" fillId="0" borderId="12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 textRotation="255"/>
    </xf>
    <xf numFmtId="3" fontId="65" fillId="0" borderId="17" xfId="0" applyNumberFormat="1" applyFont="1" applyBorder="1" applyAlignment="1">
      <alignment horizontal="center" vertical="center"/>
    </xf>
    <xf numFmtId="0" fontId="91" fillId="0" borderId="94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89" fillId="0" borderId="9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left"/>
    </xf>
    <xf numFmtId="0" fontId="60" fillId="0" borderId="75" xfId="0" applyFont="1" applyBorder="1" applyAlignment="1">
      <alignment horizontal="left"/>
    </xf>
    <xf numFmtId="3" fontId="65" fillId="0" borderId="127" xfId="0" applyNumberFormat="1" applyFont="1" applyBorder="1" applyAlignment="1">
      <alignment horizontal="center"/>
    </xf>
    <xf numFmtId="3" fontId="90" fillId="0" borderId="128" xfId="0" applyNumberFormat="1" applyFont="1" applyBorder="1" applyAlignment="1">
      <alignment horizontal="center"/>
    </xf>
    <xf numFmtId="3" fontId="91" fillId="0" borderId="127" xfId="0" applyNumberFormat="1" applyFont="1" applyBorder="1" applyAlignment="1">
      <alignment horizontal="center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89" fillId="0" borderId="0" xfId="0" applyFont="1" applyBorder="1" applyAlignment="1"/>
    <xf numFmtId="0" fontId="91" fillId="0" borderId="0" xfId="0" applyFont="1" applyBorder="1" applyAlignment="1">
      <alignment horizontal="center"/>
    </xf>
    <xf numFmtId="0" fontId="89" fillId="0" borderId="0" xfId="0" applyFont="1" applyAlignment="1"/>
    <xf numFmtId="0" fontId="90" fillId="0" borderId="25" xfId="0" applyFont="1" applyBorder="1" applyAlignment="1">
      <alignment horizontal="center" vertical="center" textRotation="255"/>
    </xf>
    <xf numFmtId="0" fontId="90" fillId="0" borderId="26" xfId="0" applyFont="1" applyBorder="1" applyAlignment="1">
      <alignment horizontal="center" vertical="center" textRotation="255"/>
    </xf>
    <xf numFmtId="0" fontId="90" fillId="0" borderId="48" xfId="0" applyFont="1" applyBorder="1" applyAlignment="1">
      <alignment horizontal="center" vertical="center" textRotation="255"/>
    </xf>
    <xf numFmtId="3" fontId="91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1" fillId="0" borderId="129" xfId="0" applyNumberFormat="1" applyFont="1" applyBorder="1" applyAlignment="1">
      <alignment horizontal="center" vertical="center" wrapText="1"/>
    </xf>
    <xf numFmtId="3" fontId="91" fillId="0" borderId="64" xfId="0" applyNumberFormat="1" applyFont="1" applyBorder="1" applyAlignment="1">
      <alignment horizontal="center" vertical="center" wrapText="1"/>
    </xf>
    <xf numFmtId="0" fontId="89" fillId="0" borderId="130" xfId="0" applyFont="1" applyBorder="1" applyAlignment="1">
      <alignment horizontal="center" vertical="center" wrapText="1"/>
    </xf>
    <xf numFmtId="0" fontId="91" fillId="0" borderId="96" xfId="0" applyFont="1" applyBorder="1" applyAlignment="1">
      <alignment horizontal="right"/>
    </xf>
    <xf numFmtId="3" fontId="65" fillId="0" borderId="29" xfId="0" applyNumberFormat="1" applyFont="1" applyBorder="1" applyAlignment="1">
      <alignment horizontal="center"/>
    </xf>
    <xf numFmtId="0" fontId="89" fillId="0" borderId="10" xfId="0" applyFont="1" applyBorder="1" applyAlignment="1">
      <alignment horizontal="center"/>
    </xf>
    <xf numFmtId="0" fontId="89" fillId="0" borderId="110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/>
    </xf>
    <xf numFmtId="0" fontId="44" fillId="0" borderId="51" xfId="0" applyFont="1" applyBorder="1" applyAlignment="1">
      <alignment horizontal="center" textRotation="255"/>
    </xf>
    <xf numFmtId="0" fontId="44" fillId="0" borderId="23" xfId="0" applyFont="1" applyBorder="1" applyAlignment="1">
      <alignment horizontal="center" textRotation="255"/>
    </xf>
    <xf numFmtId="0" fontId="44" fillId="0" borderId="39" xfId="0" applyFont="1" applyBorder="1" applyAlignment="1">
      <alignment horizontal="center" textRotation="255"/>
    </xf>
    <xf numFmtId="0" fontId="45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5" fillId="0" borderId="55" xfId="0" applyNumberFormat="1" applyFont="1" applyBorder="1" applyAlignment="1">
      <alignment horizontal="center" vertical="center"/>
    </xf>
    <xf numFmtId="3" fontId="75" fillId="0" borderId="1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40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9" fillId="0" borderId="0" xfId="0" applyFont="1" applyBorder="1" applyAlignment="1">
      <alignment horizontal="center" wrapText="1"/>
    </xf>
    <xf numFmtId="0" fontId="55" fillId="0" borderId="0" xfId="0" applyFont="1" applyBorder="1" applyAlignment="1">
      <alignment horizontal="left" wrapText="1"/>
    </xf>
    <xf numFmtId="0" fontId="57" fillId="0" borderId="12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4" fillId="0" borderId="12" xfId="0" applyFont="1" applyBorder="1" applyAlignment="1">
      <alignment horizontal="center" textRotation="255"/>
    </xf>
    <xf numFmtId="0" fontId="49" fillId="0" borderId="12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0" fontId="101" fillId="0" borderId="0" xfId="72" applyFont="1" applyAlignment="1">
      <alignment horizontal="center"/>
    </xf>
    <xf numFmtId="0" fontId="101" fillId="0" borderId="0" xfId="72" applyFont="1" applyAlignment="1">
      <alignment horizontal="right"/>
    </xf>
    <xf numFmtId="0" fontId="114" fillId="0" borderId="24" xfId="72" applyFont="1" applyBorder="1" applyAlignment="1">
      <alignment horizontal="center"/>
    </xf>
    <xf numFmtId="0" fontId="49" fillId="0" borderId="104" xfId="72" applyFont="1" applyBorder="1" applyAlignment="1">
      <alignment horizontal="center" wrapText="1"/>
    </xf>
    <xf numFmtId="0" fontId="49" fillId="0" borderId="24" xfId="72" applyFont="1" applyBorder="1" applyAlignment="1">
      <alignment horizontal="center" vertical="center"/>
    </xf>
    <xf numFmtId="0" fontId="49" fillId="0" borderId="24" xfId="72" applyFont="1" applyBorder="1" applyAlignment="1">
      <alignment horizontal="center"/>
    </xf>
    <xf numFmtId="0" fontId="49" fillId="0" borderId="96" xfId="72" applyFont="1" applyBorder="1" applyAlignment="1">
      <alignment horizontal="center"/>
    </xf>
    <xf numFmtId="0" fontId="49" fillId="0" borderId="97" xfId="72" applyFont="1" applyBorder="1" applyAlignment="1">
      <alignment horizontal="center"/>
    </xf>
    <xf numFmtId="0" fontId="100" fillId="0" borderId="0" xfId="0" applyFont="1" applyBorder="1" applyAlignment="1">
      <alignment horizontal="right"/>
    </xf>
    <xf numFmtId="0" fontId="99" fillId="0" borderId="24" xfId="72" applyFont="1" applyBorder="1" applyAlignment="1">
      <alignment horizontal="center"/>
    </xf>
    <xf numFmtId="0" fontId="101" fillId="0" borderId="104" xfId="72" applyFont="1" applyBorder="1" applyAlignment="1">
      <alignment horizontal="center" wrapText="1"/>
    </xf>
    <xf numFmtId="0" fontId="101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1" fillId="0" borderId="0" xfId="72" applyFont="1" applyAlignment="1"/>
    <xf numFmtId="0" fontId="101" fillId="0" borderId="45" xfId="72" applyFont="1" applyBorder="1" applyAlignment="1">
      <alignment horizontal="center"/>
    </xf>
    <xf numFmtId="0" fontId="101" fillId="0" borderId="99" xfId="72" applyFont="1" applyBorder="1" applyAlignment="1">
      <alignment horizontal="center"/>
    </xf>
    <xf numFmtId="0" fontId="101" fillId="0" borderId="104" xfId="72" applyFont="1" applyBorder="1" applyAlignment="1">
      <alignment horizontal="center"/>
    </xf>
    <xf numFmtId="0" fontId="100" fillId="0" borderId="0" xfId="72" applyFont="1" applyAlignment="1">
      <alignment horizontal="right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36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4" fillId="0" borderId="0" xfId="77" applyFont="1" applyAlignment="1">
      <alignment horizontal="center"/>
    </xf>
    <xf numFmtId="0" fontId="54" fillId="0" borderId="24" xfId="77" applyFont="1" applyBorder="1" applyAlignment="1">
      <alignment horizontal="center"/>
    </xf>
    <xf numFmtId="0" fontId="54" fillId="0" borderId="25" xfId="77" applyFont="1" applyBorder="1" applyAlignment="1">
      <alignment horizontal="center" vertical="center"/>
    </xf>
    <xf numFmtId="0" fontId="54" fillId="0" borderId="48" xfId="77" applyFont="1" applyBorder="1" applyAlignment="1">
      <alignment horizontal="center" vertical="center"/>
    </xf>
    <xf numFmtId="0" fontId="54" fillId="0" borderId="25" xfId="77" applyFont="1" applyBorder="1" applyAlignment="1">
      <alignment horizontal="center" vertical="center" wrapText="1"/>
    </xf>
    <xf numFmtId="0" fontId="54" fillId="0" borderId="48" xfId="77" applyFont="1" applyBorder="1" applyAlignment="1">
      <alignment horizontal="center" vertical="center" wrapText="1"/>
    </xf>
    <xf numFmtId="0" fontId="54" fillId="0" borderId="44" xfId="77" applyFont="1" applyBorder="1" applyAlignment="1">
      <alignment horizontal="center" vertical="center"/>
    </xf>
    <xf numFmtId="0" fontId="54" fillId="0" borderId="95" xfId="77" applyFont="1" applyBorder="1" applyAlignment="1">
      <alignment horizontal="center" vertical="center"/>
    </xf>
    <xf numFmtId="0" fontId="54" fillId="0" borderId="96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55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8" customWidth="1"/>
    <col min="2" max="2" width="36.28515625" style="158" customWidth="1"/>
    <col min="3" max="3" width="13.28515625" style="159" customWidth="1"/>
    <col min="4" max="4" width="11.140625" style="159" customWidth="1"/>
    <col min="5" max="5" width="13.42578125" style="159" customWidth="1"/>
    <col min="6" max="6" width="36.85546875" style="159" customWidth="1"/>
    <col min="7" max="8" width="12" style="159" customWidth="1"/>
    <col min="9" max="9" width="14" style="159" customWidth="1"/>
    <col min="10" max="12" width="0" style="158" hidden="1" customWidth="1"/>
    <col min="13" max="22" width="9.140625" style="158"/>
    <col min="23" max="16384" width="9.140625" style="10"/>
  </cols>
  <sheetData>
    <row r="1" spans="1:22" ht="12.75" customHeight="1" x14ac:dyDescent="0.2">
      <c r="A1" s="1071" t="s">
        <v>1289</v>
      </c>
      <c r="B1" s="1071"/>
      <c r="C1" s="1071"/>
      <c r="D1" s="1071"/>
      <c r="E1" s="1071"/>
      <c r="F1" s="1071"/>
      <c r="G1" s="1071"/>
      <c r="H1" s="1071"/>
      <c r="I1" s="1071"/>
    </row>
    <row r="2" spans="1:22" x14ac:dyDescent="0.2">
      <c r="B2" s="601"/>
      <c r="I2" s="160"/>
    </row>
    <row r="3" spans="1:22" s="123" customFormat="1" x14ac:dyDescent="0.2">
      <c r="A3" s="161"/>
      <c r="B3" s="1074" t="s">
        <v>54</v>
      </c>
      <c r="C3" s="1074"/>
      <c r="D3" s="1074"/>
      <c r="E3" s="1074"/>
      <c r="F3" s="1074"/>
      <c r="G3" s="1074"/>
      <c r="H3" s="1074"/>
      <c r="I3" s="1074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76" t="s">
        <v>993</v>
      </c>
      <c r="C4" s="1076"/>
      <c r="D4" s="1076"/>
      <c r="E4" s="1076"/>
      <c r="F4" s="1076"/>
      <c r="G4" s="1076"/>
      <c r="H4" s="1076"/>
      <c r="I4" s="1076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x14ac:dyDescent="0.2">
      <c r="A5" s="161"/>
      <c r="B5" s="1075" t="s">
        <v>332</v>
      </c>
      <c r="C5" s="1075"/>
      <c r="D5" s="1075"/>
      <c r="E5" s="1075"/>
      <c r="F5" s="1075"/>
      <c r="G5" s="1075"/>
      <c r="H5" s="1075"/>
      <c r="I5" s="1075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79" t="s">
        <v>56</v>
      </c>
      <c r="B6" s="1080" t="s">
        <v>57</v>
      </c>
      <c r="C6" s="1081" t="s">
        <v>58</v>
      </c>
      <c r="D6" s="1081"/>
      <c r="E6" s="1082"/>
      <c r="F6" s="1083" t="s">
        <v>59</v>
      </c>
      <c r="G6" s="1077" t="s">
        <v>60</v>
      </c>
      <c r="H6" s="1078"/>
      <c r="I6" s="1078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79"/>
      <c r="B7" s="1080"/>
      <c r="C7" s="1072" t="s">
        <v>994</v>
      </c>
      <c r="D7" s="1072"/>
      <c r="E7" s="1073"/>
      <c r="F7" s="1084"/>
      <c r="G7" s="1072" t="s">
        <v>994</v>
      </c>
      <c r="H7" s="1072"/>
      <c r="I7" s="1072"/>
      <c r="J7" s="161"/>
      <c r="K7" s="161"/>
      <c r="L7" s="161"/>
      <c r="M7" s="161"/>
      <c r="N7" s="161"/>
      <c r="O7" s="161"/>
      <c r="P7" s="161"/>
    </row>
    <row r="8" spans="1:22" s="124" customFormat="1" ht="36.6" customHeight="1" x14ac:dyDescent="0.2">
      <c r="A8" s="1079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191"/>
      <c r="K8" s="191"/>
      <c r="L8" s="191"/>
      <c r="M8" s="191"/>
      <c r="N8" s="191"/>
      <c r="O8" s="191"/>
      <c r="P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1"/>
      <c r="Q9" s="10"/>
      <c r="R9" s="10"/>
      <c r="S9" s="10"/>
      <c r="T9" s="10"/>
      <c r="U9" s="10"/>
      <c r="V9" s="10"/>
    </row>
    <row r="10" spans="1:22" x14ac:dyDescent="0.2">
      <c r="A10" s="165">
        <f t="shared" ref="A10:A53" si="0">A9+1</f>
        <v>2</v>
      </c>
      <c r="B10" s="168" t="s">
        <v>215</v>
      </c>
      <c r="C10" s="304"/>
      <c r="D10" s="304"/>
      <c r="E10" s="292">
        <f>SUM(C10:D10)</f>
        <v>0</v>
      </c>
      <c r="F10" s="523" t="s">
        <v>233</v>
      </c>
      <c r="G10" s="292">
        <f>'pü.mérleg Önkorm.'!G10+'pü.mérleg Hivatal'!H12+'püm. GAMESZ. '!G12+'püm-TASZII.'!G12+püm.Brunszvik!G12+'püm Festetics'!G12</f>
        <v>575919</v>
      </c>
      <c r="H10" s="292">
        <f>'pü.mérleg Önkorm.'!H10+'pü.mérleg Hivatal'!I12+'püm. GAMESZ. '!H12+'püm-TASZII.'!H12+püm.Brunszvik!H12+'püm Festetics'!H12</f>
        <v>303625</v>
      </c>
      <c r="I10" s="490">
        <f>SUM(G10:H10)</f>
        <v>879544</v>
      </c>
      <c r="J10" s="170" t="e">
        <f>'pü.mérleg Önkorm.'!#REF!+'pü.mérleg Hivatal'!#REF!+'püm. GAMESZ. '!#REF!+püm.Brunszvik!#REF!+'püm-TASZII.'!#REF!</f>
        <v>#REF!</v>
      </c>
      <c r="K10" s="159" t="e">
        <f>'pü.mérleg Önkorm.'!#REF!+'pü.mérleg Hivatal'!#REF!+'püm. GAMESZ. '!#REF!++'püm-TASZII.'!#REF!+püm.Brunszvik!#REF!</f>
        <v>#REF!</v>
      </c>
      <c r="L10" s="159" t="e">
        <f>'pü.mérleg Önkorm.'!#REF!+'pü.mérleg Hivatal'!#REF!+'püm. GAMESZ. '!#REF!+püm.Brunszvik!#REF!+'püm-TASZII.'!#REF!</f>
        <v>#REF!</v>
      </c>
      <c r="N10" s="159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661664</v>
      </c>
      <c r="D11" s="304">
        <f>'tám, végl. pe.átv  '!D11+'tám, végl. pe.átv  '!D19+'tám, végl. pe.átv  '!D20</f>
        <v>84418</v>
      </c>
      <c r="E11" s="304">
        <f>'tám, végl. pe.átv  '!E11+'tám, végl. pe.átv  '!E19+'tám, végl. pe.átv  '!E20</f>
        <v>746082</v>
      </c>
      <c r="F11" s="964" t="s">
        <v>234</v>
      </c>
      <c r="G11" s="292">
        <f>'pü.mérleg Önkorm.'!G11+'pü.mérleg Hivatal'!H13+'püm. GAMESZ. '!G13+püm.Brunszvik!G13+'püm-TASZII.'!G13+'püm Festetics'!G13</f>
        <v>144933</v>
      </c>
      <c r="H11" s="292">
        <f>'pü.mérleg Önkorm.'!H11+'pü.mérleg Hivatal'!I13+'püm. GAMESZ. '!H13+püm.Brunszvik!H13+'püm-TASZII.'!H13+'püm Festetics'!H13</f>
        <v>75478</v>
      </c>
      <c r="I11" s="491">
        <f>SUM(G11:H11)</f>
        <v>220411</v>
      </c>
      <c r="J11" s="159" t="e">
        <f>'pü.mérleg Önkorm.'!#REF!+'pü.mérleg Hivatal'!#REF!+'püm. GAMESZ. '!#REF!+püm.Brunszvik!#REF!+'püm-TASZII.'!#REF!</f>
        <v>#REF!</v>
      </c>
      <c r="K11" s="159" t="e">
        <f>'pü.mérleg Önkorm.'!#REF!+'pü.mérleg Hivatal'!#REF!+'püm. GAMESZ. '!#REF!+püm.Brunszvik!#REF!+'püm-TASZII.'!#REF!</f>
        <v>#REF!</v>
      </c>
      <c r="L11" s="159" t="e">
        <f>'pü.mérleg Önkorm.'!#REF!+'pü.mérleg Hivatal'!#REF!+'püm. GAMESZ. '!#REF!+püm.Brunszvik!#REF!+'püm-TASZII.'!#REF!</f>
        <v>#REF!</v>
      </c>
      <c r="N11" s="159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68" t="s">
        <v>206</v>
      </c>
      <c r="C12" s="304">
        <f>'pü.mérleg Önkorm.'!C12</f>
        <v>0</v>
      </c>
      <c r="D12" s="304">
        <f>'pü.mérleg Önkorm.'!D12</f>
        <v>36</v>
      </c>
      <c r="E12" s="304">
        <f>'pü.mérleg Önkorm.'!E12</f>
        <v>36</v>
      </c>
      <c r="F12" s="523" t="s">
        <v>235</v>
      </c>
      <c r="G12" s="292">
        <f>'pü.mérleg Önkorm.'!G12+'pü.mérleg Hivatal'!H14+'püm. GAMESZ. '!G14+püm.Brunszvik!G14+'püm-TASZII.'!G14+'püm Festetics'!G14</f>
        <v>480430</v>
      </c>
      <c r="H12" s="292">
        <f>'pü.mérleg Önkorm.'!H12+'pü.mérleg Hivatal'!I14+'püm. GAMESZ. '!H14+püm.Brunszvik!H14+'püm-TASZII.'!H14+'püm Festetics'!H14</f>
        <v>488139</v>
      </c>
      <c r="I12" s="491">
        <f>SUM(G12:H12)</f>
        <v>968569</v>
      </c>
      <c r="J12" s="159" t="e">
        <f>'pü.mérleg Önkorm.'!#REF!+'pü.mérleg Hivatal'!#REF!+'püm. GAMESZ. '!#REF!+püm.Brunszvik!#REF!+'püm-TASZII.'!#REF!</f>
        <v>#REF!</v>
      </c>
      <c r="K12" s="159" t="e">
        <f>'pü.mérleg Önkorm.'!#REF!+'pü.mérleg Hivatal'!#REF!+'püm. GAMESZ. '!#REF!+püm.Brunszvik!#REF!+'püm-TASZII.'!#REF!</f>
        <v>#REF!</v>
      </c>
      <c r="L12" s="159" t="e">
        <f>'pü.mérleg Önkorm.'!#REF!+'pü.mérleg Hivatal'!#REF!+'püm. GAMESZ. '!#REF!+püm.Brunszvik!#REF!+'püm-TASZII.'!#REF!</f>
        <v>#REF!</v>
      </c>
      <c r="N12" s="159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565" t="s">
        <v>209</v>
      </c>
      <c r="C13" s="304">
        <f>'pü.mérleg Önkorm.'!C13+'püm. GAMESZ. '!C14+püm.Brunszvik!C14+'püm-TASZII.'!C14+'pü.mérleg Hivatal'!D13+püm.Brunszvik!C14</f>
        <v>72303</v>
      </c>
      <c r="D13" s="304">
        <f>'pü.mérleg Önkorm.'!D13+'püm. GAMESZ. '!D14+püm.Brunszvik!D14+'püm-TASZII.'!D14+'pü.mérleg Hivatal'!E13+püm.Brunszvik!D14</f>
        <v>15736</v>
      </c>
      <c r="E13" s="304">
        <f>'pü.mérleg Önkorm.'!E13+'püm. GAMESZ. '!E14+püm.Brunszvik!E14+'püm-TASZII.'!E14+'pü.mérleg Hivatal'!F13+püm.Brunszvik!E14</f>
        <v>88039</v>
      </c>
      <c r="F13" s="523"/>
      <c r="G13" s="304"/>
      <c r="H13" s="304"/>
      <c r="I13" s="490"/>
      <c r="J13" s="181"/>
      <c r="O13" s="181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565" t="s">
        <v>210</v>
      </c>
      <c r="C14" s="304">
        <f>'pü.mérleg Önkorm.'!C14+'püm. GAMESZ. '!C16+püm.Brunszvik!C16+'püm-TASZII.'!C16+'pü.mérleg Hivatal'!D15+püm.Brunszvik!C16</f>
        <v>425451</v>
      </c>
      <c r="D14" s="304">
        <f>'felh. bev.  '!E28</f>
        <v>52155</v>
      </c>
      <c r="E14" s="292">
        <f>SUM(C14:D14)</f>
        <v>477606</v>
      </c>
      <c r="F14" s="523" t="s">
        <v>236</v>
      </c>
      <c r="G14" s="292">
        <f>'pü.mérleg Önkorm.'!G14+'pü.mérleg Hivatal'!H16</f>
        <v>350</v>
      </c>
      <c r="H14" s="292">
        <f>'pü.mérleg Önkorm.'!H14+'pü.mérleg Hivatal'!I16</f>
        <v>13750</v>
      </c>
      <c r="I14" s="491">
        <f>'pü.mérleg Önkorm.'!I14+'pü.mérleg Hivatal'!J16</f>
        <v>14100</v>
      </c>
      <c r="J14" s="159" t="e">
        <f>'pü.mérleg Önkorm.'!#REF!+'pü.mérleg Hivatal'!#REF!</f>
        <v>#REF!</v>
      </c>
      <c r="K14" s="159" t="e">
        <f>'pü.mérleg Önkorm.'!#REF!+'pü.mérleg Hivatal'!#REF!</f>
        <v>#REF!</v>
      </c>
      <c r="L14" s="159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81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68" t="s">
        <v>211</v>
      </c>
      <c r="C16" s="304">
        <f>'pü.mérleg Önkorm.'!C16+'püm. GAMESZ. '!C18+püm.Brunszvik!C18+'püm-TASZII.'!C18+'pü.mérleg Hivatal'!D17+püm.Brunszvik!C18</f>
        <v>576268</v>
      </c>
      <c r="D16" s="304">
        <f>'mük. bev.Önkor és Hivatal '!F40</f>
        <v>659052</v>
      </c>
      <c r="E16" s="292">
        <f>SUM(C16:D16)</f>
        <v>1235320</v>
      </c>
      <c r="F16" s="523" t="s">
        <v>238</v>
      </c>
      <c r="G16" s="292">
        <f>'pü.mérleg Önkorm.'!G16</f>
        <v>8000</v>
      </c>
      <c r="H16" s="292">
        <f>'pü.mérleg Önkorm.'!H16+'pü.mérleg Hivatal'!I18+'püm. GAMESZ. '!H18+püm.Brunszvik!H18+'püm-TASZII.'!H18</f>
        <v>52874</v>
      </c>
      <c r="I16" s="491">
        <f>'pü.mérleg Önkorm.'!I16+'pü.mérleg Hivatal'!J18</f>
        <v>60874</v>
      </c>
      <c r="J16" s="159" t="e">
        <f>'pü.mérleg Önkorm.'!#REF!</f>
        <v>#REF!</v>
      </c>
      <c r="K16" s="159" t="e">
        <f>'pü.mérleg Önkorm.'!#REF!</f>
        <v>#REF!</v>
      </c>
      <c r="L16" s="159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71" t="s">
        <v>40</v>
      </c>
      <c r="C17" s="304">
        <f>'pü.mérleg Önkorm.'!C17+'püm. GAMESZ. '!C19+püm.Brunszvik!C19+'püm-TASZII.'!C19+'pü.mérleg Hivatal'!D18+püm.Brunszvik!C19</f>
        <v>0</v>
      </c>
      <c r="D17" s="374"/>
      <c r="E17" s="374"/>
      <c r="F17" s="523" t="s">
        <v>239</v>
      </c>
      <c r="G17" s="292">
        <f>'pü.mérleg Önkorm.'!G17</f>
        <v>314149</v>
      </c>
      <c r="H17" s="292">
        <f>'pü.mérleg Önkorm.'!H17</f>
        <v>35901</v>
      </c>
      <c r="I17" s="491">
        <f>'pü.mérleg Önkorm.'!I17</f>
        <v>350050</v>
      </c>
      <c r="J17" s="159" t="e">
        <f>'pü.mérleg Önkorm.'!#REF!</f>
        <v>#REF!</v>
      </c>
      <c r="K17" s="159" t="e">
        <f>'pü.mérleg Önkorm.'!#REF!</f>
        <v>#REF!</v>
      </c>
      <c r="L17" s="159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71"/>
      <c r="C18" s="304"/>
      <c r="D18" s="374"/>
      <c r="E18" s="374"/>
      <c r="F18" s="523" t="s">
        <v>240</v>
      </c>
      <c r="G18" s="292">
        <f>'pü.mérleg Önkorm.'!G18+'pü.mérleg Hivatal'!H20+'püm. GAMESZ. '!G20+püm.Brunszvik!G20+'püm Festetics'!G20+'püm-TASZII.'!G20</f>
        <v>451</v>
      </c>
      <c r="H18" s="292">
        <f>'pü.mérleg Önkorm.'!H18+'pü.mérleg Hivatal'!I20+'püm. GAMESZ. '!H20+püm.Brunszvik!H20+'püm Festetics'!H20+'püm-TASZII.'!H20</f>
        <v>36</v>
      </c>
      <c r="I18" s="292">
        <f>'pü.mérleg Önkorm.'!I18+'pü.mérleg Hivatal'!J20+'püm. GAMESZ. '!I20+püm.Brunszvik!I20+'püm Festetics'!I20+'püm-TASZII.'!I20</f>
        <v>487</v>
      </c>
      <c r="J18" s="120">
        <f>'pü.mérleg Önkorm.'!J18+'pü.mérleg Hivatal'!K20+'püm. GAMESZ. '!J20+püm.Brunszvik!J20+'püm Festetics'!J20+'püm-TASZII.'!J20</f>
        <v>0</v>
      </c>
      <c r="K18" s="120">
        <f>'pü.mérleg Önkorm.'!K18+'pü.mérleg Hivatal'!L20+'püm. GAMESZ. '!K20+püm.Brunszvik!K20+'püm Festetics'!K20+'püm-TASZII.'!K20</f>
        <v>0</v>
      </c>
      <c r="L18" s="120">
        <f>'pü.mérleg Önkorm.'!L18+'pü.mérleg Hivatal'!M20+'püm. GAMESZ. '!L20+püm.Brunszvik!L20+'püm Festetics'!L20+'püm-TASZII.'!L20</f>
        <v>0</v>
      </c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17" t="s">
        <v>212</v>
      </c>
      <c r="C19" s="304">
        <f>'pü.mérleg Önkorm.'!C19+'pü.mérleg Hivatal'!D20+'püm. GAMESZ. '!C20+püm.Brunszvik!C20+'püm-TASZII.'!C20+'püm Festetics'!C20</f>
        <v>164294</v>
      </c>
      <c r="D19" s="304">
        <f>'pü.mérleg Önkorm.'!D19+'pü.mérleg Hivatal'!E20+'püm. GAMESZ. '!D20+püm.Brunszvik!D20+'püm-TASZII.'!D20+'püm Festetics'!D20</f>
        <v>190962</v>
      </c>
      <c r="E19" s="304">
        <f>SUM(C19:D19)</f>
        <v>355256</v>
      </c>
      <c r="F19" s="523" t="s">
        <v>241</v>
      </c>
      <c r="G19" s="292"/>
      <c r="H19" s="292">
        <f>'pü.mérleg Önkorm.'!H19</f>
        <v>30817</v>
      </c>
      <c r="I19" s="490">
        <f>SUM(G19:H19)</f>
        <v>30817</v>
      </c>
      <c r="J19" s="181"/>
      <c r="Q19" s="10"/>
      <c r="R19" s="10"/>
      <c r="S19" s="10"/>
      <c r="T19" s="10"/>
      <c r="U19" s="10"/>
      <c r="V19" s="10"/>
    </row>
    <row r="20" spans="1:22" x14ac:dyDescent="0.2">
      <c r="A20" s="165">
        <f t="shared" si="0"/>
        <v>12</v>
      </c>
      <c r="C20" s="374"/>
      <c r="D20" s="374"/>
      <c r="E20" s="374"/>
      <c r="F20" s="523" t="s">
        <v>242</v>
      </c>
      <c r="G20" s="292">
        <f>'pü.mérleg Önkorm.'!G20</f>
        <v>5909</v>
      </c>
      <c r="H20" s="292">
        <f>'pü.mérleg Önkorm.'!H20</f>
        <v>0</v>
      </c>
      <c r="I20" s="490">
        <f>SUM(G20:H20)</f>
        <v>5909</v>
      </c>
      <c r="J20" s="181"/>
      <c r="Q20" s="10"/>
      <c r="R20" s="10"/>
      <c r="S20" s="10"/>
      <c r="T20" s="10"/>
      <c r="U20" s="10"/>
      <c r="V20" s="10"/>
    </row>
    <row r="21" spans="1:22" s="125" customFormat="1" x14ac:dyDescent="0.2">
      <c r="A21" s="165">
        <f t="shared" si="0"/>
        <v>13</v>
      </c>
      <c r="B21" s="158" t="s">
        <v>214</v>
      </c>
      <c r="C21" s="374"/>
      <c r="D21" s="374"/>
      <c r="E21" s="374"/>
      <c r="F21" s="636"/>
      <c r="G21" s="299"/>
      <c r="H21" s="299"/>
      <c r="I21" s="492"/>
      <c r="J21" s="668"/>
      <c r="K21" s="192"/>
      <c r="L21" s="192"/>
      <c r="M21" s="192"/>
      <c r="N21" s="192"/>
      <c r="O21" s="192"/>
      <c r="P21" s="192"/>
    </row>
    <row r="22" spans="1:22" s="125" customFormat="1" x14ac:dyDescent="0.2">
      <c r="A22" s="165">
        <f t="shared" si="0"/>
        <v>14</v>
      </c>
      <c r="B22" s="158" t="s">
        <v>213</v>
      </c>
      <c r="C22" s="374"/>
      <c r="D22" s="374"/>
      <c r="E22" s="374"/>
      <c r="F22" s="636"/>
      <c r="G22" s="299"/>
      <c r="H22" s="299"/>
      <c r="I22" s="492"/>
      <c r="J22" s="668"/>
      <c r="K22" s="192"/>
      <c r="L22" s="192"/>
      <c r="M22" s="192"/>
      <c r="N22" s="192"/>
      <c r="O22" s="192"/>
      <c r="P22" s="192"/>
    </row>
    <row r="23" spans="1:22" x14ac:dyDescent="0.2">
      <c r="A23" s="165">
        <f t="shared" si="0"/>
        <v>15</v>
      </c>
      <c r="B23" s="168" t="s">
        <v>216</v>
      </c>
      <c r="C23" s="965"/>
      <c r="D23" s="965">
        <f>'pü.mérleg Önkorm.'!D23+'pü.mérleg Hivatal'!E24+'püm. GAMESZ. '!D24+püm.Brunszvik!D24+'püm-TASZII.'!D24</f>
        <v>1070</v>
      </c>
      <c r="E23" s="374">
        <f>SUM(C23:D23)</f>
        <v>1070</v>
      </c>
      <c r="F23" s="966" t="s">
        <v>66</v>
      </c>
      <c r="G23" s="375">
        <f>SUM(G10:G21)</f>
        <v>1530141</v>
      </c>
      <c r="H23" s="375">
        <f>SUM(H10:H21)</f>
        <v>1000620</v>
      </c>
      <c r="I23" s="493">
        <f>SUM(I10:I21)</f>
        <v>2530761</v>
      </c>
      <c r="J23" s="159" t="e">
        <f>'pü.mérleg Önkorm.'!#REF!+'pü.mérleg Hivatal'!#REF!+'püm. GAMESZ. '!#REF!+püm.Brunszvik!#REF!+'püm-TASZII.'!#REF!</f>
        <v>#REF!</v>
      </c>
      <c r="K23" s="159" t="e">
        <f>'pü.mérleg Önkorm.'!#REF!+'pü.mérleg Hivatal'!#REF!+'püm. GAMESZ. '!#REF!+püm.Brunszvik!#REF!+'püm-TASZII.'!#REF!</f>
        <v>#REF!</v>
      </c>
      <c r="L23" s="159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68" t="s">
        <v>217</v>
      </c>
      <c r="C24" s="374">
        <f>'felh. bev.  '!D14+'felh. bev.  '!D44</f>
        <v>945</v>
      </c>
      <c r="D24" s="374">
        <f>'felh. bev.  '!E14+'felh. bev.  '!E44</f>
        <v>0</v>
      </c>
      <c r="E24" s="374">
        <f>'felh. bev.  '!F14+'felh. bev.  '!F44</f>
        <v>945</v>
      </c>
      <c r="F24" s="636"/>
      <c r="G24" s="299"/>
      <c r="H24" s="299"/>
      <c r="I24" s="492"/>
      <c r="J24" s="181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17" t="s">
        <v>218</v>
      </c>
      <c r="C25" s="671"/>
      <c r="D25" s="292">
        <f>'pü.mérleg Önkorm.'!D25</f>
        <v>2270</v>
      </c>
      <c r="E25" s="374">
        <f>SUM(C25:D25)</f>
        <v>2270</v>
      </c>
      <c r="F25" s="967" t="s">
        <v>243</v>
      </c>
      <c r="G25" s="377"/>
      <c r="H25" s="377"/>
      <c r="I25" s="492"/>
      <c r="J25" s="181"/>
      <c r="Q25" s="10"/>
      <c r="R25" s="10"/>
      <c r="S25" s="10"/>
      <c r="T25" s="10"/>
      <c r="U25" s="10"/>
      <c r="V25" s="10"/>
    </row>
    <row r="26" spans="1:22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244</v>
      </c>
      <c r="G26" s="299">
        <f>'pü.mérleg Önkorm.'!G26+'pü.mérleg Hivatal'!H27+'püm. GAMESZ. '!G27+'püm-TASZII.'!G27+püm.Brunszvik!G27+'püm Festetics'!G27</f>
        <v>1965469</v>
      </c>
      <c r="H26" s="299">
        <f>'pü.mérleg Önkorm.'!H26+'pü.mérleg Hivatal'!I27+'püm. GAMESZ. '!H27+'püm-TASZII.'!H27+'püm Festetics'!H27</f>
        <v>100437.12</v>
      </c>
      <c r="I26" s="492">
        <f>SUM(G26:H26)</f>
        <v>2065906.12</v>
      </c>
      <c r="J26" s="159" t="e">
        <f>'pü.mérleg Önkorm.'!#REF!+'pü.mérleg Hivatal'!#REF!+'püm. GAMESZ. '!#REF!+püm.Brunszvik!#REF!+'püm-TASZII.'!#REF!</f>
        <v>#REF!</v>
      </c>
      <c r="K26" s="159" t="e">
        <f>'pü.mérleg Önkorm.'!#REF!+'pü.mérleg Hivatal'!#REF!+'püm. GAMESZ. '!#REF!+püm.Brunszvik!#REF!+'püm-TASZII.'!#REF!</f>
        <v>#REF!</v>
      </c>
      <c r="L26" s="159" t="e">
        <f>'pü.mérleg Önkorm.'!#REF!+'pü.mérleg Hivatal'!#REF!+'püm. GAMESZ. '!#REF!+püm.Brunszvik!#REF!+'püm-TASZII.'!#REF!</f>
        <v>#REF!</v>
      </c>
      <c r="M26" s="159"/>
      <c r="N26" s="159"/>
      <c r="Q26" s="10"/>
      <c r="R26" s="10"/>
      <c r="S26" s="10"/>
      <c r="T26" s="10"/>
      <c r="U26" s="10"/>
      <c r="V26" s="10"/>
    </row>
    <row r="27" spans="1:22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'!G27</f>
        <v>27542</v>
      </c>
      <c r="H27" s="299">
        <f>'felhalm. kiad.  '!H27</f>
        <v>7412</v>
      </c>
      <c r="I27" s="492">
        <f>SUM(G27:H27)</f>
        <v>34954</v>
      </c>
      <c r="J27" s="181"/>
      <c r="Q27" s="10"/>
      <c r="R27" s="10"/>
      <c r="S27" s="10"/>
      <c r="T27" s="10"/>
      <c r="U27" s="10"/>
      <c r="V27" s="10"/>
    </row>
    <row r="28" spans="1:22" x14ac:dyDescent="0.2">
      <c r="A28" s="165">
        <f t="shared" si="0"/>
        <v>20</v>
      </c>
      <c r="B28" s="158" t="s">
        <v>220</v>
      </c>
      <c r="C28" s="292">
        <f>'tám, végl. pe.átv  '!C50</f>
        <v>0</v>
      </c>
      <c r="D28" s="292">
        <f>'tám, végl. pe.átv  '!D50</f>
        <v>2134</v>
      </c>
      <c r="E28" s="292">
        <f>'tám, végl. pe.átv  '!E50</f>
        <v>2134</v>
      </c>
      <c r="F28" s="523" t="s">
        <v>246</v>
      </c>
      <c r="G28" s="299"/>
      <c r="H28" s="299"/>
      <c r="I28" s="492">
        <f>SUM(G28:H28)</f>
        <v>0</v>
      </c>
      <c r="J28" s="181"/>
      <c r="Q28" s="10"/>
      <c r="R28" s="10"/>
      <c r="S28" s="10"/>
      <c r="T28" s="10"/>
      <c r="U28" s="10"/>
      <c r="V28" s="10"/>
    </row>
    <row r="29" spans="1:22" s="125" customFormat="1" x14ac:dyDescent="0.2">
      <c r="A29" s="165">
        <f t="shared" si="0"/>
        <v>21</v>
      </c>
      <c r="B29" s="158" t="s">
        <v>221</v>
      </c>
      <c r="C29" s="292">
        <f>'felh. bev.  '!D32+'felh. bev.  '!D38</f>
        <v>0</v>
      </c>
      <c r="D29" s="292">
        <f>'felh. bev.  '!E32+'felh. bev.  '!E38</f>
        <v>3162</v>
      </c>
      <c r="E29" s="292">
        <f>'felh. bev.  '!F32+'felh. bev.  '!F38</f>
        <v>3162</v>
      </c>
      <c r="F29" s="964" t="s">
        <v>248</v>
      </c>
      <c r="G29" s="299">
        <f>'felhalm. kiad.  '!G96</f>
        <v>0</v>
      </c>
      <c r="H29" s="299">
        <f>'felhalm. kiad.  '!H96</f>
        <v>50</v>
      </c>
      <c r="I29" s="492">
        <f>SUM(G29:H29)</f>
        <v>50</v>
      </c>
      <c r="J29" s="668"/>
      <c r="K29" s="192"/>
      <c r="L29" s="192"/>
      <c r="M29" s="192"/>
      <c r="N29" s="192"/>
      <c r="O29" s="192"/>
      <c r="P29" s="192"/>
    </row>
    <row r="30" spans="1:22" x14ac:dyDescent="0.2">
      <c r="A30" s="165">
        <f t="shared" si="0"/>
        <v>22</v>
      </c>
      <c r="C30" s="292"/>
      <c r="D30" s="292"/>
      <c r="E30" s="292"/>
      <c r="F30" s="964" t="s">
        <v>299</v>
      </c>
      <c r="G30" s="299">
        <f>'pü.mérleg Önkorm.'!G30+'pü.mérleg Hivatal'!H31+'püm. GAMESZ. '!G31+'püm-TASZII.'!G31</f>
        <v>90531</v>
      </c>
      <c r="H30" s="299">
        <f>'pü.mérleg Önkorm.'!H30+'pü.mérleg Hivatal'!I31+'püm. GAMESZ. '!H31+'püm-TASZII.'!H31</f>
        <v>15232</v>
      </c>
      <c r="I30" s="492">
        <f>SUM(G30:H30)</f>
        <v>105763</v>
      </c>
      <c r="J30" s="159" t="e">
        <f>'pü.mérleg Önkorm.'!#REF!+'pü.mérleg Hivatal'!#REF!+'püm. GAMESZ. '!#REF!</f>
        <v>#REF!</v>
      </c>
      <c r="K30" s="159" t="e">
        <f>'pü.mérleg Önkorm.'!#REF!+'pü.mérleg Hivatal'!#REF!+'püm. GAMESZ. '!#REF!</f>
        <v>#REF!</v>
      </c>
      <c r="L30" s="159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5">
        <f t="shared" si="0"/>
        <v>23</v>
      </c>
      <c r="B31" s="175" t="s">
        <v>52</v>
      </c>
      <c r="C31" s="374">
        <f>C12+C19+C11+C16+C13+C28</f>
        <v>1474529</v>
      </c>
      <c r="D31" s="374">
        <f>D12+D19+D11+D16+D13+D28</f>
        <v>952338</v>
      </c>
      <c r="E31" s="374">
        <f>E12+E19+E11+E16+E13+E28</f>
        <v>2426867</v>
      </c>
      <c r="F31" s="523" t="s">
        <v>300</v>
      </c>
      <c r="G31" s="297">
        <f>tartalék!C17</f>
        <v>154958</v>
      </c>
      <c r="H31" s="297">
        <f>tartalék!D17</f>
        <v>0</v>
      </c>
      <c r="I31" s="492">
        <f>tartalék!E17</f>
        <v>154958</v>
      </c>
      <c r="J31" s="179"/>
      <c r="K31" s="184"/>
      <c r="L31" s="184"/>
      <c r="M31" s="184"/>
      <c r="N31" s="184"/>
      <c r="O31" s="184"/>
      <c r="P31" s="184"/>
    </row>
    <row r="32" spans="1:22" x14ac:dyDescent="0.2">
      <c r="A32" s="165">
        <f t="shared" si="0"/>
        <v>24</v>
      </c>
      <c r="B32" s="171" t="s">
        <v>67</v>
      </c>
      <c r="C32" s="968">
        <f>C14+C22+C23+C24+C25+C26+C29</f>
        <v>426396</v>
      </c>
      <c r="D32" s="968">
        <f>D14+D22+D23+D24+D25+D26+D29</f>
        <v>58657</v>
      </c>
      <c r="E32" s="968">
        <f>E14+E22+E23+E24+E25+E26+E29</f>
        <v>485053</v>
      </c>
      <c r="F32" s="936" t="s">
        <v>68</v>
      </c>
      <c r="G32" s="375">
        <f>SUM(G26:G31)</f>
        <v>2238500</v>
      </c>
      <c r="H32" s="375">
        <f>SUM(H26:H31)</f>
        <v>123131.12</v>
      </c>
      <c r="I32" s="493">
        <f>SUM(I26:I31)</f>
        <v>2361631.12</v>
      </c>
      <c r="J32" s="159" t="e">
        <f>'pü.mérleg Önkorm.'!#REF!+'pü.mérleg Hivatal'!#REF!+'püm. GAMESZ. '!#REF!+püm.Brunszvik!#REF!+'püm-TASZII.'!#REF!</f>
        <v>#REF!</v>
      </c>
      <c r="K32" s="159" t="e">
        <f>'pü.mérleg Önkorm.'!#REF!+'pü.mérleg Hivatal'!#REF!+'püm. GAMESZ. '!#REF!+püm.Brunszvik!#REF!+'püm-TASZII.'!#REF!</f>
        <v>#REF!</v>
      </c>
      <c r="L32" s="159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79" t="s">
        <v>51</v>
      </c>
      <c r="C33" s="671">
        <f>SUM(C31:C32)</f>
        <v>1900925</v>
      </c>
      <c r="D33" s="671">
        <f>SUM(D31:D32)</f>
        <v>1010995</v>
      </c>
      <c r="E33" s="671">
        <f>SUM(C33:D33)</f>
        <v>2911920</v>
      </c>
      <c r="F33" s="969" t="s">
        <v>69</v>
      </c>
      <c r="G33" s="377">
        <f>G23+G32</f>
        <v>3768641</v>
      </c>
      <c r="H33" s="377">
        <f>H23+H32</f>
        <v>1123751.1200000001</v>
      </c>
      <c r="I33" s="465">
        <f>I23+I32</f>
        <v>4892392.12</v>
      </c>
      <c r="J33" s="181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81"/>
      <c r="C34" s="292"/>
      <c r="D34" s="292"/>
      <c r="E34" s="292"/>
      <c r="F34" s="636"/>
      <c r="G34" s="299"/>
      <c r="H34" s="299"/>
      <c r="I34" s="492"/>
      <c r="J34" s="181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824" t="s">
        <v>23</v>
      </c>
      <c r="C35" s="292">
        <f>C33-G33</f>
        <v>-1867716</v>
      </c>
      <c r="D35" s="292">
        <f t="shared" ref="D35:E35" si="1">D33-H33</f>
        <v>-112756.12000000011</v>
      </c>
      <c r="E35" s="292">
        <f t="shared" si="1"/>
        <v>-1980472.12</v>
      </c>
      <c r="F35" s="966"/>
      <c r="G35" s="375"/>
      <c r="H35" s="375"/>
      <c r="I35" s="493"/>
      <c r="J35" s="181"/>
      <c r="Q35" s="10"/>
      <c r="R35" s="10"/>
      <c r="S35" s="10"/>
      <c r="T35" s="10"/>
      <c r="U35" s="10"/>
      <c r="V35" s="10"/>
    </row>
    <row r="36" spans="1:22" s="11" customFormat="1" x14ac:dyDescent="0.2">
      <c r="A36" s="165">
        <f t="shared" si="0"/>
        <v>28</v>
      </c>
      <c r="B36" s="181"/>
      <c r="C36" s="292"/>
      <c r="D36" s="292"/>
      <c r="E36" s="292"/>
      <c r="F36" s="636"/>
      <c r="G36" s="299"/>
      <c r="H36" s="299"/>
      <c r="I36" s="492"/>
      <c r="J36" s="179"/>
      <c r="K36" s="184"/>
      <c r="L36" s="184"/>
      <c r="M36" s="184"/>
      <c r="N36" s="184"/>
      <c r="O36" s="184"/>
      <c r="P36" s="184"/>
    </row>
    <row r="37" spans="1:22" s="11" customFormat="1" x14ac:dyDescent="0.2">
      <c r="A37" s="825">
        <f t="shared" si="0"/>
        <v>29</v>
      </c>
      <c r="B37" s="127" t="s">
        <v>222</v>
      </c>
      <c r="C37" s="671"/>
      <c r="D37" s="671"/>
      <c r="E37" s="671"/>
      <c r="F37" s="967" t="s">
        <v>249</v>
      </c>
      <c r="G37" s="377"/>
      <c r="H37" s="377"/>
      <c r="I37" s="465"/>
      <c r="J37" s="179"/>
      <c r="K37" s="184"/>
      <c r="L37" s="184"/>
      <c r="M37" s="184"/>
      <c r="N37" s="184"/>
      <c r="O37" s="184"/>
      <c r="P37" s="184"/>
    </row>
    <row r="38" spans="1:22" s="11" customFormat="1" x14ac:dyDescent="0.2">
      <c r="A38" s="165">
        <f t="shared" si="0"/>
        <v>30</v>
      </c>
      <c r="B38" s="137" t="s">
        <v>223</v>
      </c>
      <c r="C38" s="671"/>
      <c r="D38" s="671"/>
      <c r="E38" s="671"/>
      <c r="F38" s="970" t="s">
        <v>250</v>
      </c>
      <c r="G38" s="193"/>
      <c r="I38" s="495"/>
      <c r="J38" s="179"/>
      <c r="K38" s="184"/>
      <c r="L38" s="184"/>
      <c r="M38" s="184"/>
      <c r="N38" s="184"/>
      <c r="O38" s="184"/>
      <c r="P38" s="184"/>
    </row>
    <row r="39" spans="1:22" s="11" customFormat="1" ht="21.75" x14ac:dyDescent="0.2">
      <c r="A39" s="165">
        <f t="shared" si="0"/>
        <v>31</v>
      </c>
      <c r="B39" s="14" t="s">
        <v>1252</v>
      </c>
      <c r="C39" s="292">
        <f>'pü.mérleg Önkorm.'!C39</f>
        <v>1243160</v>
      </c>
      <c r="D39" s="292">
        <f>'pü.mérleg Önkorm.'!D39</f>
        <v>0</v>
      </c>
      <c r="E39" s="292">
        <f>'pü.mérleg Önkorm.'!E39</f>
        <v>1243160</v>
      </c>
      <c r="F39" s="194" t="s">
        <v>1138</v>
      </c>
      <c r="G39" s="377"/>
      <c r="H39" s="377"/>
      <c r="I39" s="465"/>
      <c r="J39" s="179"/>
      <c r="K39" s="184"/>
      <c r="L39" s="184"/>
      <c r="M39" s="184"/>
      <c r="N39" s="184"/>
      <c r="O39" s="184"/>
      <c r="P39" s="184"/>
    </row>
    <row r="40" spans="1:22" x14ac:dyDescent="0.2">
      <c r="A40" s="165">
        <f t="shared" si="0"/>
        <v>32</v>
      </c>
      <c r="B40" s="119" t="s">
        <v>224</v>
      </c>
      <c r="C40" s="971"/>
      <c r="D40" s="972">
        <f>'pü.mérleg Önkorm.'!D40</f>
        <v>0</v>
      </c>
      <c r="E40" s="972">
        <f>SUM(C40:D40)</f>
        <v>0</v>
      </c>
      <c r="F40" s="523" t="s">
        <v>251</v>
      </c>
      <c r="G40" s="377"/>
      <c r="H40" s="377"/>
      <c r="I40" s="465"/>
      <c r="J40" s="181"/>
      <c r="Q40" s="10"/>
      <c r="R40" s="10"/>
      <c r="S40" s="10"/>
      <c r="T40" s="10"/>
      <c r="U40" s="10"/>
      <c r="V40" s="10"/>
    </row>
    <row r="41" spans="1:22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252</v>
      </c>
      <c r="G41" s="193"/>
      <c r="H41" s="193"/>
      <c r="I41" s="465"/>
      <c r="J41" s="181"/>
      <c r="Q41" s="10"/>
      <c r="R41" s="10"/>
      <c r="S41" s="10"/>
      <c r="T41" s="10"/>
      <c r="U41" s="10"/>
      <c r="V41" s="10"/>
    </row>
    <row r="42" spans="1:22" x14ac:dyDescent="0.2">
      <c r="A42" s="165">
        <f t="shared" si="0"/>
        <v>34</v>
      </c>
      <c r="B42" s="600" t="s">
        <v>1066</v>
      </c>
      <c r="C42" s="292">
        <f>'pü.mérleg Önkorm.'!C42+'pü.mérleg Hivatal'!D43+'püm. GAMESZ. '!C43+püm.Brunszvik!C43+'püm-TASZII.'!C43+'püm Festetics'!C43</f>
        <v>648582</v>
      </c>
      <c r="D42" s="292">
        <f>'pü.mérleg Önkorm.'!D42+'pü.mérleg Hivatal'!E43+'püm. GAMESZ. '!D43+püm.Brunszvik!D43+'püm-TASZII.'!D43+'püm Festetics'!D43</f>
        <v>115463</v>
      </c>
      <c r="E42" s="292">
        <f>'pü.mérleg Önkorm.'!E42+'pü.mérleg Hivatal'!F43+'püm. GAMESZ. '!E43+püm.Brunszvik!E43+'püm-TASZII.'!E43+'püm Festetics'!E43</f>
        <v>764045</v>
      </c>
      <c r="F42" s="523" t="s">
        <v>253</v>
      </c>
      <c r="G42" s="193"/>
      <c r="H42" s="193"/>
      <c r="I42" s="465"/>
      <c r="J42" s="181"/>
      <c r="Q42" s="10"/>
      <c r="R42" s="10"/>
      <c r="S42" s="10"/>
      <c r="T42" s="10"/>
      <c r="U42" s="10"/>
      <c r="V42" s="10"/>
    </row>
    <row r="43" spans="1:22" x14ac:dyDescent="0.2">
      <c r="A43" s="165">
        <f t="shared" si="0"/>
        <v>35</v>
      </c>
      <c r="B43" s="600" t="s">
        <v>1146</v>
      </c>
      <c r="C43" s="292">
        <f>'püm Festetics'!C44</f>
        <v>0</v>
      </c>
      <c r="D43" s="292">
        <f>'püm Festetics'!D44</f>
        <v>355</v>
      </c>
      <c r="E43" s="292">
        <f>'püm Festetics'!E44</f>
        <v>355</v>
      </c>
      <c r="F43" s="523"/>
      <c r="G43" s="193"/>
      <c r="H43" s="193"/>
      <c r="I43" s="465"/>
      <c r="J43" s="181"/>
      <c r="Q43" s="10"/>
      <c r="R43" s="10"/>
      <c r="S43" s="10"/>
      <c r="T43" s="10"/>
      <c r="U43" s="10"/>
      <c r="V43" s="10"/>
    </row>
    <row r="44" spans="1:22" x14ac:dyDescent="0.2">
      <c r="A44" s="165">
        <f t="shared" si="0"/>
        <v>36</v>
      </c>
      <c r="B44" s="120" t="s">
        <v>227</v>
      </c>
      <c r="C44" s="292"/>
      <c r="D44" s="292"/>
      <c r="E44" s="292"/>
      <c r="F44" s="523" t="s">
        <v>254</v>
      </c>
      <c r="G44" s="377"/>
      <c r="H44" s="377"/>
      <c r="I44" s="492"/>
      <c r="J44" s="181"/>
      <c r="Q44" s="10"/>
      <c r="R44" s="10"/>
      <c r="S44" s="10"/>
      <c r="T44" s="10"/>
      <c r="U44" s="10"/>
      <c r="V44" s="10"/>
    </row>
    <row r="45" spans="1:22" x14ac:dyDescent="0.2">
      <c r="A45" s="165">
        <f t="shared" si="0"/>
        <v>37</v>
      </c>
      <c r="B45" s="120" t="s">
        <v>228</v>
      </c>
      <c r="C45" s="671"/>
      <c r="D45" s="671"/>
      <c r="E45" s="671"/>
      <c r="F45" s="964" t="s">
        <v>255</v>
      </c>
      <c r="G45" s="299">
        <f>'pü.mérleg Önkorm.'!G45</f>
        <v>24026</v>
      </c>
      <c r="H45" s="299">
        <f>'pü.mérleg Önkorm.'!H45</f>
        <v>3062</v>
      </c>
      <c r="I45" s="492">
        <f>'pü.mérleg Önkorm.'!I45</f>
        <v>27088</v>
      </c>
      <c r="J45" s="181"/>
      <c r="Q45" s="10"/>
      <c r="R45" s="10"/>
      <c r="S45" s="10"/>
      <c r="T45" s="10"/>
      <c r="U45" s="10"/>
      <c r="V45" s="10"/>
    </row>
    <row r="46" spans="1:22" x14ac:dyDescent="0.2">
      <c r="A46" s="165">
        <f t="shared" si="0"/>
        <v>38</v>
      </c>
      <c r="B46" s="119" t="s">
        <v>229</v>
      </c>
      <c r="C46" s="292"/>
      <c r="D46" s="292"/>
      <c r="E46" s="292"/>
      <c r="F46" s="523" t="s">
        <v>256</v>
      </c>
      <c r="G46" s="299"/>
      <c r="H46" s="299"/>
      <c r="I46" s="492"/>
      <c r="J46" s="181"/>
      <c r="Q46" s="10"/>
      <c r="R46" s="10"/>
      <c r="S46" s="10"/>
      <c r="T46" s="10"/>
      <c r="U46" s="10"/>
      <c r="V46" s="10"/>
    </row>
    <row r="47" spans="1:22" x14ac:dyDescent="0.2">
      <c r="A47" s="165">
        <f t="shared" si="0"/>
        <v>39</v>
      </c>
      <c r="B47" s="562" t="s">
        <v>230</v>
      </c>
      <c r="C47" s="292"/>
      <c r="D47" s="292"/>
      <c r="E47" s="292"/>
      <c r="F47" s="523" t="s">
        <v>257</v>
      </c>
      <c r="G47" s="299"/>
      <c r="H47" s="299"/>
      <c r="I47" s="492"/>
      <c r="J47" s="181"/>
      <c r="Q47" s="10"/>
      <c r="R47" s="10"/>
      <c r="S47" s="10"/>
      <c r="T47" s="10"/>
      <c r="U47" s="10"/>
      <c r="V47" s="10"/>
    </row>
    <row r="48" spans="1:22" x14ac:dyDescent="0.2">
      <c r="A48" s="165">
        <f t="shared" si="0"/>
        <v>40</v>
      </c>
      <c r="B48" s="562" t="s">
        <v>231</v>
      </c>
      <c r="C48" s="292"/>
      <c r="D48" s="292"/>
      <c r="E48" s="292"/>
      <c r="F48" s="523" t="s">
        <v>258</v>
      </c>
      <c r="G48" s="299"/>
      <c r="H48" s="299"/>
      <c r="I48" s="492"/>
      <c r="J48" s="181"/>
      <c r="Q48" s="10"/>
      <c r="R48" s="10"/>
      <c r="S48" s="10"/>
      <c r="T48" s="10"/>
      <c r="U48" s="10"/>
      <c r="V48" s="10"/>
    </row>
    <row r="49" spans="1:22" x14ac:dyDescent="0.2">
      <c r="A49" s="165">
        <f t="shared" si="0"/>
        <v>41</v>
      </c>
      <c r="B49" s="119" t="s">
        <v>232</v>
      </c>
      <c r="C49" s="292">
        <f>'pü.mérleg Önkorm.'!C49</f>
        <v>0</v>
      </c>
      <c r="D49" s="292">
        <f>'pü.mérleg Önkorm.'!D49</f>
        <v>0</v>
      </c>
      <c r="E49" s="292">
        <f>SUM(C49:D49)</f>
        <v>0</v>
      </c>
      <c r="F49" s="523" t="s">
        <v>259</v>
      </c>
      <c r="G49" s="299"/>
      <c r="H49" s="299"/>
      <c r="I49" s="492"/>
      <c r="J49" s="181"/>
      <c r="Q49" s="10"/>
      <c r="R49" s="10"/>
      <c r="S49" s="10"/>
      <c r="T49" s="10"/>
      <c r="U49" s="10"/>
      <c r="V49" s="10"/>
    </row>
    <row r="50" spans="1:22" x14ac:dyDescent="0.2">
      <c r="A50" s="165">
        <f t="shared" si="0"/>
        <v>42</v>
      </c>
      <c r="B50" s="119"/>
      <c r="C50" s="292"/>
      <c r="D50" s="292"/>
      <c r="E50" s="292"/>
      <c r="F50" s="523" t="s">
        <v>260</v>
      </c>
      <c r="G50" s="299"/>
      <c r="H50" s="299"/>
      <c r="I50" s="492"/>
      <c r="J50" s="181"/>
      <c r="Q50" s="10"/>
      <c r="R50" s="10"/>
      <c r="S50" s="10"/>
      <c r="T50" s="10"/>
      <c r="U50" s="10"/>
      <c r="V50" s="10"/>
    </row>
    <row r="51" spans="1:22" x14ac:dyDescent="0.2">
      <c r="A51" s="165">
        <f t="shared" si="0"/>
        <v>43</v>
      </c>
      <c r="B51" s="119"/>
      <c r="C51" s="292"/>
      <c r="D51" s="292"/>
      <c r="E51" s="292"/>
      <c r="F51" s="523" t="s">
        <v>261</v>
      </c>
      <c r="G51" s="299"/>
      <c r="H51" s="299"/>
      <c r="I51" s="492"/>
      <c r="J51" s="181"/>
      <c r="Q51" s="10"/>
      <c r="R51" s="10"/>
      <c r="S51" s="10"/>
      <c r="T51" s="10"/>
      <c r="U51" s="10"/>
      <c r="V51" s="10"/>
    </row>
    <row r="52" spans="1:22" ht="12" thickBot="1" x14ac:dyDescent="0.25">
      <c r="A52" s="165">
        <f t="shared" si="0"/>
        <v>44</v>
      </c>
      <c r="B52" s="179" t="s">
        <v>482</v>
      </c>
      <c r="C52" s="671">
        <f>SUM(C38:C50)</f>
        <v>1891742</v>
      </c>
      <c r="D52" s="671">
        <f>SUM(D38:D50)</f>
        <v>115818</v>
      </c>
      <c r="E52" s="671">
        <f>SUM(E38:E50)</f>
        <v>2007560</v>
      </c>
      <c r="F52" s="967" t="s">
        <v>475</v>
      </c>
      <c r="G52" s="377">
        <f>SUM(G38:G51)</f>
        <v>24026</v>
      </c>
      <c r="H52" s="377">
        <f>SUM(H38:H51)</f>
        <v>3062</v>
      </c>
      <c r="I52" s="465">
        <f>SUM(I38:I51)</f>
        <v>27088</v>
      </c>
      <c r="J52" s="181"/>
      <c r="Q52" s="10"/>
      <c r="R52" s="10"/>
      <c r="S52" s="10"/>
      <c r="T52" s="10"/>
      <c r="U52" s="10"/>
      <c r="V52" s="10"/>
    </row>
    <row r="53" spans="1:22" ht="12" thickBot="1" x14ac:dyDescent="0.25">
      <c r="A53" s="1055">
        <f t="shared" si="0"/>
        <v>45</v>
      </c>
      <c r="B53" s="312" t="s">
        <v>477</v>
      </c>
      <c r="C53" s="1025">
        <f>C33+C52</f>
        <v>3792667</v>
      </c>
      <c r="D53" s="1025">
        <f>D33+D52</f>
        <v>1126813</v>
      </c>
      <c r="E53" s="1026">
        <f>E33+E52</f>
        <v>4919480</v>
      </c>
      <c r="F53" s="619" t="s">
        <v>476</v>
      </c>
      <c r="G53" s="1056">
        <f>G33+G52</f>
        <v>3792667</v>
      </c>
      <c r="H53" s="1056">
        <f>H33+H52</f>
        <v>1126813.1200000001</v>
      </c>
      <c r="I53" s="1057">
        <f>I33+I52</f>
        <v>4919480.12</v>
      </c>
      <c r="J53" s="181"/>
      <c r="Q53" s="10"/>
      <c r="R53" s="10"/>
      <c r="S53" s="10"/>
      <c r="T53" s="10"/>
      <c r="U53" s="10"/>
      <c r="V53" s="10"/>
    </row>
    <row r="54" spans="1:22" x14ac:dyDescent="0.2">
      <c r="B54" s="184"/>
      <c r="C54" s="183"/>
      <c r="D54" s="183"/>
      <c r="E54" s="183"/>
      <c r="F54" s="183"/>
      <c r="G54" s="183"/>
      <c r="H54" s="183"/>
      <c r="I54" s="183"/>
      <c r="T54" s="10"/>
      <c r="U54" s="10"/>
      <c r="V54" s="10"/>
    </row>
    <row r="55" spans="1:22" s="11" customFormat="1" ht="12.75" x14ac:dyDescent="0.2">
      <c r="A55" s="184"/>
      <c r="B55" s="179"/>
      <c r="C55" s="183"/>
      <c r="D55" s="183"/>
      <c r="E55" s="461">
        <f>E53-I53</f>
        <v>-0.12000000011175871</v>
      </c>
      <c r="F55" s="183"/>
      <c r="G55" s="183"/>
      <c r="H55" s="183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N155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37" customWidth="1"/>
    <col min="2" max="2" width="41.42578125" style="35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5" customWidth="1"/>
    <col min="8" max="8" width="7.28515625" style="115" customWidth="1"/>
    <col min="9" max="16384" width="9.140625" style="84"/>
  </cols>
  <sheetData>
    <row r="1" spans="1:9" ht="12.75" customHeight="1" x14ac:dyDescent="0.2">
      <c r="A1" s="1143" t="s">
        <v>1295</v>
      </c>
      <c r="B1" s="1143"/>
      <c r="C1" s="1143"/>
      <c r="D1" s="1143"/>
      <c r="E1" s="1143"/>
      <c r="F1" s="1143"/>
      <c r="G1" s="1119"/>
      <c r="H1" s="1119"/>
    </row>
    <row r="2" spans="1:9" ht="14.1" customHeight="1" x14ac:dyDescent="0.2">
      <c r="A2" s="1144" t="s">
        <v>78</v>
      </c>
      <c r="B2" s="1144"/>
      <c r="C2" s="1144"/>
      <c r="D2" s="1144"/>
      <c r="E2" s="1144"/>
      <c r="F2" s="1144"/>
      <c r="G2" s="1119"/>
      <c r="H2" s="1119"/>
    </row>
    <row r="3" spans="1:9" ht="14.1" customHeight="1" x14ac:dyDescent="0.2">
      <c r="A3" s="355"/>
      <c r="B3" s="1155" t="s">
        <v>167</v>
      </c>
      <c r="C3" s="1155"/>
      <c r="D3" s="1155"/>
      <c r="E3" s="1155"/>
      <c r="F3" s="1155"/>
      <c r="G3" s="1155"/>
      <c r="H3" s="1155"/>
    </row>
    <row r="4" spans="1:9" ht="14.25" customHeight="1" thickBot="1" x14ac:dyDescent="0.25">
      <c r="A4" s="1147" t="s">
        <v>327</v>
      </c>
      <c r="B4" s="1147"/>
      <c r="C4" s="1147"/>
      <c r="D4" s="1147"/>
      <c r="E4" s="1147"/>
      <c r="F4" s="1147"/>
      <c r="G4" s="1148"/>
      <c r="H4" s="1148"/>
    </row>
    <row r="5" spans="1:9" ht="24" customHeight="1" thickBot="1" x14ac:dyDescent="0.25">
      <c r="A5" s="1149" t="s">
        <v>506</v>
      </c>
      <c r="B5" s="352" t="s">
        <v>57</v>
      </c>
      <c r="C5" s="87" t="s">
        <v>58</v>
      </c>
      <c r="D5" s="87" t="s">
        <v>59</v>
      </c>
      <c r="E5" s="87" t="s">
        <v>60</v>
      </c>
      <c r="F5" s="88" t="s">
        <v>507</v>
      </c>
      <c r="G5" s="88" t="s">
        <v>508</v>
      </c>
      <c r="H5" s="569" t="s">
        <v>509</v>
      </c>
    </row>
    <row r="6" spans="1:9" ht="1.9" hidden="1" customHeight="1" thickBot="1" x14ac:dyDescent="0.25">
      <c r="A6" s="1149"/>
      <c r="B6" s="353"/>
      <c r="C6" s="142"/>
      <c r="D6" s="142"/>
      <c r="E6" s="142"/>
      <c r="F6" s="143"/>
    </row>
    <row r="7" spans="1:9" s="277" customFormat="1" ht="23.25" customHeight="1" thickBot="1" x14ac:dyDescent="0.25">
      <c r="A7" s="1149"/>
      <c r="B7" s="353"/>
      <c r="C7" s="142"/>
      <c r="D7" s="1156" t="s">
        <v>345</v>
      </c>
      <c r="E7" s="1157"/>
      <c r="F7" s="1158"/>
      <c r="G7" s="1145" t="s">
        <v>994</v>
      </c>
      <c r="H7" s="1146"/>
    </row>
    <row r="8" spans="1:9" s="83" customFormat="1" ht="30.75" customHeight="1" thickBot="1" x14ac:dyDescent="0.25">
      <c r="A8" s="1149"/>
      <c r="B8" s="1150" t="s">
        <v>86</v>
      </c>
      <c r="C8" s="1150" t="s">
        <v>510</v>
      </c>
      <c r="D8" s="1159" t="s">
        <v>511</v>
      </c>
      <c r="E8" s="1159" t="s">
        <v>512</v>
      </c>
      <c r="F8" s="1152" t="s">
        <v>513</v>
      </c>
      <c r="G8" s="1151" t="s">
        <v>62</v>
      </c>
      <c r="H8" s="1153" t="s">
        <v>63</v>
      </c>
    </row>
    <row r="9" spans="1:9" s="83" customFormat="1" ht="41.25" customHeight="1" thickBot="1" x14ac:dyDescent="0.25">
      <c r="A9" s="1149"/>
      <c r="B9" s="1150"/>
      <c r="C9" s="1150"/>
      <c r="D9" s="1159"/>
      <c r="E9" s="1159"/>
      <c r="F9" s="1152"/>
      <c r="G9" s="1152"/>
      <c r="H9" s="1154"/>
    </row>
    <row r="10" spans="1:9" ht="14.1" customHeight="1" x14ac:dyDescent="0.2">
      <c r="A10" s="131"/>
      <c r="B10" s="89" t="s">
        <v>78</v>
      </c>
      <c r="C10" s="90"/>
      <c r="D10" s="90"/>
      <c r="E10" s="90"/>
      <c r="F10" s="91"/>
      <c r="H10" s="646"/>
      <c r="I10" s="630"/>
    </row>
    <row r="11" spans="1:9" ht="14.1" customHeight="1" x14ac:dyDescent="0.2">
      <c r="A11" s="131"/>
      <c r="B11" s="89"/>
      <c r="C11" s="90"/>
      <c r="D11" s="90"/>
      <c r="E11" s="90"/>
      <c r="F11" s="91"/>
      <c r="H11" s="647"/>
      <c r="I11" s="630"/>
    </row>
    <row r="12" spans="1:9" ht="14.1" customHeight="1" x14ac:dyDescent="0.2">
      <c r="A12" s="333" t="s">
        <v>514</v>
      </c>
      <c r="B12" s="89" t="s">
        <v>515</v>
      </c>
      <c r="C12" s="90"/>
      <c r="D12" s="90"/>
      <c r="E12" s="90"/>
      <c r="F12" s="91"/>
      <c r="H12" s="647"/>
      <c r="I12" s="630"/>
    </row>
    <row r="13" spans="1:9" ht="14.1" customHeight="1" x14ac:dyDescent="0.2">
      <c r="A13" s="291" t="s">
        <v>1023</v>
      </c>
      <c r="B13" s="109" t="s">
        <v>1024</v>
      </c>
      <c r="C13" s="90" t="s">
        <v>517</v>
      </c>
      <c r="D13" s="129">
        <v>1620</v>
      </c>
      <c r="E13" s="129">
        <v>438</v>
      </c>
      <c r="F13" s="107">
        <f>D13+E13</f>
        <v>2058</v>
      </c>
      <c r="G13" s="86">
        <f>F13</f>
        <v>2058</v>
      </c>
      <c r="H13" s="129"/>
      <c r="I13" s="630"/>
    </row>
    <row r="14" spans="1:9" ht="14.1" customHeight="1" x14ac:dyDescent="0.2">
      <c r="A14" s="291" t="s">
        <v>1115</v>
      </c>
      <c r="B14" s="109" t="s">
        <v>1116</v>
      </c>
      <c r="C14" s="502" t="s">
        <v>1091</v>
      </c>
      <c r="D14" s="129">
        <v>0</v>
      </c>
      <c r="E14" s="129">
        <v>0</v>
      </c>
      <c r="F14" s="107">
        <f>D14+E14</f>
        <v>0</v>
      </c>
      <c r="G14" s="86"/>
      <c r="H14" s="129">
        <f>F14</f>
        <v>0</v>
      </c>
      <c r="I14" s="630"/>
    </row>
    <row r="15" spans="1:9" ht="14.1" customHeight="1" x14ac:dyDescent="0.2">
      <c r="A15" s="291" t="s">
        <v>1182</v>
      </c>
      <c r="B15" s="109" t="s">
        <v>1184</v>
      </c>
      <c r="C15" s="502" t="s">
        <v>1091</v>
      </c>
      <c r="D15" s="129">
        <v>4500</v>
      </c>
      <c r="E15" s="129">
        <v>1215</v>
      </c>
      <c r="F15" s="107">
        <f t="shared" ref="F15:F18" si="0">D15+E15</f>
        <v>5715</v>
      </c>
      <c r="G15" s="86">
        <v>5715</v>
      </c>
      <c r="H15" s="129"/>
      <c r="I15" s="630"/>
    </row>
    <row r="16" spans="1:9" ht="14.1" customHeight="1" x14ac:dyDescent="0.2">
      <c r="A16" s="291" t="s">
        <v>1183</v>
      </c>
      <c r="B16" s="109" t="s">
        <v>1185</v>
      </c>
      <c r="C16" s="502" t="s">
        <v>1091</v>
      </c>
      <c r="D16" s="129">
        <v>3000</v>
      </c>
      <c r="E16" s="129">
        <v>810</v>
      </c>
      <c r="F16" s="107">
        <f t="shared" si="0"/>
        <v>3810</v>
      </c>
      <c r="G16" s="86"/>
      <c r="H16" s="129">
        <v>3810</v>
      </c>
      <c r="I16" s="630"/>
    </row>
    <row r="17" spans="1:9" ht="14.1" customHeight="1" x14ac:dyDescent="0.2">
      <c r="A17" s="291" t="s">
        <v>527</v>
      </c>
      <c r="B17" s="109" t="s">
        <v>1267</v>
      </c>
      <c r="C17" s="502" t="s">
        <v>1091</v>
      </c>
      <c r="D17" s="129">
        <v>370</v>
      </c>
      <c r="E17" s="129">
        <v>100</v>
      </c>
      <c r="F17" s="107">
        <f t="shared" si="0"/>
        <v>470</v>
      </c>
      <c r="G17" s="86">
        <v>470</v>
      </c>
      <c r="H17" s="129"/>
      <c r="I17" s="630"/>
    </row>
    <row r="18" spans="1:9" s="101" customFormat="1" ht="13.15" customHeight="1" thickBot="1" x14ac:dyDescent="0.25">
      <c r="A18" s="291" t="s">
        <v>528</v>
      </c>
      <c r="B18" s="92" t="s">
        <v>1268</v>
      </c>
      <c r="C18" s="502" t="s">
        <v>1091</v>
      </c>
      <c r="D18" s="129">
        <v>961</v>
      </c>
      <c r="E18" s="129">
        <v>260</v>
      </c>
      <c r="F18" s="107">
        <f t="shared" si="0"/>
        <v>1221</v>
      </c>
      <c r="G18" s="85">
        <v>1221</v>
      </c>
      <c r="H18" s="90"/>
      <c r="I18" s="631"/>
    </row>
    <row r="19" spans="1:9" s="101" customFormat="1" ht="15" customHeight="1" thickBot="1" x14ac:dyDescent="0.25">
      <c r="A19" s="334"/>
      <c r="B19" s="93" t="s">
        <v>518</v>
      </c>
      <c r="C19" s="94"/>
      <c r="D19" s="904">
        <f t="shared" ref="D19:G19" si="1">SUM(D13:D18)</f>
        <v>10451</v>
      </c>
      <c r="E19" s="904">
        <f t="shared" si="1"/>
        <v>2823</v>
      </c>
      <c r="F19" s="904">
        <f t="shared" si="1"/>
        <v>13274</v>
      </c>
      <c r="G19" s="904">
        <f t="shared" si="1"/>
        <v>9464</v>
      </c>
      <c r="H19" s="904">
        <f>SUM(H13:H18)</f>
        <v>3810</v>
      </c>
      <c r="I19" s="633"/>
    </row>
    <row r="20" spans="1:9" ht="14.1" customHeight="1" x14ac:dyDescent="0.2">
      <c r="A20" s="335"/>
      <c r="B20" s="92"/>
      <c r="C20" s="90"/>
      <c r="D20" s="90"/>
      <c r="E20" s="90"/>
      <c r="F20" s="91"/>
      <c r="H20" s="647"/>
      <c r="I20" s="630"/>
    </row>
    <row r="21" spans="1:9" ht="12" customHeight="1" x14ac:dyDescent="0.2">
      <c r="A21" s="335" t="s">
        <v>519</v>
      </c>
      <c r="B21" s="89" t="s">
        <v>520</v>
      </c>
      <c r="C21" s="90"/>
      <c r="D21" s="90"/>
      <c r="E21" s="90"/>
      <c r="F21" s="91"/>
      <c r="H21" s="647"/>
      <c r="I21" s="630"/>
    </row>
    <row r="22" spans="1:9" ht="12" customHeight="1" x14ac:dyDescent="0.2">
      <c r="A22" s="131" t="s">
        <v>516</v>
      </c>
      <c r="B22" s="109" t="s">
        <v>1189</v>
      </c>
      <c r="C22" s="90" t="s">
        <v>517</v>
      </c>
      <c r="D22" s="129">
        <v>13813</v>
      </c>
      <c r="E22" s="129">
        <v>3729</v>
      </c>
      <c r="F22" s="107">
        <f>D22+E22</f>
        <v>17542</v>
      </c>
      <c r="G22" s="86">
        <f>F22</f>
        <v>17542</v>
      </c>
      <c r="H22" s="129"/>
      <c r="I22" s="630"/>
    </row>
    <row r="23" spans="1:9" ht="12" customHeight="1" x14ac:dyDescent="0.2">
      <c r="A23" s="131" t="s">
        <v>524</v>
      </c>
      <c r="B23" s="109" t="s">
        <v>1025</v>
      </c>
      <c r="C23" s="90" t="s">
        <v>517</v>
      </c>
      <c r="D23" s="129">
        <v>718</v>
      </c>
      <c r="E23" s="129">
        <v>194</v>
      </c>
      <c r="F23" s="107">
        <f>D23+E23</f>
        <v>912</v>
      </c>
      <c r="G23" s="86"/>
      <c r="H23" s="129">
        <f>F23</f>
        <v>912</v>
      </c>
      <c r="I23" s="630"/>
    </row>
    <row r="24" spans="1:9" ht="26.25" customHeight="1" x14ac:dyDescent="0.2">
      <c r="A24" s="131" t="s">
        <v>525</v>
      </c>
      <c r="B24" s="109" t="s">
        <v>1190</v>
      </c>
      <c r="C24" s="502" t="s">
        <v>517</v>
      </c>
      <c r="D24" s="129">
        <v>7874</v>
      </c>
      <c r="E24" s="129">
        <v>2126</v>
      </c>
      <c r="F24" s="107">
        <f>D24+E24</f>
        <v>10000</v>
      </c>
      <c r="G24" s="86">
        <f>F24</f>
        <v>10000</v>
      </c>
      <c r="H24" s="129"/>
      <c r="I24" s="886"/>
    </row>
    <row r="25" spans="1:9" ht="12.75" customHeight="1" x14ac:dyDescent="0.2">
      <c r="A25" s="131" t="s">
        <v>526</v>
      </c>
      <c r="B25" s="109" t="s">
        <v>1186</v>
      </c>
      <c r="C25" s="502" t="s">
        <v>1091</v>
      </c>
      <c r="D25" s="129">
        <v>5118</v>
      </c>
      <c r="E25" s="129">
        <v>1382</v>
      </c>
      <c r="F25" s="107">
        <f>D25+E25</f>
        <v>6500</v>
      </c>
      <c r="G25" s="86"/>
      <c r="H25" s="129">
        <f>F25</f>
        <v>6500</v>
      </c>
      <c r="I25" s="886"/>
    </row>
    <row r="26" spans="1:9" ht="13.5" customHeight="1" thickBot="1" x14ac:dyDescent="0.25">
      <c r="A26" s="131"/>
      <c r="B26" s="109"/>
      <c r="C26" s="90"/>
      <c r="D26" s="129"/>
      <c r="E26" s="129"/>
      <c r="F26" s="107"/>
      <c r="G26" s="86"/>
      <c r="H26" s="129"/>
      <c r="I26" s="886"/>
    </row>
    <row r="27" spans="1:9" ht="12" customHeight="1" thickBot="1" x14ac:dyDescent="0.25">
      <c r="A27" s="512"/>
      <c r="B27" s="505" t="s">
        <v>521</v>
      </c>
      <c r="C27" s="154"/>
      <c r="D27" s="905">
        <f t="shared" ref="D27:G27" si="2">SUM(D22:D26)</f>
        <v>27523</v>
      </c>
      <c r="E27" s="905">
        <f t="shared" si="2"/>
        <v>7431</v>
      </c>
      <c r="F27" s="905">
        <f t="shared" si="2"/>
        <v>34954</v>
      </c>
      <c r="G27" s="905">
        <f t="shared" si="2"/>
        <v>27542</v>
      </c>
      <c r="H27" s="905">
        <f>SUM(H22:H26)</f>
        <v>7412</v>
      </c>
      <c r="I27" s="630"/>
    </row>
    <row r="28" spans="1:9" ht="12" customHeight="1" x14ac:dyDescent="0.2">
      <c r="A28" s="335"/>
      <c r="B28" s="95"/>
      <c r="C28" s="90"/>
      <c r="D28" s="90"/>
      <c r="E28" s="90"/>
      <c r="F28" s="91"/>
      <c r="H28" s="647"/>
      <c r="I28" s="630"/>
    </row>
    <row r="29" spans="1:9" ht="15.75" customHeight="1" x14ac:dyDescent="0.2">
      <c r="A29" s="602" t="s">
        <v>522</v>
      </c>
      <c r="B29" s="100" t="s">
        <v>523</v>
      </c>
      <c r="C29" s="97"/>
      <c r="D29" s="90"/>
      <c r="E29" s="90"/>
      <c r="F29" s="91"/>
      <c r="H29" s="647"/>
      <c r="I29" s="630"/>
    </row>
    <row r="30" spans="1:9" s="101" customFormat="1" ht="19.5" customHeight="1" x14ac:dyDescent="0.2">
      <c r="A30" s="131" t="s">
        <v>516</v>
      </c>
      <c r="B30" s="96" t="s">
        <v>311</v>
      </c>
      <c r="C30" s="502" t="s">
        <v>517</v>
      </c>
      <c r="D30" s="884">
        <v>0</v>
      </c>
      <c r="E30" s="884">
        <v>0</v>
      </c>
      <c r="F30" s="885">
        <v>0</v>
      </c>
      <c r="G30" s="503">
        <f>F30</f>
        <v>0</v>
      </c>
      <c r="H30" s="129"/>
      <c r="I30" s="631"/>
    </row>
    <row r="31" spans="1:9" s="101" customFormat="1" ht="23.25" customHeight="1" x14ac:dyDescent="0.2">
      <c r="A31" s="131" t="s">
        <v>1188</v>
      </c>
      <c r="B31" s="96" t="s">
        <v>1256</v>
      </c>
      <c r="C31" s="502" t="s">
        <v>1192</v>
      </c>
      <c r="D31" s="884">
        <v>110160</v>
      </c>
      <c r="E31" s="884"/>
      <c r="F31" s="885">
        <f>D31+E31</f>
        <v>110160</v>
      </c>
      <c r="G31" s="503">
        <f>D31</f>
        <v>110160</v>
      </c>
      <c r="H31" s="129"/>
      <c r="I31" s="631"/>
    </row>
    <row r="32" spans="1:9" s="101" customFormat="1" ht="19.5" customHeight="1" x14ac:dyDescent="0.2">
      <c r="A32" s="131" t="s">
        <v>1269</v>
      </c>
      <c r="B32" s="96" t="s">
        <v>1191</v>
      </c>
      <c r="C32" s="502" t="s">
        <v>1192</v>
      </c>
      <c r="D32" s="884">
        <f>108835+10945</f>
        <v>119780</v>
      </c>
      <c r="E32" s="884">
        <f>29386+2954</f>
        <v>32340</v>
      </c>
      <c r="F32" s="885">
        <f>D32+E32</f>
        <v>152120</v>
      </c>
      <c r="G32" s="503">
        <f>F32</f>
        <v>152120</v>
      </c>
      <c r="H32" s="129"/>
      <c r="I32" s="631"/>
    </row>
    <row r="33" spans="1:9" s="101" customFormat="1" ht="23.25" customHeight="1" x14ac:dyDescent="0.2">
      <c r="A33" s="131" t="s">
        <v>524</v>
      </c>
      <c r="B33" s="96" t="s">
        <v>312</v>
      </c>
      <c r="C33" s="502" t="s">
        <v>517</v>
      </c>
      <c r="D33" s="884">
        <f>15791-5100-2000</f>
        <v>8691</v>
      </c>
      <c r="E33" s="884">
        <f>4264-1377-540</f>
        <v>2347</v>
      </c>
      <c r="F33" s="885">
        <f t="shared" ref="F33:F54" si="3">D33+E33</f>
        <v>11038</v>
      </c>
      <c r="G33" s="503">
        <f>F33</f>
        <v>11038</v>
      </c>
      <c r="H33" s="884"/>
      <c r="I33" s="631"/>
    </row>
    <row r="34" spans="1:9" s="101" customFormat="1" ht="24.75" customHeight="1" x14ac:dyDescent="0.2">
      <c r="A34" s="131" t="s">
        <v>525</v>
      </c>
      <c r="B34" s="96" t="s">
        <v>1139</v>
      </c>
      <c r="C34" s="502" t="s">
        <v>517</v>
      </c>
      <c r="D34" s="884">
        <f>23622-15748</f>
        <v>7874</v>
      </c>
      <c r="E34" s="884">
        <f>6378-4252</f>
        <v>2126</v>
      </c>
      <c r="F34" s="885">
        <f t="shared" si="3"/>
        <v>10000</v>
      </c>
      <c r="G34" s="503">
        <f>F34</f>
        <v>10000</v>
      </c>
      <c r="H34" s="129"/>
      <c r="I34" s="631"/>
    </row>
    <row r="35" spans="1:9" s="101" customFormat="1" ht="26.25" customHeight="1" x14ac:dyDescent="0.2">
      <c r="A35" s="131" t="s">
        <v>526</v>
      </c>
      <c r="B35" s="92" t="s">
        <v>1255</v>
      </c>
      <c r="C35" s="502" t="s">
        <v>517</v>
      </c>
      <c r="D35" s="884">
        <v>541122</v>
      </c>
      <c r="E35" s="884">
        <v>146103</v>
      </c>
      <c r="F35" s="885">
        <f t="shared" si="3"/>
        <v>687225</v>
      </c>
      <c r="G35" s="503">
        <f>F35</f>
        <v>687225</v>
      </c>
      <c r="H35" s="129"/>
      <c r="I35" s="631"/>
    </row>
    <row r="36" spans="1:9" s="101" customFormat="1" ht="21.75" customHeight="1" x14ac:dyDescent="0.2">
      <c r="A36" s="131" t="s">
        <v>527</v>
      </c>
      <c r="B36" s="782" t="s">
        <v>196</v>
      </c>
      <c r="C36" s="502" t="s">
        <v>517</v>
      </c>
      <c r="D36" s="884">
        <v>5468</v>
      </c>
      <c r="E36" s="884">
        <v>1486</v>
      </c>
      <c r="F36" s="885">
        <f t="shared" si="3"/>
        <v>6954</v>
      </c>
      <c r="G36" s="503"/>
      <c r="H36" s="884">
        <f>F36</f>
        <v>6954</v>
      </c>
      <c r="I36" s="631"/>
    </row>
    <row r="37" spans="1:9" s="101" customFormat="1" ht="21.75" customHeight="1" x14ac:dyDescent="0.2">
      <c r="A37" s="131" t="s">
        <v>528</v>
      </c>
      <c r="B37" s="782" t="s">
        <v>1026</v>
      </c>
      <c r="C37" s="502" t="s">
        <v>517</v>
      </c>
      <c r="D37" s="884">
        <v>5512</v>
      </c>
      <c r="E37" s="884">
        <v>1193</v>
      </c>
      <c r="F37" s="885">
        <f t="shared" si="3"/>
        <v>6705</v>
      </c>
      <c r="G37" s="503">
        <f>F37</f>
        <v>6705</v>
      </c>
      <c r="H37" s="884"/>
      <c r="I37" s="631"/>
    </row>
    <row r="38" spans="1:9" s="101" customFormat="1" ht="21.75" customHeight="1" x14ac:dyDescent="0.2">
      <c r="A38" s="131" t="s">
        <v>529</v>
      </c>
      <c r="B38" s="782" t="s">
        <v>1027</v>
      </c>
      <c r="C38" s="502" t="s">
        <v>517</v>
      </c>
      <c r="D38" s="884">
        <v>7000</v>
      </c>
      <c r="E38" s="884"/>
      <c r="F38" s="885">
        <f t="shared" si="3"/>
        <v>7000</v>
      </c>
      <c r="G38" s="503">
        <f>F38</f>
        <v>7000</v>
      </c>
      <c r="H38" s="884"/>
      <c r="I38" s="631"/>
    </row>
    <row r="39" spans="1:9" s="101" customFormat="1" ht="21.75" customHeight="1" x14ac:dyDescent="0.2">
      <c r="A39" s="131" t="s">
        <v>530</v>
      </c>
      <c r="B39" s="782" t="s">
        <v>1028</v>
      </c>
      <c r="C39" s="502" t="s">
        <v>517</v>
      </c>
      <c r="D39" s="884">
        <v>0</v>
      </c>
      <c r="E39" s="884">
        <v>0</v>
      </c>
      <c r="F39" s="885">
        <f t="shared" si="3"/>
        <v>0</v>
      </c>
      <c r="G39" s="503">
        <f>F39</f>
        <v>0</v>
      </c>
      <c r="H39" s="884"/>
      <c r="I39" s="631"/>
    </row>
    <row r="40" spans="1:9" s="101" customFormat="1" ht="21.75" customHeight="1" x14ac:dyDescent="0.2">
      <c r="A40" s="131" t="s">
        <v>1270</v>
      </c>
      <c r="B40" s="782" t="s">
        <v>1029</v>
      </c>
      <c r="C40" s="502" t="s">
        <v>517</v>
      </c>
      <c r="D40" s="884">
        <v>10021</v>
      </c>
      <c r="E40" s="884">
        <v>2705</v>
      </c>
      <c r="F40" s="885">
        <f t="shared" si="3"/>
        <v>12726</v>
      </c>
      <c r="G40" s="503">
        <f>F40</f>
        <v>12726</v>
      </c>
      <c r="H40" s="884"/>
      <c r="I40" s="631"/>
    </row>
    <row r="41" spans="1:9" s="101" customFormat="1" ht="21.75" customHeight="1" x14ac:dyDescent="0.2">
      <c r="A41" s="131" t="s">
        <v>1271</v>
      </c>
      <c r="B41" s="782" t="s">
        <v>1274</v>
      </c>
      <c r="C41" s="502"/>
      <c r="D41" s="884">
        <v>118110</v>
      </c>
      <c r="E41" s="884">
        <v>31890</v>
      </c>
      <c r="F41" s="885">
        <f t="shared" si="3"/>
        <v>150000</v>
      </c>
      <c r="G41" s="503">
        <f>F41</f>
        <v>150000</v>
      </c>
      <c r="H41" s="884"/>
      <c r="I41" s="631"/>
    </row>
    <row r="42" spans="1:9" s="101" customFormat="1" ht="21.75" customHeight="1" x14ac:dyDescent="0.2">
      <c r="A42" s="131" t="s">
        <v>1272</v>
      </c>
      <c r="B42" s="782" t="s">
        <v>1098</v>
      </c>
      <c r="C42" s="502" t="s">
        <v>517</v>
      </c>
      <c r="D42" s="884">
        <v>80132</v>
      </c>
      <c r="E42" s="884">
        <v>21635</v>
      </c>
      <c r="F42" s="885">
        <f t="shared" ref="F42" si="4">D42+E42</f>
        <v>101767</v>
      </c>
      <c r="G42" s="503">
        <f t="shared" ref="G42" si="5">F42</f>
        <v>101767</v>
      </c>
      <c r="H42" s="884"/>
      <c r="I42" s="631"/>
    </row>
    <row r="43" spans="1:9" s="101" customFormat="1" ht="21.75" customHeight="1" x14ac:dyDescent="0.2">
      <c r="A43" s="131" t="s">
        <v>573</v>
      </c>
      <c r="B43" s="782" t="s">
        <v>1030</v>
      </c>
      <c r="C43" s="502" t="s">
        <v>517</v>
      </c>
      <c r="D43" s="884">
        <v>0</v>
      </c>
      <c r="E43" s="884">
        <v>0</v>
      </c>
      <c r="F43" s="885">
        <f t="shared" si="3"/>
        <v>0</v>
      </c>
      <c r="G43" s="503"/>
      <c r="H43" s="884">
        <f>F43</f>
        <v>0</v>
      </c>
      <c r="I43" s="631"/>
    </row>
    <row r="44" spans="1:9" s="101" customFormat="1" ht="21.75" customHeight="1" x14ac:dyDescent="0.2">
      <c r="A44" s="131" t="s">
        <v>574</v>
      </c>
      <c r="B44" s="782" t="s">
        <v>1097</v>
      </c>
      <c r="C44" s="502" t="s">
        <v>517</v>
      </c>
      <c r="D44" s="884">
        <v>11616</v>
      </c>
      <c r="E44" s="884">
        <v>3137</v>
      </c>
      <c r="F44" s="885">
        <f t="shared" si="3"/>
        <v>14753</v>
      </c>
      <c r="G44" s="503">
        <f t="shared" ref="G44:G50" si="6">F44</f>
        <v>14753</v>
      </c>
      <c r="H44" s="884"/>
      <c r="I44" s="631"/>
    </row>
    <row r="45" spans="1:9" s="101" customFormat="1" ht="21.75" customHeight="1" x14ac:dyDescent="0.2">
      <c r="A45" s="131" t="s">
        <v>575</v>
      </c>
      <c r="B45" s="782" t="s">
        <v>1031</v>
      </c>
      <c r="C45" s="502" t="s">
        <v>517</v>
      </c>
      <c r="D45" s="884">
        <v>1945</v>
      </c>
      <c r="E45" s="884">
        <v>525</v>
      </c>
      <c r="F45" s="885">
        <f t="shared" si="3"/>
        <v>2470</v>
      </c>
      <c r="G45" s="503">
        <f t="shared" si="6"/>
        <v>2470</v>
      </c>
      <c r="H45" s="884"/>
      <c r="I45" s="631"/>
    </row>
    <row r="46" spans="1:9" s="101" customFormat="1" ht="21.75" customHeight="1" x14ac:dyDescent="0.2">
      <c r="A46" s="131" t="s">
        <v>576</v>
      </c>
      <c r="B46" s="782" t="s">
        <v>1032</v>
      </c>
      <c r="C46" s="502" t="s">
        <v>517</v>
      </c>
      <c r="D46" s="884">
        <v>0</v>
      </c>
      <c r="E46" s="884">
        <v>0</v>
      </c>
      <c r="F46" s="885">
        <f t="shared" si="3"/>
        <v>0</v>
      </c>
      <c r="G46" s="503">
        <f t="shared" si="6"/>
        <v>0</v>
      </c>
      <c r="H46" s="884"/>
      <c r="I46" s="631"/>
    </row>
    <row r="47" spans="1:9" s="101" customFormat="1" ht="21.75" customHeight="1" x14ac:dyDescent="0.2">
      <c r="A47" s="131" t="s">
        <v>577</v>
      </c>
      <c r="B47" s="782" t="s">
        <v>1089</v>
      </c>
      <c r="C47" s="502" t="s">
        <v>1091</v>
      </c>
      <c r="D47" s="884">
        <v>10000</v>
      </c>
      <c r="E47" s="884">
        <v>2700</v>
      </c>
      <c r="F47" s="885">
        <f t="shared" si="3"/>
        <v>12700</v>
      </c>
      <c r="G47" s="503">
        <f t="shared" si="6"/>
        <v>12700</v>
      </c>
      <c r="H47" s="884"/>
      <c r="I47" s="886"/>
    </row>
    <row r="48" spans="1:9" s="101" customFormat="1" ht="21.75" customHeight="1" x14ac:dyDescent="0.2">
      <c r="A48" s="131" t="s">
        <v>578</v>
      </c>
      <c r="B48" s="782" t="s">
        <v>1090</v>
      </c>
      <c r="C48" s="502" t="s">
        <v>1091</v>
      </c>
      <c r="D48" s="884">
        <v>3000</v>
      </c>
      <c r="E48" s="884">
        <v>810</v>
      </c>
      <c r="F48" s="885">
        <f t="shared" si="3"/>
        <v>3810</v>
      </c>
      <c r="G48" s="503">
        <f t="shared" si="6"/>
        <v>3810</v>
      </c>
      <c r="H48" s="884"/>
      <c r="I48" s="886"/>
    </row>
    <row r="49" spans="1:9" s="101" customFormat="1" ht="21.75" customHeight="1" x14ac:dyDescent="0.2">
      <c r="A49" s="131" t="s">
        <v>579</v>
      </c>
      <c r="B49" s="782" t="s">
        <v>1096</v>
      </c>
      <c r="C49" s="502" t="s">
        <v>517</v>
      </c>
      <c r="D49" s="884">
        <f>6102+225</f>
        <v>6327</v>
      </c>
      <c r="E49" s="884">
        <f>1648+61</f>
        <v>1709</v>
      </c>
      <c r="F49" s="885">
        <f t="shared" si="3"/>
        <v>8036</v>
      </c>
      <c r="G49" s="503">
        <f t="shared" si="6"/>
        <v>8036</v>
      </c>
      <c r="H49" s="884"/>
      <c r="I49" s="886"/>
    </row>
    <row r="50" spans="1:9" s="101" customFormat="1" ht="21.75" customHeight="1" x14ac:dyDescent="0.2">
      <c r="A50" s="131" t="s">
        <v>580</v>
      </c>
      <c r="B50" s="782" t="s">
        <v>1119</v>
      </c>
      <c r="C50" s="502" t="s">
        <v>1091</v>
      </c>
      <c r="D50" s="884">
        <v>12598</v>
      </c>
      <c r="E50" s="884">
        <v>3402</v>
      </c>
      <c r="F50" s="885">
        <f t="shared" si="3"/>
        <v>16000</v>
      </c>
      <c r="G50" s="503">
        <f t="shared" si="6"/>
        <v>16000</v>
      </c>
      <c r="H50" s="884"/>
      <c r="I50" s="886"/>
    </row>
    <row r="51" spans="1:9" s="101" customFormat="1" ht="21.75" customHeight="1" x14ac:dyDescent="0.2">
      <c r="A51" s="131" t="s">
        <v>582</v>
      </c>
      <c r="B51" s="782" t="s">
        <v>1187</v>
      </c>
      <c r="C51" s="502" t="s">
        <v>1091</v>
      </c>
      <c r="D51" s="884">
        <v>2362</v>
      </c>
      <c r="E51" s="884">
        <v>638</v>
      </c>
      <c r="F51" s="885">
        <f t="shared" si="3"/>
        <v>3000</v>
      </c>
      <c r="G51" s="503"/>
      <c r="H51" s="884">
        <f>F51</f>
        <v>3000</v>
      </c>
      <c r="I51" s="886"/>
    </row>
    <row r="52" spans="1:9" s="101" customFormat="1" ht="21.75" customHeight="1" x14ac:dyDescent="0.2">
      <c r="A52" s="131" t="s">
        <v>583</v>
      </c>
      <c r="B52" s="782" t="s">
        <v>1193</v>
      </c>
      <c r="C52" s="502" t="s">
        <v>1091</v>
      </c>
      <c r="D52" s="884">
        <f>1181+9</f>
        <v>1190</v>
      </c>
      <c r="E52" s="884">
        <f>319+3</f>
        <v>322</v>
      </c>
      <c r="F52" s="885">
        <f t="shared" si="3"/>
        <v>1512</v>
      </c>
      <c r="G52" s="503"/>
      <c r="H52" s="884">
        <f>F52</f>
        <v>1512</v>
      </c>
      <c r="I52" s="886"/>
    </row>
    <row r="53" spans="1:9" s="101" customFormat="1" ht="21.75" customHeight="1" x14ac:dyDescent="0.2">
      <c r="A53" s="131" t="s">
        <v>584</v>
      </c>
      <c r="B53" s="782" t="s">
        <v>1194</v>
      </c>
      <c r="C53" s="502" t="s">
        <v>1091</v>
      </c>
      <c r="D53" s="884">
        <v>10000</v>
      </c>
      <c r="E53" s="884"/>
      <c r="F53" s="885">
        <f t="shared" si="3"/>
        <v>10000</v>
      </c>
      <c r="G53" s="503">
        <f>F53</f>
        <v>10000</v>
      </c>
      <c r="H53" s="884"/>
      <c r="I53" s="886"/>
    </row>
    <row r="54" spans="1:9" s="101" customFormat="1" ht="26.25" customHeight="1" x14ac:dyDescent="0.2">
      <c r="A54" s="131" t="s">
        <v>585</v>
      </c>
      <c r="B54" s="782" t="s">
        <v>1195</v>
      </c>
      <c r="C54" s="502" t="s">
        <v>1091</v>
      </c>
      <c r="D54" s="884">
        <v>41732</v>
      </c>
      <c r="E54" s="884">
        <v>11268</v>
      </c>
      <c r="F54" s="885">
        <f t="shared" si="3"/>
        <v>53000</v>
      </c>
      <c r="G54" s="503">
        <f>F54</f>
        <v>53000</v>
      </c>
      <c r="H54" s="884"/>
      <c r="I54" s="886"/>
    </row>
    <row r="55" spans="1:9" s="101" customFormat="1" ht="27.75" customHeight="1" x14ac:dyDescent="0.2">
      <c r="A55" s="131" t="s">
        <v>586</v>
      </c>
      <c r="B55" s="1061" t="s">
        <v>1257</v>
      </c>
      <c r="C55" s="502" t="s">
        <v>1091</v>
      </c>
      <c r="D55" s="884">
        <v>193701</v>
      </c>
      <c r="E55" s="884">
        <v>52299</v>
      </c>
      <c r="F55" s="885">
        <f t="shared" ref="F55" si="7">D55+E55</f>
        <v>246000</v>
      </c>
      <c r="G55" s="503">
        <f>F55</f>
        <v>246000</v>
      </c>
      <c r="H55" s="884"/>
      <c r="I55" s="631"/>
    </row>
    <row r="56" spans="1:9" s="101" customFormat="1" ht="27.75" customHeight="1" x14ac:dyDescent="0.2">
      <c r="A56" s="131" t="s">
        <v>587</v>
      </c>
      <c r="B56" s="203" t="s">
        <v>1273</v>
      </c>
      <c r="C56" s="502" t="s">
        <v>1091</v>
      </c>
      <c r="D56" s="884">
        <v>13500</v>
      </c>
      <c r="E56" s="884"/>
      <c r="F56" s="885">
        <f>SUM(D56:E56)</f>
        <v>13500</v>
      </c>
      <c r="G56" s="503">
        <v>13500</v>
      </c>
      <c r="H56" s="884"/>
      <c r="I56" s="631"/>
    </row>
    <row r="57" spans="1:9" s="101" customFormat="1" ht="27.75" customHeight="1" x14ac:dyDescent="0.2">
      <c r="A57" s="131" t="s">
        <v>588</v>
      </c>
      <c r="B57" s="203" t="s">
        <v>1258</v>
      </c>
      <c r="C57" s="502" t="s">
        <v>1091</v>
      </c>
      <c r="D57" s="884">
        <v>41067</v>
      </c>
      <c r="E57" s="884">
        <v>11088</v>
      </c>
      <c r="F57" s="885">
        <f>SUM(D57:E57)</f>
        <v>52155</v>
      </c>
      <c r="G57" s="503"/>
      <c r="H57" s="884">
        <v>52155</v>
      </c>
      <c r="I57" s="631"/>
    </row>
    <row r="58" spans="1:9" s="101" customFormat="1" ht="27.75" customHeight="1" thickBot="1" x14ac:dyDescent="0.25">
      <c r="A58" s="131" t="s">
        <v>589</v>
      </c>
      <c r="B58" s="203" t="s">
        <v>1260</v>
      </c>
      <c r="C58" s="502" t="s">
        <v>1091</v>
      </c>
      <c r="D58" s="884">
        <v>162251</v>
      </c>
      <c r="E58" s="884">
        <v>43808</v>
      </c>
      <c r="F58" s="885">
        <f>SUM(D58:E58)</f>
        <v>206059</v>
      </c>
      <c r="G58" s="503">
        <v>206059</v>
      </c>
      <c r="H58" s="884"/>
      <c r="I58" s="631"/>
    </row>
    <row r="59" spans="1:9" ht="13.9" customHeight="1" thickBot="1" x14ac:dyDescent="0.25">
      <c r="A59" s="513"/>
      <c r="B59" s="93" t="s">
        <v>532</v>
      </c>
      <c r="C59" s="102"/>
      <c r="D59" s="904">
        <f>SUM(D30:D58)</f>
        <v>1525159</v>
      </c>
      <c r="E59" s="904">
        <f>SUM(E30:E58)</f>
        <v>373531</v>
      </c>
      <c r="F59" s="904">
        <f>SUM(F30:F58)</f>
        <v>1898690</v>
      </c>
      <c r="G59" s="904">
        <f>SUM(G30:G58)</f>
        <v>1835069</v>
      </c>
      <c r="H59" s="904">
        <f>SUM(H30:H58)</f>
        <v>63621</v>
      </c>
      <c r="I59" s="630"/>
    </row>
    <row r="60" spans="1:9" s="101" customFormat="1" ht="13.9" customHeight="1" x14ac:dyDescent="0.2">
      <c r="A60" s="291"/>
      <c r="B60" s="92"/>
      <c r="C60" s="97"/>
      <c r="D60" s="90"/>
      <c r="E60" s="90"/>
      <c r="F60" s="91"/>
      <c r="G60" s="85"/>
      <c r="H60" s="91"/>
      <c r="I60" s="631"/>
    </row>
    <row r="61" spans="1:9" s="101" customFormat="1" ht="13.9" customHeight="1" x14ac:dyDescent="0.2">
      <c r="A61" s="131"/>
      <c r="B61" s="92"/>
      <c r="C61" s="97"/>
      <c r="D61" s="90"/>
      <c r="E61" s="90"/>
      <c r="F61" s="91"/>
      <c r="G61" s="85"/>
      <c r="H61" s="90"/>
      <c r="I61" s="631"/>
    </row>
    <row r="62" spans="1:9" s="105" customFormat="1" ht="15.75" customHeight="1" x14ac:dyDescent="0.15">
      <c r="A62" s="335" t="s">
        <v>533</v>
      </c>
      <c r="B62" s="103" t="s">
        <v>534</v>
      </c>
      <c r="C62" s="104"/>
      <c r="D62" s="91"/>
      <c r="E62" s="91"/>
      <c r="F62" s="91"/>
      <c r="G62" s="116"/>
      <c r="H62" s="648"/>
      <c r="I62" s="632"/>
    </row>
    <row r="63" spans="1:9" s="105" customFormat="1" ht="15.75" customHeight="1" x14ac:dyDescent="0.2">
      <c r="A63" s="131" t="s">
        <v>535</v>
      </c>
      <c r="B63" s="92" t="s">
        <v>592</v>
      </c>
      <c r="C63" s="104" t="s">
        <v>333</v>
      </c>
      <c r="D63" s="351">
        <v>2000</v>
      </c>
      <c r="E63" s="351">
        <f>D63*0.27</f>
        <v>540</v>
      </c>
      <c r="F63" s="356">
        <f>D63+E63</f>
        <v>2540</v>
      </c>
      <c r="G63" s="350">
        <v>2540</v>
      </c>
      <c r="H63" s="351"/>
      <c r="I63" s="632"/>
    </row>
    <row r="64" spans="1:9" s="105" customFormat="1" ht="15.75" customHeight="1" x14ac:dyDescent="0.2">
      <c r="A64" s="131" t="s">
        <v>524</v>
      </c>
      <c r="B64" s="106" t="s">
        <v>186</v>
      </c>
      <c r="C64" s="97" t="s">
        <v>333</v>
      </c>
      <c r="D64" s="90">
        <f>396+140</f>
        <v>536</v>
      </c>
      <c r="E64" s="90">
        <f>D64*0.27</f>
        <v>144.72</v>
      </c>
      <c r="F64" s="91">
        <f>SUM(D64:E64)</f>
        <v>680.72</v>
      </c>
      <c r="G64" s="98"/>
      <c r="H64" s="90">
        <v>681</v>
      </c>
      <c r="I64" s="632"/>
    </row>
    <row r="65" spans="1:9" s="105" customFormat="1" ht="15" customHeight="1" x14ac:dyDescent="0.2">
      <c r="A65" s="898" t="s">
        <v>525</v>
      </c>
      <c r="B65" s="106" t="s">
        <v>591</v>
      </c>
      <c r="C65" s="899" t="s">
        <v>333</v>
      </c>
      <c r="D65" s="900">
        <v>900</v>
      </c>
      <c r="E65" s="900">
        <v>123</v>
      </c>
      <c r="F65" s="901">
        <f>SUM(D65:E65)</f>
        <v>1023</v>
      </c>
      <c r="G65" s="902">
        <v>122</v>
      </c>
      <c r="H65" s="900">
        <f>F65-G65</f>
        <v>901</v>
      </c>
      <c r="I65" s="632"/>
    </row>
    <row r="66" spans="1:9" s="105" customFormat="1" ht="15" customHeight="1" x14ac:dyDescent="0.2">
      <c r="A66" s="898" t="s">
        <v>526</v>
      </c>
      <c r="B66" s="106" t="s">
        <v>1131</v>
      </c>
      <c r="C66" s="899" t="s">
        <v>333</v>
      </c>
      <c r="D66" s="900">
        <v>1575</v>
      </c>
      <c r="E66" s="900">
        <v>425</v>
      </c>
      <c r="F66" s="901">
        <v>2000</v>
      </c>
      <c r="G66" s="902"/>
      <c r="H66" s="900">
        <f>F66</f>
        <v>2000</v>
      </c>
      <c r="I66" s="632"/>
    </row>
    <row r="67" spans="1:9" s="105" customFormat="1" ht="15" customHeight="1" x14ac:dyDescent="0.2">
      <c r="A67" s="898" t="s">
        <v>527</v>
      </c>
      <c r="B67" s="106" t="s">
        <v>1196</v>
      </c>
      <c r="C67" s="899" t="s">
        <v>333</v>
      </c>
      <c r="D67" s="900">
        <v>800</v>
      </c>
      <c r="E67" s="900">
        <v>216</v>
      </c>
      <c r="F67" s="901">
        <f>D67+E67</f>
        <v>1016</v>
      </c>
      <c r="G67" s="902"/>
      <c r="H67" s="900">
        <f>F67</f>
        <v>1016</v>
      </c>
      <c r="I67" s="632"/>
    </row>
    <row r="68" spans="1:9" s="105" customFormat="1" ht="23.25" customHeight="1" x14ac:dyDescent="0.15">
      <c r="A68" s="131" t="s">
        <v>528</v>
      </c>
      <c r="B68" s="1040" t="s">
        <v>1197</v>
      </c>
      <c r="C68" s="501" t="s">
        <v>333</v>
      </c>
      <c r="D68" s="502">
        <v>400</v>
      </c>
      <c r="E68" s="502">
        <v>108</v>
      </c>
      <c r="F68" s="504">
        <f t="shared" ref="F68:F72" si="8">D68+E68</f>
        <v>508</v>
      </c>
      <c r="G68" s="1041"/>
      <c r="H68" s="502">
        <f>F68</f>
        <v>508</v>
      </c>
      <c r="I68" s="632"/>
    </row>
    <row r="69" spans="1:9" s="105" customFormat="1" ht="15" customHeight="1" x14ac:dyDescent="0.2">
      <c r="A69" s="898" t="s">
        <v>529</v>
      </c>
      <c r="B69" s="106" t="s">
        <v>1198</v>
      </c>
      <c r="C69" s="899" t="s">
        <v>333</v>
      </c>
      <c r="D69" s="900">
        <v>572</v>
      </c>
      <c r="E69" s="900">
        <v>155</v>
      </c>
      <c r="F69" s="901">
        <f t="shared" si="8"/>
        <v>727</v>
      </c>
      <c r="G69" s="902"/>
      <c r="H69" s="900">
        <f>F69</f>
        <v>727</v>
      </c>
      <c r="I69" s="632"/>
    </row>
    <row r="70" spans="1:9" s="105" customFormat="1" ht="27" customHeight="1" x14ac:dyDescent="0.15">
      <c r="A70" s="131" t="s">
        <v>530</v>
      </c>
      <c r="B70" s="782" t="s">
        <v>1195</v>
      </c>
      <c r="C70" s="501" t="s">
        <v>333</v>
      </c>
      <c r="D70" s="502">
        <v>14961</v>
      </c>
      <c r="E70" s="502">
        <v>4039</v>
      </c>
      <c r="F70" s="504">
        <f t="shared" si="8"/>
        <v>19000</v>
      </c>
      <c r="G70" s="1041">
        <f>F70</f>
        <v>19000</v>
      </c>
      <c r="H70" s="502"/>
      <c r="I70" s="632"/>
    </row>
    <row r="71" spans="1:9" s="105" customFormat="1" ht="27" customHeight="1" x14ac:dyDescent="0.15">
      <c r="A71" s="131" t="s">
        <v>531</v>
      </c>
      <c r="B71" s="782" t="s">
        <v>1275</v>
      </c>
      <c r="C71" s="501" t="s">
        <v>333</v>
      </c>
      <c r="D71" s="502">
        <v>35000</v>
      </c>
      <c r="E71" s="502">
        <v>9450</v>
      </c>
      <c r="F71" s="504">
        <f t="shared" si="8"/>
        <v>44450</v>
      </c>
      <c r="G71" s="1041">
        <v>44450</v>
      </c>
      <c r="H71" s="502"/>
      <c r="I71" s="632"/>
    </row>
    <row r="72" spans="1:9" s="105" customFormat="1" ht="25.9" customHeight="1" x14ac:dyDescent="0.2">
      <c r="A72" s="131" t="s">
        <v>573</v>
      </c>
      <c r="B72" s="106" t="s">
        <v>1260</v>
      </c>
      <c r="C72" s="501" t="s">
        <v>333</v>
      </c>
      <c r="D72" s="90">
        <v>17970</v>
      </c>
      <c r="E72" s="90">
        <v>4852</v>
      </c>
      <c r="F72" s="91">
        <f t="shared" si="8"/>
        <v>22822</v>
      </c>
      <c r="G72" s="98">
        <v>22822</v>
      </c>
      <c r="H72" s="90"/>
      <c r="I72" s="632"/>
    </row>
    <row r="73" spans="1:9" s="105" customFormat="1" ht="25.9" customHeight="1" thickBot="1" x14ac:dyDescent="0.25">
      <c r="A73" s="131" t="s">
        <v>574</v>
      </c>
      <c r="B73" s="106" t="s">
        <v>1276</v>
      </c>
      <c r="C73" s="501" t="s">
        <v>333</v>
      </c>
      <c r="D73" s="90">
        <v>708</v>
      </c>
      <c r="E73" s="90">
        <v>191</v>
      </c>
      <c r="F73" s="91">
        <f>SUM(D73:E73)</f>
        <v>899</v>
      </c>
      <c r="G73" s="98">
        <v>899</v>
      </c>
      <c r="H73" s="90"/>
      <c r="I73" s="632"/>
    </row>
    <row r="74" spans="1:9" s="105" customFormat="1" ht="12" customHeight="1" thickBot="1" x14ac:dyDescent="0.2">
      <c r="A74" s="336"/>
      <c r="B74" s="93" t="s">
        <v>536</v>
      </c>
      <c r="C74" s="102"/>
      <c r="D74" s="94">
        <f>SUM(D63:D73)</f>
        <v>75422</v>
      </c>
      <c r="E74" s="94">
        <f>SUM(E63:E73)</f>
        <v>20243.72</v>
      </c>
      <c r="F74" s="94">
        <f>SUM(F63:F73)</f>
        <v>95665.72</v>
      </c>
      <c r="G74" s="94">
        <f>SUM(G63:G73)</f>
        <v>89833</v>
      </c>
      <c r="H74" s="94">
        <f>SUM(H63:H73)</f>
        <v>5833</v>
      </c>
      <c r="I74" s="632"/>
    </row>
    <row r="75" spans="1:9" s="105" customFormat="1" ht="12" customHeight="1" x14ac:dyDescent="0.15">
      <c r="A75" s="335"/>
      <c r="B75" s="103"/>
      <c r="C75" s="104"/>
      <c r="D75" s="91"/>
      <c r="E75" s="91"/>
      <c r="F75" s="91"/>
      <c r="G75" s="91"/>
      <c r="H75" s="91"/>
      <c r="I75" s="632"/>
    </row>
    <row r="76" spans="1:9" s="105" customFormat="1" ht="12" customHeight="1" x14ac:dyDescent="0.15">
      <c r="A76" s="335"/>
      <c r="B76" s="103"/>
      <c r="C76" s="104"/>
      <c r="D76" s="91"/>
      <c r="E76" s="91"/>
      <c r="F76" s="91"/>
      <c r="G76" s="116"/>
      <c r="H76" s="648"/>
      <c r="I76" s="632"/>
    </row>
    <row r="77" spans="1:9" s="83" customFormat="1" ht="15" customHeight="1" x14ac:dyDescent="0.2">
      <c r="A77" s="335" t="s">
        <v>537</v>
      </c>
      <c r="B77" s="89" t="s">
        <v>538</v>
      </c>
      <c r="C77" s="91"/>
      <c r="D77" s="91"/>
      <c r="E77" s="91"/>
      <c r="F77" s="91"/>
      <c r="G77" s="86"/>
      <c r="H77" s="129"/>
      <c r="I77" s="633"/>
    </row>
    <row r="78" spans="1:9" s="83" customFormat="1" ht="15" customHeight="1" thickBot="1" x14ac:dyDescent="0.25">
      <c r="A78" s="335"/>
      <c r="B78" s="109"/>
      <c r="C78" s="97"/>
      <c r="D78" s="90"/>
      <c r="E78" s="90"/>
      <c r="F78" s="91"/>
      <c r="G78" s="86"/>
      <c r="H78" s="129"/>
      <c r="I78" s="633"/>
    </row>
    <row r="79" spans="1:9" s="83" customFormat="1" ht="13.5" customHeight="1" thickBot="1" x14ac:dyDescent="0.25">
      <c r="A79" s="336"/>
      <c r="B79" s="108" t="s">
        <v>539</v>
      </c>
      <c r="C79" s="94"/>
      <c r="D79" s="94">
        <f>SUM(D78)</f>
        <v>0</v>
      </c>
      <c r="E79" s="94">
        <f>SUM(E78)</f>
        <v>0</v>
      </c>
      <c r="F79" s="94">
        <f>SUM(F78)</f>
        <v>0</v>
      </c>
      <c r="G79" s="94">
        <f>SUM(G78)</f>
        <v>0</v>
      </c>
      <c r="H79" s="94">
        <f>SUM(H78)</f>
        <v>0</v>
      </c>
      <c r="I79" s="633"/>
    </row>
    <row r="80" spans="1:9" s="83" customFormat="1" ht="13.5" customHeight="1" x14ac:dyDescent="0.2">
      <c r="A80" s="335"/>
      <c r="B80" s="89"/>
      <c r="C80" s="91"/>
      <c r="D80" s="91"/>
      <c r="E80" s="91"/>
      <c r="F80" s="91"/>
      <c r="G80" s="91"/>
      <c r="H80" s="91"/>
      <c r="I80" s="633"/>
    </row>
    <row r="81" spans="1:9" s="83" customFormat="1" ht="13.5" customHeight="1" x14ac:dyDescent="0.2">
      <c r="A81" s="335"/>
      <c r="B81" s="89"/>
      <c r="C81" s="91"/>
      <c r="D81" s="91"/>
      <c r="E81" s="91"/>
      <c r="F81" s="91"/>
      <c r="G81" s="86"/>
      <c r="H81" s="129"/>
      <c r="I81" s="633"/>
    </row>
    <row r="82" spans="1:9" s="83" customFormat="1" ht="13.5" customHeight="1" x14ac:dyDescent="0.2">
      <c r="A82" s="335" t="s">
        <v>90</v>
      </c>
      <c r="B82" s="89" t="s">
        <v>187</v>
      </c>
      <c r="C82" s="91"/>
      <c r="F82" s="90"/>
      <c r="G82" s="86"/>
      <c r="H82" s="90"/>
      <c r="I82" s="633"/>
    </row>
    <row r="83" spans="1:9" s="83" customFormat="1" ht="20.25" customHeight="1" x14ac:dyDescent="0.2">
      <c r="A83" s="131" t="s">
        <v>535</v>
      </c>
      <c r="B83" s="109" t="s">
        <v>1277</v>
      </c>
      <c r="C83" s="91" t="s">
        <v>333</v>
      </c>
      <c r="D83" s="502">
        <v>3000</v>
      </c>
      <c r="E83" s="502">
        <f>D83*0.27</f>
        <v>810</v>
      </c>
      <c r="F83" s="504">
        <f>SUM(D83:E83)</f>
        <v>3810</v>
      </c>
      <c r="G83" s="503"/>
      <c r="H83" s="502">
        <f>SUM(F83:G83)</f>
        <v>3810</v>
      </c>
      <c r="I83" s="633"/>
    </row>
    <row r="84" spans="1:9" s="83" customFormat="1" ht="13.5" customHeight="1" x14ac:dyDescent="0.2">
      <c r="A84" s="131" t="s">
        <v>717</v>
      </c>
      <c r="B84" s="106" t="s">
        <v>593</v>
      </c>
      <c r="C84" s="97" t="s">
        <v>333</v>
      </c>
      <c r="D84" s="90">
        <v>1000</v>
      </c>
      <c r="E84" s="90">
        <f>D84*0.27</f>
        <v>270</v>
      </c>
      <c r="F84" s="91">
        <f>SUM(D84:E84)</f>
        <v>1270</v>
      </c>
      <c r="G84" s="86"/>
      <c r="H84" s="90">
        <f>F84</f>
        <v>1270</v>
      </c>
      <c r="I84" s="633"/>
    </row>
    <row r="85" spans="1:9" s="83" customFormat="1" ht="25.5" customHeight="1" x14ac:dyDescent="0.2">
      <c r="A85" s="131" t="s">
        <v>101</v>
      </c>
      <c r="B85" s="106" t="s">
        <v>964</v>
      </c>
      <c r="C85" s="501" t="s">
        <v>333</v>
      </c>
      <c r="D85" s="502">
        <v>3600</v>
      </c>
      <c r="E85" s="502">
        <v>972</v>
      </c>
      <c r="F85" s="504">
        <f>SUM(D85:E85)</f>
        <v>4572</v>
      </c>
      <c r="G85" s="503"/>
      <c r="H85" s="502">
        <f>F85</f>
        <v>4572</v>
      </c>
      <c r="I85" s="633"/>
    </row>
    <row r="86" spans="1:9" s="83" customFormat="1" ht="17.25" customHeight="1" x14ac:dyDescent="0.2">
      <c r="A86" s="131" t="s">
        <v>328</v>
      </c>
      <c r="B86" s="109" t="s">
        <v>1092</v>
      </c>
      <c r="C86" s="501" t="s">
        <v>517</v>
      </c>
      <c r="D86" s="502">
        <v>410</v>
      </c>
      <c r="E86" s="502">
        <v>111</v>
      </c>
      <c r="F86" s="504">
        <f>SUM(D86:E86)</f>
        <v>521</v>
      </c>
      <c r="G86" s="503">
        <f>F86</f>
        <v>521</v>
      </c>
      <c r="H86" s="502"/>
      <c r="I86" s="886"/>
    </row>
    <row r="87" spans="1:9" s="83" customFormat="1" ht="15.75" customHeight="1" x14ac:dyDescent="0.2">
      <c r="A87" s="131" t="s">
        <v>716</v>
      </c>
      <c r="B87" s="109" t="s">
        <v>1093</v>
      </c>
      <c r="C87" s="501" t="s">
        <v>517</v>
      </c>
      <c r="D87" s="502">
        <v>0</v>
      </c>
      <c r="E87" s="502">
        <v>0</v>
      </c>
      <c r="F87" s="504">
        <f t="shared" ref="F87:F89" si="9">SUM(D87:E87)</f>
        <v>0</v>
      </c>
      <c r="G87" s="503">
        <f t="shared" ref="G87:G89" si="10">F87</f>
        <v>0</v>
      </c>
      <c r="H87" s="502"/>
      <c r="I87" s="886"/>
    </row>
    <row r="88" spans="1:9" s="83" customFormat="1" ht="18" customHeight="1" x14ac:dyDescent="0.2">
      <c r="A88" s="131" t="s">
        <v>1021</v>
      </c>
      <c r="B88" s="109" t="s">
        <v>1132</v>
      </c>
      <c r="C88" s="501" t="s">
        <v>517</v>
      </c>
      <c r="D88" s="502">
        <v>898</v>
      </c>
      <c r="E88" s="502">
        <v>242</v>
      </c>
      <c r="F88" s="504">
        <f t="shared" si="9"/>
        <v>1140</v>
      </c>
      <c r="G88" s="503">
        <f t="shared" si="10"/>
        <v>1140</v>
      </c>
      <c r="H88" s="502"/>
      <c r="I88" s="886"/>
    </row>
    <row r="89" spans="1:9" s="83" customFormat="1" ht="24" customHeight="1" x14ac:dyDescent="0.2">
      <c r="A89" s="131" t="s">
        <v>1095</v>
      </c>
      <c r="B89" s="109" t="s">
        <v>1094</v>
      </c>
      <c r="C89" s="501" t="s">
        <v>517</v>
      </c>
      <c r="D89" s="502">
        <v>464</v>
      </c>
      <c r="E89" s="502">
        <v>126</v>
      </c>
      <c r="F89" s="504">
        <f t="shared" si="9"/>
        <v>590</v>
      </c>
      <c r="G89" s="503">
        <f t="shared" si="10"/>
        <v>590</v>
      </c>
      <c r="H89" s="502"/>
      <c r="I89" s="886"/>
    </row>
    <row r="90" spans="1:9" s="83" customFormat="1" ht="13.5" customHeight="1" thickBot="1" x14ac:dyDescent="0.25">
      <c r="A90" s="511"/>
      <c r="B90" s="507"/>
      <c r="C90" s="91"/>
      <c r="D90" s="90"/>
      <c r="E90" s="90"/>
      <c r="F90" s="90"/>
      <c r="G90" s="86"/>
      <c r="H90" s="90"/>
      <c r="I90" s="633"/>
    </row>
    <row r="91" spans="1:9" s="83" customFormat="1" ht="12.75" customHeight="1" thickBot="1" x14ac:dyDescent="0.25">
      <c r="A91" s="508"/>
      <c r="B91" s="505" t="s">
        <v>188</v>
      </c>
      <c r="C91" s="154"/>
      <c r="D91" s="154">
        <f>SUM(D83:D90)</f>
        <v>9372</v>
      </c>
      <c r="E91" s="154">
        <f>SUM(E83:E90)</f>
        <v>2531</v>
      </c>
      <c r="F91" s="154">
        <f>SUM(F83:F90)</f>
        <v>11903</v>
      </c>
      <c r="G91" s="154">
        <f>SUM(G83:G90)</f>
        <v>2251</v>
      </c>
      <c r="H91" s="154">
        <f>SUM(H83:H90)</f>
        <v>9652</v>
      </c>
      <c r="I91" s="633"/>
    </row>
    <row r="92" spans="1:9" s="83" customFormat="1" ht="12.75" customHeight="1" x14ac:dyDescent="0.2">
      <c r="A92" s="131"/>
      <c r="B92" s="89"/>
      <c r="C92" s="91"/>
      <c r="D92" s="91"/>
      <c r="E92" s="91"/>
      <c r="F92" s="91"/>
      <c r="G92" s="86"/>
      <c r="H92" s="129"/>
      <c r="I92" s="633"/>
    </row>
    <row r="93" spans="1:9" s="83" customFormat="1" ht="24" customHeight="1" x14ac:dyDescent="0.2">
      <c r="A93" s="335" t="s">
        <v>91</v>
      </c>
      <c r="B93" s="89" t="s">
        <v>73</v>
      </c>
      <c r="C93" s="91"/>
      <c r="D93" s="91"/>
      <c r="E93" s="91"/>
      <c r="F93" s="91"/>
      <c r="G93" s="86"/>
      <c r="H93" s="129"/>
      <c r="I93" s="633"/>
    </row>
    <row r="94" spans="1:9" s="83" customFormat="1" ht="21.75" customHeight="1" x14ac:dyDescent="0.2">
      <c r="A94" s="131" t="s">
        <v>516</v>
      </c>
      <c r="B94" s="109" t="s">
        <v>1199</v>
      </c>
      <c r="C94" s="91"/>
      <c r="D94" s="90">
        <v>50</v>
      </c>
      <c r="E94" s="90"/>
      <c r="F94" s="90">
        <f>D94</f>
        <v>50</v>
      </c>
      <c r="G94" s="90">
        <f t="shared" ref="G94:H94" si="11">E94</f>
        <v>0</v>
      </c>
      <c r="H94" s="90">
        <f t="shared" si="11"/>
        <v>50</v>
      </c>
      <c r="I94" s="633"/>
    </row>
    <row r="95" spans="1:9" s="83" customFormat="1" ht="13.5" customHeight="1" thickBot="1" x14ac:dyDescent="0.25">
      <c r="A95" s="131"/>
      <c r="B95" s="92"/>
      <c r="C95" s="90"/>
      <c r="D95" s="91"/>
      <c r="E95" s="91"/>
      <c r="F95" s="90"/>
      <c r="G95" s="86"/>
      <c r="H95" s="129"/>
      <c r="I95" s="633"/>
    </row>
    <row r="96" spans="1:9" s="83" customFormat="1" ht="22.5" customHeight="1" thickBot="1" x14ac:dyDescent="0.25">
      <c r="A96" s="508"/>
      <c r="B96" s="509" t="s">
        <v>540</v>
      </c>
      <c r="C96" s="516"/>
      <c r="D96" s="94">
        <f>SUM(D94:D95)</f>
        <v>50</v>
      </c>
      <c r="E96" s="94">
        <f t="shared" ref="E96:H96" si="12">SUM(E94:E95)</f>
        <v>0</v>
      </c>
      <c r="F96" s="94">
        <f t="shared" si="12"/>
        <v>50</v>
      </c>
      <c r="G96" s="94">
        <f t="shared" si="12"/>
        <v>0</v>
      </c>
      <c r="H96" s="94">
        <f t="shared" si="12"/>
        <v>50</v>
      </c>
      <c r="I96" s="633"/>
    </row>
    <row r="97" spans="1:9" s="83" customFormat="1" ht="12.75" customHeight="1" x14ac:dyDescent="0.2">
      <c r="A97" s="131"/>
      <c r="B97" s="110"/>
      <c r="C97" s="90"/>
      <c r="D97" s="91"/>
      <c r="E97" s="91"/>
      <c r="F97" s="91"/>
      <c r="G97" s="86"/>
      <c r="H97" s="129"/>
      <c r="I97" s="633"/>
    </row>
    <row r="98" spans="1:9" s="83" customFormat="1" ht="12" customHeight="1" x14ac:dyDescent="0.2">
      <c r="A98" s="131"/>
      <c r="B98" s="109"/>
      <c r="C98" s="90"/>
      <c r="D98" s="90"/>
      <c r="E98" s="90"/>
      <c r="F98" s="91"/>
      <c r="G98" s="86"/>
      <c r="H98" s="129"/>
      <c r="I98" s="633"/>
    </row>
    <row r="99" spans="1:9" s="83" customFormat="1" ht="12.75" customHeight="1" x14ac:dyDescent="0.2">
      <c r="A99" s="335" t="s">
        <v>92</v>
      </c>
      <c r="B99" s="89" t="s">
        <v>326</v>
      </c>
      <c r="C99" s="90"/>
      <c r="D99" s="90"/>
      <c r="E99" s="90"/>
      <c r="F99" s="91"/>
      <c r="G99" s="86"/>
      <c r="H99" s="129"/>
      <c r="I99" s="633"/>
    </row>
    <row r="100" spans="1:9" s="111" customFormat="1" ht="13.5" customHeight="1" x14ac:dyDescent="0.2">
      <c r="A100" s="131" t="s">
        <v>516</v>
      </c>
      <c r="B100" s="109" t="s">
        <v>74</v>
      </c>
      <c r="C100" s="90"/>
      <c r="D100" s="90">
        <v>60118</v>
      </c>
      <c r="E100" s="90"/>
      <c r="F100" s="91">
        <f>SUM(D100:E100)</f>
        <v>60118</v>
      </c>
      <c r="G100" s="85">
        <f>F100</f>
        <v>60118</v>
      </c>
      <c r="H100" s="90"/>
      <c r="I100" s="634"/>
    </row>
    <row r="101" spans="1:9" s="111" customFormat="1" ht="13.5" customHeight="1" x14ac:dyDescent="0.2">
      <c r="A101" s="131" t="s">
        <v>524</v>
      </c>
      <c r="B101" s="109" t="s">
        <v>1200</v>
      </c>
      <c r="C101" s="90"/>
      <c r="D101" s="90">
        <v>3670</v>
      </c>
      <c r="E101" s="90"/>
      <c r="F101" s="91">
        <f>SUM(D101:E101)</f>
        <v>3670</v>
      </c>
      <c r="G101" s="85">
        <f>F101</f>
        <v>3670</v>
      </c>
      <c r="H101" s="90"/>
      <c r="I101" s="634"/>
    </row>
    <row r="102" spans="1:9" s="111" customFormat="1" ht="24.75" customHeight="1" x14ac:dyDescent="0.2">
      <c r="A102" s="131" t="s">
        <v>525</v>
      </c>
      <c r="B102" s="903" t="s">
        <v>1020</v>
      </c>
      <c r="C102" s="884"/>
      <c r="D102" s="884">
        <f>16000-4768</f>
        <v>11232</v>
      </c>
      <c r="E102" s="884"/>
      <c r="F102" s="885">
        <f>D102+E102</f>
        <v>11232</v>
      </c>
      <c r="G102" s="503"/>
      <c r="H102" s="884">
        <f>F102</f>
        <v>11232</v>
      </c>
      <c r="I102" s="634"/>
    </row>
    <row r="103" spans="1:9" s="111" customFormat="1" ht="12.75" customHeight="1" x14ac:dyDescent="0.2">
      <c r="A103" s="131" t="s">
        <v>526</v>
      </c>
      <c r="B103" s="903" t="s">
        <v>308</v>
      </c>
      <c r="C103" s="884"/>
      <c r="D103" s="884">
        <v>1000</v>
      </c>
      <c r="E103" s="884"/>
      <c r="F103" s="885">
        <f>D103+E103</f>
        <v>1000</v>
      </c>
      <c r="G103" s="503"/>
      <c r="H103" s="884">
        <f>F103</f>
        <v>1000</v>
      </c>
      <c r="I103" s="634"/>
    </row>
    <row r="104" spans="1:9" s="111" customFormat="1" ht="26.25" customHeight="1" x14ac:dyDescent="0.2">
      <c r="A104" s="131" t="s">
        <v>527</v>
      </c>
      <c r="B104" s="903" t="s">
        <v>1201</v>
      </c>
      <c r="C104" s="884"/>
      <c r="D104" s="884">
        <v>0</v>
      </c>
      <c r="E104" s="884"/>
      <c r="F104" s="885">
        <f>D104+E104</f>
        <v>0</v>
      </c>
      <c r="G104" s="503"/>
      <c r="H104" s="884">
        <f>F104</f>
        <v>0</v>
      </c>
      <c r="I104" s="634"/>
    </row>
    <row r="105" spans="1:9" s="111" customFormat="1" ht="24.6" customHeight="1" thickBot="1" x14ac:dyDescent="0.25">
      <c r="A105" s="511" t="s">
        <v>528</v>
      </c>
      <c r="B105" s="1067" t="s">
        <v>1287</v>
      </c>
      <c r="C105" s="90"/>
      <c r="D105" s="90">
        <v>21057</v>
      </c>
      <c r="E105" s="90">
        <v>5686</v>
      </c>
      <c r="F105" s="91">
        <v>26743</v>
      </c>
      <c r="G105" s="1068">
        <v>26743</v>
      </c>
      <c r="H105" s="91"/>
      <c r="I105" s="634"/>
    </row>
    <row r="106" spans="1:9" s="83" customFormat="1" ht="13.5" customHeight="1" thickBot="1" x14ac:dyDescent="0.25">
      <c r="A106" s="508"/>
      <c r="B106" s="108" t="s">
        <v>541</v>
      </c>
      <c r="C106" s="94"/>
      <c r="D106" s="94">
        <f>SUM(D100:D105)</f>
        <v>97077</v>
      </c>
      <c r="E106" s="94">
        <f t="shared" ref="E106:H106" si="13">SUM(E100:E105)</f>
        <v>5686</v>
      </c>
      <c r="F106" s="94">
        <f t="shared" si="13"/>
        <v>102763</v>
      </c>
      <c r="G106" s="94">
        <f t="shared" si="13"/>
        <v>90531</v>
      </c>
      <c r="H106" s="94">
        <f t="shared" si="13"/>
        <v>12232</v>
      </c>
      <c r="I106" s="633"/>
    </row>
    <row r="107" spans="1:9" s="83" customFormat="1" ht="12.75" customHeight="1" x14ac:dyDescent="0.2">
      <c r="A107" s="131"/>
      <c r="B107" s="89"/>
      <c r="C107" s="90"/>
      <c r="D107" s="90"/>
      <c r="E107" s="90"/>
      <c r="F107" s="91"/>
      <c r="G107" s="86"/>
      <c r="H107" s="129"/>
      <c r="I107" s="633"/>
    </row>
    <row r="108" spans="1:9" ht="12.75" customHeight="1" x14ac:dyDescent="0.2">
      <c r="A108" s="335" t="s">
        <v>545</v>
      </c>
      <c r="B108" s="112" t="s">
        <v>733</v>
      </c>
      <c r="C108" s="90"/>
      <c r="D108" s="90"/>
      <c r="E108" s="90"/>
      <c r="F108" s="91"/>
      <c r="H108" s="647"/>
      <c r="I108" s="630"/>
    </row>
    <row r="109" spans="1:9" s="111" customFormat="1" ht="21.75" customHeight="1" x14ac:dyDescent="0.2">
      <c r="A109" s="131" t="s">
        <v>535</v>
      </c>
      <c r="B109" s="109" t="s">
        <v>542</v>
      </c>
      <c r="C109" s="90"/>
      <c r="D109" s="90">
        <v>800</v>
      </c>
      <c r="E109" s="90"/>
      <c r="F109" s="91">
        <f>SUM(D109:E109)</f>
        <v>800</v>
      </c>
      <c r="G109" s="153"/>
      <c r="H109" s="90">
        <f>F109</f>
        <v>800</v>
      </c>
      <c r="I109" s="634"/>
    </row>
    <row r="110" spans="1:9" s="111" customFormat="1" ht="21.75" customHeight="1" thickBot="1" x14ac:dyDescent="0.25">
      <c r="A110" s="131" t="s">
        <v>717</v>
      </c>
      <c r="B110" s="109" t="s">
        <v>543</v>
      </c>
      <c r="C110" s="90"/>
      <c r="D110" s="90">
        <v>2200</v>
      </c>
      <c r="E110" s="90"/>
      <c r="F110" s="91">
        <f>SUM(D110:E110)</f>
        <v>2200</v>
      </c>
      <c r="G110" s="153"/>
      <c r="H110" s="90">
        <f>F110</f>
        <v>2200</v>
      </c>
      <c r="I110" s="634"/>
    </row>
    <row r="111" spans="1:9" s="83" customFormat="1" ht="21.75" customHeight="1" thickBot="1" x14ac:dyDescent="0.25">
      <c r="A111" s="508"/>
      <c r="B111" s="108" t="s">
        <v>544</v>
      </c>
      <c r="C111" s="94"/>
      <c r="D111" s="94">
        <f>SUM(D108:D110)</f>
        <v>3000</v>
      </c>
      <c r="E111" s="94">
        <f>SUM(E108:E110)</f>
        <v>0</v>
      </c>
      <c r="F111" s="94">
        <f>SUM(F108:F110)</f>
        <v>3000</v>
      </c>
      <c r="G111" s="94">
        <f>SUM(G108:G110)</f>
        <v>0</v>
      </c>
      <c r="H111" s="94">
        <f>SUM(H108:H110)</f>
        <v>3000</v>
      </c>
      <c r="I111" s="633"/>
    </row>
    <row r="112" spans="1:9" s="83" customFormat="1" ht="13.5" customHeight="1" x14ac:dyDescent="0.2">
      <c r="A112" s="131"/>
      <c r="B112" s="89"/>
      <c r="C112" s="91"/>
      <c r="D112" s="91"/>
      <c r="E112" s="91"/>
      <c r="F112" s="91"/>
      <c r="G112" s="91"/>
      <c r="H112" s="91"/>
      <c r="I112" s="633"/>
    </row>
    <row r="113" spans="1:9" s="83" customFormat="1" ht="13.5" customHeight="1" thickBot="1" x14ac:dyDescent="0.25">
      <c r="A113" s="511"/>
      <c r="B113" s="506"/>
      <c r="C113" s="514"/>
      <c r="D113" s="514"/>
      <c r="E113" s="514"/>
      <c r="F113" s="514"/>
      <c r="G113" s="515"/>
      <c r="H113" s="515"/>
      <c r="I113" s="633"/>
    </row>
    <row r="114" spans="1:9" s="83" customFormat="1" ht="13.5" customHeight="1" thickBot="1" x14ac:dyDescent="0.25">
      <c r="A114" s="508"/>
      <c r="B114" s="505" t="s">
        <v>189</v>
      </c>
      <c r="C114" s="154"/>
      <c r="D114" s="154">
        <f>D19+D27+D59+D74+D79+D91+D96+D106+D111</f>
        <v>1748054</v>
      </c>
      <c r="E114" s="154">
        <f>E19+E27+E59+E74+E79+E91+E96+E106+E111</f>
        <v>412245.72</v>
      </c>
      <c r="F114" s="154">
        <f>F19+F27+F59+F74+F79+F91+F96+F106+F111</f>
        <v>2160299.7199999997</v>
      </c>
      <c r="G114" s="154">
        <f>G19+G27+G59+G74+G79+G91+G96+G106+G111</f>
        <v>2054690</v>
      </c>
      <c r="H114" s="887">
        <f>H19+H27+H59+H74+H79+H91+H96+H106+H111</f>
        <v>105610</v>
      </c>
      <c r="I114" s="645"/>
    </row>
    <row r="115" spans="1:9" s="83" customFormat="1" ht="13.5" customHeight="1" x14ac:dyDescent="0.2">
      <c r="A115" s="131"/>
      <c r="B115" s="89"/>
      <c r="C115" s="91"/>
      <c r="D115" s="91"/>
      <c r="E115" s="91"/>
      <c r="F115" s="91"/>
      <c r="G115" s="129"/>
      <c r="H115" s="129"/>
      <c r="I115" s="633"/>
    </row>
    <row r="116" spans="1:9" s="113" customFormat="1" ht="13.5" customHeight="1" x14ac:dyDescent="0.15">
      <c r="A116" s="131"/>
      <c r="B116" s="89"/>
      <c r="C116" s="91"/>
      <c r="D116" s="91"/>
      <c r="E116" s="91"/>
      <c r="F116" s="91"/>
      <c r="G116" s="107"/>
      <c r="H116" s="107"/>
      <c r="I116" s="635"/>
    </row>
    <row r="117" spans="1:9" s="113" customFormat="1" ht="15.75" customHeight="1" x14ac:dyDescent="0.15">
      <c r="A117" s="335" t="s">
        <v>548</v>
      </c>
      <c r="B117" s="89" t="s">
        <v>546</v>
      </c>
      <c r="C117" s="91"/>
      <c r="D117" s="91"/>
      <c r="E117" s="91"/>
      <c r="F117" s="91"/>
      <c r="G117" s="107"/>
      <c r="H117" s="107"/>
      <c r="I117" s="635"/>
    </row>
    <row r="118" spans="1:9" s="1043" customFormat="1" ht="21.75" customHeight="1" x14ac:dyDescent="0.2">
      <c r="A118" s="131" t="s">
        <v>516</v>
      </c>
      <c r="B118" s="109" t="s">
        <v>1130</v>
      </c>
      <c r="C118" s="502" t="s">
        <v>333</v>
      </c>
      <c r="D118" s="502">
        <f>3980-2000</f>
        <v>1980</v>
      </c>
      <c r="E118" s="502">
        <f>1075-540</f>
        <v>535</v>
      </c>
      <c r="F118" s="504">
        <f>SUM(D118:E118)</f>
        <v>2515</v>
      </c>
      <c r="G118" s="503">
        <v>1110</v>
      </c>
      <c r="H118" s="884">
        <v>1405</v>
      </c>
      <c r="I118" s="1042"/>
    </row>
    <row r="119" spans="1:9" s="113" customFormat="1" ht="21.75" customHeight="1" x14ac:dyDescent="0.2">
      <c r="A119" s="131" t="s">
        <v>524</v>
      </c>
      <c r="B119" s="109" t="s">
        <v>1203</v>
      </c>
      <c r="C119" s="502" t="s">
        <v>333</v>
      </c>
      <c r="D119" s="502">
        <f>686+2000</f>
        <v>2686</v>
      </c>
      <c r="E119" s="502">
        <f>185+540</f>
        <v>725</v>
      </c>
      <c r="F119" s="504">
        <f>SUM(D119:E119)</f>
        <v>3411</v>
      </c>
      <c r="G119" s="503">
        <v>795</v>
      </c>
      <c r="H119" s="129">
        <v>2616</v>
      </c>
      <c r="I119" s="635"/>
    </row>
    <row r="120" spans="1:9" s="113" customFormat="1" ht="22.15" customHeight="1" thickBot="1" x14ac:dyDescent="0.25">
      <c r="A120" s="511" t="s">
        <v>525</v>
      </c>
      <c r="B120" s="109" t="s">
        <v>1278</v>
      </c>
      <c r="C120" s="502" t="s">
        <v>333</v>
      </c>
      <c r="D120" s="90">
        <v>430</v>
      </c>
      <c r="E120" s="90">
        <v>117</v>
      </c>
      <c r="F120" s="91">
        <f>SUM(D120:E120)</f>
        <v>547</v>
      </c>
      <c r="G120" s="86">
        <v>547</v>
      </c>
      <c r="H120" s="129"/>
      <c r="I120" s="635"/>
    </row>
    <row r="121" spans="1:9" s="113" customFormat="1" ht="21.75" customHeight="1" thickBot="1" x14ac:dyDescent="0.2">
      <c r="A121" s="508"/>
      <c r="B121" s="108" t="s">
        <v>547</v>
      </c>
      <c r="C121" s="94"/>
      <c r="D121" s="541">
        <f>SUM(D118:D120)</f>
        <v>5096</v>
      </c>
      <c r="E121" s="541">
        <f t="shared" ref="E121:F121" si="14">SUM(E118:E120)</f>
        <v>1377</v>
      </c>
      <c r="F121" s="541">
        <f t="shared" si="14"/>
        <v>6473</v>
      </c>
      <c r="G121" s="541">
        <f t="shared" ref="G121" si="15">SUM(G118:G120)</f>
        <v>2452</v>
      </c>
      <c r="H121" s="541">
        <f t="shared" ref="H121" si="16">SUM(H118:H120)</f>
        <v>4021</v>
      </c>
      <c r="I121" s="635"/>
    </row>
    <row r="122" spans="1:9" s="113" customFormat="1" ht="13.5" customHeight="1" x14ac:dyDescent="0.15">
      <c r="A122" s="131"/>
      <c r="B122" s="89"/>
      <c r="C122" s="91"/>
      <c r="D122" s="91"/>
      <c r="E122" s="91"/>
      <c r="F122" s="91"/>
      <c r="G122" s="99"/>
      <c r="H122" s="107"/>
      <c r="I122" s="635"/>
    </row>
    <row r="123" spans="1:9" s="113" customFormat="1" ht="13.5" customHeight="1" x14ac:dyDescent="0.15">
      <c r="A123" s="335" t="s">
        <v>190</v>
      </c>
      <c r="B123" s="89" t="s">
        <v>76</v>
      </c>
      <c r="C123" s="91"/>
      <c r="D123" s="91"/>
      <c r="E123" s="91"/>
      <c r="F123" s="91"/>
      <c r="G123" s="99"/>
      <c r="H123" s="107"/>
      <c r="I123" s="635"/>
    </row>
    <row r="124" spans="1:9" s="83" customFormat="1" ht="21.75" customHeight="1" x14ac:dyDescent="0.2">
      <c r="A124" s="131" t="s">
        <v>516</v>
      </c>
      <c r="B124" s="109" t="s">
        <v>335</v>
      </c>
      <c r="C124" s="502" t="s">
        <v>336</v>
      </c>
      <c r="D124" s="502">
        <f>4724-1870</f>
        <v>2854</v>
      </c>
      <c r="E124" s="502">
        <f>D124*0.27</f>
        <v>770.58</v>
      </c>
      <c r="F124" s="504">
        <f>SUM(D124:E124)</f>
        <v>3624.58</v>
      </c>
      <c r="G124" s="503">
        <v>3625</v>
      </c>
      <c r="H124" s="884"/>
      <c r="I124" s="633"/>
    </row>
    <row r="125" spans="1:9" s="83" customFormat="1" ht="21.75" customHeight="1" x14ac:dyDescent="0.2">
      <c r="A125" s="131" t="s">
        <v>524</v>
      </c>
      <c r="B125" s="109" t="s">
        <v>1279</v>
      </c>
      <c r="C125" s="502" t="s">
        <v>336</v>
      </c>
      <c r="D125" s="502">
        <v>315</v>
      </c>
      <c r="E125" s="502">
        <v>85</v>
      </c>
      <c r="F125" s="504">
        <f>SUM(D125:E125)</f>
        <v>400</v>
      </c>
      <c r="G125" s="503">
        <v>400</v>
      </c>
      <c r="H125" s="884"/>
      <c r="I125" s="633"/>
    </row>
    <row r="126" spans="1:9" s="83" customFormat="1" ht="21.75" customHeight="1" x14ac:dyDescent="0.2">
      <c r="A126" s="131" t="s">
        <v>525</v>
      </c>
      <c r="B126" s="109" t="s">
        <v>1280</v>
      </c>
      <c r="C126" s="502" t="s">
        <v>336</v>
      </c>
      <c r="D126" s="502">
        <v>1870</v>
      </c>
      <c r="E126" s="502">
        <v>505</v>
      </c>
      <c r="F126" s="504">
        <f>SUM(D126:E126)</f>
        <v>2375</v>
      </c>
      <c r="G126" s="503">
        <v>2375</v>
      </c>
      <c r="H126" s="884"/>
      <c r="I126" s="633"/>
    </row>
    <row r="127" spans="1:9" s="83" customFormat="1" ht="21.75" customHeight="1" thickBot="1" x14ac:dyDescent="0.25">
      <c r="A127" s="131" t="s">
        <v>526</v>
      </c>
      <c r="B127" s="109" t="s">
        <v>1281</v>
      </c>
      <c r="C127" s="502" t="s">
        <v>336</v>
      </c>
      <c r="D127" s="502">
        <v>1417</v>
      </c>
      <c r="E127" s="502">
        <v>383</v>
      </c>
      <c r="F127" s="504">
        <f>SUM(D127:E127)</f>
        <v>1800</v>
      </c>
      <c r="G127" s="503">
        <v>1800</v>
      </c>
      <c r="H127" s="884"/>
      <c r="I127" s="633"/>
    </row>
    <row r="128" spans="1:9" s="83" customFormat="1" ht="21.75" customHeight="1" thickBot="1" x14ac:dyDescent="0.25">
      <c r="A128" s="508"/>
      <c r="B128" s="505" t="s">
        <v>75</v>
      </c>
      <c r="C128" s="947"/>
      <c r="D128" s="947">
        <f>SUM(D124:D127)</f>
        <v>6456</v>
      </c>
      <c r="E128" s="947">
        <f t="shared" ref="E128:H128" si="17">SUM(E124:E127)</f>
        <v>1743.58</v>
      </c>
      <c r="F128" s="947">
        <f t="shared" si="17"/>
        <v>8199.58</v>
      </c>
      <c r="G128" s="947">
        <f t="shared" si="17"/>
        <v>8200</v>
      </c>
      <c r="H128" s="947">
        <f t="shared" si="17"/>
        <v>0</v>
      </c>
      <c r="I128" s="633"/>
    </row>
    <row r="129" spans="1:9" s="83" customFormat="1" ht="13.5" customHeight="1" x14ac:dyDescent="0.2">
      <c r="A129" s="131"/>
      <c r="B129" s="109"/>
      <c r="C129" s="90"/>
      <c r="D129" s="90"/>
      <c r="E129" s="90"/>
      <c r="F129" s="90"/>
      <c r="G129" s="86"/>
      <c r="H129" s="129"/>
      <c r="I129" s="633"/>
    </row>
    <row r="130" spans="1:9" s="113" customFormat="1" ht="26.45" customHeight="1" x14ac:dyDescent="0.2">
      <c r="A130" s="131"/>
      <c r="B130" s="89" t="s">
        <v>1124</v>
      </c>
      <c r="C130" s="91"/>
      <c r="D130" s="90"/>
      <c r="E130" s="90"/>
      <c r="F130" s="91"/>
      <c r="G130" s="99"/>
      <c r="H130" s="107"/>
      <c r="I130" s="635"/>
    </row>
    <row r="131" spans="1:9" s="113" customFormat="1" ht="21.75" customHeight="1" x14ac:dyDescent="0.15">
      <c r="A131" s="131" t="s">
        <v>516</v>
      </c>
      <c r="B131" s="109" t="s">
        <v>1202</v>
      </c>
      <c r="C131" s="502" t="s">
        <v>333</v>
      </c>
      <c r="D131" s="502">
        <v>7874</v>
      </c>
      <c r="E131" s="502">
        <v>2126</v>
      </c>
      <c r="F131" s="504">
        <f>D131+E131</f>
        <v>10000</v>
      </c>
      <c r="G131" s="503"/>
      <c r="H131" s="884">
        <f>F131</f>
        <v>10000</v>
      </c>
      <c r="I131" s="1042"/>
    </row>
    <row r="132" spans="1:9" s="113" customFormat="1" ht="21.75" customHeight="1" x14ac:dyDescent="0.15">
      <c r="A132" s="131" t="s">
        <v>524</v>
      </c>
      <c r="B132" s="109" t="s">
        <v>1117</v>
      </c>
      <c r="C132" s="502" t="s">
        <v>333</v>
      </c>
      <c r="D132" s="502">
        <v>5906</v>
      </c>
      <c r="E132" s="502">
        <v>1594</v>
      </c>
      <c r="F132" s="504">
        <f>D132+E132</f>
        <v>7500</v>
      </c>
      <c r="G132" s="503">
        <f>F132</f>
        <v>7500</v>
      </c>
      <c r="H132" s="885"/>
      <c r="I132" s="635"/>
    </row>
    <row r="133" spans="1:9" s="113" customFormat="1" ht="21.75" customHeight="1" x14ac:dyDescent="0.15">
      <c r="A133" s="131" t="s">
        <v>525</v>
      </c>
      <c r="B133" s="888" t="s">
        <v>1282</v>
      </c>
      <c r="C133" s="502" t="s">
        <v>333</v>
      </c>
      <c r="D133" s="884">
        <f>1969+787</f>
        <v>2756</v>
      </c>
      <c r="E133" s="884">
        <f>D133*0.27</f>
        <v>744.12</v>
      </c>
      <c r="F133" s="885">
        <f>SUM(D133:E133)</f>
        <v>3500.12</v>
      </c>
      <c r="G133" s="540"/>
      <c r="H133" s="884">
        <f>F133</f>
        <v>3500.12</v>
      </c>
      <c r="I133" s="635"/>
    </row>
    <row r="134" spans="1:9" s="113" customFormat="1" ht="21" customHeight="1" thickBot="1" x14ac:dyDescent="0.25">
      <c r="A134" s="131"/>
      <c r="B134" s="781"/>
      <c r="C134" s="778"/>
      <c r="D134" s="129"/>
      <c r="E134" s="129"/>
      <c r="F134" s="129"/>
      <c r="G134" s="99"/>
      <c r="H134" s="129"/>
      <c r="I134" s="635"/>
    </row>
    <row r="135" spans="1:9" s="113" customFormat="1" ht="21.75" customHeight="1" thickBot="1" x14ac:dyDescent="0.2">
      <c r="A135" s="512"/>
      <c r="B135" s="510" t="s">
        <v>1123</v>
      </c>
      <c r="C135" s="946"/>
      <c r="D135" s="947">
        <f>SUM(D131:D134)</f>
        <v>16536</v>
      </c>
      <c r="E135" s="947">
        <f>SUM(E131:E134)</f>
        <v>4464.12</v>
      </c>
      <c r="F135" s="947">
        <f t="shared" ref="F135:H135" si="18">SUM(F131:F134)</f>
        <v>21000.12</v>
      </c>
      <c r="G135" s="947">
        <f t="shared" si="18"/>
        <v>7500</v>
      </c>
      <c r="H135" s="947">
        <f t="shared" si="18"/>
        <v>13500.119999999999</v>
      </c>
      <c r="I135" s="635"/>
    </row>
    <row r="136" spans="1:9" s="113" customFormat="1" ht="13.5" customHeight="1" x14ac:dyDescent="0.15">
      <c r="A136" s="335"/>
      <c r="B136" s="89"/>
      <c r="C136" s="91"/>
      <c r="D136" s="91"/>
      <c r="E136" s="91"/>
      <c r="F136" s="91"/>
      <c r="G136" s="91"/>
      <c r="H136" s="91"/>
      <c r="I136" s="635"/>
    </row>
    <row r="137" spans="1:9" s="113" customFormat="1" ht="13.5" customHeight="1" x14ac:dyDescent="0.15">
      <c r="A137" s="335"/>
      <c r="B137" s="89" t="s">
        <v>748</v>
      </c>
      <c r="C137" s="91"/>
      <c r="D137" s="91"/>
      <c r="E137" s="91"/>
      <c r="F137" s="91"/>
      <c r="G137" s="91"/>
      <c r="H137" s="91"/>
      <c r="I137" s="635"/>
    </row>
    <row r="138" spans="1:9" s="1043" customFormat="1" ht="21.75" customHeight="1" x14ac:dyDescent="0.2">
      <c r="A138" s="131" t="s">
        <v>516</v>
      </c>
      <c r="B138" s="888" t="s">
        <v>1087</v>
      </c>
      <c r="C138" s="885"/>
      <c r="D138" s="884">
        <v>7480</v>
      </c>
      <c r="E138" s="884">
        <v>2020</v>
      </c>
      <c r="F138" s="885">
        <f>D138+E138</f>
        <v>9500</v>
      </c>
      <c r="G138" s="884">
        <f>F138</f>
        <v>9500</v>
      </c>
      <c r="H138" s="504"/>
      <c r="I138" s="1042"/>
    </row>
    <row r="139" spans="1:9" s="1043" customFormat="1" ht="26.25" customHeight="1" x14ac:dyDescent="0.2">
      <c r="A139" s="131" t="s">
        <v>524</v>
      </c>
      <c r="B139" s="888" t="s">
        <v>1088</v>
      </c>
      <c r="C139" s="885"/>
      <c r="D139" s="884">
        <v>158</v>
      </c>
      <c r="E139" s="884">
        <v>42</v>
      </c>
      <c r="F139" s="885">
        <f>D139+E139</f>
        <v>200</v>
      </c>
      <c r="G139" s="884">
        <f>F139</f>
        <v>200</v>
      </c>
      <c r="H139" s="504"/>
      <c r="I139" s="1042"/>
    </row>
    <row r="140" spans="1:9" s="1043" customFormat="1" ht="21.75" customHeight="1" x14ac:dyDescent="0.2">
      <c r="A140" s="131" t="s">
        <v>525</v>
      </c>
      <c r="B140" s="109" t="s">
        <v>1015</v>
      </c>
      <c r="C140" s="502" t="s">
        <v>333</v>
      </c>
      <c r="D140" s="502">
        <f>2362-2362</f>
        <v>0</v>
      </c>
      <c r="E140" s="502">
        <f>638-638</f>
        <v>0</v>
      </c>
      <c r="F140" s="504">
        <f>SUM(D140:E140)</f>
        <v>0</v>
      </c>
      <c r="G140" s="502">
        <v>0</v>
      </c>
      <c r="H140" s="502"/>
      <c r="I140" s="1042"/>
    </row>
    <row r="141" spans="1:9" s="1043" customFormat="1" ht="21.75" customHeight="1" thickBot="1" x14ac:dyDescent="0.25">
      <c r="A141" s="131" t="s">
        <v>526</v>
      </c>
      <c r="B141" s="109" t="s">
        <v>1266</v>
      </c>
      <c r="C141" s="502" t="s">
        <v>333</v>
      </c>
      <c r="D141" s="502">
        <v>394</v>
      </c>
      <c r="E141" s="502">
        <v>106</v>
      </c>
      <c r="F141" s="504">
        <f>SUM(D141:E141)</f>
        <v>500</v>
      </c>
      <c r="G141" s="502">
        <v>500</v>
      </c>
      <c r="H141" s="502"/>
      <c r="I141" s="1042"/>
    </row>
    <row r="142" spans="1:9" s="113" customFormat="1" ht="21.75" customHeight="1" thickBot="1" x14ac:dyDescent="0.2">
      <c r="A142" s="512"/>
      <c r="B142" s="505" t="s">
        <v>16</v>
      </c>
      <c r="C142" s="947"/>
      <c r="D142" s="947">
        <f>SUM(D138:D141)</f>
        <v>8032</v>
      </c>
      <c r="E142" s="947">
        <f t="shared" ref="E142:H142" si="19">SUM(E138:E141)</f>
        <v>2168</v>
      </c>
      <c r="F142" s="947">
        <f t="shared" si="19"/>
        <v>10200</v>
      </c>
      <c r="G142" s="947">
        <f t="shared" si="19"/>
        <v>10200</v>
      </c>
      <c r="H142" s="947">
        <f t="shared" si="19"/>
        <v>0</v>
      </c>
      <c r="I142" s="635"/>
    </row>
    <row r="143" spans="1:9" s="113" customFormat="1" ht="13.5" customHeight="1" x14ac:dyDescent="0.15">
      <c r="A143" s="335"/>
      <c r="B143" s="89"/>
      <c r="C143" s="91"/>
      <c r="D143" s="91"/>
      <c r="E143" s="91"/>
      <c r="F143" s="91"/>
      <c r="G143" s="91"/>
      <c r="H143" s="91"/>
      <c r="I143" s="635"/>
    </row>
    <row r="144" spans="1:9" s="113" customFormat="1" ht="13.5" customHeight="1" x14ac:dyDescent="0.15">
      <c r="A144" s="335"/>
      <c r="B144" s="89" t="s">
        <v>201</v>
      </c>
      <c r="C144" s="91"/>
      <c r="D144" s="91"/>
      <c r="E144" s="91"/>
      <c r="F144" s="91"/>
      <c r="G144" s="91"/>
      <c r="H144" s="91"/>
      <c r="I144" s="635"/>
    </row>
    <row r="145" spans="1:14" s="1043" customFormat="1" ht="21.75" customHeight="1" thickBot="1" x14ac:dyDescent="0.25">
      <c r="A145" s="511" t="s">
        <v>516</v>
      </c>
      <c r="B145" s="507" t="s">
        <v>200</v>
      </c>
      <c r="C145" s="1044" t="s">
        <v>333</v>
      </c>
      <c r="D145" s="1044">
        <v>394</v>
      </c>
      <c r="E145" s="1044">
        <v>106</v>
      </c>
      <c r="F145" s="1045">
        <v>500</v>
      </c>
      <c r="G145" s="1044">
        <v>500</v>
      </c>
      <c r="H145" s="1045"/>
      <c r="I145" s="1042"/>
    </row>
    <row r="146" spans="1:14" s="1043" customFormat="1" ht="21.75" customHeight="1" thickBot="1" x14ac:dyDescent="0.25">
      <c r="A146" s="512"/>
      <c r="B146" s="505" t="s">
        <v>202</v>
      </c>
      <c r="C146" s="947"/>
      <c r="D146" s="947">
        <f>SUM(D145)</f>
        <v>394</v>
      </c>
      <c r="E146" s="947">
        <f>SUM(E145)</f>
        <v>106</v>
      </c>
      <c r="F146" s="947">
        <f>SUM(F145)</f>
        <v>500</v>
      </c>
      <c r="G146" s="947">
        <f>SUM(G145)</f>
        <v>500</v>
      </c>
      <c r="H146" s="947"/>
      <c r="I146" s="1042"/>
    </row>
    <row r="147" spans="1:14" s="113" customFormat="1" ht="13.5" customHeight="1" x14ac:dyDescent="0.2">
      <c r="A147" s="131"/>
      <c r="B147" s="109"/>
      <c r="C147" s="90"/>
      <c r="D147" s="90"/>
      <c r="E147" s="90"/>
      <c r="F147" s="91"/>
      <c r="G147" s="99"/>
      <c r="H147" s="107"/>
      <c r="I147" s="635"/>
      <c r="N147" s="667"/>
    </row>
    <row r="148" spans="1:14" s="113" customFormat="1" ht="13.5" customHeight="1" x14ac:dyDescent="0.15">
      <c r="A148" s="335" t="s">
        <v>549</v>
      </c>
      <c r="B148" s="89" t="s">
        <v>550</v>
      </c>
      <c r="C148" s="91"/>
      <c r="D148" s="91"/>
      <c r="E148" s="91"/>
      <c r="F148" s="91"/>
      <c r="G148" s="99"/>
      <c r="H148" s="107"/>
      <c r="I148" s="635"/>
    </row>
    <row r="149" spans="1:14" s="113" customFormat="1" ht="18.75" customHeight="1" thickBot="1" x14ac:dyDescent="0.25">
      <c r="A149" s="511"/>
      <c r="B149" s="109"/>
      <c r="C149" s="90"/>
      <c r="D149" s="90"/>
      <c r="E149" s="90"/>
      <c r="F149" s="91"/>
      <c r="G149" s="86"/>
      <c r="H149" s="649"/>
      <c r="I149" s="635"/>
    </row>
    <row r="150" spans="1:14" s="113" customFormat="1" ht="21.75" customHeight="1" thickBot="1" x14ac:dyDescent="0.25">
      <c r="A150" s="508"/>
      <c r="B150" s="108" t="s">
        <v>551</v>
      </c>
      <c r="C150" s="114"/>
      <c r="D150" s="94"/>
      <c r="E150" s="94"/>
      <c r="F150" s="94"/>
      <c r="G150" s="94"/>
      <c r="H150" s="94"/>
      <c r="I150" s="635"/>
    </row>
    <row r="151" spans="1:14" s="83" customFormat="1" ht="13.5" customHeight="1" thickBot="1" x14ac:dyDescent="0.25">
      <c r="A151" s="131"/>
      <c r="B151" s="109"/>
      <c r="C151" s="90"/>
      <c r="D151" s="90"/>
      <c r="E151" s="90"/>
      <c r="F151" s="91"/>
      <c r="G151" s="86"/>
      <c r="H151" s="129"/>
      <c r="I151" s="633"/>
    </row>
    <row r="152" spans="1:14" s="113" customFormat="1" ht="20.25" customHeight="1" thickBot="1" x14ac:dyDescent="0.2">
      <c r="A152" s="508"/>
      <c r="B152" s="108" t="s">
        <v>552</v>
      </c>
      <c r="C152" s="541"/>
      <c r="D152" s="541">
        <f>D19+D27+D59+D74+D79+D91+D96+D106+D111+D121+D128+D135+D142+D150+D146</f>
        <v>1784568</v>
      </c>
      <c r="E152" s="541">
        <f>E19+E27+E59+E74+E79+E91+E96+E106+E111+E121+E128+E135+E142+E150+E146</f>
        <v>422104.42</v>
      </c>
      <c r="F152" s="541">
        <f>F19+F27+F59+F74+F79+F91+F96+F106+F111+F121+F128+F135+F142+F150+F146</f>
        <v>2206672.42</v>
      </c>
      <c r="G152" s="541">
        <f>G19+G27+G59+G74+G79+G91+G96+G106+G111+G121+G128+G135+G142+G150+G146</f>
        <v>2083542</v>
      </c>
      <c r="H152" s="541">
        <f>H19+H27+H59+H74+H79+H91+H96+H106+H111+H121+H128+H135+H142+H150+H146</f>
        <v>123131.12</v>
      </c>
      <c r="I152" s="635"/>
    </row>
    <row r="155" spans="1:14" ht="14.1" customHeight="1" x14ac:dyDescent="0.2">
      <c r="E155" s="115"/>
      <c r="F155" s="116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4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E37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161" t="s">
        <v>1296</v>
      </c>
      <c r="B2" s="1161"/>
      <c r="C2" s="1161"/>
      <c r="D2" s="1161"/>
      <c r="E2" s="1161"/>
    </row>
    <row r="3" spans="1:5" x14ac:dyDescent="0.25">
      <c r="B3" s="18"/>
      <c r="C3" s="345"/>
    </row>
    <row r="4" spans="1:5" ht="15" customHeight="1" x14ac:dyDescent="0.25">
      <c r="A4" s="1162" t="s">
        <v>78</v>
      </c>
      <c r="B4" s="1162"/>
      <c r="C4" s="1162"/>
      <c r="D4" s="1162"/>
      <c r="E4" s="1162"/>
    </row>
    <row r="5" spans="1:5" ht="15" customHeight="1" x14ac:dyDescent="0.25">
      <c r="A5" s="1163" t="s">
        <v>1004</v>
      </c>
      <c r="B5" s="1163"/>
      <c r="C5" s="1163"/>
      <c r="D5" s="1163"/>
      <c r="E5" s="1163"/>
    </row>
    <row r="6" spans="1:5" ht="15" customHeight="1" x14ac:dyDescent="0.25">
      <c r="A6" s="1163" t="s">
        <v>562</v>
      </c>
      <c r="B6" s="1163"/>
      <c r="C6" s="1163"/>
      <c r="D6" s="1163"/>
      <c r="E6" s="1163"/>
    </row>
    <row r="7" spans="1:5" ht="15" customHeight="1" x14ac:dyDescent="0.25">
      <c r="B7" s="1163"/>
      <c r="C7" s="1163"/>
    </row>
    <row r="8" spans="1:5" s="19" customFormat="1" ht="20.100000000000001" customHeight="1" x14ac:dyDescent="0.25">
      <c r="A8" s="1164" t="s">
        <v>327</v>
      </c>
      <c r="B8" s="1165"/>
      <c r="C8" s="1165"/>
      <c r="D8" s="1165"/>
      <c r="E8" s="1165"/>
    </row>
    <row r="9" spans="1:5" s="19" customFormat="1" ht="20.100000000000001" customHeight="1" x14ac:dyDescent="0.25">
      <c r="A9" s="1168" t="s">
        <v>77</v>
      </c>
      <c r="B9" s="518" t="s">
        <v>57</v>
      </c>
      <c r="C9" s="1167" t="s">
        <v>58</v>
      </c>
      <c r="D9" s="1167"/>
      <c r="E9" s="1167"/>
    </row>
    <row r="10" spans="1:5" ht="46.5" customHeight="1" x14ac:dyDescent="0.25">
      <c r="A10" s="1168"/>
      <c r="B10" s="1160" t="s">
        <v>86</v>
      </c>
      <c r="C10" s="1166" t="s">
        <v>1005</v>
      </c>
      <c r="D10" s="1166"/>
      <c r="E10" s="1166"/>
    </row>
    <row r="11" spans="1:5" ht="20.100000000000001" customHeight="1" x14ac:dyDescent="0.25">
      <c r="A11" s="1168"/>
      <c r="B11" s="1160"/>
      <c r="C11" s="517" t="s">
        <v>191</v>
      </c>
      <c r="D11" s="519" t="s">
        <v>192</v>
      </c>
      <c r="E11" s="520" t="s">
        <v>193</v>
      </c>
    </row>
    <row r="12" spans="1:5" ht="20.100000000000001" customHeight="1" x14ac:dyDescent="0.25">
      <c r="A12" s="21"/>
      <c r="B12" s="22" t="s">
        <v>563</v>
      </c>
      <c r="C12" s="650"/>
      <c r="D12" s="651"/>
      <c r="E12" s="652"/>
    </row>
    <row r="13" spans="1:5" ht="20.100000000000001" customHeight="1" x14ac:dyDescent="0.25">
      <c r="A13" s="21"/>
      <c r="B13" s="23" t="s">
        <v>681</v>
      </c>
      <c r="C13" s="653"/>
      <c r="D13" s="654"/>
      <c r="E13" s="655"/>
    </row>
    <row r="14" spans="1:5" ht="30.75" customHeight="1" x14ac:dyDescent="0.25">
      <c r="A14" s="21">
        <v>1</v>
      </c>
      <c r="B14" s="24" t="s">
        <v>329</v>
      </c>
      <c r="C14" s="653"/>
      <c r="D14" s="656">
        <v>0</v>
      </c>
      <c r="E14" s="657">
        <f>C14+D14</f>
        <v>0</v>
      </c>
    </row>
    <row r="15" spans="1:5" ht="24.6" customHeight="1" x14ac:dyDescent="0.25">
      <c r="A15" s="21">
        <f>A14+1</f>
        <v>2</v>
      </c>
      <c r="B15" s="24" t="s">
        <v>690</v>
      </c>
      <c r="C15" s="653">
        <f>181701-26743</f>
        <v>154958</v>
      </c>
      <c r="D15" s="656">
        <v>0</v>
      </c>
      <c r="E15" s="657">
        <f>C15+D15</f>
        <v>154958</v>
      </c>
    </row>
    <row r="16" spans="1:5" ht="36" customHeight="1" x14ac:dyDescent="0.25">
      <c r="A16" s="21">
        <v>3</v>
      </c>
      <c r="B16" s="28" t="s">
        <v>1175</v>
      </c>
      <c r="C16" s="653">
        <v>0</v>
      </c>
      <c r="D16" s="658"/>
      <c r="E16" s="657">
        <f>C16+D16</f>
        <v>0</v>
      </c>
    </row>
    <row r="17" spans="1:5" s="15" customFormat="1" ht="19.5" customHeight="1" x14ac:dyDescent="0.25">
      <c r="A17" s="21">
        <v>4</v>
      </c>
      <c r="B17" s="26" t="s">
        <v>49</v>
      </c>
      <c r="C17" s="659">
        <f>SUM(C14:C16)</f>
        <v>154958</v>
      </c>
      <c r="D17" s="660">
        <f>SUM(D14:D16)</f>
        <v>0</v>
      </c>
      <c r="E17" s="657">
        <f>C17+D17</f>
        <v>154958</v>
      </c>
    </row>
    <row r="18" spans="1:5" s="15" customFormat="1" ht="19.5" customHeight="1" x14ac:dyDescent="0.25">
      <c r="A18" s="21">
        <v>5</v>
      </c>
      <c r="B18" s="26"/>
      <c r="C18" s="659"/>
      <c r="D18" s="661"/>
      <c r="E18" s="662"/>
    </row>
    <row r="19" spans="1:5" ht="19.5" customHeight="1" x14ac:dyDescent="0.25">
      <c r="A19" s="21">
        <v>6</v>
      </c>
      <c r="B19" s="26" t="s">
        <v>682</v>
      </c>
      <c r="C19" s="653"/>
      <c r="D19" s="654"/>
      <c r="E19" s="663"/>
    </row>
    <row r="20" spans="1:5" ht="21" customHeight="1" x14ac:dyDescent="0.25">
      <c r="A20" s="21">
        <v>7</v>
      </c>
      <c r="B20" s="17" t="s">
        <v>564</v>
      </c>
      <c r="C20" s="653"/>
      <c r="D20" s="656">
        <v>30000</v>
      </c>
      <c r="E20" s="657">
        <f>C20+D20</f>
        <v>30000</v>
      </c>
    </row>
    <row r="21" spans="1:5" ht="21.75" customHeight="1" x14ac:dyDescent="0.25">
      <c r="A21" s="21">
        <v>8</v>
      </c>
      <c r="B21" s="24" t="s">
        <v>565</v>
      </c>
      <c r="C21" s="653"/>
      <c r="D21" s="656">
        <f>3310-1581-1000</f>
        <v>729</v>
      </c>
      <c r="E21" s="657">
        <f>C21+D21</f>
        <v>729</v>
      </c>
    </row>
    <row r="22" spans="1:5" ht="41.25" customHeight="1" x14ac:dyDescent="0.25">
      <c r="A22" s="830">
        <f>A21+1</f>
        <v>9</v>
      </c>
      <c r="B22" s="1039" t="s">
        <v>1176</v>
      </c>
      <c r="C22" s="1036"/>
      <c r="D22" s="1037">
        <v>88</v>
      </c>
      <c r="E22" s="1038">
        <f>C22+D22</f>
        <v>88</v>
      </c>
    </row>
    <row r="23" spans="1:5" s="15" customFormat="1" ht="21" customHeight="1" x14ac:dyDescent="0.25">
      <c r="A23" s="21">
        <f t="shared" ref="A23:A31" si="0">A22+1</f>
        <v>10</v>
      </c>
      <c r="B23" s="26" t="s">
        <v>683</v>
      </c>
      <c r="C23" s="659">
        <f>SUM(C20:C21)</f>
        <v>0</v>
      </c>
      <c r="D23" s="660">
        <f>SUM(D20:D22)</f>
        <v>30817</v>
      </c>
      <c r="E23" s="657">
        <f>C23+D23</f>
        <v>30817</v>
      </c>
    </row>
    <row r="24" spans="1:5" s="15" customFormat="1" ht="22.5" customHeight="1" x14ac:dyDescent="0.25">
      <c r="A24" s="21">
        <f t="shared" si="0"/>
        <v>11</v>
      </c>
      <c r="B24" s="28" t="s">
        <v>566</v>
      </c>
      <c r="C24" s="1015">
        <f>C17+C23</f>
        <v>154958</v>
      </c>
      <c r="D24" s="37">
        <f>D17+D23</f>
        <v>30817</v>
      </c>
      <c r="E24" s="657">
        <f>C24+D24</f>
        <v>185775</v>
      </c>
    </row>
    <row r="25" spans="1:5" ht="20.100000000000001" customHeight="1" x14ac:dyDescent="0.25">
      <c r="A25" s="21">
        <f t="shared" si="0"/>
        <v>12</v>
      </c>
      <c r="B25" s="24"/>
      <c r="C25" s="1016"/>
      <c r="D25" s="658"/>
      <c r="E25" s="663"/>
    </row>
    <row r="26" spans="1:5" ht="20.100000000000001" customHeight="1" x14ac:dyDescent="0.25">
      <c r="A26" s="21">
        <f t="shared" si="0"/>
        <v>13</v>
      </c>
      <c r="B26" s="22" t="s">
        <v>567</v>
      </c>
      <c r="C26" s="1016"/>
      <c r="D26" s="658"/>
      <c r="E26" s="663"/>
    </row>
    <row r="27" spans="1:5" ht="20.100000000000001" customHeight="1" x14ac:dyDescent="0.25">
      <c r="A27" s="21">
        <f t="shared" si="0"/>
        <v>14</v>
      </c>
      <c r="B27" s="17" t="s">
        <v>568</v>
      </c>
      <c r="C27" s="1016">
        <f>15470-8114-1301-146</f>
        <v>5909</v>
      </c>
      <c r="D27" s="658">
        <v>0</v>
      </c>
      <c r="E27" s="664">
        <f>C27+D27</f>
        <v>5909</v>
      </c>
    </row>
    <row r="28" spans="1:5" ht="20.100000000000001" customHeight="1" x14ac:dyDescent="0.25">
      <c r="A28" s="21">
        <f t="shared" si="0"/>
        <v>15</v>
      </c>
      <c r="B28" s="28" t="s">
        <v>203</v>
      </c>
      <c r="C28" s="1016"/>
      <c r="D28" s="658"/>
      <c r="E28" s="664"/>
    </row>
    <row r="29" spans="1:5" ht="32.25" customHeight="1" x14ac:dyDescent="0.25">
      <c r="A29" s="830">
        <f t="shared" si="0"/>
        <v>16</v>
      </c>
      <c r="B29" s="831" t="s">
        <v>317</v>
      </c>
      <c r="C29" s="1017">
        <v>0</v>
      </c>
      <c r="D29" s="665"/>
      <c r="E29" s="666">
        <f>SUM(C29:D29)</f>
        <v>0</v>
      </c>
    </row>
    <row r="30" spans="1:5" s="15" customFormat="1" ht="20.100000000000001" customHeight="1" x14ac:dyDescent="0.25">
      <c r="A30" s="21">
        <f t="shared" si="0"/>
        <v>17</v>
      </c>
      <c r="B30" s="29" t="s">
        <v>569</v>
      </c>
      <c r="C30" s="1015">
        <f>C27</f>
        <v>5909</v>
      </c>
      <c r="D30" s="1015">
        <f t="shared" ref="D30:E30" si="1">D27</f>
        <v>0</v>
      </c>
      <c r="E30" s="1021">
        <f t="shared" si="1"/>
        <v>5909</v>
      </c>
    </row>
    <row r="31" spans="1:5" s="15" customFormat="1" ht="20.100000000000001" customHeight="1" x14ac:dyDescent="0.25">
      <c r="A31" s="21">
        <f t="shared" si="0"/>
        <v>18</v>
      </c>
      <c r="B31" s="29" t="s">
        <v>330</v>
      </c>
      <c r="C31" s="1018">
        <f>C24+C30</f>
        <v>160867</v>
      </c>
      <c r="D31" s="1019">
        <f>D24+D30</f>
        <v>30817</v>
      </c>
      <c r="E31" s="1020">
        <f>E24+E30</f>
        <v>191684</v>
      </c>
    </row>
    <row r="32" spans="1:5" s="15" customFormat="1" ht="20.100000000000001" customHeight="1" x14ac:dyDescent="0.25">
      <c r="A32" s="16"/>
      <c r="B32" s="29"/>
      <c r="C32" s="27"/>
      <c r="D32" s="381"/>
    </row>
    <row r="33" spans="2:3" ht="19.5" customHeight="1" x14ac:dyDescent="0.25">
      <c r="B33" s="30"/>
      <c r="C33" s="25"/>
    </row>
    <row r="34" spans="2:3" ht="15" customHeight="1" x14ac:dyDescent="0.25">
      <c r="B34" s="17"/>
      <c r="C34" s="25"/>
    </row>
    <row r="35" spans="2:3" x14ac:dyDescent="0.25">
      <c r="B35" s="17"/>
      <c r="C35" s="25"/>
    </row>
    <row r="36" spans="2:3" x14ac:dyDescent="0.25">
      <c r="B36" s="17"/>
      <c r="C36" s="25"/>
    </row>
    <row r="37" spans="2:3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N60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8" customWidth="1"/>
    <col min="2" max="2" width="37.28515625" style="158" customWidth="1"/>
    <col min="3" max="3" width="12" style="159" customWidth="1"/>
    <col min="4" max="4" width="11.140625" style="159" customWidth="1"/>
    <col min="5" max="5" width="12.140625" style="159" customWidth="1"/>
    <col min="6" max="6" width="38.7109375" style="159" customWidth="1"/>
    <col min="7" max="7" width="11.5703125" style="159" customWidth="1"/>
    <col min="8" max="8" width="11.7109375" style="159" customWidth="1"/>
    <col min="9" max="9" width="14.5703125" style="159" customWidth="1"/>
    <col min="10" max="10" width="7.7109375" style="338" hidden="1" customWidth="1"/>
    <col min="11" max="11" width="7.140625" style="338" hidden="1" customWidth="1"/>
    <col min="12" max="12" width="7.85546875" style="338" hidden="1" customWidth="1"/>
    <col min="13" max="16384" width="9.140625" style="10"/>
  </cols>
  <sheetData>
    <row r="1" spans="1:13" ht="12.75" x14ac:dyDescent="0.2">
      <c r="C1" s="1071" t="s">
        <v>1297</v>
      </c>
      <c r="D1" s="1119"/>
      <c r="E1" s="1119"/>
      <c r="F1" s="1119"/>
      <c r="G1" s="1119"/>
      <c r="H1" s="1119"/>
      <c r="I1" s="1119"/>
      <c r="J1" s="1119"/>
      <c r="K1" s="1119"/>
      <c r="L1" s="1119"/>
    </row>
    <row r="2" spans="1:13" x14ac:dyDescent="0.2">
      <c r="I2" s="160"/>
    </row>
    <row r="3" spans="1:13" s="123" customFormat="1" ht="12.75" x14ac:dyDescent="0.2">
      <c r="A3" s="161"/>
      <c r="B3" s="1074" t="s">
        <v>78</v>
      </c>
      <c r="C3" s="1074"/>
      <c r="D3" s="1074"/>
      <c r="E3" s="1074"/>
      <c r="F3" s="1074"/>
      <c r="G3" s="1074"/>
      <c r="H3" s="1074"/>
      <c r="I3" s="1074"/>
      <c r="J3" s="1119"/>
      <c r="K3" s="1119"/>
      <c r="L3" s="1119"/>
    </row>
    <row r="4" spans="1:13" s="123" customFormat="1" x14ac:dyDescent="0.2">
      <c r="A4" s="161"/>
      <c r="B4" s="1169" t="s">
        <v>1006</v>
      </c>
      <c r="C4" s="1169"/>
      <c r="D4" s="1169"/>
      <c r="E4" s="1169"/>
      <c r="F4" s="1169"/>
      <c r="G4" s="1169"/>
      <c r="H4" s="1169"/>
      <c r="I4" s="1169"/>
    </row>
    <row r="5" spans="1:13" s="123" customFormat="1" ht="12.75" x14ac:dyDescent="0.2">
      <c r="A5" s="1075" t="s">
        <v>327</v>
      </c>
      <c r="B5" s="1121"/>
      <c r="C5" s="1121"/>
      <c r="D5" s="1121"/>
      <c r="E5" s="1121"/>
      <c r="F5" s="1121"/>
      <c r="G5" s="1121"/>
      <c r="H5" s="1121"/>
      <c r="I5" s="1121"/>
      <c r="J5" s="1121"/>
      <c r="K5" s="1121"/>
      <c r="L5" s="1121"/>
    </row>
    <row r="6" spans="1:13" s="123" customFormat="1" ht="12.75" customHeight="1" x14ac:dyDescent="0.2">
      <c r="A6" s="1079" t="s">
        <v>56</v>
      </c>
      <c r="B6" s="1080" t="s">
        <v>57</v>
      </c>
      <c r="C6" s="1095" t="s">
        <v>58</v>
      </c>
      <c r="D6" s="1095"/>
      <c r="E6" s="1096"/>
      <c r="F6" s="1171" t="s">
        <v>59</v>
      </c>
      <c r="G6" s="1077" t="s">
        <v>60</v>
      </c>
      <c r="H6" s="1078"/>
      <c r="I6" s="1170"/>
      <c r="M6" s="637"/>
    </row>
    <row r="7" spans="1:13" s="123" customFormat="1" ht="12.75" customHeight="1" x14ac:dyDescent="0.2">
      <c r="A7" s="1079"/>
      <c r="B7" s="1080"/>
      <c r="C7" s="1072" t="s">
        <v>994</v>
      </c>
      <c r="D7" s="1072"/>
      <c r="E7" s="1073"/>
      <c r="F7" s="1171"/>
      <c r="G7" s="1072" t="s">
        <v>994</v>
      </c>
      <c r="H7" s="1072"/>
      <c r="I7" s="1072"/>
      <c r="M7" s="637"/>
    </row>
    <row r="8" spans="1:13" s="124" customFormat="1" ht="36.6" customHeight="1" x14ac:dyDescent="0.2">
      <c r="A8" s="1079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M8" s="638"/>
    </row>
    <row r="9" spans="1:13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0"/>
      <c r="K9" s="10"/>
      <c r="L9" s="10"/>
      <c r="M9" s="194"/>
    </row>
    <row r="10" spans="1:13" x14ac:dyDescent="0.2">
      <c r="A10" s="165">
        <f t="shared" ref="A10:A53" si="0">A9+1</f>
        <v>2</v>
      </c>
      <c r="B10" s="168" t="s">
        <v>35</v>
      </c>
      <c r="C10" s="304"/>
      <c r="D10" s="304"/>
      <c r="E10" s="292">
        <f>SUM(C10:D10)</f>
        <v>0</v>
      </c>
      <c r="F10" s="523" t="s">
        <v>233</v>
      </c>
      <c r="G10" s="292">
        <f>'műk. kiad. szakf Önkorm. '!D77</f>
        <v>56408</v>
      </c>
      <c r="H10" s="292">
        <f>'műk. kiad. szakf Önkorm. '!E77</f>
        <v>45481</v>
      </c>
      <c r="I10" s="490">
        <f>SUM(G10:H10)</f>
        <v>101889</v>
      </c>
      <c r="J10" s="10"/>
      <c r="K10" s="10"/>
      <c r="L10" s="10"/>
      <c r="M10" s="194"/>
    </row>
    <row r="11" spans="1:13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661664</v>
      </c>
      <c r="D11" s="304">
        <f>'tám, végl. pe.átv  '!D11+'tám, végl. pe.átv  '!D19+'tám, végl. pe.átv  '!D20</f>
        <v>84418</v>
      </c>
      <c r="E11" s="304">
        <f>'tám, végl. pe.átv  '!E11+'tám, végl. pe.átv  '!E19+'tám, végl. pe.átv  '!E20</f>
        <v>746082</v>
      </c>
      <c r="F11" s="523" t="s">
        <v>234</v>
      </c>
      <c r="G11" s="292">
        <f>'műk. kiad. szakf Önkorm. '!F77</f>
        <v>17241</v>
      </c>
      <c r="H11" s="292">
        <f>'műk. kiad. szakf Önkorm. '!G77</f>
        <v>16598</v>
      </c>
      <c r="I11" s="490">
        <f>SUM(G11:H11)</f>
        <v>33839</v>
      </c>
      <c r="J11" s="10"/>
      <c r="K11" s="10"/>
      <c r="L11" s="10"/>
      <c r="M11" s="194"/>
    </row>
    <row r="12" spans="1:13" x14ac:dyDescent="0.2">
      <c r="A12" s="165">
        <f t="shared" si="0"/>
        <v>4</v>
      </c>
      <c r="B12" s="168" t="s">
        <v>205</v>
      </c>
      <c r="C12" s="304"/>
      <c r="D12" s="304">
        <v>36</v>
      </c>
      <c r="E12" s="304">
        <f>C12+D12</f>
        <v>36</v>
      </c>
      <c r="F12" s="523" t="s">
        <v>235</v>
      </c>
      <c r="G12" s="292">
        <f>'műk. kiad. szakf Önkorm. '!H77</f>
        <v>194972</v>
      </c>
      <c r="H12" s="292">
        <f>'műk. kiad. szakf Önkorm. '!I77</f>
        <v>170877</v>
      </c>
      <c r="I12" s="490">
        <f>SUM(G12:H12)</f>
        <v>365849</v>
      </c>
      <c r="J12" s="10"/>
      <c r="K12" s="10"/>
      <c r="L12" s="10"/>
      <c r="M12" s="194"/>
    </row>
    <row r="13" spans="1:13" ht="12" customHeight="1" x14ac:dyDescent="0.2">
      <c r="A13" s="165">
        <f t="shared" si="0"/>
        <v>5</v>
      </c>
      <c r="B13" s="565" t="s">
        <v>209</v>
      </c>
      <c r="C13" s="304">
        <f>'tám, végl. pe.átv  '!C43</f>
        <v>52412</v>
      </c>
      <c r="D13" s="304">
        <f>'tám, végl. pe.átv  '!D43</f>
        <v>4087</v>
      </c>
      <c r="E13" s="304">
        <f>'tám, végl. pe.átv  '!E43</f>
        <v>56499</v>
      </c>
      <c r="F13" s="523"/>
      <c r="G13" s="304"/>
      <c r="H13" s="304"/>
      <c r="I13" s="490"/>
      <c r="J13" s="10"/>
      <c r="K13" s="10"/>
      <c r="L13" s="10"/>
      <c r="M13" s="194"/>
    </row>
    <row r="14" spans="1:13" x14ac:dyDescent="0.2">
      <c r="A14" s="165">
        <f t="shared" si="0"/>
        <v>6</v>
      </c>
      <c r="B14" s="168" t="s">
        <v>210</v>
      </c>
      <c r="C14" s="304">
        <f>'felh. bev.  '!D28</f>
        <v>425451</v>
      </c>
      <c r="D14" s="304">
        <f>'felh. bev.  '!E28</f>
        <v>52155</v>
      </c>
      <c r="E14" s="292">
        <f>SUM(C14:D14)</f>
        <v>477606</v>
      </c>
      <c r="F14" s="523" t="s">
        <v>236</v>
      </c>
      <c r="G14" s="299">
        <f>'műk. kiad. szakf Önkorm. '!P77</f>
        <v>0</v>
      </c>
      <c r="H14" s="299">
        <f>'ellátottak önk.'!F32</f>
        <v>13750</v>
      </c>
      <c r="I14" s="490">
        <f>SUM(G14:H14)</f>
        <v>13750</v>
      </c>
      <c r="J14" s="10"/>
      <c r="K14" s="10"/>
      <c r="L14" s="10"/>
      <c r="M14" s="194"/>
    </row>
    <row r="15" spans="1:13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0"/>
      <c r="K15" s="10"/>
      <c r="L15" s="10"/>
      <c r="M15" s="194"/>
    </row>
    <row r="16" spans="1:13" x14ac:dyDescent="0.2">
      <c r="A16" s="165">
        <f t="shared" si="0"/>
        <v>8</v>
      </c>
      <c r="B16" s="168" t="s">
        <v>211</v>
      </c>
      <c r="C16" s="304">
        <f>'közhatalmi bevételek'!D31</f>
        <v>576268</v>
      </c>
      <c r="D16" s="304">
        <f>'közhatalmi bevételek'!E31</f>
        <v>659052</v>
      </c>
      <c r="E16" s="304">
        <f>'közhatalmi bevételek'!F31</f>
        <v>1235320</v>
      </c>
      <c r="F16" s="523" t="s">
        <v>238</v>
      </c>
      <c r="G16" s="299">
        <f>mc.pe.átad!D22</f>
        <v>8000</v>
      </c>
      <c r="H16" s="299">
        <f>mc.pe.átad!E22</f>
        <v>52874</v>
      </c>
      <c r="I16" s="299">
        <f>mc.pe.átad!F22</f>
        <v>60874</v>
      </c>
      <c r="J16" s="10"/>
      <c r="K16" s="10"/>
      <c r="L16" s="10"/>
      <c r="M16" s="194"/>
    </row>
    <row r="17" spans="1:14" x14ac:dyDescent="0.2">
      <c r="A17" s="165">
        <f t="shared" si="0"/>
        <v>9</v>
      </c>
      <c r="B17" s="171" t="s">
        <v>40</v>
      </c>
      <c r="C17" s="374"/>
      <c r="D17" s="374"/>
      <c r="E17" s="374"/>
      <c r="F17" s="523" t="s">
        <v>239</v>
      </c>
      <c r="G17" s="299">
        <f>mc.pe.átad!D56</f>
        <v>314149</v>
      </c>
      <c r="H17" s="299">
        <f>mc.pe.átad!E56</f>
        <v>35901</v>
      </c>
      <c r="I17" s="299">
        <f>mc.pe.átad!F56</f>
        <v>350050</v>
      </c>
      <c r="J17" s="10"/>
      <c r="K17" s="10"/>
      <c r="L17" s="10"/>
      <c r="M17" s="194"/>
    </row>
    <row r="18" spans="1:14" x14ac:dyDescent="0.2">
      <c r="A18" s="165">
        <f t="shared" si="0"/>
        <v>10</v>
      </c>
      <c r="B18" s="171"/>
      <c r="C18" s="374"/>
      <c r="D18" s="374"/>
      <c r="E18" s="374"/>
      <c r="F18" s="523" t="s">
        <v>287</v>
      </c>
      <c r="G18" s="299">
        <f>'műk. kiad. szakf Önkorm. '!N77</f>
        <v>451</v>
      </c>
      <c r="H18" s="299">
        <f>'műk. kiad. szakf Önkorm. '!O77</f>
        <v>0</v>
      </c>
      <c r="I18" s="299">
        <f>G18+H18</f>
        <v>451</v>
      </c>
      <c r="J18" s="10"/>
      <c r="K18" s="10"/>
      <c r="L18" s="10"/>
      <c r="M18" s="194"/>
    </row>
    <row r="19" spans="1:14" x14ac:dyDescent="0.2">
      <c r="A19" s="165">
        <f t="shared" si="0"/>
        <v>11</v>
      </c>
      <c r="B19" s="117" t="s">
        <v>212</v>
      </c>
      <c r="C19" s="374">
        <v>40369</v>
      </c>
      <c r="D19" s="374">
        <f>43775+2745</f>
        <v>46520</v>
      </c>
      <c r="E19" s="374">
        <f>SUM(C19:D19)</f>
        <v>86889</v>
      </c>
      <c r="F19" s="523" t="s">
        <v>241</v>
      </c>
      <c r="G19" s="299">
        <f>tartalék!C23</f>
        <v>0</v>
      </c>
      <c r="H19" s="299">
        <f>tartalék!D23</f>
        <v>30817</v>
      </c>
      <c r="I19" s="1022">
        <f>SUM(G19:H19)</f>
        <v>30817</v>
      </c>
      <c r="J19" s="10"/>
      <c r="K19" s="10"/>
      <c r="L19" s="10"/>
      <c r="M19" s="194"/>
    </row>
    <row r="20" spans="1:14" x14ac:dyDescent="0.2">
      <c r="A20" s="165">
        <f t="shared" si="0"/>
        <v>12</v>
      </c>
      <c r="C20" s="374"/>
      <c r="D20" s="374"/>
      <c r="E20" s="374"/>
      <c r="F20" s="523" t="s">
        <v>288</v>
      </c>
      <c r="G20" s="299">
        <f>tartalék!C30</f>
        <v>5909</v>
      </c>
      <c r="H20" s="299">
        <f>tartalék!D30</f>
        <v>0</v>
      </c>
      <c r="I20" s="299">
        <f>tartalék!E30</f>
        <v>5909</v>
      </c>
      <c r="J20" s="10"/>
      <c r="K20" s="10"/>
      <c r="L20" s="10"/>
      <c r="M20" s="194"/>
    </row>
    <row r="21" spans="1:14" s="125" customFormat="1" x14ac:dyDescent="0.2">
      <c r="A21" s="165">
        <f t="shared" si="0"/>
        <v>13</v>
      </c>
      <c r="B21" s="158" t="s">
        <v>42</v>
      </c>
      <c r="C21" s="374"/>
      <c r="D21" s="374"/>
      <c r="E21" s="374"/>
      <c r="F21" s="636"/>
      <c r="G21" s="299"/>
      <c r="H21" s="299"/>
      <c r="I21" s="492"/>
      <c r="M21" s="639"/>
    </row>
    <row r="22" spans="1:14" s="125" customFormat="1" x14ac:dyDescent="0.2">
      <c r="A22" s="165">
        <f t="shared" si="0"/>
        <v>14</v>
      </c>
      <c r="B22" s="158" t="s">
        <v>1063</v>
      </c>
      <c r="C22" s="374"/>
      <c r="D22" s="374"/>
      <c r="E22" s="374"/>
      <c r="F22" s="636"/>
      <c r="G22" s="299"/>
      <c r="H22" s="299"/>
      <c r="I22" s="492"/>
      <c r="M22" s="639"/>
    </row>
    <row r="23" spans="1:14" x14ac:dyDescent="0.2">
      <c r="A23" s="165">
        <f t="shared" si="0"/>
        <v>15</v>
      </c>
      <c r="B23" s="168" t="s">
        <v>1062</v>
      </c>
      <c r="C23" s="965"/>
      <c r="D23" s="292">
        <f>'felh. bev.  '!E13</f>
        <v>1070</v>
      </c>
      <c r="E23" s="374">
        <f>SUM(C23:D23)</f>
        <v>1070</v>
      </c>
      <c r="F23" s="966" t="s">
        <v>66</v>
      </c>
      <c r="G23" s="375">
        <f t="shared" ref="G23:L23" si="1">SUM(G10:G21)</f>
        <v>597130</v>
      </c>
      <c r="H23" s="375">
        <f t="shared" si="1"/>
        <v>366298</v>
      </c>
      <c r="I23" s="493">
        <f t="shared" si="1"/>
        <v>963428</v>
      </c>
      <c r="J23" s="126">
        <f t="shared" si="1"/>
        <v>0</v>
      </c>
      <c r="K23" s="126">
        <f t="shared" si="1"/>
        <v>0</v>
      </c>
      <c r="L23" s="463">
        <f t="shared" si="1"/>
        <v>0</v>
      </c>
      <c r="M23" s="194"/>
    </row>
    <row r="24" spans="1:14" x14ac:dyDescent="0.2">
      <c r="A24" s="165">
        <f t="shared" si="0"/>
        <v>16</v>
      </c>
      <c r="B24" s="168" t="s">
        <v>217</v>
      </c>
      <c r="C24" s="374">
        <f>'felh. bev.  '!D14+'felh. bev.  '!D15</f>
        <v>0</v>
      </c>
      <c r="D24" s="374">
        <f>'felh. bev.  '!E14+'felh. bev.  '!E15</f>
        <v>0</v>
      </c>
      <c r="E24" s="374">
        <f>SUM(C24:D24)</f>
        <v>0</v>
      </c>
      <c r="F24" s="636"/>
      <c r="G24" s="299"/>
      <c r="H24" s="299"/>
      <c r="I24" s="492"/>
      <c r="J24" s="10"/>
      <c r="K24" s="10"/>
      <c r="L24" s="10"/>
      <c r="M24" s="194"/>
    </row>
    <row r="25" spans="1:14" x14ac:dyDescent="0.2">
      <c r="A25" s="165">
        <f t="shared" si="0"/>
        <v>17</v>
      </c>
      <c r="B25" s="117" t="s">
        <v>218</v>
      </c>
      <c r="C25" s="292">
        <f>'felh. bev.  '!D21</f>
        <v>0</v>
      </c>
      <c r="D25" s="292">
        <f>'felh. bev.  '!E21</f>
        <v>2270</v>
      </c>
      <c r="E25" s="292">
        <f>'felh. bev.  '!F21</f>
        <v>2270</v>
      </c>
      <c r="F25" s="967" t="s">
        <v>34</v>
      </c>
      <c r="G25" s="377"/>
      <c r="H25" s="377"/>
      <c r="I25" s="492"/>
      <c r="J25" s="10"/>
      <c r="K25" s="10"/>
      <c r="L25" s="10"/>
      <c r="M25" s="194"/>
    </row>
    <row r="26" spans="1:14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290</v>
      </c>
      <c r="G26" s="299">
        <f>'felhalm. kiad.  '!G19+'felhalm. kiad.  '!G59+'felhalm. kiad.  '!G74+'felhalm. kiad.  '!G79+'felhalm. kiad.  '!G91+'felhalm. kiad.  '!G150+'felhalm. kiad.  '!L23</f>
        <v>1936617</v>
      </c>
      <c r="H26" s="299">
        <f>'felhalm. kiad.  '!H19+'felhalm. kiad.  '!H59+'felhalm. kiad.  '!H74+'felhalm. kiad.  '!H79+'felhalm. kiad.  '!H91+'felhalm. kiad.  '!H150</f>
        <v>82916</v>
      </c>
      <c r="I26" s="492">
        <f>SUM(G26:H26)</f>
        <v>2019533</v>
      </c>
      <c r="J26" s="10"/>
      <c r="K26" s="10"/>
      <c r="L26" s="10"/>
      <c r="M26" s="636"/>
      <c r="N26" s="963"/>
    </row>
    <row r="27" spans="1:14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'!G27</f>
        <v>27542</v>
      </c>
      <c r="H27" s="299">
        <f>'felhalm. kiad.  '!H27</f>
        <v>7412</v>
      </c>
      <c r="I27" s="492">
        <f>SUM(G27:H27)</f>
        <v>34954</v>
      </c>
      <c r="J27" s="10"/>
      <c r="K27" s="10"/>
      <c r="L27" s="10"/>
      <c r="M27" s="194"/>
    </row>
    <row r="28" spans="1:14" x14ac:dyDescent="0.2">
      <c r="A28" s="165">
        <f t="shared" si="0"/>
        <v>20</v>
      </c>
      <c r="B28" s="158" t="s">
        <v>220</v>
      </c>
      <c r="C28" s="292">
        <f>'tám, végl. pe.átv  '!C50</f>
        <v>0</v>
      </c>
      <c r="D28" s="292">
        <f>'tám, végl. pe.átv  '!D50</f>
        <v>2134</v>
      </c>
      <c r="E28" s="292">
        <f>'tám, végl. pe.átv  '!E50</f>
        <v>2134</v>
      </c>
      <c r="F28" s="523" t="s">
        <v>246</v>
      </c>
      <c r="G28" s="299"/>
      <c r="H28" s="299"/>
      <c r="I28" s="492">
        <f>SUM(G28:H28)</f>
        <v>0</v>
      </c>
      <c r="J28" s="10"/>
      <c r="K28" s="10"/>
      <c r="L28" s="10"/>
      <c r="M28" s="194"/>
    </row>
    <row r="29" spans="1:14" s="125" customFormat="1" x14ac:dyDescent="0.2">
      <c r="A29" s="165">
        <f t="shared" si="0"/>
        <v>21</v>
      </c>
      <c r="B29" s="158" t="s">
        <v>286</v>
      </c>
      <c r="C29" s="292">
        <f>'felh. bev.  '!D32+'felh. bev.  '!D38</f>
        <v>0</v>
      </c>
      <c r="D29" s="292">
        <f>'felh. bev.  '!E32+'felh. bev.  '!E38</f>
        <v>3162</v>
      </c>
      <c r="E29" s="292">
        <f>'felh. bev.  '!F32+'felh. bev.  '!F38</f>
        <v>3162</v>
      </c>
      <c r="F29" s="523" t="s">
        <v>248</v>
      </c>
      <c r="G29" s="299">
        <f>'felhalm. kiad.  '!G96</f>
        <v>0</v>
      </c>
      <c r="H29" s="299">
        <f>'felhalm. kiad.  '!H96</f>
        <v>50</v>
      </c>
      <c r="I29" s="492">
        <f>SUM(G29:H29)</f>
        <v>50</v>
      </c>
      <c r="M29" s="639"/>
    </row>
    <row r="30" spans="1:14" x14ac:dyDescent="0.2">
      <c r="A30" s="165">
        <f t="shared" si="0"/>
        <v>22</v>
      </c>
      <c r="C30" s="292"/>
      <c r="D30" s="292"/>
      <c r="E30" s="292"/>
      <c r="F30" s="523" t="s">
        <v>247</v>
      </c>
      <c r="G30" s="299">
        <f>'felhalm. kiad.  '!G106+'felhalm. kiad.  '!G111</f>
        <v>90531</v>
      </c>
      <c r="H30" s="299">
        <f>'felhalm. kiad.  '!H106+'felhalm. kiad.  '!H111</f>
        <v>15232</v>
      </c>
      <c r="I30" s="492">
        <f>SUM(G30:H30)</f>
        <v>105763</v>
      </c>
      <c r="J30" s="10"/>
      <c r="K30" s="10"/>
      <c r="L30" s="10"/>
      <c r="M30" s="194"/>
    </row>
    <row r="31" spans="1:14" s="11" customFormat="1" x14ac:dyDescent="0.2">
      <c r="A31" s="165">
        <f t="shared" si="0"/>
        <v>23</v>
      </c>
      <c r="B31" s="175" t="s">
        <v>52</v>
      </c>
      <c r="C31" s="1023">
        <f>C12+C19+C11+C16+C13</f>
        <v>1330713</v>
      </c>
      <c r="D31" s="1023">
        <f>D12+D19+D11+D16+D13+D28</f>
        <v>796247</v>
      </c>
      <c r="E31" s="1023">
        <f>E12+E19+E11+E16+E13+E28</f>
        <v>2126960</v>
      </c>
      <c r="F31" s="523" t="s">
        <v>289</v>
      </c>
      <c r="G31" s="297">
        <f>tartalék!C17</f>
        <v>154958</v>
      </c>
      <c r="H31" s="297">
        <f>tartalék!D17</f>
        <v>0</v>
      </c>
      <c r="I31" s="297">
        <f>tartalék!E17</f>
        <v>154958</v>
      </c>
      <c r="M31" s="538"/>
    </row>
    <row r="32" spans="1:14" x14ac:dyDescent="0.2">
      <c r="A32" s="165">
        <f t="shared" si="0"/>
        <v>24</v>
      </c>
      <c r="B32" s="176" t="s">
        <v>67</v>
      </c>
      <c r="C32" s="375">
        <f>C14+C22+C23+C24+C25+C26+C29</f>
        <v>425451</v>
      </c>
      <c r="D32" s="375">
        <f>D14+D22+D23+D24+D25+D26+D29</f>
        <v>58657</v>
      </c>
      <c r="E32" s="375">
        <f>E14+E22+E23+E24+E25+E26+E29</f>
        <v>484108</v>
      </c>
      <c r="F32" s="936" t="s">
        <v>68</v>
      </c>
      <c r="G32" s="375">
        <f>SUM(G26:G31)</f>
        <v>2209648</v>
      </c>
      <c r="H32" s="375">
        <f>SUM(H26:H31)</f>
        <v>105610</v>
      </c>
      <c r="I32" s="493">
        <f>SUM(I26:I31)</f>
        <v>2315258</v>
      </c>
      <c r="J32" s="10"/>
      <c r="K32" s="10"/>
      <c r="L32" s="10"/>
      <c r="M32" s="194"/>
    </row>
    <row r="33" spans="1:13" x14ac:dyDescent="0.2">
      <c r="A33" s="165">
        <f t="shared" si="0"/>
        <v>25</v>
      </c>
      <c r="B33" s="179" t="s">
        <v>51</v>
      </c>
      <c r="C33" s="377">
        <f>SUM(C31:C32)</f>
        <v>1756164</v>
      </c>
      <c r="D33" s="377">
        <f>SUM(D31:D32)</f>
        <v>854904</v>
      </c>
      <c r="E33" s="377">
        <f>SUM(C33:D33)</f>
        <v>2611068</v>
      </c>
      <c r="F33" s="969" t="s">
        <v>69</v>
      </c>
      <c r="G33" s="377">
        <f t="shared" ref="G33:L33" si="2">G23+G32</f>
        <v>2806778</v>
      </c>
      <c r="H33" s="377">
        <f t="shared" si="2"/>
        <v>471908</v>
      </c>
      <c r="I33" s="465">
        <f t="shared" si="2"/>
        <v>3278686</v>
      </c>
      <c r="J33" s="174">
        <f t="shared" si="2"/>
        <v>0</v>
      </c>
      <c r="K33" s="174">
        <f t="shared" si="2"/>
        <v>0</v>
      </c>
      <c r="L33" s="467">
        <f t="shared" si="2"/>
        <v>0</v>
      </c>
      <c r="M33" s="194"/>
    </row>
    <row r="34" spans="1:13" x14ac:dyDescent="0.2">
      <c r="A34" s="165">
        <f t="shared" si="0"/>
        <v>26</v>
      </c>
      <c r="B34" s="181"/>
      <c r="C34" s="299"/>
      <c r="D34" s="299"/>
      <c r="E34" s="299"/>
      <c r="F34" s="636"/>
      <c r="G34" s="299"/>
      <c r="H34" s="299"/>
      <c r="I34" s="492"/>
      <c r="J34" s="10"/>
      <c r="K34" s="10"/>
      <c r="L34" s="10"/>
      <c r="M34" s="194"/>
    </row>
    <row r="35" spans="1:13" x14ac:dyDescent="0.2">
      <c r="A35" s="165">
        <f t="shared" si="0"/>
        <v>27</v>
      </c>
      <c r="B35" s="179" t="s">
        <v>23</v>
      </c>
      <c r="C35" s="377">
        <f>C33-G33</f>
        <v>-1050614</v>
      </c>
      <c r="D35" s="377">
        <f t="shared" ref="D35:E35" si="3">D33-H33</f>
        <v>382996</v>
      </c>
      <c r="E35" s="377">
        <f t="shared" si="3"/>
        <v>-667618</v>
      </c>
      <c r="F35" s="966"/>
      <c r="G35" s="375"/>
      <c r="H35" s="375"/>
      <c r="I35" s="493"/>
      <c r="J35" s="10"/>
      <c r="K35" s="10"/>
      <c r="L35" s="10"/>
      <c r="M35" s="194"/>
    </row>
    <row r="36" spans="1:13" s="11" customFormat="1" x14ac:dyDescent="0.2">
      <c r="A36" s="165">
        <f t="shared" si="0"/>
        <v>28</v>
      </c>
      <c r="B36" s="181"/>
      <c r="C36" s="299"/>
      <c r="D36" s="299"/>
      <c r="E36" s="492"/>
      <c r="F36" s="636"/>
      <c r="G36" s="299"/>
      <c r="H36" s="299"/>
      <c r="I36" s="492"/>
      <c r="M36" s="538"/>
    </row>
    <row r="37" spans="1:13" s="11" customFormat="1" x14ac:dyDescent="0.2">
      <c r="A37" s="825">
        <f t="shared" si="0"/>
        <v>29</v>
      </c>
      <c r="B37" s="127" t="s">
        <v>53</v>
      </c>
      <c r="C37" s="671"/>
      <c r="D37" s="671"/>
      <c r="E37" s="671"/>
      <c r="F37" s="967" t="s">
        <v>33</v>
      </c>
      <c r="G37" s="377"/>
      <c r="H37" s="377"/>
      <c r="I37" s="465"/>
      <c r="M37" s="538"/>
    </row>
    <row r="38" spans="1:13" s="11" customFormat="1" x14ac:dyDescent="0.2">
      <c r="A38" s="165">
        <f t="shared" si="0"/>
        <v>30</v>
      </c>
      <c r="B38" s="137" t="s">
        <v>738</v>
      </c>
      <c r="C38" s="671"/>
      <c r="D38" s="671"/>
      <c r="E38" s="671"/>
      <c r="F38" s="970" t="s">
        <v>4</v>
      </c>
      <c r="G38" s="193"/>
      <c r="I38" s="495"/>
      <c r="M38" s="538"/>
    </row>
    <row r="39" spans="1:13" s="11" customFormat="1" ht="22.5" customHeight="1" x14ac:dyDescent="0.2">
      <c r="A39" s="165">
        <f t="shared" si="0"/>
        <v>31</v>
      </c>
      <c r="B39" s="14" t="s">
        <v>1247</v>
      </c>
      <c r="C39" s="292">
        <v>1243160</v>
      </c>
      <c r="D39" s="671"/>
      <c r="E39" s="972">
        <f>SUM(C39:D39)</f>
        <v>1243160</v>
      </c>
      <c r="F39" s="1024" t="s">
        <v>3</v>
      </c>
      <c r="G39" s="377"/>
      <c r="H39" s="377"/>
      <c r="I39" s="465"/>
      <c r="M39" s="538"/>
    </row>
    <row r="40" spans="1:13" x14ac:dyDescent="0.2">
      <c r="A40" s="165">
        <f t="shared" si="0"/>
        <v>32</v>
      </c>
      <c r="B40" s="119" t="s">
        <v>740</v>
      </c>
      <c r="C40" s="971"/>
      <c r="D40" s="972"/>
      <c r="E40" s="972">
        <f>SUM(C40:D40)</f>
        <v>0</v>
      </c>
      <c r="F40" s="523" t="s">
        <v>5</v>
      </c>
      <c r="G40" s="377"/>
      <c r="H40" s="377"/>
      <c r="I40" s="465"/>
      <c r="J40" s="10"/>
      <c r="K40" s="10"/>
      <c r="L40" s="10"/>
      <c r="M40" s="194"/>
    </row>
    <row r="41" spans="1:13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6</v>
      </c>
      <c r="G41" s="193"/>
      <c r="H41" s="193"/>
      <c r="I41" s="465"/>
      <c r="J41" s="10"/>
      <c r="K41" s="10"/>
      <c r="L41" s="10"/>
      <c r="M41" s="194"/>
    </row>
    <row r="42" spans="1:13" x14ac:dyDescent="0.2">
      <c r="A42" s="165">
        <f t="shared" si="0"/>
        <v>34</v>
      </c>
      <c r="B42" s="562" t="s">
        <v>226</v>
      </c>
      <c r="C42" s="292">
        <v>646688</v>
      </c>
      <c r="D42" s="292">
        <v>96213</v>
      </c>
      <c r="E42" s="292">
        <f>SUM(C42:D42)</f>
        <v>742901</v>
      </c>
      <c r="F42" s="523" t="s">
        <v>7</v>
      </c>
      <c r="G42" s="193"/>
      <c r="H42" s="193"/>
      <c r="I42" s="465"/>
      <c r="J42" s="10"/>
      <c r="K42" s="10"/>
      <c r="L42" s="10"/>
      <c r="M42" s="194"/>
    </row>
    <row r="43" spans="1:13" x14ac:dyDescent="0.2">
      <c r="A43" s="165">
        <f t="shared" si="0"/>
        <v>35</v>
      </c>
      <c r="B43" s="562" t="s">
        <v>1146</v>
      </c>
      <c r="C43" s="292"/>
      <c r="D43" s="292"/>
      <c r="E43" s="292"/>
      <c r="F43" s="523"/>
      <c r="G43" s="193"/>
      <c r="H43" s="193"/>
      <c r="I43" s="465"/>
      <c r="J43" s="10"/>
      <c r="K43" s="10"/>
      <c r="L43" s="10"/>
      <c r="M43" s="194"/>
    </row>
    <row r="44" spans="1:13" x14ac:dyDescent="0.2">
      <c r="A44" s="165">
        <f t="shared" si="0"/>
        <v>36</v>
      </c>
      <c r="B44" s="120" t="s">
        <v>741</v>
      </c>
      <c r="C44" s="292"/>
      <c r="D44" s="292"/>
      <c r="E44" s="292"/>
      <c r="F44" s="523" t="s">
        <v>8</v>
      </c>
      <c r="G44" s="377"/>
      <c r="H44" s="377"/>
      <c r="I44" s="492"/>
      <c r="J44" s="10"/>
      <c r="K44" s="10"/>
      <c r="L44" s="10"/>
      <c r="M44" s="194"/>
    </row>
    <row r="45" spans="1:13" x14ac:dyDescent="0.2">
      <c r="A45" s="165">
        <f t="shared" si="0"/>
        <v>37</v>
      </c>
      <c r="B45" s="120" t="s">
        <v>742</v>
      </c>
      <c r="C45" s="671"/>
      <c r="D45" s="671"/>
      <c r="E45" s="671"/>
      <c r="F45" s="523" t="s">
        <v>291</v>
      </c>
      <c r="G45" s="299">
        <v>24026</v>
      </c>
      <c r="H45" s="299">
        <v>3062</v>
      </c>
      <c r="I45" s="492">
        <f>SUM(G45:H45)</f>
        <v>27088</v>
      </c>
      <c r="J45" s="10"/>
      <c r="K45" s="10"/>
      <c r="L45" s="10"/>
      <c r="M45" s="194"/>
    </row>
    <row r="46" spans="1:13" x14ac:dyDescent="0.2">
      <c r="A46" s="165">
        <f t="shared" si="0"/>
        <v>38</v>
      </c>
      <c r="B46" s="119" t="s">
        <v>743</v>
      </c>
      <c r="C46" s="292"/>
      <c r="D46" s="292"/>
      <c r="E46" s="292"/>
      <c r="F46" s="523" t="s">
        <v>256</v>
      </c>
      <c r="G46" s="299"/>
      <c r="H46" s="299"/>
      <c r="I46" s="492"/>
      <c r="J46" s="10"/>
      <c r="K46" s="10"/>
      <c r="L46" s="10"/>
      <c r="M46" s="194"/>
    </row>
    <row r="47" spans="1:13" x14ac:dyDescent="0.2">
      <c r="A47" s="165">
        <f t="shared" si="0"/>
        <v>39</v>
      </c>
      <c r="B47" s="119" t="s">
        <v>744</v>
      </c>
      <c r="C47" s="292"/>
      <c r="D47" s="292"/>
      <c r="E47" s="292"/>
      <c r="F47" s="964" t="s">
        <v>257</v>
      </c>
      <c r="G47" s="299">
        <f>'pü.mérleg Hivatal'!D48+'püm. GAMESZ. '!C48+'püm-TASZII.'!C48+püm.Brunszvik!C48+'püm Festetics'!C48</f>
        <v>787301</v>
      </c>
      <c r="H47" s="299">
        <f>'pü.mérleg Hivatal'!E48+'püm. GAMESZ. '!D48+'püm-TASZII.'!D48+püm.Brunszvik!D48+'püm Festetics'!D48</f>
        <v>458626</v>
      </c>
      <c r="I47" s="492">
        <f>SUM(G47:H47)</f>
        <v>1245927</v>
      </c>
      <c r="J47" s="10"/>
      <c r="K47" s="10"/>
      <c r="L47" s="10"/>
      <c r="M47" s="194"/>
    </row>
    <row r="48" spans="1:13" x14ac:dyDescent="0.2">
      <c r="A48" s="165">
        <f t="shared" si="0"/>
        <v>40</v>
      </c>
      <c r="B48" s="119" t="s">
        <v>0</v>
      </c>
      <c r="C48" s="292"/>
      <c r="D48" s="292"/>
      <c r="E48" s="292"/>
      <c r="F48" s="964" t="s">
        <v>258</v>
      </c>
      <c r="G48" s="299">
        <f>'pü.mérleg Hivatal'!D49+'püm. GAMESZ. '!C49+'püm-TASZII.'!C49+püm.Brunszvik!C49+'püm Festetics'!C49</f>
        <v>27907</v>
      </c>
      <c r="H48" s="299">
        <f>'pü.mérleg Hivatal'!E49+'püm. GAMESZ. '!D49+püm.Brunszvik!D49+'püm Festetics'!D49+'püm-TASZII.'!D49</f>
        <v>17521.12</v>
      </c>
      <c r="I48" s="299">
        <f>'pü.mérleg Hivatal'!F49+'püm. GAMESZ. '!E49+'püm-TASZII.'!E49+püm.Brunszvik!E49+'püm Festetics'!E49</f>
        <v>45428.119999999995</v>
      </c>
      <c r="J48" s="10"/>
      <c r="K48" s="10"/>
      <c r="L48" s="10"/>
      <c r="M48" s="194"/>
    </row>
    <row r="49" spans="1:13" x14ac:dyDescent="0.2">
      <c r="A49" s="165">
        <f t="shared" si="0"/>
        <v>41</v>
      </c>
      <c r="B49" s="119" t="s">
        <v>1</v>
      </c>
      <c r="C49" s="292"/>
      <c r="D49" s="292"/>
      <c r="E49" s="292">
        <f>SUM(C49:D49)</f>
        <v>0</v>
      </c>
      <c r="F49" s="523" t="s">
        <v>13</v>
      </c>
      <c r="G49" s="299"/>
      <c r="H49" s="299"/>
      <c r="I49" s="492"/>
      <c r="J49" s="10"/>
      <c r="K49" s="10"/>
      <c r="L49" s="10"/>
      <c r="M49" s="194"/>
    </row>
    <row r="50" spans="1:13" x14ac:dyDescent="0.2">
      <c r="A50" s="165">
        <f t="shared" si="0"/>
        <v>42</v>
      </c>
      <c r="B50" s="119"/>
      <c r="C50" s="292"/>
      <c r="D50" s="292"/>
      <c r="E50" s="292"/>
      <c r="F50" s="523" t="s">
        <v>14</v>
      </c>
      <c r="G50" s="299"/>
      <c r="H50" s="299"/>
      <c r="I50" s="492"/>
      <c r="J50" s="10"/>
      <c r="K50" s="10"/>
      <c r="L50" s="10"/>
      <c r="M50" s="194"/>
    </row>
    <row r="51" spans="1:13" x14ac:dyDescent="0.2">
      <c r="A51" s="165">
        <f t="shared" si="0"/>
        <v>43</v>
      </c>
      <c r="B51" s="119"/>
      <c r="C51" s="292"/>
      <c r="D51" s="292"/>
      <c r="E51" s="292"/>
      <c r="F51" s="523" t="s">
        <v>15</v>
      </c>
      <c r="G51" s="299"/>
      <c r="H51" s="299"/>
      <c r="I51" s="492"/>
      <c r="J51" s="10"/>
      <c r="K51" s="10"/>
      <c r="L51" s="10"/>
      <c r="M51" s="194"/>
    </row>
    <row r="52" spans="1:13" ht="12" thickBot="1" x14ac:dyDescent="0.25">
      <c r="A52" s="165">
        <f t="shared" si="0"/>
        <v>44</v>
      </c>
      <c r="B52" s="179" t="s">
        <v>482</v>
      </c>
      <c r="C52" s="671">
        <f>SUM(C38:C50)</f>
        <v>1889848</v>
      </c>
      <c r="D52" s="671">
        <f>SUM(D38:D50)</f>
        <v>96213</v>
      </c>
      <c r="E52" s="671">
        <f>SUM(E38:E50)</f>
        <v>1986061</v>
      </c>
      <c r="F52" s="967" t="s">
        <v>475</v>
      </c>
      <c r="G52" s="377">
        <f t="shared" ref="G52:L52" si="4">SUM(G38:G51)</f>
        <v>839234</v>
      </c>
      <c r="H52" s="377">
        <f t="shared" si="4"/>
        <v>479209.12</v>
      </c>
      <c r="I52" s="465">
        <f t="shared" si="4"/>
        <v>1318443.1200000001</v>
      </c>
      <c r="J52" s="174">
        <f t="shared" si="4"/>
        <v>0</v>
      </c>
      <c r="K52" s="174">
        <f t="shared" si="4"/>
        <v>0</v>
      </c>
      <c r="L52" s="467">
        <f t="shared" si="4"/>
        <v>0</v>
      </c>
      <c r="M52" s="194"/>
    </row>
    <row r="53" spans="1:13" ht="12" thickBot="1" x14ac:dyDescent="0.25">
      <c r="A53" s="165">
        <f t="shared" si="0"/>
        <v>45</v>
      </c>
      <c r="B53" s="312" t="s">
        <v>477</v>
      </c>
      <c r="C53" s="1025">
        <f>C33+C52</f>
        <v>3646012</v>
      </c>
      <c r="D53" s="1025">
        <f>D33+D52</f>
        <v>951117</v>
      </c>
      <c r="E53" s="1026">
        <f>E33+E52</f>
        <v>4597129</v>
      </c>
      <c r="F53" s="1027" t="s">
        <v>476</v>
      </c>
      <c r="G53" s="531">
        <f t="shared" ref="G53:L53" si="5">G33+G52</f>
        <v>3646012</v>
      </c>
      <c r="H53" s="379">
        <f t="shared" si="5"/>
        <v>951117.12</v>
      </c>
      <c r="I53" s="1028">
        <f t="shared" si="5"/>
        <v>4597129.12</v>
      </c>
      <c r="J53" s="476">
        <f t="shared" si="5"/>
        <v>0</v>
      </c>
      <c r="K53" s="528">
        <f t="shared" si="5"/>
        <v>0</v>
      </c>
      <c r="L53" s="588">
        <f t="shared" si="5"/>
        <v>0</v>
      </c>
      <c r="M53" s="298"/>
    </row>
    <row r="54" spans="1:13" x14ac:dyDescent="0.2">
      <c r="B54" s="184"/>
      <c r="C54" s="183"/>
      <c r="D54" s="183"/>
      <c r="E54" s="183"/>
      <c r="F54" s="174"/>
      <c r="G54" s="183"/>
      <c r="H54" s="183"/>
      <c r="I54" s="183"/>
      <c r="J54" s="10"/>
      <c r="K54" s="10"/>
      <c r="L54" s="10"/>
    </row>
    <row r="60" spans="1:13" x14ac:dyDescent="0.2">
      <c r="H60" s="170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8" customWidth="1"/>
    <col min="3" max="3" width="36.140625" style="158" customWidth="1"/>
    <col min="4" max="5" width="10.28515625" style="159" customWidth="1"/>
    <col min="6" max="6" width="9" style="159" customWidth="1"/>
    <col min="7" max="7" width="36.140625" style="159" customWidth="1"/>
    <col min="8" max="8" width="7.85546875" style="159" customWidth="1"/>
    <col min="9" max="9" width="10.140625" style="159" customWidth="1"/>
    <col min="10" max="10" width="10" style="159" customWidth="1"/>
    <col min="11" max="16384" width="9.140625" style="10"/>
  </cols>
  <sheetData>
    <row r="1" spans="2:11" ht="12.75" x14ac:dyDescent="0.2">
      <c r="D1" s="1071" t="s">
        <v>1298</v>
      </c>
      <c r="E1" s="1119"/>
      <c r="F1" s="1119"/>
      <c r="G1" s="1119"/>
      <c r="H1" s="1119"/>
      <c r="I1" s="1119"/>
      <c r="J1" s="1119"/>
    </row>
    <row r="2" spans="2:11" x14ac:dyDescent="0.2">
      <c r="G2" s="160"/>
      <c r="H2" s="160"/>
      <c r="I2" s="160"/>
      <c r="J2" s="160"/>
    </row>
    <row r="3" spans="2:11" x14ac:dyDescent="0.2">
      <c r="G3" s="160"/>
      <c r="H3" s="160"/>
      <c r="I3" s="160"/>
      <c r="J3" s="160"/>
    </row>
    <row r="4" spans="2:11" s="123" customFormat="1" x14ac:dyDescent="0.2">
      <c r="B4" s="161"/>
      <c r="C4" s="1074" t="s">
        <v>78</v>
      </c>
      <c r="D4" s="1074"/>
      <c r="E4" s="1074"/>
      <c r="F4" s="1074"/>
      <c r="G4" s="1074"/>
      <c r="H4" s="1074"/>
      <c r="I4" s="1074"/>
      <c r="J4" s="1074"/>
    </row>
    <row r="5" spans="2:11" s="123" customFormat="1" x14ac:dyDescent="0.2">
      <c r="B5" s="161"/>
      <c r="C5" s="1172" t="s">
        <v>197</v>
      </c>
      <c r="D5" s="1172"/>
      <c r="E5" s="1172"/>
      <c r="F5" s="1172"/>
      <c r="G5" s="1172"/>
      <c r="H5" s="1172"/>
      <c r="I5" s="1172"/>
      <c r="J5" s="1172"/>
    </row>
    <row r="6" spans="2:11" s="123" customFormat="1" x14ac:dyDescent="0.2">
      <c r="B6" s="161"/>
      <c r="C6" s="1074" t="s">
        <v>1007</v>
      </c>
      <c r="D6" s="1074"/>
      <c r="E6" s="1074"/>
      <c r="F6" s="1074"/>
      <c r="G6" s="1074"/>
      <c r="H6" s="1074"/>
      <c r="I6" s="1074"/>
      <c r="J6" s="1074"/>
    </row>
    <row r="7" spans="2:11" s="123" customFormat="1" ht="12.75" x14ac:dyDescent="0.2">
      <c r="B7" s="1075" t="s">
        <v>327</v>
      </c>
      <c r="C7" s="1121"/>
      <c r="D7" s="1121"/>
      <c r="E7" s="1121"/>
      <c r="F7" s="1121"/>
      <c r="G7" s="1121"/>
      <c r="H7" s="1121"/>
      <c r="I7" s="1121"/>
      <c r="J7" s="1121"/>
    </row>
    <row r="8" spans="2:11" s="123" customFormat="1" ht="12.75" customHeight="1" x14ac:dyDescent="0.2">
      <c r="B8" s="1079" t="s">
        <v>56</v>
      </c>
      <c r="C8" s="1080" t="s">
        <v>57</v>
      </c>
      <c r="D8" s="1095" t="s">
        <v>58</v>
      </c>
      <c r="E8" s="1095"/>
      <c r="F8" s="1096"/>
      <c r="G8" s="1171" t="s">
        <v>59</v>
      </c>
      <c r="H8" s="1077" t="s">
        <v>60</v>
      </c>
      <c r="I8" s="1078"/>
      <c r="J8" s="1078"/>
      <c r="K8" s="637"/>
    </row>
    <row r="9" spans="2:11" s="123" customFormat="1" ht="12.75" customHeight="1" x14ac:dyDescent="0.2">
      <c r="B9" s="1079"/>
      <c r="C9" s="1080"/>
      <c r="D9" s="1072" t="s">
        <v>994</v>
      </c>
      <c r="E9" s="1072"/>
      <c r="F9" s="1073"/>
      <c r="G9" s="1171"/>
      <c r="H9" s="1072" t="s">
        <v>994</v>
      </c>
      <c r="I9" s="1072"/>
      <c r="J9" s="1072"/>
      <c r="K9" s="637"/>
    </row>
    <row r="10" spans="2:11" s="124" customFormat="1" ht="36.6" customHeight="1" x14ac:dyDescent="0.2">
      <c r="B10" s="1079"/>
      <c r="C10" s="162" t="s">
        <v>61</v>
      </c>
      <c r="D10" s="136" t="s">
        <v>62</v>
      </c>
      <c r="E10" s="136" t="s">
        <v>63</v>
      </c>
      <c r="F10" s="163" t="s">
        <v>64</v>
      </c>
      <c r="G10" s="164" t="s">
        <v>65</v>
      </c>
      <c r="H10" s="136" t="s">
        <v>62</v>
      </c>
      <c r="I10" s="136" t="s">
        <v>63</v>
      </c>
      <c r="J10" s="136" t="s">
        <v>64</v>
      </c>
      <c r="K10" s="638"/>
    </row>
    <row r="11" spans="2:11" ht="11.45" customHeight="1" x14ac:dyDescent="0.2">
      <c r="B11" s="165">
        <v>1</v>
      </c>
      <c r="C11" s="166" t="s">
        <v>24</v>
      </c>
      <c r="D11" s="167"/>
      <c r="E11" s="167"/>
      <c r="F11" s="167"/>
      <c r="G11" s="139" t="s">
        <v>25</v>
      </c>
      <c r="H11" s="167"/>
      <c r="I11" s="167"/>
      <c r="J11" s="469"/>
      <c r="K11" s="194"/>
    </row>
    <row r="12" spans="2:11" x14ac:dyDescent="0.2">
      <c r="B12" s="165">
        <f t="shared" ref="B12:B54" si="0">B11+1</f>
        <v>2</v>
      </c>
      <c r="C12" s="168" t="s">
        <v>35</v>
      </c>
      <c r="D12" s="119"/>
      <c r="E12" s="119"/>
      <c r="F12" s="120">
        <f>SUM(D12:E12)</f>
        <v>0</v>
      </c>
      <c r="G12" s="140" t="s">
        <v>233</v>
      </c>
      <c r="H12" s="120">
        <v>100027</v>
      </c>
      <c r="I12" s="120">
        <v>66083</v>
      </c>
      <c r="J12" s="462">
        <f>SUM(H12:I12)</f>
        <v>166110</v>
      </c>
      <c r="K12" s="194"/>
    </row>
    <row r="13" spans="2:11" x14ac:dyDescent="0.2">
      <c r="B13" s="165">
        <f t="shared" si="0"/>
        <v>3</v>
      </c>
      <c r="C13" s="168" t="s">
        <v>36</v>
      </c>
      <c r="D13" s="119"/>
      <c r="E13" s="119"/>
      <c r="F13" s="120">
        <f>SUM(D13:E13)</f>
        <v>0</v>
      </c>
      <c r="G13" s="563" t="s">
        <v>234</v>
      </c>
      <c r="H13" s="120">
        <v>28067</v>
      </c>
      <c r="I13" s="120">
        <v>15757</v>
      </c>
      <c r="J13" s="462">
        <f>SUM(H13:I13)</f>
        <v>43824</v>
      </c>
      <c r="K13" s="194"/>
    </row>
    <row r="14" spans="2:11" x14ac:dyDescent="0.2">
      <c r="B14" s="165">
        <f t="shared" si="0"/>
        <v>4</v>
      </c>
      <c r="C14" s="168" t="s">
        <v>37</v>
      </c>
      <c r="D14" s="119"/>
      <c r="E14" s="119"/>
      <c r="F14" s="120">
        <f>SUM(D14:E14)</f>
        <v>0</v>
      </c>
      <c r="G14" s="140" t="s">
        <v>235</v>
      </c>
      <c r="H14" s="120">
        <f>5780+431</f>
        <v>6211</v>
      </c>
      <c r="I14" s="120">
        <v>59962</v>
      </c>
      <c r="J14" s="462">
        <f>SUM(H14:I14)</f>
        <v>66173</v>
      </c>
      <c r="K14" s="194"/>
    </row>
    <row r="15" spans="2:11" ht="12" customHeight="1" x14ac:dyDescent="0.2">
      <c r="B15" s="165">
        <f t="shared" si="0"/>
        <v>5</v>
      </c>
      <c r="C15" s="128"/>
      <c r="D15" s="119"/>
      <c r="E15" s="119"/>
      <c r="F15" s="120"/>
      <c r="G15" s="140"/>
      <c r="H15" s="119"/>
      <c r="I15" s="119"/>
      <c r="J15" s="462"/>
      <c r="K15" s="194"/>
    </row>
    <row r="16" spans="2:11" x14ac:dyDescent="0.2">
      <c r="B16" s="165">
        <f t="shared" si="0"/>
        <v>6</v>
      </c>
      <c r="C16" s="168" t="s">
        <v>38</v>
      </c>
      <c r="D16" s="119"/>
      <c r="E16" s="119"/>
      <c r="F16" s="120">
        <f>SUM(D16:E16)</f>
        <v>0</v>
      </c>
      <c r="G16" s="140" t="s">
        <v>28</v>
      </c>
      <c r="H16" s="170">
        <f>'ellátottak hivatal'!E17</f>
        <v>350</v>
      </c>
      <c r="I16" s="170">
        <f>'ellátottak hivatal'!F17</f>
        <v>0</v>
      </c>
      <c r="J16" s="462">
        <f>SUM(H16:I16)</f>
        <v>350</v>
      </c>
      <c r="K16" s="194"/>
    </row>
    <row r="17" spans="2:11" x14ac:dyDescent="0.2">
      <c r="B17" s="165">
        <f t="shared" si="0"/>
        <v>7</v>
      </c>
      <c r="C17" s="168"/>
      <c r="D17" s="119"/>
      <c r="E17" s="119"/>
      <c r="F17" s="120"/>
      <c r="G17" s="140" t="s">
        <v>30</v>
      </c>
      <c r="H17" s="170"/>
      <c r="I17" s="170"/>
      <c r="J17" s="462"/>
      <c r="K17" s="194"/>
    </row>
    <row r="18" spans="2:11" x14ac:dyDescent="0.2">
      <c r="B18" s="165">
        <f t="shared" si="0"/>
        <v>8</v>
      </c>
      <c r="C18" s="168" t="s">
        <v>39</v>
      </c>
      <c r="D18" s="119"/>
      <c r="E18" s="119"/>
      <c r="F18" s="120">
        <f>SUM(D18:E18)</f>
        <v>0</v>
      </c>
      <c r="G18" s="140" t="s">
        <v>480</v>
      </c>
      <c r="H18" s="170"/>
      <c r="I18" s="170">
        <v>0</v>
      </c>
      <c r="J18" s="462">
        <v>0</v>
      </c>
      <c r="K18" s="194"/>
    </row>
    <row r="19" spans="2:11" x14ac:dyDescent="0.2">
      <c r="B19" s="165">
        <f t="shared" si="0"/>
        <v>9</v>
      </c>
      <c r="C19" s="171" t="s">
        <v>40</v>
      </c>
      <c r="D19" s="169"/>
      <c r="E19" s="169"/>
      <c r="F19" s="169"/>
      <c r="G19" s="140" t="s">
        <v>479</v>
      </c>
      <c r="H19" s="170"/>
      <c r="I19" s="170"/>
      <c r="J19" s="464"/>
      <c r="K19" s="194"/>
    </row>
    <row r="20" spans="2:11" x14ac:dyDescent="0.2">
      <c r="B20" s="165">
        <f t="shared" si="0"/>
        <v>10</v>
      </c>
      <c r="C20" s="117" t="s">
        <v>212</v>
      </c>
      <c r="D20" s="374">
        <f>'mük. bev.Önkor és Hivatal '!C80</f>
        <v>15</v>
      </c>
      <c r="E20" s="374">
        <f>'mük. bev.Önkor és Hivatal '!D80</f>
        <v>402</v>
      </c>
      <c r="F20" s="374">
        <f>SUM(D20:E20)</f>
        <v>417</v>
      </c>
      <c r="G20" s="140" t="s">
        <v>240</v>
      </c>
      <c r="H20" s="170"/>
      <c r="I20" s="170">
        <v>0</v>
      </c>
      <c r="J20" s="464">
        <f>I20+H20</f>
        <v>0</v>
      </c>
      <c r="K20" s="194"/>
    </row>
    <row r="21" spans="2:11" x14ac:dyDescent="0.2">
      <c r="B21" s="165">
        <f t="shared" si="0"/>
        <v>11</v>
      </c>
      <c r="D21" s="169"/>
      <c r="E21" s="169"/>
      <c r="F21" s="169"/>
      <c r="G21" s="140" t="s">
        <v>472</v>
      </c>
      <c r="H21" s="170"/>
      <c r="I21" s="170"/>
      <c r="J21" s="464"/>
      <c r="K21" s="194"/>
    </row>
    <row r="22" spans="2:11" s="125" customFormat="1" x14ac:dyDescent="0.2">
      <c r="B22" s="165">
        <f t="shared" si="0"/>
        <v>12</v>
      </c>
      <c r="C22" s="158" t="s">
        <v>42</v>
      </c>
      <c r="D22" s="169"/>
      <c r="E22" s="169"/>
      <c r="F22" s="169"/>
      <c r="G22" s="140" t="s">
        <v>473</v>
      </c>
      <c r="H22" s="170"/>
      <c r="I22" s="170"/>
      <c r="J22" s="464"/>
      <c r="K22" s="639"/>
    </row>
    <row r="23" spans="2:11" s="125" customFormat="1" x14ac:dyDescent="0.2">
      <c r="B23" s="165">
        <f t="shared" si="0"/>
        <v>13</v>
      </c>
      <c r="C23" s="158" t="s">
        <v>43</v>
      </c>
      <c r="D23" s="169"/>
      <c r="E23" s="169"/>
      <c r="F23" s="169"/>
      <c r="G23" s="172"/>
      <c r="H23" s="170"/>
      <c r="I23" s="170"/>
      <c r="J23" s="464"/>
      <c r="K23" s="639"/>
    </row>
    <row r="24" spans="2:11" x14ac:dyDescent="0.2">
      <c r="B24" s="165">
        <f t="shared" si="0"/>
        <v>14</v>
      </c>
      <c r="C24" s="168" t="s">
        <v>44</v>
      </c>
      <c r="D24" s="130"/>
      <c r="E24" s="130"/>
      <c r="F24" s="130"/>
      <c r="G24" s="173" t="s">
        <v>66</v>
      </c>
      <c r="H24" s="126">
        <f>SUM(H12:H22)</f>
        <v>134655</v>
      </c>
      <c r="I24" s="126">
        <f>SUM(I12:I22)</f>
        <v>141802</v>
      </c>
      <c r="J24" s="463">
        <f>SUM(J12:J22)</f>
        <v>276457</v>
      </c>
      <c r="K24" s="194"/>
    </row>
    <row r="25" spans="2:11" x14ac:dyDescent="0.2">
      <c r="B25" s="165">
        <f t="shared" si="0"/>
        <v>15</v>
      </c>
      <c r="C25" s="168" t="s">
        <v>45</v>
      </c>
      <c r="D25" s="169"/>
      <c r="E25" s="169"/>
      <c r="F25" s="169"/>
      <c r="G25" s="172"/>
      <c r="H25" s="170"/>
      <c r="I25" s="170"/>
      <c r="J25" s="464"/>
      <c r="K25" s="194"/>
    </row>
    <row r="26" spans="2:11" x14ac:dyDescent="0.2">
      <c r="B26" s="165">
        <f t="shared" si="0"/>
        <v>16</v>
      </c>
      <c r="C26" s="117" t="s">
        <v>46</v>
      </c>
      <c r="D26" s="127"/>
      <c r="E26" s="127"/>
      <c r="F26" s="127"/>
      <c r="G26" s="141" t="s">
        <v>34</v>
      </c>
      <c r="H26" s="174"/>
      <c r="I26" s="174"/>
      <c r="J26" s="464"/>
      <c r="K26" s="194"/>
    </row>
    <row r="27" spans="2:11" x14ac:dyDescent="0.2">
      <c r="B27" s="165">
        <f t="shared" si="0"/>
        <v>17</v>
      </c>
      <c r="C27" s="168" t="s">
        <v>47</v>
      </c>
      <c r="D27" s="120"/>
      <c r="E27" s="120"/>
      <c r="F27" s="120"/>
      <c r="G27" s="140" t="s">
        <v>244</v>
      </c>
      <c r="H27" s="170">
        <f>'felhalm. kiad.  '!G121</f>
        <v>2452</v>
      </c>
      <c r="I27" s="170">
        <f>'felhalm. kiad.  '!H121</f>
        <v>4021</v>
      </c>
      <c r="J27" s="464">
        <f>SUM(H27:I27)</f>
        <v>6473</v>
      </c>
      <c r="K27" s="194"/>
    </row>
    <row r="28" spans="2:11" x14ac:dyDescent="0.2">
      <c r="B28" s="165">
        <f t="shared" si="0"/>
        <v>18</v>
      </c>
      <c r="C28" s="168"/>
      <c r="D28" s="120"/>
      <c r="E28" s="120"/>
      <c r="F28" s="120"/>
      <c r="G28" s="140" t="s">
        <v>31</v>
      </c>
      <c r="H28" s="170"/>
      <c r="I28" s="170"/>
      <c r="J28" s="464"/>
      <c r="K28" s="194"/>
    </row>
    <row r="29" spans="2:11" x14ac:dyDescent="0.2">
      <c r="B29" s="165">
        <f t="shared" si="0"/>
        <v>19</v>
      </c>
      <c r="C29" s="158" t="s">
        <v>50</v>
      </c>
      <c r="D29" s="120"/>
      <c r="E29" s="120"/>
      <c r="F29" s="120"/>
      <c r="G29" s="140" t="s">
        <v>32</v>
      </c>
      <c r="H29" s="170"/>
      <c r="I29" s="170"/>
      <c r="J29" s="464"/>
      <c r="K29" s="194"/>
    </row>
    <row r="30" spans="2:11" s="125" customFormat="1" x14ac:dyDescent="0.2">
      <c r="B30" s="165">
        <f t="shared" si="0"/>
        <v>20</v>
      </c>
      <c r="C30" s="158" t="s">
        <v>48</v>
      </c>
      <c r="D30" s="120"/>
      <c r="E30" s="120"/>
      <c r="F30" s="120"/>
      <c r="G30" s="140" t="s">
        <v>481</v>
      </c>
      <c r="H30" s="170"/>
      <c r="I30" s="170"/>
      <c r="J30" s="464"/>
      <c r="K30" s="639"/>
    </row>
    <row r="31" spans="2:11" x14ac:dyDescent="0.2">
      <c r="B31" s="165">
        <f t="shared" si="0"/>
        <v>21</v>
      </c>
      <c r="D31" s="120"/>
      <c r="E31" s="120"/>
      <c r="F31" s="120"/>
      <c r="G31" s="140" t="s">
        <v>478</v>
      </c>
      <c r="H31" s="170"/>
      <c r="I31" s="170"/>
      <c r="J31" s="464"/>
      <c r="K31" s="194"/>
    </row>
    <row r="32" spans="2:11" s="11" customFormat="1" x14ac:dyDescent="0.2">
      <c r="B32" s="165">
        <f t="shared" si="0"/>
        <v>22</v>
      </c>
      <c r="C32" s="175" t="s">
        <v>52</v>
      </c>
      <c r="D32" s="374">
        <f>D13+D14+D16+D18+D20+D23+D24+D25+D26+D27+D29+D30</f>
        <v>15</v>
      </c>
      <c r="E32" s="374">
        <f>E13+E14+E16+E18+E20+E23+E24+E25+E26+E27+E29+E30</f>
        <v>402</v>
      </c>
      <c r="F32" s="374">
        <f>F13+F14+F16+F18+F20+F23+F24+F25+F26+F27+F29+F30</f>
        <v>417</v>
      </c>
      <c r="G32" s="140" t="s">
        <v>474</v>
      </c>
      <c r="H32" s="159"/>
      <c r="I32" s="159"/>
      <c r="J32" s="464"/>
      <c r="K32" s="538"/>
    </row>
    <row r="33" spans="2:11" x14ac:dyDescent="0.2">
      <c r="B33" s="165">
        <f t="shared" si="0"/>
        <v>23</v>
      </c>
      <c r="C33" s="176" t="s">
        <v>67</v>
      </c>
      <c r="D33" s="376"/>
      <c r="E33" s="376"/>
      <c r="F33" s="376"/>
      <c r="G33" s="177" t="s">
        <v>68</v>
      </c>
      <c r="H33" s="178">
        <f>SUM(H27:H32)</f>
        <v>2452</v>
      </c>
      <c r="I33" s="178">
        <f>SUM(I27:I32)</f>
        <v>4021</v>
      </c>
      <c r="J33" s="466">
        <f>SUM(J27:J31)</f>
        <v>6473</v>
      </c>
      <c r="K33" s="194"/>
    </row>
    <row r="34" spans="2:11" x14ac:dyDescent="0.2">
      <c r="B34" s="165">
        <f t="shared" si="0"/>
        <v>24</v>
      </c>
      <c r="C34" s="179" t="s">
        <v>51</v>
      </c>
      <c r="D34" s="377">
        <f>SUM(D32:D33)</f>
        <v>15</v>
      </c>
      <c r="E34" s="377">
        <f>SUM(E32:E33)</f>
        <v>402</v>
      </c>
      <c r="F34" s="377">
        <f>SUM(F32:F33)</f>
        <v>417</v>
      </c>
      <c r="G34" s="180" t="s">
        <v>69</v>
      </c>
      <c r="H34" s="174">
        <f>H24+H33</f>
        <v>137107</v>
      </c>
      <c r="I34" s="174">
        <f>I24+I33</f>
        <v>145823</v>
      </c>
      <c r="J34" s="467">
        <f>J24+J33</f>
        <v>282930</v>
      </c>
      <c r="K34" s="194"/>
    </row>
    <row r="35" spans="2:11" x14ac:dyDescent="0.2">
      <c r="B35" s="165">
        <f t="shared" si="0"/>
        <v>25</v>
      </c>
      <c r="C35" s="181"/>
      <c r="D35" s="170"/>
      <c r="E35" s="170"/>
      <c r="F35" s="170"/>
      <c r="G35" s="172"/>
      <c r="H35" s="170"/>
      <c r="I35" s="170"/>
      <c r="J35" s="464"/>
      <c r="K35" s="194"/>
    </row>
    <row r="36" spans="2:11" x14ac:dyDescent="0.2">
      <c r="B36" s="165">
        <f t="shared" si="0"/>
        <v>26</v>
      </c>
      <c r="C36" s="181"/>
      <c r="D36" s="170"/>
      <c r="E36" s="170"/>
      <c r="F36" s="170"/>
      <c r="G36" s="173"/>
      <c r="H36" s="126"/>
      <c r="I36" s="126"/>
      <c r="J36" s="463"/>
      <c r="K36" s="194"/>
    </row>
    <row r="37" spans="2:11" s="11" customFormat="1" x14ac:dyDescent="0.2">
      <c r="B37" s="165">
        <f t="shared" si="0"/>
        <v>27</v>
      </c>
      <c r="C37" s="181"/>
      <c r="D37" s="170"/>
      <c r="E37" s="170"/>
      <c r="F37" s="170"/>
      <c r="G37" s="172"/>
      <c r="H37" s="170"/>
      <c r="I37" s="170"/>
      <c r="J37" s="464"/>
      <c r="K37" s="538"/>
    </row>
    <row r="38" spans="2:11" s="11" customFormat="1" x14ac:dyDescent="0.2">
      <c r="B38" s="825">
        <f t="shared" si="0"/>
        <v>28</v>
      </c>
      <c r="C38" s="127" t="s">
        <v>53</v>
      </c>
      <c r="D38" s="127"/>
      <c r="E38" s="127"/>
      <c r="F38" s="127"/>
      <c r="G38" s="141" t="s">
        <v>33</v>
      </c>
      <c r="H38" s="174"/>
      <c r="I38" s="174"/>
      <c r="J38" s="467"/>
      <c r="K38" s="538"/>
    </row>
    <row r="39" spans="2:11" s="11" customFormat="1" x14ac:dyDescent="0.2">
      <c r="B39" s="165">
        <f t="shared" si="0"/>
        <v>29</v>
      </c>
      <c r="C39" s="137" t="s">
        <v>738</v>
      </c>
      <c r="D39" s="127"/>
      <c r="E39" s="127"/>
      <c r="F39" s="127"/>
      <c r="G39" s="182" t="s">
        <v>4</v>
      </c>
      <c r="H39" s="183"/>
      <c r="I39" s="184"/>
      <c r="J39" s="468"/>
      <c r="K39" s="538"/>
    </row>
    <row r="40" spans="2:11" s="11" customFormat="1" x14ac:dyDescent="0.2">
      <c r="B40" s="165">
        <f t="shared" si="0"/>
        <v>30</v>
      </c>
      <c r="C40" s="158" t="s">
        <v>1150</v>
      </c>
      <c r="D40" s="127"/>
      <c r="E40" s="127"/>
      <c r="F40" s="127"/>
      <c r="G40" s="564" t="s">
        <v>3</v>
      </c>
      <c r="H40" s="174"/>
      <c r="I40" s="174"/>
      <c r="J40" s="467"/>
      <c r="K40" s="538"/>
    </row>
    <row r="41" spans="2:11" x14ac:dyDescent="0.2">
      <c r="B41" s="165">
        <f t="shared" si="0"/>
        <v>31</v>
      </c>
      <c r="C41" s="119" t="s">
        <v>740</v>
      </c>
      <c r="D41" s="186"/>
      <c r="E41" s="186"/>
      <c r="F41" s="186"/>
      <c r="G41" s="140" t="s">
        <v>5</v>
      </c>
      <c r="H41" s="174"/>
      <c r="I41" s="174"/>
      <c r="J41" s="467"/>
      <c r="K41" s="194"/>
    </row>
    <row r="42" spans="2:11" x14ac:dyDescent="0.2">
      <c r="B42" s="165">
        <f t="shared" si="0"/>
        <v>32</v>
      </c>
      <c r="C42" s="119" t="s">
        <v>225</v>
      </c>
      <c r="D42" s="120"/>
      <c r="E42" s="120"/>
      <c r="F42" s="120"/>
      <c r="G42" s="140" t="s">
        <v>6</v>
      </c>
      <c r="H42" s="183"/>
      <c r="I42" s="183"/>
      <c r="J42" s="467"/>
      <c r="K42" s="194"/>
    </row>
    <row r="43" spans="2:11" x14ac:dyDescent="0.2">
      <c r="B43" s="165">
        <f t="shared" si="0"/>
        <v>33</v>
      </c>
      <c r="C43" s="562" t="s">
        <v>226</v>
      </c>
      <c r="D43" s="120"/>
      <c r="E43" s="120">
        <v>16697</v>
      </c>
      <c r="F43" s="120">
        <f>D43+E43</f>
        <v>16697</v>
      </c>
      <c r="G43" s="140" t="s">
        <v>7</v>
      </c>
      <c r="H43" s="183"/>
      <c r="I43" s="183"/>
      <c r="J43" s="467"/>
      <c r="K43" s="194"/>
    </row>
    <row r="44" spans="2:11" x14ac:dyDescent="0.2">
      <c r="B44" s="165">
        <f t="shared" si="0"/>
        <v>34</v>
      </c>
      <c r="C44" s="562" t="s">
        <v>1146</v>
      </c>
      <c r="D44" s="120"/>
      <c r="E44" s="120"/>
      <c r="F44" s="120"/>
      <c r="G44" s="140"/>
      <c r="H44" s="183"/>
      <c r="I44" s="183"/>
      <c r="J44" s="467"/>
      <c r="K44" s="194"/>
    </row>
    <row r="45" spans="2:11" x14ac:dyDescent="0.2">
      <c r="B45" s="165">
        <f t="shared" si="0"/>
        <v>35</v>
      </c>
      <c r="C45" s="120" t="s">
        <v>741</v>
      </c>
      <c r="D45" s="120"/>
      <c r="E45" s="120"/>
      <c r="F45" s="120"/>
      <c r="G45" s="140" t="s">
        <v>8</v>
      </c>
      <c r="H45" s="174"/>
      <c r="I45" s="174"/>
      <c r="J45" s="464"/>
      <c r="K45" s="194"/>
    </row>
    <row r="46" spans="2:11" x14ac:dyDescent="0.2">
      <c r="B46" s="165">
        <f t="shared" si="0"/>
        <v>36</v>
      </c>
      <c r="C46" s="120" t="s">
        <v>742</v>
      </c>
      <c r="D46" s="127"/>
      <c r="E46" s="127"/>
      <c r="F46" s="127"/>
      <c r="G46" s="140" t="s">
        <v>9</v>
      </c>
      <c r="H46" s="174"/>
      <c r="I46" s="174"/>
      <c r="J46" s="464"/>
      <c r="K46" s="194"/>
    </row>
    <row r="47" spans="2:11" x14ac:dyDescent="0.2">
      <c r="B47" s="165">
        <f t="shared" si="0"/>
        <v>37</v>
      </c>
      <c r="C47" s="119" t="s">
        <v>229</v>
      </c>
      <c r="D47" s="120"/>
      <c r="E47" s="120"/>
      <c r="F47" s="120"/>
      <c r="G47" s="140" t="s">
        <v>10</v>
      </c>
      <c r="H47" s="170"/>
      <c r="I47" s="170"/>
      <c r="J47" s="464"/>
      <c r="K47" s="194"/>
    </row>
    <row r="48" spans="2:11" x14ac:dyDescent="0.2">
      <c r="B48" s="165">
        <f t="shared" si="0"/>
        <v>38</v>
      </c>
      <c r="C48" s="562" t="s">
        <v>230</v>
      </c>
      <c r="D48" s="292">
        <f>H24-(D34+D43)</f>
        <v>134640</v>
      </c>
      <c r="E48" s="292">
        <f>I24-(E34+E43)</f>
        <v>124703</v>
      </c>
      <c r="F48" s="292">
        <f>J24-(F34+F43)</f>
        <v>259343</v>
      </c>
      <c r="G48" s="140" t="s">
        <v>11</v>
      </c>
      <c r="H48" s="170"/>
      <c r="I48" s="170"/>
      <c r="J48" s="464"/>
      <c r="K48" s="194"/>
    </row>
    <row r="49" spans="2:11" x14ac:dyDescent="0.2">
      <c r="B49" s="165">
        <f t="shared" si="0"/>
        <v>39</v>
      </c>
      <c r="C49" s="562" t="s">
        <v>231</v>
      </c>
      <c r="D49" s="120">
        <f>H33-D33</f>
        <v>2452</v>
      </c>
      <c r="E49" s="120">
        <f>I33-E33</f>
        <v>4021</v>
      </c>
      <c r="F49" s="120">
        <f>J33-F33</f>
        <v>6473</v>
      </c>
      <c r="G49" s="140" t="s">
        <v>12</v>
      </c>
      <c r="H49" s="170"/>
      <c r="I49" s="170"/>
      <c r="J49" s="464"/>
      <c r="K49" s="194"/>
    </row>
    <row r="50" spans="2:11" x14ac:dyDescent="0.2">
      <c r="B50" s="165">
        <f t="shared" si="0"/>
        <v>40</v>
      </c>
      <c r="C50" s="119" t="s">
        <v>1</v>
      </c>
      <c r="D50" s="120"/>
      <c r="E50" s="120"/>
      <c r="F50" s="120"/>
      <c r="G50" s="140" t="s">
        <v>13</v>
      </c>
      <c r="H50" s="170"/>
      <c r="I50" s="170"/>
      <c r="J50" s="464"/>
      <c r="K50" s="194"/>
    </row>
    <row r="51" spans="2:11" x14ac:dyDescent="0.2">
      <c r="B51" s="165">
        <f t="shared" si="0"/>
        <v>41</v>
      </c>
      <c r="C51" s="119"/>
      <c r="D51" s="120"/>
      <c r="E51" s="120"/>
      <c r="F51" s="120"/>
      <c r="G51" s="140" t="s">
        <v>14</v>
      </c>
      <c r="H51" s="170"/>
      <c r="I51" s="170"/>
      <c r="J51" s="464"/>
      <c r="K51" s="194"/>
    </row>
    <row r="52" spans="2:11" x14ac:dyDescent="0.2">
      <c r="B52" s="165">
        <f t="shared" si="0"/>
        <v>42</v>
      </c>
      <c r="C52" s="119"/>
      <c r="D52" s="120"/>
      <c r="E52" s="120"/>
      <c r="F52" s="120"/>
      <c r="G52" s="140" t="s">
        <v>15</v>
      </c>
      <c r="H52" s="170"/>
      <c r="I52" s="170"/>
      <c r="J52" s="464"/>
      <c r="K52" s="194"/>
    </row>
    <row r="53" spans="2:11" ht="12" thickBot="1" x14ac:dyDescent="0.25">
      <c r="B53" s="165">
        <f t="shared" si="0"/>
        <v>43</v>
      </c>
      <c r="C53" s="347" t="s">
        <v>482</v>
      </c>
      <c r="D53" s="344">
        <f>SUM(D39:D51)</f>
        <v>137092</v>
      </c>
      <c r="E53" s="344">
        <f>SUM(E39:E51)</f>
        <v>145421</v>
      </c>
      <c r="F53" s="344">
        <f>SUM(F39:F51)</f>
        <v>282513</v>
      </c>
      <c r="G53" s="141" t="s">
        <v>475</v>
      </c>
      <c r="H53" s="174">
        <f>SUM(H39:H52)</f>
        <v>0</v>
      </c>
      <c r="I53" s="174">
        <f>SUM(I39:I52)</f>
        <v>0</v>
      </c>
      <c r="J53" s="467">
        <f>SUM(J39:J52)</f>
        <v>0</v>
      </c>
      <c r="K53" s="194"/>
    </row>
    <row r="54" spans="2:11" ht="12" thickBot="1" x14ac:dyDescent="0.25">
      <c r="B54" s="165">
        <f t="shared" si="0"/>
        <v>44</v>
      </c>
      <c r="C54" s="346" t="s">
        <v>477</v>
      </c>
      <c r="D54" s="340">
        <f>D34+D53</f>
        <v>137107</v>
      </c>
      <c r="E54" s="340">
        <f>E34+E53</f>
        <v>145823</v>
      </c>
      <c r="F54" s="1048">
        <f>F34+F53</f>
        <v>282930</v>
      </c>
      <c r="G54" s="530" t="s">
        <v>476</v>
      </c>
      <c r="H54" s="189">
        <f>H34+H53</f>
        <v>137107</v>
      </c>
      <c r="I54" s="528">
        <f>I34+I53</f>
        <v>145823</v>
      </c>
      <c r="J54" s="476">
        <f>J34+J53</f>
        <v>282930</v>
      </c>
      <c r="K54" s="194"/>
    </row>
    <row r="55" spans="2:11" x14ac:dyDescent="0.2">
      <c r="C55" s="184"/>
      <c r="D55" s="183"/>
      <c r="E55" s="183"/>
      <c r="F55" s="183"/>
      <c r="G55" s="183"/>
      <c r="H55" s="183"/>
      <c r="I55" s="183"/>
      <c r="J55" s="183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7" customWidth="1"/>
    <col min="2" max="2" width="33" style="117" customWidth="1"/>
    <col min="3" max="3" width="10.7109375" style="119" customWidth="1"/>
    <col min="4" max="4" width="12.28515625" style="119" customWidth="1"/>
    <col min="5" max="5" width="9.140625" style="119"/>
    <col min="6" max="6" width="11.28515625" style="119" customWidth="1"/>
    <col min="7" max="7" width="11.140625" style="119" customWidth="1"/>
    <col min="8" max="10" width="10" style="119" customWidth="1"/>
    <col min="11" max="11" width="11.28515625" style="119" customWidth="1"/>
    <col min="12" max="12" width="7.28515625" style="304" hidden="1" customWidth="1"/>
    <col min="13" max="13" width="8.5703125" style="304" hidden="1" customWidth="1"/>
    <col min="14" max="14" width="7.5703125" style="304" hidden="1" customWidth="1"/>
    <col min="15" max="15" width="8.28515625" style="304" hidden="1" customWidth="1"/>
    <col min="16" max="16" width="5.7109375" style="304" hidden="1" customWidth="1"/>
    <col min="17" max="17" width="8" style="304" hidden="1" customWidth="1"/>
    <col min="18" max="18" width="6.140625" style="304" hidden="1" customWidth="1"/>
    <col min="19" max="19" width="4.42578125" style="596" customWidth="1"/>
    <col min="20" max="16384" width="9.140625" style="80"/>
  </cols>
  <sheetData>
    <row r="1" spans="1:19" ht="17.25" customHeight="1" x14ac:dyDescent="0.2">
      <c r="B1" s="1196" t="s">
        <v>316</v>
      </c>
      <c r="C1" s="1196"/>
      <c r="D1" s="1196"/>
      <c r="E1" s="1196"/>
      <c r="F1" s="1196"/>
      <c r="G1" s="1196"/>
      <c r="H1" s="1196"/>
      <c r="I1" s="1196"/>
      <c r="J1" s="1196"/>
      <c r="K1" s="1204"/>
      <c r="L1" s="1119"/>
      <c r="M1" s="1119"/>
      <c r="N1" s="1119"/>
      <c r="O1" s="1119"/>
      <c r="P1" s="1119"/>
      <c r="Q1" s="1119"/>
      <c r="R1" s="1119"/>
    </row>
    <row r="2" spans="1:19" ht="13.5" customHeight="1" x14ac:dyDescent="0.2">
      <c r="A2" s="1206" t="s">
        <v>87</v>
      </c>
      <c r="B2" s="1206"/>
      <c r="C2" s="1206"/>
      <c r="D2" s="1206"/>
      <c r="E2" s="1206"/>
      <c r="F2" s="1206"/>
      <c r="G2" s="1206"/>
      <c r="H2" s="1206"/>
      <c r="I2" s="1206"/>
      <c r="J2" s="1206"/>
      <c r="K2" s="1206"/>
      <c r="L2" s="80"/>
      <c r="M2" s="80"/>
      <c r="N2" s="80"/>
      <c r="O2" s="80"/>
      <c r="P2" s="80"/>
      <c r="Q2" s="80"/>
      <c r="R2" s="80"/>
      <c r="S2" s="583"/>
    </row>
    <row r="3" spans="1:19" s="82" customFormat="1" ht="12" customHeight="1" x14ac:dyDescent="0.2">
      <c r="A3" s="1074" t="s">
        <v>314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119"/>
      <c r="M3" s="1119"/>
      <c r="N3" s="1119"/>
      <c r="O3" s="1119"/>
      <c r="P3" s="1119"/>
      <c r="Q3" s="1119"/>
      <c r="R3" s="1119"/>
      <c r="S3" s="597"/>
    </row>
    <row r="4" spans="1:19" s="82" customFormat="1" ht="23.25" customHeight="1" thickBot="1" x14ac:dyDescent="0.25">
      <c r="A4" s="218"/>
      <c r="B4" s="219"/>
      <c r="C4" s="220"/>
      <c r="D4" s="220"/>
      <c r="E4" s="220"/>
      <c r="F4" s="220"/>
      <c r="G4" s="1207" t="s">
        <v>327</v>
      </c>
      <c r="H4" s="1207"/>
      <c r="I4" s="1207"/>
      <c r="J4" s="1207"/>
      <c r="K4" s="1207"/>
      <c r="L4" s="357"/>
      <c r="M4" s="357"/>
      <c r="N4" s="357"/>
      <c r="O4" s="357"/>
      <c r="P4" s="357"/>
      <c r="Q4" s="357"/>
      <c r="R4" s="357"/>
      <c r="S4" s="597"/>
    </row>
    <row r="5" spans="1:19" s="118" customFormat="1" ht="17.25" customHeight="1" thickBot="1" x14ac:dyDescent="0.25">
      <c r="A5" s="1211" t="s">
        <v>506</v>
      </c>
      <c r="B5" s="1209" t="s">
        <v>571</v>
      </c>
      <c r="C5" s="1191" t="s">
        <v>57</v>
      </c>
      <c r="D5" s="1191"/>
      <c r="E5" s="1191" t="s">
        <v>58</v>
      </c>
      <c r="F5" s="1191"/>
      <c r="G5" s="1191" t="s">
        <v>59</v>
      </c>
      <c r="H5" s="1191"/>
      <c r="I5" s="1212" t="s">
        <v>60</v>
      </c>
      <c r="J5" s="1195"/>
      <c r="K5" s="221" t="s">
        <v>507</v>
      </c>
      <c r="L5" s="303"/>
      <c r="S5" s="583"/>
    </row>
    <row r="6" spans="1:19" s="118" customFormat="1" ht="17.25" customHeight="1" thickBot="1" x14ac:dyDescent="0.25">
      <c r="A6" s="1211"/>
      <c r="B6" s="1209"/>
      <c r="C6" s="1073" t="s">
        <v>313</v>
      </c>
      <c r="D6" s="1200"/>
      <c r="E6" s="1200"/>
      <c r="F6" s="1200"/>
      <c r="G6" s="1200"/>
      <c r="H6" s="1200"/>
      <c r="I6" s="1200"/>
      <c r="J6" s="1200"/>
      <c r="K6" s="1210"/>
      <c r="L6" s="303"/>
      <c r="S6" s="583"/>
    </row>
    <row r="7" spans="1:19" ht="40.15" customHeight="1" thickBot="1" x14ac:dyDescent="0.25">
      <c r="A7" s="1211"/>
      <c r="B7" s="1209"/>
      <c r="C7" s="1179" t="s">
        <v>486</v>
      </c>
      <c r="D7" s="1179"/>
      <c r="E7" s="1179" t="s">
        <v>487</v>
      </c>
      <c r="F7" s="1179"/>
      <c r="G7" s="1179" t="s">
        <v>22</v>
      </c>
      <c r="H7" s="1179"/>
      <c r="I7" s="1180" t="s">
        <v>272</v>
      </c>
      <c r="J7" s="1181"/>
      <c r="K7" s="1208" t="s">
        <v>572</v>
      </c>
      <c r="M7" s="80"/>
      <c r="N7" s="80"/>
      <c r="O7" s="80"/>
      <c r="P7" s="80"/>
      <c r="Q7" s="80"/>
      <c r="R7" s="80"/>
      <c r="S7" s="583"/>
    </row>
    <row r="8" spans="1:19" ht="50.25" customHeight="1" thickBot="1" x14ac:dyDescent="0.25">
      <c r="A8" s="1211"/>
      <c r="B8" s="1209"/>
      <c r="C8" s="1179"/>
      <c r="D8" s="1179"/>
      <c r="E8" s="1179"/>
      <c r="F8" s="1179"/>
      <c r="G8" s="1179"/>
      <c r="H8" s="1179"/>
      <c r="I8" s="1182"/>
      <c r="J8" s="1183"/>
      <c r="K8" s="1208"/>
      <c r="M8" s="80"/>
      <c r="N8" s="80"/>
      <c r="O8" s="80"/>
      <c r="P8" s="80"/>
      <c r="Q8" s="80"/>
      <c r="R8" s="80"/>
      <c r="S8" s="583"/>
    </row>
    <row r="9" spans="1:19" ht="33" customHeight="1" thickBot="1" x14ac:dyDescent="0.25">
      <c r="A9" s="1211"/>
      <c r="B9" s="1209"/>
      <c r="C9" s="222" t="s">
        <v>62</v>
      </c>
      <c r="D9" s="223" t="s">
        <v>63</v>
      </c>
      <c r="E9" s="222" t="s">
        <v>62</v>
      </c>
      <c r="F9" s="222" t="s">
        <v>63</v>
      </c>
      <c r="G9" s="222" t="s">
        <v>62</v>
      </c>
      <c r="H9" s="222" t="s">
        <v>63</v>
      </c>
      <c r="I9" s="222" t="s">
        <v>62</v>
      </c>
      <c r="J9" s="222" t="s">
        <v>63</v>
      </c>
      <c r="K9" s="1208"/>
      <c r="M9" s="80"/>
      <c r="N9" s="80"/>
      <c r="O9" s="80"/>
      <c r="P9" s="80"/>
      <c r="Q9" s="80"/>
      <c r="R9" s="80"/>
      <c r="S9" s="583"/>
    </row>
    <row r="10" spans="1:19" ht="17.25" customHeight="1" x14ac:dyDescent="0.2">
      <c r="A10" s="224" t="s">
        <v>516</v>
      </c>
      <c r="B10" s="225" t="s">
        <v>262</v>
      </c>
      <c r="C10" s="226">
        <v>1600</v>
      </c>
      <c r="E10" s="227"/>
      <c r="F10" s="228"/>
      <c r="G10" s="227"/>
      <c r="H10" s="546"/>
      <c r="I10" s="228"/>
      <c r="J10" s="228"/>
      <c r="K10" s="229">
        <f t="shared" ref="K10:K39" si="0">SUM(C10:J10)</f>
        <v>1600</v>
      </c>
      <c r="M10" s="80"/>
      <c r="N10" s="80"/>
      <c r="O10" s="80"/>
      <c r="P10" s="80"/>
      <c r="Q10" s="80"/>
      <c r="R10" s="80"/>
      <c r="S10" s="583"/>
    </row>
    <row r="11" spans="1:19" s="81" customFormat="1" ht="17.25" customHeight="1" x14ac:dyDescent="0.2">
      <c r="A11" s="224" t="s">
        <v>524</v>
      </c>
      <c r="B11" s="542" t="s">
        <v>263</v>
      </c>
      <c r="C11" s="543">
        <v>33533</v>
      </c>
      <c r="D11" s="544"/>
      <c r="E11" s="612">
        <f>'közhatalmi bevételek'!D26</f>
        <v>9000</v>
      </c>
      <c r="F11" s="230"/>
      <c r="G11" s="231"/>
      <c r="H11" s="547"/>
      <c r="I11" s="230"/>
      <c r="J11" s="230"/>
      <c r="K11" s="229">
        <f t="shared" si="0"/>
        <v>42533</v>
      </c>
      <c r="L11" s="292"/>
      <c r="S11" s="598"/>
    </row>
    <row r="12" spans="1:19" ht="17.25" customHeight="1" x14ac:dyDescent="0.2">
      <c r="A12" s="224" t="s">
        <v>525</v>
      </c>
      <c r="B12" s="168" t="s">
        <v>264</v>
      </c>
      <c r="C12" s="140"/>
      <c r="D12" s="120">
        <v>53</v>
      </c>
      <c r="E12" s="121"/>
      <c r="F12" s="120"/>
      <c r="G12" s="121"/>
      <c r="H12" s="470"/>
      <c r="I12" s="120"/>
      <c r="J12" s="120"/>
      <c r="K12" s="229">
        <f t="shared" si="0"/>
        <v>53</v>
      </c>
      <c r="M12" s="80"/>
      <c r="N12" s="80"/>
      <c r="O12" s="80"/>
      <c r="P12" s="80"/>
      <c r="Q12" s="80"/>
      <c r="R12" s="80"/>
      <c r="S12" s="583"/>
    </row>
    <row r="13" spans="1:19" ht="17.25" customHeight="1" x14ac:dyDescent="0.2">
      <c r="A13" s="224" t="s">
        <v>526</v>
      </c>
      <c r="B13" s="168" t="s">
        <v>265</v>
      </c>
      <c r="C13" s="140"/>
      <c r="D13" s="120">
        <v>391</v>
      </c>
      <c r="E13" s="121"/>
      <c r="F13" s="120"/>
      <c r="G13" s="121"/>
      <c r="H13" s="548"/>
      <c r="I13" s="232"/>
      <c r="J13" s="232"/>
      <c r="K13" s="229">
        <f t="shared" si="0"/>
        <v>391</v>
      </c>
      <c r="M13" s="80"/>
      <c r="N13" s="80"/>
      <c r="O13" s="80"/>
      <c r="P13" s="80"/>
      <c r="Q13" s="80"/>
      <c r="R13" s="80"/>
      <c r="S13" s="583"/>
    </row>
    <row r="14" spans="1:19" ht="17.25" customHeight="1" x14ac:dyDescent="0.2">
      <c r="A14" s="224" t="s">
        <v>527</v>
      </c>
      <c r="B14" s="168" t="s">
        <v>266</v>
      </c>
      <c r="C14" s="140"/>
      <c r="D14" s="120"/>
      <c r="E14" s="121"/>
      <c r="F14" s="120"/>
      <c r="G14" s="121"/>
      <c r="H14" s="548"/>
      <c r="I14" s="232"/>
      <c r="J14" s="232"/>
      <c r="K14" s="229">
        <f t="shared" si="0"/>
        <v>0</v>
      </c>
      <c r="M14" s="80"/>
      <c r="N14" s="80"/>
      <c r="O14" s="80"/>
      <c r="P14" s="80"/>
      <c r="Q14" s="80"/>
      <c r="R14" s="80"/>
      <c r="S14" s="583"/>
    </row>
    <row r="15" spans="1:19" ht="17.25" customHeight="1" x14ac:dyDescent="0.2">
      <c r="A15" s="224" t="s">
        <v>528</v>
      </c>
      <c r="B15" s="168" t="s">
        <v>267</v>
      </c>
      <c r="C15" s="140"/>
      <c r="D15" s="120">
        <v>20031</v>
      </c>
      <c r="E15" s="121"/>
      <c r="F15" s="120"/>
      <c r="G15" s="121"/>
      <c r="H15" s="548"/>
      <c r="I15" s="232"/>
      <c r="J15" s="232"/>
      <c r="K15" s="229">
        <f t="shared" si="0"/>
        <v>20031</v>
      </c>
      <c r="M15" s="80"/>
      <c r="N15" s="80"/>
      <c r="O15" s="80"/>
      <c r="P15" s="80"/>
      <c r="Q15" s="80"/>
      <c r="R15" s="80"/>
      <c r="S15" s="583"/>
    </row>
    <row r="16" spans="1:19" ht="17.25" customHeight="1" x14ac:dyDescent="0.2">
      <c r="A16" s="224" t="s">
        <v>529</v>
      </c>
      <c r="B16" s="168" t="s">
        <v>268</v>
      </c>
      <c r="C16" s="140">
        <v>3600</v>
      </c>
      <c r="D16" s="120">
        <v>8084</v>
      </c>
      <c r="E16" s="121"/>
      <c r="F16" s="120"/>
      <c r="G16" s="121"/>
      <c r="H16" s="548"/>
      <c r="I16" s="232"/>
      <c r="J16" s="232"/>
      <c r="K16" s="229">
        <f t="shared" si="0"/>
        <v>11684</v>
      </c>
      <c r="M16" s="80"/>
      <c r="N16" s="80"/>
      <c r="O16" s="80"/>
      <c r="P16" s="80"/>
      <c r="Q16" s="80"/>
      <c r="R16" s="80"/>
      <c r="S16" s="583"/>
    </row>
    <row r="17" spans="1:19" ht="17.25" customHeight="1" x14ac:dyDescent="0.2">
      <c r="A17" s="224" t="s">
        <v>530</v>
      </c>
      <c r="B17" s="168" t="s">
        <v>269</v>
      </c>
      <c r="C17" s="140"/>
      <c r="D17" s="120">
        <v>10160</v>
      </c>
      <c r="E17" s="121"/>
      <c r="F17" s="120"/>
      <c r="G17" s="121"/>
      <c r="H17" s="548"/>
      <c r="I17" s="232"/>
      <c r="J17" s="232"/>
      <c r="K17" s="229">
        <f t="shared" si="0"/>
        <v>10160</v>
      </c>
      <c r="M17" s="80"/>
      <c r="N17" s="80"/>
      <c r="O17" s="80"/>
      <c r="P17" s="80"/>
      <c r="Q17" s="80"/>
      <c r="R17" s="80"/>
      <c r="S17" s="583"/>
    </row>
    <row r="18" spans="1:19" ht="17.25" customHeight="1" x14ac:dyDescent="0.2">
      <c r="A18" s="224" t="s">
        <v>531</v>
      </c>
      <c r="B18" s="168" t="s">
        <v>270</v>
      </c>
      <c r="C18" s="140">
        <v>183</v>
      </c>
      <c r="D18" s="120"/>
      <c r="E18" s="121"/>
      <c r="F18" s="120"/>
      <c r="G18" s="121"/>
      <c r="H18" s="548"/>
      <c r="I18" s="232"/>
      <c r="J18" s="232"/>
      <c r="K18" s="229">
        <f t="shared" si="0"/>
        <v>183</v>
      </c>
      <c r="M18" s="80"/>
      <c r="N18" s="80"/>
      <c r="O18" s="80"/>
      <c r="P18" s="80"/>
      <c r="Q18" s="80"/>
      <c r="R18" s="80"/>
      <c r="S18" s="583"/>
    </row>
    <row r="19" spans="1:19" ht="17.25" customHeight="1" x14ac:dyDescent="0.2">
      <c r="A19" s="224" t="s">
        <v>573</v>
      </c>
      <c r="B19" s="171" t="s">
        <v>271</v>
      </c>
      <c r="C19" s="140">
        <v>1288</v>
      </c>
      <c r="D19" s="120">
        <v>2062</v>
      </c>
      <c r="E19" s="121"/>
      <c r="F19" s="120"/>
      <c r="G19" s="121">
        <f>'tám, végl. pe.átv  '!C42</f>
        <v>0</v>
      </c>
      <c r="H19" s="470"/>
      <c r="J19" s="119">
        <v>0</v>
      </c>
      <c r="K19" s="229">
        <f>SUM(C19:J19)</f>
        <v>3350</v>
      </c>
      <c r="M19" s="80"/>
      <c r="N19" s="80"/>
      <c r="O19" s="80"/>
      <c r="P19" s="80"/>
      <c r="Q19" s="80"/>
      <c r="R19" s="80"/>
      <c r="S19" s="583"/>
    </row>
    <row r="20" spans="1:19" ht="17.25" customHeight="1" x14ac:dyDescent="0.2">
      <c r="A20" s="224" t="s">
        <v>574</v>
      </c>
      <c r="B20" s="168" t="s">
        <v>294</v>
      </c>
      <c r="C20" s="140">
        <v>25</v>
      </c>
      <c r="D20" s="120"/>
      <c r="E20" s="121"/>
      <c r="F20" s="120"/>
      <c r="G20" s="521">
        <v>447</v>
      </c>
      <c r="H20" s="549"/>
      <c r="I20" s="305"/>
      <c r="J20" s="305"/>
      <c r="K20" s="229">
        <f t="shared" si="0"/>
        <v>472</v>
      </c>
      <c r="M20" s="80"/>
      <c r="N20" s="80"/>
      <c r="O20" s="80"/>
      <c r="P20" s="80"/>
      <c r="Q20" s="80"/>
      <c r="R20" s="80"/>
      <c r="S20" s="583"/>
    </row>
    <row r="21" spans="1:19" s="82" customFormat="1" ht="17.25" customHeight="1" x14ac:dyDescent="0.2">
      <c r="A21" s="224" t="s">
        <v>575</v>
      </c>
      <c r="B21" s="168" t="s">
        <v>295</v>
      </c>
      <c r="C21" s="140"/>
      <c r="D21" s="120"/>
      <c r="E21" s="121"/>
      <c r="F21" s="120"/>
      <c r="G21" s="521">
        <f>'tám, végl. pe.átv  '!C11</f>
        <v>653487</v>
      </c>
      <c r="H21" s="491">
        <f>'tám, végl. pe.átv  '!D11</f>
        <v>81948</v>
      </c>
      <c r="I21" s="292"/>
      <c r="J21" s="292"/>
      <c r="K21" s="229">
        <f t="shared" si="0"/>
        <v>735435</v>
      </c>
      <c r="L21" s="305"/>
      <c r="S21" s="599"/>
    </row>
    <row r="22" spans="1:19" ht="17.25" customHeight="1" x14ac:dyDescent="0.2">
      <c r="A22" s="224" t="s">
        <v>576</v>
      </c>
      <c r="B22" s="168" t="s">
        <v>296</v>
      </c>
      <c r="C22" s="140"/>
      <c r="D22" s="120"/>
      <c r="E22" s="121"/>
      <c r="F22" s="120"/>
      <c r="G22" s="521">
        <f>'tám, végl. pe.átv  '!C19</f>
        <v>6688</v>
      </c>
      <c r="H22" s="549"/>
      <c r="I22" s="305"/>
      <c r="J22" s="305"/>
      <c r="K22" s="229">
        <f t="shared" si="0"/>
        <v>6688</v>
      </c>
      <c r="M22" s="80"/>
      <c r="N22" s="80"/>
      <c r="O22" s="80"/>
      <c r="P22" s="80"/>
      <c r="Q22" s="80"/>
      <c r="R22" s="80"/>
      <c r="S22" s="583"/>
    </row>
    <row r="23" spans="1:19" ht="17.25" customHeight="1" x14ac:dyDescent="0.2">
      <c r="A23" s="224" t="s">
        <v>577</v>
      </c>
      <c r="B23" s="168" t="s">
        <v>309</v>
      </c>
      <c r="C23" s="140"/>
      <c r="D23" s="120"/>
      <c r="E23" s="121"/>
      <c r="F23" s="120"/>
      <c r="G23" s="521"/>
      <c r="H23" s="491">
        <f>'tám, végl. pe.átv  '!D20</f>
        <v>2470</v>
      </c>
      <c r="I23" s="305"/>
      <c r="J23" s="305"/>
      <c r="K23" s="229">
        <f t="shared" si="0"/>
        <v>2470</v>
      </c>
      <c r="M23" s="80"/>
      <c r="N23" s="80"/>
      <c r="O23" s="80"/>
      <c r="P23" s="80"/>
      <c r="Q23" s="80"/>
      <c r="R23" s="80"/>
      <c r="S23" s="583"/>
    </row>
    <row r="24" spans="1:19" ht="17.25" customHeight="1" x14ac:dyDescent="0.2">
      <c r="A24" s="224" t="s">
        <v>578</v>
      </c>
      <c r="B24" s="168" t="s">
        <v>310</v>
      </c>
      <c r="C24" s="140"/>
      <c r="D24" s="120"/>
      <c r="E24" s="121"/>
      <c r="F24" s="120"/>
      <c r="G24" s="521">
        <v>1300</v>
      </c>
      <c r="H24" s="549"/>
      <c r="I24" s="305"/>
      <c r="J24" s="305"/>
      <c r="K24" s="229">
        <f t="shared" si="0"/>
        <v>1300</v>
      </c>
      <c r="M24" s="80"/>
      <c r="N24" s="80"/>
      <c r="O24" s="80"/>
      <c r="P24" s="80"/>
      <c r="Q24" s="80"/>
      <c r="R24" s="80"/>
      <c r="S24" s="583"/>
    </row>
    <row r="25" spans="1:19" ht="17.25" customHeight="1" x14ac:dyDescent="0.2">
      <c r="A25" s="224" t="s">
        <v>579</v>
      </c>
      <c r="B25" s="168" t="s">
        <v>297</v>
      </c>
      <c r="C25" s="140"/>
      <c r="D25" s="120"/>
      <c r="E25" s="121"/>
      <c r="F25" s="120"/>
      <c r="G25" s="521">
        <v>14203</v>
      </c>
      <c r="H25" s="491"/>
      <c r="I25" s="292"/>
      <c r="J25" s="292"/>
      <c r="K25" s="229">
        <f t="shared" si="0"/>
        <v>14203</v>
      </c>
      <c r="M25" s="80"/>
      <c r="N25" s="80"/>
      <c r="O25" s="80"/>
      <c r="P25" s="80"/>
      <c r="Q25" s="80"/>
      <c r="R25" s="80"/>
      <c r="S25" s="583"/>
    </row>
    <row r="26" spans="1:19" ht="17.25" customHeight="1" x14ac:dyDescent="0.2">
      <c r="A26" s="224" t="s">
        <v>580</v>
      </c>
      <c r="B26" s="168" t="s">
        <v>273</v>
      </c>
      <c r="C26" s="140"/>
      <c r="E26" s="121">
        <f>'közhatalmi bevételek'!D13</f>
        <v>544948</v>
      </c>
      <c r="F26" s="120">
        <f>'közhatalmi bevételek'!E13</f>
        <v>659052</v>
      </c>
      <c r="G26" s="121"/>
      <c r="H26" s="548"/>
      <c r="I26" s="232"/>
      <c r="J26" s="232"/>
      <c r="K26" s="229">
        <f t="shared" si="0"/>
        <v>1204000</v>
      </c>
      <c r="M26" s="80"/>
      <c r="N26" s="80"/>
      <c r="O26" s="80"/>
      <c r="P26" s="80"/>
      <c r="Q26" s="80"/>
      <c r="R26" s="80"/>
      <c r="S26" s="583"/>
    </row>
    <row r="27" spans="1:19" ht="17.25" customHeight="1" x14ac:dyDescent="0.2">
      <c r="A27" s="224" t="s">
        <v>582</v>
      </c>
      <c r="B27" s="171" t="s">
        <v>581</v>
      </c>
      <c r="C27" s="140"/>
      <c r="E27" s="121"/>
      <c r="F27" s="120"/>
      <c r="G27" s="121"/>
      <c r="H27" s="548"/>
      <c r="I27" s="232"/>
      <c r="J27" s="232"/>
      <c r="K27" s="229">
        <f t="shared" si="0"/>
        <v>0</v>
      </c>
      <c r="M27" s="80"/>
      <c r="N27" s="80"/>
      <c r="O27" s="80"/>
      <c r="P27" s="80"/>
      <c r="Q27" s="80"/>
      <c r="R27" s="80"/>
      <c r="S27" s="583"/>
    </row>
    <row r="28" spans="1:19" ht="17.25" customHeight="1" x14ac:dyDescent="0.2">
      <c r="A28" s="224" t="s">
        <v>583</v>
      </c>
      <c r="B28" s="168" t="s">
        <v>298</v>
      </c>
      <c r="C28" s="140"/>
      <c r="E28" s="121">
        <f>'közhatalmi bevételek'!D20</f>
        <v>17000</v>
      </c>
      <c r="F28" s="120"/>
      <c r="G28" s="121"/>
      <c r="H28" s="548"/>
      <c r="I28" s="232"/>
      <c r="J28" s="232"/>
      <c r="K28" s="229">
        <f t="shared" si="0"/>
        <v>17000</v>
      </c>
      <c r="M28" s="80"/>
      <c r="N28" s="80"/>
      <c r="O28" s="80"/>
      <c r="P28" s="80"/>
      <c r="Q28" s="80"/>
      <c r="R28" s="80"/>
      <c r="S28" s="583"/>
    </row>
    <row r="29" spans="1:19" s="82" customFormat="1" ht="17.25" customHeight="1" x14ac:dyDescent="0.2">
      <c r="A29" s="224" t="s">
        <v>584</v>
      </c>
      <c r="B29" s="168" t="s">
        <v>274</v>
      </c>
      <c r="C29" s="140"/>
      <c r="D29" s="122"/>
      <c r="E29" s="521">
        <f>'közhatalmi bevételek'!D15</f>
        <v>4500</v>
      </c>
      <c r="F29" s="120">
        <f>'közhatalmi bevételek'!E15</f>
        <v>0</v>
      </c>
      <c r="G29" s="140"/>
      <c r="H29" s="548"/>
      <c r="I29" s="232"/>
      <c r="J29" s="232"/>
      <c r="K29" s="229">
        <f t="shared" si="0"/>
        <v>4500</v>
      </c>
      <c r="L29" s="305"/>
      <c r="S29" s="599"/>
    </row>
    <row r="30" spans="1:19" ht="17.25" customHeight="1" x14ac:dyDescent="0.2">
      <c r="A30" s="224" t="s">
        <v>585</v>
      </c>
      <c r="B30" s="168" t="s">
        <v>275</v>
      </c>
      <c r="C30" s="140"/>
      <c r="D30" s="120"/>
      <c r="E30" s="521">
        <f>'közhatalmi bevételek'!D25</f>
        <v>820</v>
      </c>
      <c r="F30" s="120"/>
      <c r="G30" s="121"/>
      <c r="H30" s="548"/>
      <c r="I30" s="232"/>
      <c r="J30" s="232"/>
      <c r="K30" s="229">
        <f t="shared" si="0"/>
        <v>820</v>
      </c>
      <c r="M30" s="80"/>
      <c r="N30" s="80"/>
      <c r="O30" s="80"/>
      <c r="P30" s="80"/>
      <c r="Q30" s="80"/>
      <c r="R30" s="80"/>
      <c r="S30" s="583"/>
    </row>
    <row r="31" spans="1:19" ht="17.25" customHeight="1" x14ac:dyDescent="0.2">
      <c r="A31" s="224" t="s">
        <v>586</v>
      </c>
      <c r="B31" s="168" t="s">
        <v>276</v>
      </c>
      <c r="C31" s="140"/>
      <c r="D31" s="120"/>
      <c r="E31" s="121"/>
      <c r="F31" s="120"/>
      <c r="G31" s="121"/>
      <c r="H31" s="548"/>
      <c r="I31" s="232"/>
      <c r="J31" s="232"/>
      <c r="K31" s="229">
        <f t="shared" si="0"/>
        <v>0</v>
      </c>
      <c r="M31" s="80"/>
      <c r="N31" s="80"/>
      <c r="O31" s="80"/>
      <c r="P31" s="80"/>
      <c r="Q31" s="80"/>
      <c r="R31" s="80"/>
      <c r="S31" s="583"/>
    </row>
    <row r="32" spans="1:19" ht="17.25" customHeight="1" x14ac:dyDescent="0.2">
      <c r="A32" s="224" t="s">
        <v>588</v>
      </c>
      <c r="B32" s="168" t="s">
        <v>277</v>
      </c>
      <c r="C32" s="140">
        <v>140</v>
      </c>
      <c r="D32" s="120">
        <v>46</v>
      </c>
      <c r="E32" s="121"/>
      <c r="F32" s="120"/>
      <c r="G32" s="121"/>
      <c r="H32" s="548"/>
      <c r="I32" s="232"/>
      <c r="J32" s="232"/>
      <c r="K32" s="229">
        <f t="shared" si="0"/>
        <v>186</v>
      </c>
      <c r="M32" s="80"/>
      <c r="N32" s="80"/>
      <c r="O32" s="80"/>
      <c r="P32" s="80"/>
      <c r="Q32" s="80"/>
      <c r="R32" s="80"/>
      <c r="S32" s="583"/>
    </row>
    <row r="33" spans="1:19" ht="17.25" customHeight="1" x14ac:dyDescent="0.2">
      <c r="A33" s="224" t="s">
        <v>589</v>
      </c>
      <c r="B33" s="225" t="s">
        <v>278</v>
      </c>
      <c r="C33" s="233"/>
      <c r="D33" s="228"/>
      <c r="E33" s="227"/>
      <c r="F33" s="228"/>
      <c r="G33" s="522">
        <v>5065</v>
      </c>
      <c r="H33" s="548"/>
      <c r="I33" s="232"/>
      <c r="J33" s="232"/>
      <c r="K33" s="229">
        <f t="shared" si="0"/>
        <v>5065</v>
      </c>
      <c r="M33" s="80"/>
      <c r="N33" s="80"/>
      <c r="O33" s="80"/>
      <c r="P33" s="80"/>
      <c r="Q33" s="80"/>
      <c r="R33" s="80"/>
      <c r="S33" s="583"/>
    </row>
    <row r="34" spans="1:19" ht="17.25" customHeight="1" x14ac:dyDescent="0.2">
      <c r="A34" s="224" t="s">
        <v>611</v>
      </c>
      <c r="B34" s="225" t="s">
        <v>279</v>
      </c>
      <c r="C34" s="233"/>
      <c r="D34" s="228"/>
      <c r="E34" s="227"/>
      <c r="F34" s="228"/>
      <c r="G34" s="522">
        <v>0</v>
      </c>
      <c r="H34" s="548"/>
      <c r="I34" s="232"/>
      <c r="J34" s="232"/>
      <c r="K34" s="229">
        <f t="shared" si="0"/>
        <v>0</v>
      </c>
      <c r="M34" s="80"/>
      <c r="N34" s="80"/>
      <c r="O34" s="80"/>
      <c r="P34" s="80"/>
      <c r="Q34" s="80"/>
      <c r="R34" s="80"/>
      <c r="S34" s="583"/>
    </row>
    <row r="35" spans="1:19" ht="17.25" customHeight="1" x14ac:dyDescent="0.2">
      <c r="A35" s="224" t="s">
        <v>612</v>
      </c>
      <c r="B35" s="225" t="s">
        <v>280</v>
      </c>
      <c r="C35" s="233"/>
      <c r="D35" s="228"/>
      <c r="E35" s="227"/>
      <c r="F35" s="228"/>
      <c r="G35" s="522">
        <v>455</v>
      </c>
      <c r="H35" s="548"/>
      <c r="I35" s="232"/>
      <c r="J35" s="232"/>
      <c r="K35" s="229">
        <f t="shared" si="0"/>
        <v>455</v>
      </c>
      <c r="M35" s="80"/>
      <c r="N35" s="80"/>
      <c r="O35" s="80"/>
      <c r="P35" s="80"/>
      <c r="Q35" s="80"/>
      <c r="R35" s="80"/>
      <c r="S35" s="583"/>
    </row>
    <row r="36" spans="1:19" ht="17.25" customHeight="1" x14ac:dyDescent="0.2">
      <c r="A36" s="224" t="s">
        <v>613</v>
      </c>
      <c r="B36" s="225" t="s">
        <v>595</v>
      </c>
      <c r="C36" s="233"/>
      <c r="D36" s="228"/>
      <c r="E36" s="227"/>
      <c r="F36" s="228"/>
      <c r="G36" s="522">
        <v>500</v>
      </c>
      <c r="H36" s="548"/>
      <c r="I36" s="232"/>
      <c r="J36" s="232"/>
      <c r="K36" s="229">
        <f t="shared" si="0"/>
        <v>500</v>
      </c>
      <c r="M36" s="80"/>
      <c r="N36" s="80"/>
      <c r="O36" s="80"/>
      <c r="P36" s="80"/>
      <c r="Q36" s="80"/>
      <c r="R36" s="80"/>
      <c r="S36" s="583"/>
    </row>
    <row r="37" spans="1:19" ht="17.25" customHeight="1" x14ac:dyDescent="0.2">
      <c r="A37" s="224" t="s">
        <v>614</v>
      </c>
      <c r="B37" s="225" t="s">
        <v>281</v>
      </c>
      <c r="C37" s="233"/>
      <c r="D37" s="228"/>
      <c r="E37" s="227"/>
      <c r="F37" s="228"/>
      <c r="G37" s="522">
        <v>2032</v>
      </c>
      <c r="H37" s="548"/>
      <c r="I37" s="232"/>
      <c r="J37" s="232"/>
      <c r="K37" s="229">
        <f t="shared" si="0"/>
        <v>2032</v>
      </c>
      <c r="M37" s="80"/>
      <c r="N37" s="80"/>
      <c r="O37" s="80"/>
      <c r="P37" s="80"/>
      <c r="Q37" s="80"/>
      <c r="R37" s="80"/>
      <c r="S37" s="583"/>
    </row>
    <row r="38" spans="1:19" ht="17.25" customHeight="1" x14ac:dyDescent="0.2">
      <c r="A38" s="224" t="s">
        <v>615</v>
      </c>
      <c r="B38" s="225" t="s">
        <v>282</v>
      </c>
      <c r="C38" s="233"/>
      <c r="D38" s="524">
        <v>2286</v>
      </c>
      <c r="E38" s="233"/>
      <c r="F38" s="228"/>
      <c r="G38" s="523"/>
      <c r="H38" s="470"/>
      <c r="K38" s="229">
        <f t="shared" si="0"/>
        <v>2286</v>
      </c>
      <c r="M38" s="80"/>
      <c r="N38" s="80"/>
      <c r="O38" s="80"/>
      <c r="P38" s="80"/>
      <c r="Q38" s="80"/>
      <c r="R38" s="80"/>
      <c r="S38" s="583"/>
    </row>
    <row r="39" spans="1:19" ht="17.25" customHeight="1" thickBot="1" x14ac:dyDescent="0.25">
      <c r="A39" s="224" t="s">
        <v>616</v>
      </c>
      <c r="B39" s="225" t="s">
        <v>283</v>
      </c>
      <c r="C39" s="233"/>
      <c r="D39" s="228"/>
      <c r="E39" s="227"/>
      <c r="F39" s="228"/>
      <c r="G39" s="227"/>
      <c r="H39" s="548"/>
      <c r="I39" s="232"/>
      <c r="J39" s="232"/>
      <c r="K39" s="229">
        <f t="shared" si="0"/>
        <v>0</v>
      </c>
      <c r="M39" s="80"/>
      <c r="N39" s="80"/>
      <c r="O39" s="80"/>
      <c r="P39" s="80"/>
      <c r="Q39" s="80"/>
      <c r="R39" s="80"/>
      <c r="S39" s="583"/>
    </row>
    <row r="40" spans="1:19" ht="17.25" customHeight="1" thickBot="1" x14ac:dyDescent="0.25">
      <c r="A40" s="1173" t="s">
        <v>620</v>
      </c>
      <c r="B40" s="1174"/>
      <c r="C40" s="370">
        <f>SUM(C10:C39)</f>
        <v>40369</v>
      </c>
      <c r="D40" s="370">
        <f>SUM(D10:D39)</f>
        <v>43113</v>
      </c>
      <c r="E40" s="570">
        <f>SUM(E10:E39)</f>
        <v>576268</v>
      </c>
      <c r="F40" s="571">
        <f>SUM(F10:F39)</f>
        <v>659052</v>
      </c>
      <c r="G40" s="370">
        <f>SUM(G10:G39)</f>
        <v>684177</v>
      </c>
      <c r="H40" s="550">
        <f>SUM(H12:H39)</f>
        <v>84418</v>
      </c>
      <c r="I40" s="550">
        <f>SUM(I12:I39)</f>
        <v>0</v>
      </c>
      <c r="J40" s="550">
        <f>SUM(J12:J39)</f>
        <v>0</v>
      </c>
      <c r="K40" s="371">
        <f>SUM(C40:J40)</f>
        <v>2087397</v>
      </c>
      <c r="M40" s="80"/>
      <c r="N40" s="80"/>
      <c r="O40" s="80"/>
      <c r="P40" s="80"/>
      <c r="Q40" s="80"/>
      <c r="R40" s="80"/>
      <c r="S40" s="583"/>
    </row>
    <row r="41" spans="1:19" ht="17.25" customHeight="1" x14ac:dyDescent="0.2">
      <c r="M41" s="80"/>
      <c r="N41" s="80"/>
      <c r="O41" s="80"/>
      <c r="P41" s="80"/>
      <c r="Q41" s="80"/>
      <c r="R41" s="80"/>
      <c r="S41" s="583"/>
    </row>
    <row r="42" spans="1:19" ht="17.25" customHeight="1" x14ac:dyDescent="0.2">
      <c r="M42" s="80"/>
      <c r="N42" s="80"/>
      <c r="O42" s="80"/>
      <c r="P42" s="80"/>
      <c r="Q42" s="80"/>
      <c r="R42" s="80"/>
      <c r="S42" s="583"/>
    </row>
    <row r="43" spans="1:19" ht="17.25" customHeight="1" x14ac:dyDescent="0.2">
      <c r="M43" s="80"/>
      <c r="N43" s="80"/>
      <c r="O43" s="80"/>
      <c r="P43" s="80"/>
      <c r="Q43" s="80"/>
      <c r="R43" s="80"/>
      <c r="S43" s="583"/>
    </row>
    <row r="44" spans="1:19" ht="17.25" customHeight="1" x14ac:dyDescent="0.2">
      <c r="M44" s="80"/>
      <c r="N44" s="80"/>
      <c r="O44" s="80"/>
      <c r="P44" s="80"/>
      <c r="Q44" s="80"/>
      <c r="R44" s="80"/>
      <c r="S44" s="583"/>
    </row>
    <row r="45" spans="1:19" ht="17.25" customHeight="1" x14ac:dyDescent="0.2">
      <c r="M45" s="80"/>
      <c r="N45" s="80"/>
      <c r="O45" s="80"/>
      <c r="P45" s="80"/>
      <c r="Q45" s="80"/>
      <c r="R45" s="80"/>
      <c r="S45" s="583"/>
    </row>
    <row r="46" spans="1:19" ht="17.25" customHeight="1" x14ac:dyDescent="0.2">
      <c r="M46" s="80"/>
      <c r="N46" s="80"/>
      <c r="O46" s="80"/>
      <c r="P46" s="80"/>
      <c r="Q46" s="80"/>
      <c r="R46" s="80"/>
      <c r="S46" s="583"/>
    </row>
    <row r="47" spans="1:19" ht="17.25" customHeight="1" x14ac:dyDescent="0.2">
      <c r="M47" s="80"/>
      <c r="N47" s="80"/>
      <c r="O47" s="80"/>
      <c r="P47" s="80"/>
      <c r="Q47" s="80"/>
      <c r="R47" s="80"/>
      <c r="S47" s="583"/>
    </row>
    <row r="48" spans="1:19" ht="17.25" customHeight="1" x14ac:dyDescent="0.2">
      <c r="M48" s="80"/>
      <c r="N48" s="80"/>
      <c r="O48" s="80"/>
      <c r="P48" s="80"/>
      <c r="Q48" s="80"/>
      <c r="R48" s="80"/>
      <c r="S48" s="583"/>
    </row>
    <row r="49" spans="2:24" ht="17.25" customHeight="1" x14ac:dyDescent="0.2">
      <c r="M49" s="80"/>
      <c r="N49" s="80"/>
      <c r="O49" s="80"/>
      <c r="P49" s="80"/>
      <c r="Q49" s="80"/>
      <c r="R49" s="80"/>
      <c r="S49" s="583"/>
    </row>
    <row r="50" spans="2:24" ht="17.25" customHeight="1" x14ac:dyDescent="0.2">
      <c r="M50" s="80"/>
      <c r="N50" s="80"/>
      <c r="O50" s="80"/>
      <c r="P50" s="80"/>
      <c r="Q50" s="80"/>
      <c r="R50" s="80"/>
      <c r="S50" s="583"/>
    </row>
    <row r="51" spans="2:24" ht="17.25" customHeight="1" x14ac:dyDescent="0.2">
      <c r="M51" s="80"/>
      <c r="N51" s="80"/>
      <c r="O51" s="80"/>
      <c r="P51" s="80"/>
      <c r="Q51" s="80"/>
      <c r="R51" s="80"/>
      <c r="S51" s="583"/>
    </row>
    <row r="52" spans="2:24" ht="17.25" customHeight="1" x14ac:dyDescent="0.2">
      <c r="M52" s="80"/>
      <c r="N52" s="80"/>
      <c r="O52" s="80"/>
      <c r="P52" s="80"/>
      <c r="Q52" s="80"/>
      <c r="R52" s="80"/>
      <c r="S52" s="583"/>
    </row>
    <row r="53" spans="2:24" ht="17.25" customHeight="1" x14ac:dyDescent="0.2">
      <c r="M53" s="80"/>
      <c r="N53" s="80"/>
      <c r="O53" s="80"/>
      <c r="P53" s="80"/>
      <c r="Q53" s="80"/>
      <c r="R53" s="80"/>
      <c r="S53" s="583"/>
    </row>
    <row r="54" spans="2:24" ht="17.25" customHeight="1" x14ac:dyDescent="0.2">
      <c r="M54" s="80"/>
      <c r="N54" s="80"/>
      <c r="O54" s="80"/>
      <c r="P54" s="80"/>
      <c r="Q54" s="80"/>
      <c r="R54" s="80"/>
      <c r="S54" s="583"/>
    </row>
    <row r="55" spans="2:24" ht="17.25" customHeight="1" x14ac:dyDescent="0.2">
      <c r="M55" s="80"/>
      <c r="N55" s="80"/>
      <c r="O55" s="80"/>
      <c r="P55" s="80"/>
      <c r="Q55" s="80"/>
      <c r="R55" s="80"/>
      <c r="S55" s="583"/>
    </row>
    <row r="56" spans="2:24" ht="17.25" customHeight="1" x14ac:dyDescent="0.2">
      <c r="M56" s="80"/>
      <c r="N56" s="80"/>
      <c r="O56" s="80"/>
      <c r="P56" s="80"/>
      <c r="Q56" s="80"/>
      <c r="R56" s="80"/>
      <c r="S56" s="583"/>
    </row>
    <row r="57" spans="2:24" ht="17.25" customHeight="1" x14ac:dyDescent="0.2">
      <c r="M57" s="80"/>
      <c r="N57" s="80"/>
      <c r="O57" s="80"/>
      <c r="P57" s="80"/>
      <c r="Q57" s="80"/>
      <c r="R57" s="80"/>
      <c r="S57" s="583"/>
    </row>
    <row r="58" spans="2:24" ht="17.25" customHeight="1" x14ac:dyDescent="0.2">
      <c r="M58" s="80"/>
      <c r="N58" s="80"/>
      <c r="O58" s="80"/>
      <c r="P58" s="80"/>
      <c r="Q58" s="80"/>
      <c r="R58" s="80"/>
      <c r="S58" s="583"/>
    </row>
    <row r="64" spans="2:24" ht="17.25" customHeight="1" x14ac:dyDescent="0.2">
      <c r="B64" s="1196" t="s">
        <v>596</v>
      </c>
      <c r="C64" s="1119"/>
      <c r="D64" s="1119"/>
      <c r="E64" s="1119"/>
      <c r="F64" s="1119"/>
      <c r="G64" s="1119"/>
      <c r="H64" s="1119"/>
      <c r="I64" s="1119"/>
      <c r="J64" s="1119"/>
      <c r="K64" s="1119"/>
      <c r="L64" s="1119"/>
      <c r="M64" s="1119"/>
      <c r="N64" s="1119"/>
      <c r="O64" s="1119"/>
      <c r="P64" s="1119"/>
      <c r="Q64" s="1119"/>
      <c r="R64" s="1119"/>
      <c r="W64" s="81"/>
      <c r="X64" s="81"/>
    </row>
    <row r="65" spans="1:23" ht="17.25" customHeight="1" x14ac:dyDescent="0.2">
      <c r="D65" s="117"/>
      <c r="E65" s="117"/>
      <c r="F65" s="117"/>
      <c r="G65" s="117"/>
      <c r="H65" s="117"/>
      <c r="I65" s="117"/>
      <c r="J65" s="117"/>
      <c r="K65" s="117"/>
      <c r="W65" s="81"/>
    </row>
    <row r="66" spans="1:23" ht="17.25" customHeight="1" x14ac:dyDescent="0.2">
      <c r="A66" s="1074" t="s">
        <v>570</v>
      </c>
      <c r="B66" s="1119"/>
      <c r="C66" s="1119"/>
      <c r="D66" s="1119"/>
      <c r="E66" s="1119"/>
      <c r="F66" s="1119"/>
      <c r="G66" s="1119"/>
      <c r="H66" s="1119"/>
      <c r="I66" s="1119"/>
      <c r="J66" s="1119"/>
      <c r="K66" s="1119"/>
      <c r="L66" s="1119"/>
      <c r="M66" s="1119"/>
      <c r="N66" s="1119"/>
      <c r="O66" s="1119"/>
      <c r="P66" s="1119"/>
      <c r="Q66" s="1119"/>
      <c r="R66" s="1119"/>
    </row>
    <row r="67" spans="1:23" ht="17.25" customHeight="1" x14ac:dyDescent="0.2">
      <c r="A67" s="1074" t="s">
        <v>314</v>
      </c>
      <c r="B67" s="1119"/>
      <c r="C67" s="1119"/>
      <c r="D67" s="1119"/>
      <c r="E67" s="1119"/>
      <c r="F67" s="1119"/>
      <c r="G67" s="1119"/>
      <c r="H67" s="1119"/>
      <c r="I67" s="1119"/>
      <c r="J67" s="1119"/>
      <c r="K67" s="1119"/>
      <c r="L67" s="1119"/>
      <c r="M67" s="1119"/>
      <c r="N67" s="1119"/>
      <c r="O67" s="1119"/>
      <c r="P67" s="1119"/>
      <c r="Q67" s="1119"/>
      <c r="R67" s="1119"/>
    </row>
    <row r="68" spans="1:23" ht="17.25" customHeight="1" x14ac:dyDescent="0.2">
      <c r="B68" s="219"/>
      <c r="C68" s="220"/>
      <c r="D68" s="220"/>
      <c r="E68" s="220"/>
      <c r="F68" s="220"/>
      <c r="G68" s="220"/>
      <c r="H68" s="220"/>
      <c r="I68" s="220"/>
      <c r="J68" s="220"/>
      <c r="K68" s="220"/>
    </row>
    <row r="69" spans="1:23" ht="12.75" customHeight="1" thickBot="1" x14ac:dyDescent="0.25">
      <c r="A69" s="1202" t="s">
        <v>327</v>
      </c>
      <c r="B69" s="1203"/>
      <c r="C69" s="1203"/>
      <c r="D69" s="1203"/>
      <c r="E69" s="1203"/>
      <c r="F69" s="1203"/>
      <c r="G69" s="1203"/>
      <c r="H69" s="1203"/>
      <c r="I69" s="1203"/>
      <c r="J69" s="1203"/>
      <c r="K69" s="1203"/>
      <c r="L69" s="1148"/>
      <c r="M69" s="1148"/>
      <c r="N69" s="1148"/>
      <c r="O69" s="1148"/>
      <c r="P69" s="1148"/>
      <c r="Q69" s="1148"/>
      <c r="R69" s="1148"/>
    </row>
    <row r="70" spans="1:23" s="118" customFormat="1" ht="11.25" customHeight="1" x14ac:dyDescent="0.2">
      <c r="A70" s="1186" t="s">
        <v>506</v>
      </c>
      <c r="B70" s="1175" t="s">
        <v>86</v>
      </c>
      <c r="C70" s="1193" t="s">
        <v>57</v>
      </c>
      <c r="D70" s="1192"/>
      <c r="E70" s="1192" t="s">
        <v>58</v>
      </c>
      <c r="F70" s="1192"/>
      <c r="G70" s="1192" t="s">
        <v>59</v>
      </c>
      <c r="H70" s="1192"/>
      <c r="I70" s="1194"/>
      <c r="J70" s="1193"/>
      <c r="K70" s="322" t="s">
        <v>60</v>
      </c>
      <c r="L70" s="1195" t="s">
        <v>507</v>
      </c>
      <c r="M70" s="1191"/>
      <c r="N70" s="1191" t="s">
        <v>508</v>
      </c>
      <c r="O70" s="1191"/>
      <c r="P70" s="1191" t="s">
        <v>509</v>
      </c>
      <c r="Q70" s="1191"/>
      <c r="R70" s="318" t="s">
        <v>639</v>
      </c>
      <c r="S70" s="596"/>
    </row>
    <row r="71" spans="1:23" ht="31.5" customHeight="1" x14ac:dyDescent="0.2">
      <c r="A71" s="1187"/>
      <c r="B71" s="1176"/>
      <c r="C71" s="1197" t="s">
        <v>597</v>
      </c>
      <c r="D71" s="1200"/>
      <c r="E71" s="1200"/>
      <c r="F71" s="1200"/>
      <c r="G71" s="1200"/>
      <c r="H71" s="1200"/>
      <c r="I71" s="1200"/>
      <c r="J71" s="1200"/>
      <c r="K71" s="1201"/>
      <c r="L71" s="1197" t="s">
        <v>553</v>
      </c>
      <c r="M71" s="1198"/>
      <c r="N71" s="1198"/>
      <c r="O71" s="1198"/>
      <c r="P71" s="1198"/>
      <c r="Q71" s="1198"/>
      <c r="R71" s="1199"/>
    </row>
    <row r="72" spans="1:23" ht="36" customHeight="1" thickBot="1" x14ac:dyDescent="0.25">
      <c r="A72" s="1187"/>
      <c r="B72" s="1176"/>
      <c r="C72" s="1178" t="s">
        <v>486</v>
      </c>
      <c r="D72" s="1179"/>
      <c r="E72" s="1179" t="s">
        <v>487</v>
      </c>
      <c r="F72" s="1179"/>
      <c r="G72" s="1179" t="s">
        <v>22</v>
      </c>
      <c r="H72" s="1179"/>
      <c r="I72" s="1180"/>
      <c r="J72" s="1181"/>
      <c r="K72" s="1189" t="s">
        <v>572</v>
      </c>
      <c r="L72" s="1178" t="s">
        <v>486</v>
      </c>
      <c r="M72" s="1179"/>
      <c r="N72" s="1179" t="s">
        <v>487</v>
      </c>
      <c r="O72" s="1179"/>
      <c r="P72" s="1179" t="s">
        <v>22</v>
      </c>
      <c r="Q72" s="1179"/>
      <c r="R72" s="1184" t="s">
        <v>572</v>
      </c>
    </row>
    <row r="73" spans="1:23" ht="35.25" customHeight="1" thickBot="1" x14ac:dyDescent="0.25">
      <c r="A73" s="1187"/>
      <c r="B73" s="1176"/>
      <c r="C73" s="1178"/>
      <c r="D73" s="1179"/>
      <c r="E73" s="1179"/>
      <c r="F73" s="1179"/>
      <c r="G73" s="1179"/>
      <c r="H73" s="1179"/>
      <c r="I73" s="1182"/>
      <c r="J73" s="1183"/>
      <c r="K73" s="1189"/>
      <c r="L73" s="1178"/>
      <c r="M73" s="1179"/>
      <c r="N73" s="1179"/>
      <c r="O73" s="1179"/>
      <c r="P73" s="1179"/>
      <c r="Q73" s="1179"/>
      <c r="R73" s="1184"/>
    </row>
    <row r="74" spans="1:23" ht="32.25" customHeight="1" thickBot="1" x14ac:dyDescent="0.25">
      <c r="A74" s="1188"/>
      <c r="B74" s="1177"/>
      <c r="C74" s="527" t="s">
        <v>62</v>
      </c>
      <c r="D74" s="324" t="s">
        <v>63</v>
      </c>
      <c r="E74" s="323" t="s">
        <v>62</v>
      </c>
      <c r="F74" s="323" t="s">
        <v>63</v>
      </c>
      <c r="G74" s="323" t="s">
        <v>62</v>
      </c>
      <c r="H74" s="323" t="s">
        <v>63</v>
      </c>
      <c r="I74" s="323" t="s">
        <v>62</v>
      </c>
      <c r="J74" s="323" t="s">
        <v>63</v>
      </c>
      <c r="K74" s="1190"/>
      <c r="L74" s="326" t="s">
        <v>62</v>
      </c>
      <c r="M74" s="327" t="s">
        <v>63</v>
      </c>
      <c r="N74" s="321" t="s">
        <v>62</v>
      </c>
      <c r="O74" s="321" t="s">
        <v>63</v>
      </c>
      <c r="P74" s="321" t="s">
        <v>62</v>
      </c>
      <c r="Q74" s="321" t="s">
        <v>63</v>
      </c>
      <c r="R74" s="1185"/>
    </row>
    <row r="75" spans="1:23" ht="17.25" customHeight="1" x14ac:dyDescent="0.2">
      <c r="A75" s="234">
        <v>1</v>
      </c>
      <c r="B75" s="591" t="s">
        <v>600</v>
      </c>
      <c r="C75" s="254">
        <v>10</v>
      </c>
      <c r="D75" s="254">
        <v>0</v>
      </c>
      <c r="E75" s="254"/>
      <c r="F75" s="254"/>
      <c r="G75" s="254"/>
      <c r="H75" s="254"/>
      <c r="I75" s="254"/>
      <c r="J75" s="254"/>
      <c r="K75" s="526">
        <f>SUM(C75:H75)</f>
        <v>10</v>
      </c>
      <c r="L75" s="328">
        <v>20</v>
      </c>
      <c r="M75" s="328">
        <v>188</v>
      </c>
      <c r="N75" s="328"/>
      <c r="O75" s="328"/>
      <c r="P75" s="328"/>
      <c r="Q75" s="328"/>
      <c r="R75" s="329">
        <f>SUM(L75:Q75)</f>
        <v>208</v>
      </c>
    </row>
    <row r="76" spans="1:23" ht="17.25" customHeight="1" x14ac:dyDescent="0.2">
      <c r="A76" s="234">
        <v>2</v>
      </c>
      <c r="B76" s="592" t="s">
        <v>599</v>
      </c>
      <c r="C76" s="254"/>
      <c r="D76" s="254">
        <v>284</v>
      </c>
      <c r="E76" s="254"/>
      <c r="F76" s="254"/>
      <c r="G76" s="254"/>
      <c r="H76" s="254"/>
      <c r="I76" s="254"/>
      <c r="J76" s="254"/>
      <c r="K76" s="557">
        <f>SUM(C76:H76)</f>
        <v>284</v>
      </c>
      <c r="L76" s="254"/>
      <c r="M76" s="254"/>
      <c r="N76" s="254"/>
      <c r="O76" s="254"/>
      <c r="P76" s="254"/>
      <c r="Q76" s="254"/>
      <c r="R76" s="551"/>
    </row>
    <row r="77" spans="1:23" ht="17.25" customHeight="1" x14ac:dyDescent="0.2">
      <c r="A77" s="234">
        <v>3</v>
      </c>
      <c r="B77" s="592" t="s">
        <v>598</v>
      </c>
      <c r="C77" s="254">
        <v>3</v>
      </c>
      <c r="D77" s="254">
        <v>78</v>
      </c>
      <c r="E77" s="254"/>
      <c r="F77" s="254"/>
      <c r="G77" s="254"/>
      <c r="H77" s="254"/>
      <c r="I77" s="254"/>
      <c r="J77" s="254"/>
      <c r="K77" s="557">
        <f>SUM(C77:H77)</f>
        <v>81</v>
      </c>
      <c r="L77" s="254"/>
      <c r="M77" s="254"/>
      <c r="N77" s="254"/>
      <c r="O77" s="254"/>
      <c r="P77" s="254"/>
      <c r="Q77" s="254"/>
      <c r="R77" s="551"/>
    </row>
    <row r="78" spans="1:23" ht="17.25" customHeight="1" x14ac:dyDescent="0.2">
      <c r="A78" s="224">
        <v>4</v>
      </c>
      <c r="B78" s="592" t="s">
        <v>601</v>
      </c>
      <c r="C78" s="590">
        <v>2</v>
      </c>
      <c r="D78" s="325"/>
      <c r="E78" s="325"/>
      <c r="F78" s="325"/>
      <c r="G78" s="325"/>
      <c r="H78" s="325"/>
      <c r="I78" s="325"/>
      <c r="J78" s="325"/>
      <c r="K78" s="557">
        <f>SUM(C78:H78)</f>
        <v>2</v>
      </c>
      <c r="L78" s="330"/>
      <c r="M78" s="330"/>
      <c r="N78" s="330"/>
      <c r="O78" s="330"/>
      <c r="P78" s="330"/>
      <c r="Q78" s="330"/>
      <c r="R78" s="331"/>
    </row>
    <row r="79" spans="1:23" ht="17.25" customHeight="1" thickBot="1" x14ac:dyDescent="0.25">
      <c r="A79" s="558">
        <v>5</v>
      </c>
      <c r="B79" s="593" t="s">
        <v>602</v>
      </c>
      <c r="C79" s="590"/>
      <c r="D79" s="325">
        <v>40</v>
      </c>
      <c r="E79" s="325"/>
      <c r="F79" s="325"/>
      <c r="G79" s="325"/>
      <c r="H79" s="325"/>
      <c r="I79" s="325"/>
      <c r="J79" s="325"/>
      <c r="K79" s="594">
        <f>SUM(C79:J79)</f>
        <v>40</v>
      </c>
      <c r="L79" s="330"/>
      <c r="M79" s="330"/>
      <c r="N79" s="330"/>
      <c r="O79" s="330"/>
      <c r="P79" s="330"/>
      <c r="Q79" s="330"/>
      <c r="R79" s="331"/>
    </row>
    <row r="80" spans="1:23" ht="17.25" customHeight="1" thickBot="1" x14ac:dyDescent="0.25">
      <c r="A80" s="545" t="s">
        <v>284</v>
      </c>
      <c r="B80" s="552"/>
      <c r="C80" s="553">
        <f>SUM(C74:C78)</f>
        <v>15</v>
      </c>
      <c r="D80" s="553">
        <f>SUM(D74:D79)</f>
        <v>402</v>
      </c>
      <c r="E80" s="554">
        <f>SUM(E74)</f>
        <v>0</v>
      </c>
      <c r="F80" s="554">
        <f>SUM(F74)</f>
        <v>0</v>
      </c>
      <c r="G80" s="554">
        <f>SUM(G74)</f>
        <v>0</v>
      </c>
      <c r="H80" s="554">
        <f>SUM(H74:H78)</f>
        <v>0</v>
      </c>
      <c r="I80" s="555"/>
      <c r="J80" s="555"/>
      <c r="K80" s="556">
        <f>SUM(K74:K79)</f>
        <v>417</v>
      </c>
      <c r="L80" s="525">
        <f>SUM(L75:L78)</f>
        <v>20</v>
      </c>
      <c r="M80" s="319">
        <f>SUM(M75:M78)</f>
        <v>188</v>
      </c>
      <c r="N80" s="319"/>
      <c r="O80" s="319"/>
      <c r="P80" s="319"/>
      <c r="Q80" s="319"/>
      <c r="R80" s="332">
        <f>SUM(L80:Q80)</f>
        <v>208</v>
      </c>
      <c r="S80" s="597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4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87"/>
  <sheetViews>
    <sheetView topLeftCell="B1" zoomScale="130" zoomScaleNormal="130" workbookViewId="0">
      <selection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60" customWidth="1"/>
    <col min="3" max="3" width="26.7109375" style="367" customWidth="1"/>
    <col min="4" max="4" width="5.85546875" style="368" customWidth="1"/>
    <col min="5" max="5" width="6.7109375" style="369" customWidth="1"/>
    <col min="6" max="6" width="5.85546875" style="369" customWidth="1"/>
    <col min="7" max="7" width="6.42578125" style="369" customWidth="1"/>
    <col min="8" max="8" width="5.28515625" style="369" customWidth="1"/>
    <col min="9" max="9" width="6.42578125" style="369" customWidth="1"/>
    <col min="10" max="10" width="5.7109375" style="369" customWidth="1"/>
    <col min="11" max="11" width="5.5703125" style="369" customWidth="1"/>
    <col min="12" max="12" width="6" style="369" customWidth="1"/>
    <col min="13" max="15" width="5.85546875" style="369" customWidth="1"/>
    <col min="16" max="16" width="4.7109375" style="369" customWidth="1"/>
    <col min="17" max="17" width="5" style="369" customWidth="1"/>
    <col min="18" max="18" width="6.5703125" style="369" bestFit="1" customWidth="1"/>
    <col min="19" max="19" width="31.85546875" style="359" customWidth="1"/>
    <col min="20" max="22" width="9.140625" style="359"/>
    <col min="23" max="16384" width="9.140625" style="80"/>
  </cols>
  <sheetData>
    <row r="1" spans="1:22" ht="12.75" x14ac:dyDescent="0.2">
      <c r="B1" s="1196" t="s">
        <v>1299</v>
      </c>
      <c r="C1" s="1223"/>
      <c r="D1" s="1223"/>
      <c r="E1" s="1223"/>
      <c r="F1" s="1223"/>
      <c r="G1" s="1223"/>
      <c r="H1" s="1223"/>
      <c r="I1" s="1223"/>
      <c r="J1" s="1223"/>
      <c r="K1" s="1223"/>
      <c r="L1" s="1223"/>
      <c r="M1" s="1223"/>
      <c r="N1" s="1223"/>
      <c r="O1" s="1223"/>
      <c r="P1" s="1223"/>
      <c r="Q1" s="1223"/>
      <c r="R1" s="1223"/>
    </row>
    <row r="2" spans="1:22" ht="12.75" x14ac:dyDescent="0.2">
      <c r="B2" s="1224" t="s">
        <v>78</v>
      </c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  <c r="Q2" s="1225"/>
      <c r="R2" s="1225"/>
    </row>
    <row r="3" spans="1:22" ht="12.75" x14ac:dyDescent="0.2">
      <c r="A3" s="81"/>
      <c r="B3" s="1074" t="s">
        <v>1010</v>
      </c>
      <c r="C3" s="1223"/>
      <c r="D3" s="1223"/>
      <c r="E3" s="1223"/>
      <c r="F3" s="1223"/>
      <c r="G3" s="1223"/>
      <c r="H3" s="1223"/>
      <c r="I3" s="1223"/>
      <c r="J3" s="1223"/>
      <c r="K3" s="1223"/>
      <c r="L3" s="1223"/>
      <c r="M3" s="1223"/>
      <c r="N3" s="1223"/>
      <c r="O3" s="1223"/>
      <c r="P3" s="1223"/>
      <c r="Q3" s="1223"/>
      <c r="R3" s="1223"/>
    </row>
    <row r="4" spans="1:22" x14ac:dyDescent="0.2">
      <c r="A4" s="81"/>
      <c r="C4" s="1236" t="s">
        <v>327</v>
      </c>
      <c r="D4" s="1236"/>
      <c r="E4" s="1236"/>
      <c r="F4" s="1236"/>
      <c r="G4" s="1236"/>
      <c r="H4" s="1236"/>
      <c r="I4" s="1236"/>
      <c r="J4" s="1236"/>
      <c r="K4" s="1236"/>
      <c r="L4" s="1236"/>
      <c r="M4" s="1236"/>
      <c r="N4" s="1236"/>
      <c r="O4" s="1236"/>
      <c r="P4" s="1236"/>
      <c r="Q4" s="1236"/>
      <c r="R4" s="1236"/>
    </row>
    <row r="5" spans="1:22" x14ac:dyDescent="0.2">
      <c r="A5" s="942"/>
      <c r="B5" s="1226" t="s">
        <v>506</v>
      </c>
      <c r="C5" s="940" t="s">
        <v>57</v>
      </c>
      <c r="D5" s="1220" t="s">
        <v>58</v>
      </c>
      <c r="E5" s="1219"/>
      <c r="F5" s="1220" t="s">
        <v>59</v>
      </c>
      <c r="G5" s="1219"/>
      <c r="H5" s="1220" t="s">
        <v>638</v>
      </c>
      <c r="I5" s="1219"/>
      <c r="J5" s="1220" t="s">
        <v>507</v>
      </c>
      <c r="K5" s="1219"/>
      <c r="L5" s="1218" t="s">
        <v>508</v>
      </c>
      <c r="M5" s="1219"/>
      <c r="N5" s="1218" t="s">
        <v>509</v>
      </c>
      <c r="O5" s="1219"/>
      <c r="P5" s="1218" t="s">
        <v>639</v>
      </c>
      <c r="Q5" s="1219"/>
      <c r="R5" s="560" t="s">
        <v>650</v>
      </c>
    </row>
    <row r="6" spans="1:22" ht="12.75" x14ac:dyDescent="0.2">
      <c r="A6" s="942"/>
      <c r="B6" s="1227"/>
      <c r="C6" s="941"/>
      <c r="D6" s="1237" t="s">
        <v>994</v>
      </c>
      <c r="E6" s="1238"/>
      <c r="F6" s="1238"/>
      <c r="G6" s="1238"/>
      <c r="H6" s="1238"/>
      <c r="I6" s="1238"/>
      <c r="J6" s="1238"/>
      <c r="K6" s="1238"/>
      <c r="L6" s="1238"/>
      <c r="M6" s="1238"/>
      <c r="N6" s="1238"/>
      <c r="O6" s="1238"/>
      <c r="P6" s="1238"/>
      <c r="Q6" s="1238"/>
      <c r="R6" s="1239"/>
    </row>
    <row r="7" spans="1:22" ht="24.95" customHeight="1" x14ac:dyDescent="0.2">
      <c r="A7" s="942"/>
      <c r="B7" s="1227"/>
      <c r="C7" s="1213" t="s">
        <v>86</v>
      </c>
      <c r="D7" s="1229" t="s">
        <v>485</v>
      </c>
      <c r="E7" s="1222"/>
      <c r="F7" s="1221" t="s">
        <v>21</v>
      </c>
      <c r="G7" s="1221"/>
      <c r="H7" s="1221" t="s">
        <v>483</v>
      </c>
      <c r="I7" s="1221"/>
      <c r="J7" s="1222" t="s">
        <v>495</v>
      </c>
      <c r="K7" s="1222"/>
      <c r="L7" s="1222" t="s">
        <v>494</v>
      </c>
      <c r="M7" s="1222"/>
      <c r="N7" s="1180" t="s">
        <v>285</v>
      </c>
      <c r="O7" s="1230"/>
      <c r="P7" s="1222" t="s">
        <v>484</v>
      </c>
      <c r="Q7" s="1222"/>
      <c r="R7" s="1233" t="s">
        <v>572</v>
      </c>
    </row>
    <row r="8" spans="1:22" ht="26.25" customHeight="1" x14ac:dyDescent="0.2">
      <c r="A8" s="942"/>
      <c r="B8" s="1227"/>
      <c r="C8" s="1214"/>
      <c r="D8" s="1229"/>
      <c r="E8" s="1222"/>
      <c r="F8" s="1221"/>
      <c r="G8" s="1221"/>
      <c r="H8" s="1221"/>
      <c r="I8" s="1221"/>
      <c r="J8" s="1222"/>
      <c r="K8" s="1222"/>
      <c r="L8" s="1222"/>
      <c r="M8" s="1222"/>
      <c r="N8" s="1231"/>
      <c r="O8" s="1232"/>
      <c r="P8" s="1222"/>
      <c r="Q8" s="1222"/>
      <c r="R8" s="1234"/>
      <c r="S8" s="894"/>
      <c r="T8" s="366"/>
    </row>
    <row r="9" spans="1:22" s="278" customFormat="1" ht="40.9" customHeight="1" x14ac:dyDescent="0.15">
      <c r="A9" s="943"/>
      <c r="B9" s="1228"/>
      <c r="C9" s="1215"/>
      <c r="D9" s="361" t="s">
        <v>62</v>
      </c>
      <c r="E9" s="362" t="s">
        <v>63</v>
      </c>
      <c r="F9" s="363" t="s">
        <v>62</v>
      </c>
      <c r="G9" s="362" t="s">
        <v>63</v>
      </c>
      <c r="H9" s="363" t="s">
        <v>62</v>
      </c>
      <c r="I9" s="362" t="s">
        <v>63</v>
      </c>
      <c r="J9" s="363" t="s">
        <v>62</v>
      </c>
      <c r="K9" s="363" t="s">
        <v>63</v>
      </c>
      <c r="L9" s="363" t="s">
        <v>62</v>
      </c>
      <c r="M9" s="362" t="s">
        <v>63</v>
      </c>
      <c r="N9" s="363" t="s">
        <v>62</v>
      </c>
      <c r="O9" s="362" t="s">
        <v>63</v>
      </c>
      <c r="P9" s="363" t="s">
        <v>62</v>
      </c>
      <c r="Q9" s="363" t="s">
        <v>63</v>
      </c>
      <c r="R9" s="1235"/>
      <c r="S9" s="364"/>
      <c r="T9" s="364"/>
      <c r="U9" s="364"/>
      <c r="V9" s="364"/>
    </row>
    <row r="10" spans="1:22" s="278" customFormat="1" ht="23.25" customHeight="1" x14ac:dyDescent="0.2">
      <c r="A10" s="943"/>
      <c r="B10" s="1047">
        <v>1</v>
      </c>
      <c r="C10" s="939" t="s">
        <v>1207</v>
      </c>
      <c r="D10" s="907">
        <v>4645</v>
      </c>
      <c r="E10" s="907"/>
      <c r="F10" s="908">
        <v>1104</v>
      </c>
      <c r="G10" s="907"/>
      <c r="H10" s="909">
        <f>4168+6900</f>
        <v>11068</v>
      </c>
      <c r="I10" s="907"/>
      <c r="J10" s="908"/>
      <c r="K10" s="910"/>
      <c r="L10" s="908"/>
      <c r="M10" s="911"/>
      <c r="N10" s="907"/>
      <c r="O10" s="907"/>
      <c r="P10" s="908"/>
      <c r="Q10" s="907"/>
      <c r="R10" s="912">
        <f>SUM(D10:Q10)</f>
        <v>16817</v>
      </c>
      <c r="S10" s="784"/>
      <c r="T10" s="785"/>
      <c r="U10" s="364"/>
      <c r="V10" s="364"/>
    </row>
    <row r="11" spans="1:22" s="278" customFormat="1" ht="23.25" customHeight="1" x14ac:dyDescent="0.2">
      <c r="A11" s="943"/>
      <c r="B11" s="1047">
        <f>B10+1</f>
        <v>2</v>
      </c>
      <c r="C11" s="939" t="s">
        <v>1205</v>
      </c>
      <c r="D11" s="907"/>
      <c r="E11" s="907"/>
      <c r="F11" s="908"/>
      <c r="G11" s="907"/>
      <c r="H11" s="909">
        <v>3810</v>
      </c>
      <c r="I11" s="907"/>
      <c r="J11" s="908"/>
      <c r="K11" s="910"/>
      <c r="L11" s="908"/>
      <c r="M11" s="913"/>
      <c r="N11" s="907"/>
      <c r="O11" s="907"/>
      <c r="P11" s="908"/>
      <c r="Q11" s="907"/>
      <c r="R11" s="912">
        <f>SUM(D11:Q11)</f>
        <v>3810</v>
      </c>
      <c r="S11" s="784"/>
      <c r="T11" s="785"/>
      <c r="U11" s="364"/>
      <c r="V11" s="364"/>
    </row>
    <row r="12" spans="1:22" s="278" customFormat="1" ht="23.25" customHeight="1" x14ac:dyDescent="0.2">
      <c r="A12" s="943"/>
      <c r="B12" s="1047">
        <f t="shared" ref="B12:B47" si="0">B11+1</f>
        <v>3</v>
      </c>
      <c r="C12" s="939" t="s">
        <v>1206</v>
      </c>
      <c r="D12" s="907"/>
      <c r="E12" s="907"/>
      <c r="F12" s="908"/>
      <c r="G12" s="907"/>
      <c r="H12" s="908"/>
      <c r="I12" s="914">
        <v>0</v>
      </c>
      <c r="J12" s="908"/>
      <c r="K12" s="910"/>
      <c r="L12" s="908"/>
      <c r="M12" s="913"/>
      <c r="N12" s="907"/>
      <c r="O12" s="907"/>
      <c r="P12" s="908"/>
      <c r="Q12" s="907"/>
      <c r="R12" s="912">
        <f>SUM(D12:Q12)</f>
        <v>0</v>
      </c>
      <c r="S12" s="784"/>
      <c r="T12" s="786"/>
      <c r="U12" s="364"/>
      <c r="V12" s="364"/>
    </row>
    <row r="13" spans="1:22" s="278" customFormat="1" ht="23.25" customHeight="1" x14ac:dyDescent="0.2">
      <c r="A13" s="943"/>
      <c r="B13" s="1047">
        <f t="shared" si="0"/>
        <v>4</v>
      </c>
      <c r="C13" s="939" t="s">
        <v>1208</v>
      </c>
      <c r="D13" s="907"/>
      <c r="E13" s="907"/>
      <c r="F13" s="908"/>
      <c r="G13" s="907"/>
      <c r="H13" s="908"/>
      <c r="I13" s="914">
        <v>4137</v>
      </c>
      <c r="J13" s="908"/>
      <c r="K13" s="910"/>
      <c r="L13" s="908"/>
      <c r="M13" s="913"/>
      <c r="N13" s="907"/>
      <c r="O13" s="907"/>
      <c r="P13" s="908"/>
      <c r="Q13" s="907"/>
      <c r="R13" s="912">
        <f>SUM(D13:Q13)</f>
        <v>4137</v>
      </c>
      <c r="S13" s="784"/>
      <c r="T13" s="786"/>
      <c r="U13" s="364"/>
      <c r="V13" s="364"/>
    </row>
    <row r="14" spans="1:22" s="358" customFormat="1" ht="22.5" customHeight="1" x14ac:dyDescent="0.2">
      <c r="A14" s="944"/>
      <c r="B14" s="1047">
        <f t="shared" si="0"/>
        <v>5</v>
      </c>
      <c r="C14" s="906" t="s">
        <v>1100</v>
      </c>
      <c r="D14" s="915"/>
      <c r="E14" s="916"/>
      <c r="F14" s="917"/>
      <c r="G14" s="916"/>
      <c r="H14" s="918">
        <v>0</v>
      </c>
      <c r="I14" s="292"/>
      <c r="J14" s="918"/>
      <c r="K14" s="919"/>
      <c r="L14" s="917"/>
      <c r="M14" s="920"/>
      <c r="N14" s="916"/>
      <c r="O14" s="916"/>
      <c r="P14" s="917"/>
      <c r="Q14" s="916"/>
      <c r="R14" s="912">
        <f t="shared" ref="R14:R76" si="1">SUM(D14:Q14)</f>
        <v>0</v>
      </c>
      <c r="S14" s="359"/>
      <c r="T14" s="359"/>
      <c r="U14" s="359"/>
      <c r="V14" s="359"/>
    </row>
    <row r="15" spans="1:22" s="358" customFormat="1" ht="22.5" customHeight="1" x14ac:dyDescent="0.2">
      <c r="A15" s="944"/>
      <c r="B15" s="1047">
        <f t="shared" si="0"/>
        <v>6</v>
      </c>
      <c r="C15" s="1046" t="s">
        <v>1225</v>
      </c>
      <c r="D15" s="915"/>
      <c r="E15" s="916"/>
      <c r="F15" s="917"/>
      <c r="G15" s="916"/>
      <c r="H15" s="918"/>
      <c r="I15" s="895">
        <v>4564</v>
      </c>
      <c r="J15" s="918"/>
      <c r="K15" s="919"/>
      <c r="L15" s="917"/>
      <c r="M15" s="920"/>
      <c r="N15" s="916"/>
      <c r="O15" s="916"/>
      <c r="P15" s="917"/>
      <c r="Q15" s="916"/>
      <c r="R15" s="912">
        <f t="shared" si="1"/>
        <v>4564</v>
      </c>
      <c r="S15" s="117"/>
      <c r="T15" s="359"/>
      <c r="U15" s="359"/>
      <c r="V15" s="359"/>
    </row>
    <row r="16" spans="1:22" s="358" customFormat="1" ht="22.5" customHeight="1" x14ac:dyDescent="0.2">
      <c r="A16" s="944"/>
      <c r="B16" s="1047">
        <f t="shared" si="0"/>
        <v>7</v>
      </c>
      <c r="C16" s="906" t="s">
        <v>1204</v>
      </c>
      <c r="D16" s="915"/>
      <c r="E16" s="916"/>
      <c r="F16" s="917"/>
      <c r="G16" s="916"/>
      <c r="H16" s="918">
        <v>1969</v>
      </c>
      <c r="I16" s="292"/>
      <c r="J16" s="918"/>
      <c r="K16" s="919"/>
      <c r="L16" s="917"/>
      <c r="M16" s="920"/>
      <c r="N16" s="916"/>
      <c r="O16" s="916"/>
      <c r="P16" s="917"/>
      <c r="Q16" s="916"/>
      <c r="R16" s="912">
        <f t="shared" si="1"/>
        <v>1969</v>
      </c>
      <c r="S16" s="784"/>
      <c r="T16" s="785"/>
      <c r="U16" s="359"/>
      <c r="V16" s="359"/>
    </row>
    <row r="17" spans="1:22" s="358" customFormat="1" ht="26.25" customHeight="1" x14ac:dyDescent="0.2">
      <c r="A17" s="944"/>
      <c r="B17" s="1047">
        <f t="shared" si="0"/>
        <v>8</v>
      </c>
      <c r="C17" s="906" t="s">
        <v>1232</v>
      </c>
      <c r="D17" s="915"/>
      <c r="E17" s="916"/>
      <c r="F17" s="917"/>
      <c r="G17" s="916"/>
      <c r="H17" s="918"/>
      <c r="I17" s="895"/>
      <c r="J17" s="918"/>
      <c r="K17" s="919"/>
      <c r="L17" s="917"/>
      <c r="M17" s="920"/>
      <c r="N17" s="916"/>
      <c r="O17" s="916"/>
      <c r="P17" s="917"/>
      <c r="Q17" s="921">
        <f>'ellátottak önk.'!F13</f>
        <v>850</v>
      </c>
      <c r="R17" s="912">
        <f t="shared" si="1"/>
        <v>850</v>
      </c>
      <c r="S17" s="359"/>
      <c r="T17" s="359"/>
      <c r="U17" s="359"/>
      <c r="V17" s="359"/>
    </row>
    <row r="18" spans="1:22" s="358" customFormat="1" ht="26.25" customHeight="1" x14ac:dyDescent="0.2">
      <c r="A18" s="944"/>
      <c r="B18" s="1047">
        <f t="shared" si="0"/>
        <v>9</v>
      </c>
      <c r="C18" s="906" t="s">
        <v>1101</v>
      </c>
      <c r="D18" s="915"/>
      <c r="E18" s="916"/>
      <c r="F18" s="917"/>
      <c r="G18" s="916"/>
      <c r="H18" s="918"/>
      <c r="I18" s="895"/>
      <c r="J18" s="918"/>
      <c r="K18" s="919"/>
      <c r="L18" s="917"/>
      <c r="M18" s="920"/>
      <c r="N18" s="916"/>
      <c r="O18" s="916"/>
      <c r="P18" s="917"/>
      <c r="Q18" s="921">
        <f>'ellátottak önk.'!F14</f>
        <v>0</v>
      </c>
      <c r="R18" s="912">
        <f t="shared" ref="R18:R29" si="2">SUM(D18:Q18)</f>
        <v>0</v>
      </c>
      <c r="S18" s="359"/>
      <c r="T18" s="359"/>
      <c r="U18" s="359"/>
      <c r="V18" s="359"/>
    </row>
    <row r="19" spans="1:22" s="358" customFormat="1" ht="19.5" customHeight="1" x14ac:dyDescent="0.2">
      <c r="A19" s="944"/>
      <c r="B19" s="1047">
        <f t="shared" si="0"/>
        <v>10</v>
      </c>
      <c r="C19" s="906" t="s">
        <v>1177</v>
      </c>
      <c r="D19" s="915"/>
      <c r="E19" s="916"/>
      <c r="F19" s="917"/>
      <c r="G19" s="916"/>
      <c r="H19" s="918"/>
      <c r="I19" s="895"/>
      <c r="J19" s="918"/>
      <c r="K19" s="919"/>
      <c r="L19" s="917"/>
      <c r="M19" s="920"/>
      <c r="N19" s="916"/>
      <c r="O19" s="916"/>
      <c r="P19" s="917"/>
      <c r="Q19" s="921">
        <v>600</v>
      </c>
      <c r="R19" s="912">
        <f t="shared" si="2"/>
        <v>600</v>
      </c>
      <c r="S19" s="359"/>
      <c r="T19" s="359"/>
      <c r="U19" s="359"/>
      <c r="V19" s="359"/>
    </row>
    <row r="20" spans="1:22" s="358" customFormat="1" ht="19.5" customHeight="1" x14ac:dyDescent="0.2">
      <c r="A20" s="944"/>
      <c r="B20" s="1047">
        <f t="shared" si="0"/>
        <v>11</v>
      </c>
      <c r="C20" s="906" t="s">
        <v>1178</v>
      </c>
      <c r="D20" s="915"/>
      <c r="E20" s="916"/>
      <c r="F20" s="917"/>
      <c r="G20" s="916"/>
      <c r="H20" s="918"/>
      <c r="I20" s="895"/>
      <c r="J20" s="918"/>
      <c r="K20" s="919"/>
      <c r="L20" s="917"/>
      <c r="M20" s="920"/>
      <c r="N20" s="916"/>
      <c r="O20" s="916"/>
      <c r="P20" s="917"/>
      <c r="Q20" s="921">
        <v>800</v>
      </c>
      <c r="R20" s="912">
        <f t="shared" si="2"/>
        <v>800</v>
      </c>
      <c r="S20" s="359"/>
      <c r="T20" s="359"/>
      <c r="U20" s="359"/>
      <c r="V20" s="359"/>
    </row>
    <row r="21" spans="1:22" s="358" customFormat="1" ht="19.5" customHeight="1" x14ac:dyDescent="0.2">
      <c r="A21" s="944"/>
      <c r="B21" s="1047">
        <f t="shared" si="0"/>
        <v>12</v>
      </c>
      <c r="C21" s="906" t="s">
        <v>1179</v>
      </c>
      <c r="D21" s="915"/>
      <c r="E21" s="916"/>
      <c r="F21" s="917"/>
      <c r="G21" s="916"/>
      <c r="H21" s="918"/>
      <c r="I21" s="895"/>
      <c r="J21" s="918"/>
      <c r="K21" s="919"/>
      <c r="L21" s="917"/>
      <c r="M21" s="920"/>
      <c r="N21" s="916"/>
      <c r="O21" s="916"/>
      <c r="P21" s="917"/>
      <c r="Q21" s="921">
        <v>1000</v>
      </c>
      <c r="R21" s="912">
        <f t="shared" si="2"/>
        <v>1000</v>
      </c>
      <c r="S21" s="359"/>
      <c r="T21" s="359"/>
      <c r="U21" s="359"/>
      <c r="V21" s="359"/>
    </row>
    <row r="22" spans="1:22" s="358" customFormat="1" ht="18.75" customHeight="1" x14ac:dyDescent="0.2">
      <c r="A22" s="944"/>
      <c r="B22" s="1047">
        <f t="shared" si="0"/>
        <v>13</v>
      </c>
      <c r="C22" s="906" t="s">
        <v>1235</v>
      </c>
      <c r="D22" s="915"/>
      <c r="E22" s="916"/>
      <c r="F22" s="917"/>
      <c r="G22" s="916"/>
      <c r="H22" s="918"/>
      <c r="I22" s="895"/>
      <c r="J22" s="918"/>
      <c r="K22" s="919"/>
      <c r="L22" s="917"/>
      <c r="M22" s="920"/>
      <c r="N22" s="916"/>
      <c r="O22" s="916"/>
      <c r="P22" s="917"/>
      <c r="Q22" s="921">
        <v>600</v>
      </c>
      <c r="R22" s="912">
        <f t="shared" si="2"/>
        <v>600</v>
      </c>
      <c r="S22" s="359"/>
      <c r="T22" s="359"/>
      <c r="U22" s="359"/>
      <c r="V22" s="359"/>
    </row>
    <row r="23" spans="1:22" s="358" customFormat="1" ht="19.5" customHeight="1" x14ac:dyDescent="0.2">
      <c r="A23" s="944"/>
      <c r="B23" s="1047">
        <f t="shared" si="0"/>
        <v>14</v>
      </c>
      <c r="C23" s="906" t="s">
        <v>1181</v>
      </c>
      <c r="D23" s="915"/>
      <c r="E23" s="916"/>
      <c r="F23" s="917"/>
      <c r="G23" s="916"/>
      <c r="H23" s="918"/>
      <c r="I23" s="895"/>
      <c r="J23" s="918"/>
      <c r="K23" s="919"/>
      <c r="L23" s="917"/>
      <c r="M23" s="920"/>
      <c r="N23" s="916"/>
      <c r="O23" s="916"/>
      <c r="P23" s="917"/>
      <c r="Q23" s="921">
        <v>2300</v>
      </c>
      <c r="R23" s="912">
        <f t="shared" si="2"/>
        <v>2300</v>
      </c>
      <c r="S23" s="359"/>
      <c r="T23" s="359"/>
      <c r="U23" s="359"/>
      <c r="V23" s="359"/>
    </row>
    <row r="24" spans="1:22" s="358" customFormat="1" ht="26.25" customHeight="1" x14ac:dyDescent="0.2">
      <c r="A24" s="944"/>
      <c r="B24" s="1047">
        <f t="shared" si="0"/>
        <v>15</v>
      </c>
      <c r="C24" s="906" t="s">
        <v>1211</v>
      </c>
      <c r="D24" s="915"/>
      <c r="E24" s="916"/>
      <c r="F24" s="917"/>
      <c r="G24" s="916"/>
      <c r="H24" s="918"/>
      <c r="I24" s="895"/>
      <c r="J24" s="918"/>
      <c r="K24" s="919"/>
      <c r="L24" s="917"/>
      <c r="M24" s="920"/>
      <c r="N24" s="916"/>
      <c r="O24" s="916"/>
      <c r="P24" s="917"/>
      <c r="Q24" s="921">
        <f>'ellátottak önk.'!F22</f>
        <v>1100</v>
      </c>
      <c r="R24" s="912">
        <f t="shared" si="2"/>
        <v>1100</v>
      </c>
      <c r="S24" s="359"/>
      <c r="T24" s="359"/>
      <c r="U24" s="359"/>
      <c r="V24" s="359"/>
    </row>
    <row r="25" spans="1:22" s="358" customFormat="1" ht="26.25" customHeight="1" x14ac:dyDescent="0.2">
      <c r="A25" s="944"/>
      <c r="B25" s="1047">
        <f t="shared" si="0"/>
        <v>16</v>
      </c>
      <c r="C25" s="906" t="s">
        <v>1212</v>
      </c>
      <c r="D25" s="915"/>
      <c r="E25" s="916"/>
      <c r="F25" s="917"/>
      <c r="G25" s="916"/>
      <c r="H25" s="918"/>
      <c r="I25" s="895"/>
      <c r="J25" s="918"/>
      <c r="K25" s="919"/>
      <c r="L25" s="917"/>
      <c r="M25" s="920"/>
      <c r="N25" s="916"/>
      <c r="O25" s="916"/>
      <c r="P25" s="917"/>
      <c r="Q25" s="921">
        <f>'ellátottak önk.'!F21</f>
        <v>1800</v>
      </c>
      <c r="R25" s="912">
        <f t="shared" si="2"/>
        <v>1800</v>
      </c>
      <c r="S25" s="359"/>
      <c r="T25" s="359"/>
      <c r="U25" s="359"/>
      <c r="V25" s="359"/>
    </row>
    <row r="26" spans="1:22" s="358" customFormat="1" ht="26.25" customHeight="1" x14ac:dyDescent="0.2">
      <c r="A26" s="944"/>
      <c r="B26" s="1047">
        <f t="shared" si="0"/>
        <v>17</v>
      </c>
      <c r="C26" s="906" t="s">
        <v>1233</v>
      </c>
      <c r="D26" s="915"/>
      <c r="E26" s="916"/>
      <c r="F26" s="917"/>
      <c r="G26" s="916"/>
      <c r="H26" s="918"/>
      <c r="I26" s="895"/>
      <c r="J26" s="918"/>
      <c r="K26" s="919"/>
      <c r="L26" s="917"/>
      <c r="M26" s="920"/>
      <c r="N26" s="916"/>
      <c r="O26" s="916"/>
      <c r="P26" s="917"/>
      <c r="Q26" s="921">
        <f>'ellátottak önk.'!F20</f>
        <v>500</v>
      </c>
      <c r="R26" s="912">
        <f t="shared" si="2"/>
        <v>500</v>
      </c>
      <c r="S26" s="359"/>
      <c r="T26" s="359"/>
      <c r="U26" s="359"/>
      <c r="V26" s="359"/>
    </row>
    <row r="27" spans="1:22" s="358" customFormat="1" ht="26.25" customHeight="1" x14ac:dyDescent="0.2">
      <c r="A27" s="944"/>
      <c r="B27" s="1047">
        <f t="shared" si="0"/>
        <v>18</v>
      </c>
      <c r="C27" s="906" t="s">
        <v>1236</v>
      </c>
      <c r="D27" s="915"/>
      <c r="E27" s="916"/>
      <c r="F27" s="917"/>
      <c r="G27" s="916"/>
      <c r="H27" s="918"/>
      <c r="I27" s="895"/>
      <c r="J27" s="918"/>
      <c r="K27" s="919"/>
      <c r="L27" s="917"/>
      <c r="M27" s="920"/>
      <c r="N27" s="916"/>
      <c r="O27" s="916"/>
      <c r="P27" s="917"/>
      <c r="Q27" s="921">
        <f>'ellátottak önk.'!F30</f>
        <v>4200</v>
      </c>
      <c r="R27" s="912">
        <f t="shared" si="2"/>
        <v>4200</v>
      </c>
      <c r="S27" s="359"/>
      <c r="T27" s="359"/>
      <c r="U27" s="359"/>
      <c r="V27" s="359"/>
    </row>
    <row r="28" spans="1:22" s="358" customFormat="1" ht="26.25" customHeight="1" x14ac:dyDescent="0.2">
      <c r="A28" s="944"/>
      <c r="B28" s="1047">
        <f t="shared" si="0"/>
        <v>19</v>
      </c>
      <c r="C28" s="906" t="s">
        <v>605</v>
      </c>
      <c r="D28" s="915"/>
      <c r="E28" s="916"/>
      <c r="F28" s="917"/>
      <c r="G28" s="916"/>
      <c r="H28" s="918"/>
      <c r="I28" s="895">
        <v>400</v>
      </c>
      <c r="J28" s="918"/>
      <c r="K28" s="919"/>
      <c r="L28" s="917"/>
      <c r="M28" s="920"/>
      <c r="N28" s="916"/>
      <c r="O28" s="916"/>
      <c r="P28" s="917">
        <f>'ellátottak önk.'!E26</f>
        <v>0</v>
      </c>
      <c r="Q28" s="921">
        <f>'ellátottak önk.'!F26</f>
        <v>0</v>
      </c>
      <c r="R28" s="912">
        <f t="shared" si="2"/>
        <v>400</v>
      </c>
      <c r="S28" s="783"/>
      <c r="T28" s="359"/>
      <c r="U28" s="359"/>
      <c r="V28" s="359"/>
    </row>
    <row r="29" spans="1:22" s="358" customFormat="1" ht="26.25" customHeight="1" x14ac:dyDescent="0.2">
      <c r="A29" s="944"/>
      <c r="B29" s="1047">
        <f t="shared" si="0"/>
        <v>20</v>
      </c>
      <c r="C29" s="906" t="s">
        <v>1234</v>
      </c>
      <c r="D29" s="915"/>
      <c r="E29" s="916"/>
      <c r="F29" s="917"/>
      <c r="G29" s="916"/>
      <c r="H29" s="918">
        <v>500</v>
      </c>
      <c r="I29" s="895">
        <v>933</v>
      </c>
      <c r="J29" s="918"/>
      <c r="K29" s="919"/>
      <c r="L29" s="917"/>
      <c r="M29" s="920"/>
      <c r="N29" s="916"/>
      <c r="O29" s="916"/>
      <c r="P29" s="922">
        <f>'ellátottak önk.'!E27</f>
        <v>0</v>
      </c>
      <c r="Q29" s="921">
        <v>0</v>
      </c>
      <c r="R29" s="912">
        <f t="shared" si="2"/>
        <v>1433</v>
      </c>
      <c r="S29" s="783"/>
      <c r="T29" s="359"/>
      <c r="U29" s="359"/>
      <c r="V29" s="359"/>
    </row>
    <row r="30" spans="1:22" s="358" customFormat="1" ht="15" customHeight="1" x14ac:dyDescent="0.2">
      <c r="A30" s="944"/>
      <c r="B30" s="1047">
        <f t="shared" si="0"/>
        <v>21</v>
      </c>
      <c r="C30" s="81" t="s">
        <v>1214</v>
      </c>
      <c r="D30" s="523"/>
      <c r="E30" s="292"/>
      <c r="F30" s="521"/>
      <c r="G30" s="292"/>
      <c r="H30" s="521"/>
      <c r="I30" s="292">
        <v>20</v>
      </c>
      <c r="J30" s="521"/>
      <c r="K30" s="923"/>
      <c r="L30" s="521"/>
      <c r="M30" s="491"/>
      <c r="N30" s="292"/>
      <c r="O30" s="292"/>
      <c r="P30" s="521"/>
      <c r="Q30" s="292"/>
      <c r="R30" s="924">
        <f t="shared" si="1"/>
        <v>20</v>
      </c>
      <c r="S30" s="117"/>
      <c r="T30" s="359"/>
      <c r="U30" s="359"/>
      <c r="V30" s="359"/>
    </row>
    <row r="31" spans="1:22" s="358" customFormat="1" ht="15" customHeight="1" x14ac:dyDescent="0.2">
      <c r="A31" s="944"/>
      <c r="B31" s="1047">
        <f t="shared" si="0"/>
        <v>22</v>
      </c>
      <c r="C31" s="81" t="s">
        <v>1213</v>
      </c>
      <c r="D31" s="523"/>
      <c r="E31" s="292"/>
      <c r="F31" s="521"/>
      <c r="G31" s="292"/>
      <c r="H31" s="521"/>
      <c r="I31" s="292">
        <v>120</v>
      </c>
      <c r="J31" s="521"/>
      <c r="K31" s="923"/>
      <c r="L31" s="521"/>
      <c r="M31" s="491"/>
      <c r="N31" s="292"/>
      <c r="O31" s="292"/>
      <c r="P31" s="521"/>
      <c r="Q31" s="292"/>
      <c r="R31" s="924">
        <f t="shared" si="1"/>
        <v>120</v>
      </c>
      <c r="S31" s="359"/>
      <c r="T31" s="359"/>
      <c r="U31" s="359"/>
      <c r="V31" s="359"/>
    </row>
    <row r="32" spans="1:22" s="358" customFormat="1" ht="15" customHeight="1" x14ac:dyDescent="0.2">
      <c r="A32" s="944"/>
      <c r="B32" s="1047">
        <f t="shared" si="0"/>
        <v>23</v>
      </c>
      <c r="C32" s="81" t="s">
        <v>1102</v>
      </c>
      <c r="D32" s="523"/>
      <c r="E32" s="292"/>
      <c r="F32" s="521"/>
      <c r="G32" s="292"/>
      <c r="H32" s="521"/>
      <c r="I32" s="292"/>
      <c r="J32" s="521"/>
      <c r="K32" s="923"/>
      <c r="L32" s="521"/>
      <c r="M32" s="491"/>
      <c r="N32" s="292"/>
      <c r="O32" s="292"/>
      <c r="P32" s="521"/>
      <c r="Q32" s="292"/>
      <c r="R32" s="924">
        <f>SUM(D32:Q32)</f>
        <v>0</v>
      </c>
      <c r="S32" s="359"/>
      <c r="T32" s="359"/>
      <c r="U32" s="359"/>
      <c r="V32" s="359"/>
    </row>
    <row r="33" spans="1:22" s="358" customFormat="1" ht="15" customHeight="1" x14ac:dyDescent="0.2">
      <c r="A33" s="944"/>
      <c r="B33" s="1047">
        <f t="shared" si="0"/>
        <v>24</v>
      </c>
      <c r="C33" s="81" t="s">
        <v>1237</v>
      </c>
      <c r="D33" s="523"/>
      <c r="E33" s="292"/>
      <c r="F33" s="521"/>
      <c r="G33" s="292"/>
      <c r="H33" s="521">
        <v>6431</v>
      </c>
      <c r="I33" s="292">
        <v>7330</v>
      </c>
      <c r="J33" s="521"/>
      <c r="K33" s="923"/>
      <c r="L33" s="521"/>
      <c r="M33" s="491"/>
      <c r="N33" s="292"/>
      <c r="O33" s="292"/>
      <c r="P33" s="521"/>
      <c r="Q33" s="292"/>
      <c r="R33" s="924">
        <f>SUM(D33:Q33)</f>
        <v>13761</v>
      </c>
      <c r="S33" s="359"/>
      <c r="T33" s="359"/>
      <c r="U33" s="359"/>
      <c r="V33" s="359"/>
    </row>
    <row r="34" spans="1:22" s="358" customFormat="1" ht="15" customHeight="1" x14ac:dyDescent="0.2">
      <c r="A34" s="944"/>
      <c r="B34" s="1047">
        <f t="shared" si="0"/>
        <v>25</v>
      </c>
      <c r="C34" s="81" t="s">
        <v>1103</v>
      </c>
      <c r="D34" s="523"/>
      <c r="E34" s="292"/>
      <c r="F34" s="521"/>
      <c r="G34" s="292"/>
      <c r="H34" s="521">
        <v>0</v>
      </c>
      <c r="I34" s="292"/>
      <c r="J34" s="521"/>
      <c r="K34" s="923"/>
      <c r="L34" s="521"/>
      <c r="M34" s="491"/>
      <c r="N34" s="292"/>
      <c r="O34" s="292"/>
      <c r="P34" s="521"/>
      <c r="Q34" s="292"/>
      <c r="R34" s="924">
        <f>SUM(D34:Q34)</f>
        <v>0</v>
      </c>
      <c r="S34" s="359"/>
      <c r="T34" s="359"/>
      <c r="U34" s="359"/>
      <c r="V34" s="359"/>
    </row>
    <row r="35" spans="1:22" s="358" customFormat="1" ht="15" customHeight="1" x14ac:dyDescent="0.2">
      <c r="A35" s="944"/>
      <c r="B35" s="1047">
        <f t="shared" si="0"/>
        <v>26</v>
      </c>
      <c r="C35" s="81" t="s">
        <v>1104</v>
      </c>
      <c r="D35" s="523"/>
      <c r="E35" s="292"/>
      <c r="F35" s="521"/>
      <c r="G35" s="292"/>
      <c r="H35" s="521">
        <v>0</v>
      </c>
      <c r="I35" s="292">
        <v>0</v>
      </c>
      <c r="J35" s="521"/>
      <c r="K35" s="923"/>
      <c r="L35" s="521"/>
      <c r="M35" s="491"/>
      <c r="N35" s="292"/>
      <c r="O35" s="292"/>
      <c r="P35" s="521"/>
      <c r="Q35" s="292"/>
      <c r="R35" s="924">
        <f t="shared" si="1"/>
        <v>0</v>
      </c>
      <c r="S35" s="359"/>
      <c r="T35" s="359"/>
      <c r="U35" s="366"/>
      <c r="V35" s="359"/>
    </row>
    <row r="36" spans="1:22" s="358" customFormat="1" ht="15" customHeight="1" x14ac:dyDescent="0.2">
      <c r="A36" s="944"/>
      <c r="B36" s="1047">
        <f t="shared" si="0"/>
        <v>27</v>
      </c>
      <c r="C36" s="81" t="s">
        <v>1243</v>
      </c>
      <c r="D36" s="523"/>
      <c r="E36" s="292"/>
      <c r="F36" s="521"/>
      <c r="G36" s="292"/>
      <c r="H36" s="521"/>
      <c r="I36" s="292">
        <v>1390</v>
      </c>
      <c r="J36" s="521"/>
      <c r="K36" s="923"/>
      <c r="L36" s="521"/>
      <c r="M36" s="491"/>
      <c r="N36" s="292"/>
      <c r="O36" s="292"/>
      <c r="P36" s="521"/>
      <c r="Q36" s="292"/>
      <c r="R36" s="924">
        <f t="shared" si="1"/>
        <v>1390</v>
      </c>
      <c r="S36" s="359"/>
      <c r="T36" s="359"/>
      <c r="U36" s="366"/>
      <c r="V36" s="359"/>
    </row>
    <row r="37" spans="1:22" s="358" customFormat="1" ht="15" customHeight="1" x14ac:dyDescent="0.2">
      <c r="A37" s="944"/>
      <c r="B37" s="1047">
        <f t="shared" si="0"/>
        <v>28</v>
      </c>
      <c r="C37" s="81" t="s">
        <v>1215</v>
      </c>
      <c r="D37" s="523"/>
      <c r="E37" s="292"/>
      <c r="F37" s="521"/>
      <c r="G37" s="292"/>
      <c r="H37" s="521">
        <v>288</v>
      </c>
      <c r="I37" s="292">
        <v>13763</v>
      </c>
      <c r="J37" s="521"/>
      <c r="K37" s="923"/>
      <c r="L37" s="521"/>
      <c r="M37" s="491"/>
      <c r="N37" s="292"/>
      <c r="O37" s="292"/>
      <c r="P37" s="521"/>
      <c r="Q37" s="292"/>
      <c r="R37" s="924">
        <f t="shared" si="1"/>
        <v>14051</v>
      </c>
      <c r="S37" s="359"/>
      <c r="T37" s="359"/>
      <c r="U37" s="359"/>
      <c r="V37" s="359"/>
    </row>
    <row r="38" spans="1:22" s="358" customFormat="1" ht="15" customHeight="1" x14ac:dyDescent="0.2">
      <c r="A38" s="944"/>
      <c r="B38" s="1047">
        <f t="shared" si="0"/>
        <v>29</v>
      </c>
      <c r="C38" s="81" t="s">
        <v>1105</v>
      </c>
      <c r="D38" s="523"/>
      <c r="E38" s="292"/>
      <c r="F38" s="521"/>
      <c r="G38" s="292"/>
      <c r="H38" s="521"/>
      <c r="I38" s="292">
        <v>0</v>
      </c>
      <c r="J38" s="521"/>
      <c r="K38" s="923"/>
      <c r="L38" s="521"/>
      <c r="M38" s="491"/>
      <c r="N38" s="292"/>
      <c r="O38" s="292"/>
      <c r="P38" s="521"/>
      <c r="Q38" s="292"/>
      <c r="R38" s="924">
        <f t="shared" si="1"/>
        <v>0</v>
      </c>
      <c r="S38" s="583"/>
      <c r="T38" s="359"/>
      <c r="U38" s="359"/>
      <c r="V38" s="359"/>
    </row>
    <row r="39" spans="1:22" s="358" customFormat="1" ht="15" customHeight="1" x14ac:dyDescent="0.2">
      <c r="A39" s="944"/>
      <c r="B39" s="1047">
        <f t="shared" si="0"/>
        <v>30</v>
      </c>
      <c r="C39" s="81" t="s">
        <v>1106</v>
      </c>
      <c r="D39" s="523"/>
      <c r="E39" s="292"/>
      <c r="F39" s="521"/>
      <c r="G39" s="292"/>
      <c r="H39" s="521">
        <v>0</v>
      </c>
      <c r="I39" s="292"/>
      <c r="J39" s="521"/>
      <c r="K39" s="923"/>
      <c r="L39" s="521"/>
      <c r="M39" s="491"/>
      <c r="N39" s="292"/>
      <c r="O39" s="292"/>
      <c r="P39" s="521"/>
      <c r="Q39" s="292"/>
      <c r="R39" s="924">
        <f>SUM(D39:Q39)</f>
        <v>0</v>
      </c>
      <c r="S39" s="359"/>
      <c r="T39" s="359"/>
      <c r="U39" s="359"/>
      <c r="V39" s="359"/>
    </row>
    <row r="40" spans="1:22" s="358" customFormat="1" ht="15" customHeight="1" x14ac:dyDescent="0.2">
      <c r="A40" s="944"/>
      <c r="B40" s="1047">
        <f t="shared" si="0"/>
        <v>31</v>
      </c>
      <c r="C40" s="81" t="s">
        <v>1107</v>
      </c>
      <c r="D40" s="523"/>
      <c r="E40" s="292">
        <v>0</v>
      </c>
      <c r="F40" s="521"/>
      <c r="G40" s="292">
        <v>0</v>
      </c>
      <c r="H40" s="521"/>
      <c r="I40" s="292"/>
      <c r="J40" s="521"/>
      <c r="K40" s="923"/>
      <c r="L40" s="521"/>
      <c r="M40" s="491"/>
      <c r="N40" s="292"/>
      <c r="O40" s="292"/>
      <c r="P40" s="521"/>
      <c r="Q40" s="292"/>
      <c r="R40" s="924">
        <f t="shared" si="1"/>
        <v>0</v>
      </c>
      <c r="S40" s="359"/>
      <c r="T40" s="359"/>
      <c r="U40" s="359"/>
      <c r="V40" s="359"/>
    </row>
    <row r="41" spans="1:22" s="358" customFormat="1" ht="15" customHeight="1" x14ac:dyDescent="0.2">
      <c r="A41" s="944"/>
      <c r="B41" s="1047">
        <f t="shared" si="0"/>
        <v>32</v>
      </c>
      <c r="C41" s="81" t="s">
        <v>1216</v>
      </c>
      <c r="D41" s="523">
        <v>38037</v>
      </c>
      <c r="E41" s="292"/>
      <c r="F41" s="521">
        <v>11893</v>
      </c>
      <c r="G41" s="292"/>
      <c r="H41" s="521">
        <v>1220</v>
      </c>
      <c r="I41" s="292"/>
      <c r="J41" s="521"/>
      <c r="K41" s="923"/>
      <c r="L41" s="521"/>
      <c r="M41" s="491"/>
      <c r="N41" s="292"/>
      <c r="O41" s="292"/>
      <c r="P41" s="521"/>
      <c r="Q41" s="292"/>
      <c r="R41" s="924">
        <f>SUM(D41:Q41)</f>
        <v>51150</v>
      </c>
      <c r="S41" s="117"/>
      <c r="T41" s="359"/>
      <c r="U41" s="359"/>
      <c r="V41" s="359"/>
    </row>
    <row r="42" spans="1:22" s="358" customFormat="1" ht="15" customHeight="1" x14ac:dyDescent="0.2">
      <c r="A42" s="944"/>
      <c r="B42" s="1047">
        <f t="shared" si="0"/>
        <v>33</v>
      </c>
      <c r="C42" s="81" t="s">
        <v>1108</v>
      </c>
      <c r="D42" s="523"/>
      <c r="E42" s="292">
        <v>0</v>
      </c>
      <c r="F42" s="521"/>
      <c r="G42" s="292">
        <v>0</v>
      </c>
      <c r="H42" s="521"/>
      <c r="I42" s="292"/>
      <c r="J42" s="521"/>
      <c r="K42" s="923"/>
      <c r="L42" s="521"/>
      <c r="M42" s="491"/>
      <c r="N42" s="292"/>
      <c r="O42" s="292"/>
      <c r="P42" s="521"/>
      <c r="Q42" s="292"/>
      <c r="R42" s="924">
        <f t="shared" si="1"/>
        <v>0</v>
      </c>
      <c r="S42" s="359"/>
      <c r="T42" s="359"/>
      <c r="U42" s="359"/>
      <c r="V42" s="359"/>
    </row>
    <row r="43" spans="1:22" s="358" customFormat="1" ht="15" customHeight="1" x14ac:dyDescent="0.2">
      <c r="A43" s="944"/>
      <c r="B43" s="1047">
        <f t="shared" si="0"/>
        <v>34</v>
      </c>
      <c r="C43" s="81" t="s">
        <v>1223</v>
      </c>
      <c r="D43" s="523">
        <v>26</v>
      </c>
      <c r="E43" s="292"/>
      <c r="F43" s="521">
        <v>22</v>
      </c>
      <c r="G43" s="292"/>
      <c r="H43" s="521">
        <v>3313</v>
      </c>
      <c r="I43" s="292"/>
      <c r="J43" s="521"/>
      <c r="K43" s="923"/>
      <c r="L43" s="521"/>
      <c r="M43" s="491"/>
      <c r="N43" s="292"/>
      <c r="O43" s="292"/>
      <c r="P43" s="521"/>
      <c r="Q43" s="292"/>
      <c r="R43" s="924">
        <f t="shared" si="1"/>
        <v>3361</v>
      </c>
      <c r="S43" s="359"/>
      <c r="T43" s="559"/>
      <c r="U43" s="359"/>
      <c r="V43" s="359"/>
    </row>
    <row r="44" spans="1:22" s="608" customFormat="1" ht="15" customHeight="1" x14ac:dyDescent="0.2">
      <c r="A44" s="945"/>
      <c r="B44" s="1047">
        <f t="shared" si="0"/>
        <v>35</v>
      </c>
      <c r="C44" s="925" t="s">
        <v>1220</v>
      </c>
      <c r="D44" s="926"/>
      <c r="E44" s="524">
        <v>2200</v>
      </c>
      <c r="F44" s="522"/>
      <c r="G44" s="524">
        <v>600</v>
      </c>
      <c r="H44" s="522"/>
      <c r="I44" s="524">
        <v>9272</v>
      </c>
      <c r="J44" s="522"/>
      <c r="K44" s="927"/>
      <c r="L44" s="522"/>
      <c r="M44" s="928"/>
      <c r="N44" s="524"/>
      <c r="O44" s="524"/>
      <c r="P44" s="522"/>
      <c r="Q44" s="524"/>
      <c r="R44" s="929">
        <f t="shared" si="1"/>
        <v>12072</v>
      </c>
      <c r="S44" s="606"/>
      <c r="T44" s="607"/>
      <c r="U44" s="607"/>
      <c r="V44" s="607"/>
    </row>
    <row r="45" spans="1:22" s="358" customFormat="1" ht="15" customHeight="1" x14ac:dyDescent="0.2">
      <c r="A45" s="944"/>
      <c r="B45" s="1047">
        <f t="shared" si="0"/>
        <v>36</v>
      </c>
      <c r="C45" s="81" t="s">
        <v>1109</v>
      </c>
      <c r="D45" s="523"/>
      <c r="E45" s="491"/>
      <c r="F45" s="80"/>
      <c r="G45" s="292"/>
      <c r="H45" s="521">
        <v>0</v>
      </c>
      <c r="I45" s="292"/>
      <c r="J45" s="521"/>
      <c r="K45" s="923"/>
      <c r="L45" s="521"/>
      <c r="M45" s="491"/>
      <c r="N45" s="292"/>
      <c r="O45" s="292"/>
      <c r="P45" s="521"/>
      <c r="Q45" s="292"/>
      <c r="R45" s="924">
        <f t="shared" si="1"/>
        <v>0</v>
      </c>
      <c r="S45" s="359"/>
      <c r="T45" s="359"/>
      <c r="U45" s="359"/>
      <c r="V45" s="359"/>
    </row>
    <row r="46" spans="1:22" s="358" customFormat="1" ht="15" customHeight="1" x14ac:dyDescent="0.2">
      <c r="A46" s="944"/>
      <c r="B46" s="1047">
        <f t="shared" si="0"/>
        <v>37</v>
      </c>
      <c r="C46" s="81" t="s">
        <v>1226</v>
      </c>
      <c r="D46" s="523"/>
      <c r="E46" s="491"/>
      <c r="F46" s="292"/>
      <c r="G46" s="292"/>
      <c r="H46" s="521">
        <f>20530-5939</f>
        <v>14591</v>
      </c>
      <c r="I46" s="292"/>
      <c r="J46" s="521"/>
      <c r="K46" s="923"/>
      <c r="L46" s="521"/>
      <c r="M46" s="491"/>
      <c r="N46" s="292"/>
      <c r="O46" s="292"/>
      <c r="P46" s="521"/>
      <c r="Q46" s="292"/>
      <c r="R46" s="924">
        <f t="shared" ref="R46:R53" si="3">SUM(D46:Q46)</f>
        <v>14591</v>
      </c>
      <c r="S46" s="583"/>
      <c r="T46" s="359"/>
      <c r="U46" s="359"/>
      <c r="V46" s="359"/>
    </row>
    <row r="47" spans="1:22" s="358" customFormat="1" ht="15" customHeight="1" x14ac:dyDescent="0.2">
      <c r="A47" s="944"/>
      <c r="B47" s="1047">
        <f t="shared" si="0"/>
        <v>38</v>
      </c>
      <c r="C47" s="81" t="s">
        <v>1110</v>
      </c>
      <c r="D47" s="523"/>
      <c r="E47" s="292"/>
      <c r="F47" s="521"/>
      <c r="G47" s="292"/>
      <c r="H47" s="521"/>
      <c r="I47" s="292">
        <v>0</v>
      </c>
      <c r="J47" s="521"/>
      <c r="K47" s="923"/>
      <c r="L47" s="521"/>
      <c r="M47" s="491"/>
      <c r="N47" s="292"/>
      <c r="O47" s="292"/>
      <c r="P47" s="521"/>
      <c r="Q47" s="292"/>
      <c r="R47" s="924">
        <f t="shared" si="3"/>
        <v>0</v>
      </c>
      <c r="S47" s="583"/>
      <c r="T47" s="359"/>
      <c r="U47" s="359"/>
      <c r="V47" s="359"/>
    </row>
    <row r="48" spans="1:22" s="358" customFormat="1" ht="15" customHeight="1" x14ac:dyDescent="0.2">
      <c r="A48" s="944"/>
      <c r="B48" s="1047">
        <v>39</v>
      </c>
      <c r="C48" s="81" t="s">
        <v>1283</v>
      </c>
      <c r="D48" s="523"/>
      <c r="E48" s="292"/>
      <c r="F48" s="521"/>
      <c r="G48" s="292"/>
      <c r="H48" s="521">
        <v>6477</v>
      </c>
      <c r="I48" s="292"/>
      <c r="J48" s="521"/>
      <c r="K48" s="923"/>
      <c r="L48" s="521"/>
      <c r="M48" s="491"/>
      <c r="N48" s="292"/>
      <c r="O48" s="292"/>
      <c r="P48" s="521"/>
      <c r="Q48" s="292"/>
      <c r="R48" s="924"/>
      <c r="S48" s="583"/>
      <c r="T48" s="359"/>
      <c r="U48" s="359"/>
      <c r="V48" s="359"/>
    </row>
    <row r="49" spans="1:22" s="358" customFormat="1" ht="15" customHeight="1" x14ac:dyDescent="0.2">
      <c r="A49" s="944"/>
      <c r="B49" s="1047">
        <v>40</v>
      </c>
      <c r="C49" s="81" t="s">
        <v>1284</v>
      </c>
      <c r="D49" s="523"/>
      <c r="E49" s="292"/>
      <c r="F49" s="521"/>
      <c r="G49" s="292"/>
      <c r="H49" s="521"/>
      <c r="I49" s="292">
        <v>1225</v>
      </c>
      <c r="J49" s="521"/>
      <c r="K49" s="923"/>
      <c r="L49" s="521"/>
      <c r="M49" s="491"/>
      <c r="N49" s="292"/>
      <c r="O49" s="292"/>
      <c r="P49" s="521"/>
      <c r="Q49" s="292"/>
      <c r="R49" s="924"/>
      <c r="S49" s="583"/>
      <c r="T49" s="359"/>
      <c r="U49" s="359"/>
      <c r="V49" s="359"/>
    </row>
    <row r="50" spans="1:22" s="358" customFormat="1" ht="15" customHeight="1" x14ac:dyDescent="0.2">
      <c r="A50" s="944"/>
      <c r="B50" s="1047">
        <v>41</v>
      </c>
      <c r="C50" s="81" t="s">
        <v>1111</v>
      </c>
      <c r="D50" s="523"/>
      <c r="E50" s="292"/>
      <c r="F50" s="521"/>
      <c r="G50" s="292"/>
      <c r="H50" s="521"/>
      <c r="I50" s="292"/>
      <c r="J50" s="521"/>
      <c r="K50" s="923"/>
      <c r="L50" s="521"/>
      <c r="M50" s="491"/>
      <c r="N50" s="292"/>
      <c r="O50" s="292"/>
      <c r="P50" s="521"/>
      <c r="Q50" s="292"/>
      <c r="R50" s="924">
        <f t="shared" si="3"/>
        <v>0</v>
      </c>
      <c r="S50" s="595"/>
      <c r="T50" s="359"/>
      <c r="U50" s="359"/>
      <c r="V50" s="359"/>
    </row>
    <row r="51" spans="1:22" s="358" customFormat="1" ht="15" customHeight="1" x14ac:dyDescent="0.2">
      <c r="A51" s="944"/>
      <c r="B51" s="1047">
        <v>42</v>
      </c>
      <c r="C51" s="81" t="s">
        <v>1112</v>
      </c>
      <c r="D51" s="523"/>
      <c r="E51" s="292"/>
      <c r="F51" s="521"/>
      <c r="G51" s="292"/>
      <c r="H51" s="521">
        <v>0</v>
      </c>
      <c r="I51" s="292"/>
      <c r="J51" s="521"/>
      <c r="K51" s="923"/>
      <c r="L51" s="521"/>
      <c r="M51" s="491"/>
      <c r="N51" s="292"/>
      <c r="O51" s="292"/>
      <c r="P51" s="521"/>
      <c r="Q51" s="292"/>
      <c r="R51" s="924">
        <f t="shared" si="3"/>
        <v>0</v>
      </c>
      <c r="S51" s="583"/>
      <c r="T51" s="359"/>
      <c r="U51" s="359"/>
      <c r="V51" s="359"/>
    </row>
    <row r="52" spans="1:22" s="358" customFormat="1" ht="15" customHeight="1" x14ac:dyDescent="0.2">
      <c r="A52" s="944"/>
      <c r="B52" s="1047">
        <v>43</v>
      </c>
      <c r="C52" s="81" t="s">
        <v>1222</v>
      </c>
      <c r="D52" s="523"/>
      <c r="E52" s="292"/>
      <c r="F52" s="521"/>
      <c r="G52" s="292"/>
      <c r="H52" s="521">
        <v>6833</v>
      </c>
      <c r="I52" s="292"/>
      <c r="J52" s="521"/>
      <c r="K52" s="923"/>
      <c r="L52" s="521"/>
      <c r="M52" s="491"/>
      <c r="N52" s="292"/>
      <c r="O52" s="292"/>
      <c r="P52" s="521"/>
      <c r="Q52" s="292"/>
      <c r="R52" s="924">
        <f t="shared" si="3"/>
        <v>6833</v>
      </c>
      <c r="S52" s="583"/>
      <c r="T52" s="359"/>
      <c r="U52" s="359"/>
      <c r="V52" s="359"/>
    </row>
    <row r="53" spans="1:22" s="358" customFormat="1" ht="15" customHeight="1" x14ac:dyDescent="0.2">
      <c r="A53" s="944"/>
      <c r="B53" s="1047">
        <v>44</v>
      </c>
      <c r="C53" s="81" t="s">
        <v>1227</v>
      </c>
      <c r="D53" s="523"/>
      <c r="E53" s="292"/>
      <c r="F53" s="521"/>
      <c r="G53" s="292"/>
      <c r="H53" s="521">
        <f>55738+2334</f>
        <v>58072</v>
      </c>
      <c r="I53" s="292"/>
      <c r="J53" s="521"/>
      <c r="K53" s="923"/>
      <c r="L53" s="521"/>
      <c r="M53" s="491"/>
      <c r="N53" s="292"/>
      <c r="O53" s="292"/>
      <c r="P53" s="521"/>
      <c r="Q53" s="292"/>
      <c r="R53" s="924">
        <f t="shared" si="3"/>
        <v>58072</v>
      </c>
      <c r="S53" s="583"/>
      <c r="T53" s="359"/>
      <c r="U53" s="359"/>
      <c r="V53" s="359"/>
    </row>
    <row r="54" spans="1:22" s="358" customFormat="1" ht="15" customHeight="1" x14ac:dyDescent="0.2">
      <c r="A54" s="944"/>
      <c r="B54" s="1047">
        <v>45</v>
      </c>
      <c r="C54" s="81" t="s">
        <v>1221</v>
      </c>
      <c r="D54" s="523"/>
      <c r="E54" s="292"/>
      <c r="F54" s="521"/>
      <c r="G54" s="292"/>
      <c r="H54" s="521"/>
      <c r="I54" s="292">
        <v>12218</v>
      </c>
      <c r="J54" s="521"/>
      <c r="K54" s="923"/>
      <c r="L54" s="521"/>
      <c r="M54" s="491"/>
      <c r="N54" s="292"/>
      <c r="O54" s="292"/>
      <c r="P54" s="521"/>
      <c r="Q54" s="292"/>
      <c r="R54" s="924">
        <f t="shared" si="1"/>
        <v>12218</v>
      </c>
      <c r="S54" s="583"/>
      <c r="T54" s="359"/>
      <c r="U54" s="359"/>
      <c r="V54" s="359"/>
    </row>
    <row r="55" spans="1:22" s="358" customFormat="1" ht="17.25" customHeight="1" x14ac:dyDescent="0.2">
      <c r="A55" s="944"/>
      <c r="B55" s="1047">
        <v>46</v>
      </c>
      <c r="C55" s="930" t="s">
        <v>1228</v>
      </c>
      <c r="D55" s="523"/>
      <c r="E55" s="895">
        <f>1600+200</f>
        <v>1800</v>
      </c>
      <c r="F55" s="931"/>
      <c r="G55" s="895">
        <v>432</v>
      </c>
      <c r="H55" s="931">
        <v>350</v>
      </c>
      <c r="I55" s="895"/>
      <c r="J55" s="931"/>
      <c r="K55" s="932"/>
      <c r="L55" s="931"/>
      <c r="M55" s="896"/>
      <c r="N55" s="895"/>
      <c r="O55" s="895"/>
      <c r="P55" s="931"/>
      <c r="Q55" s="895"/>
      <c r="R55" s="912">
        <f>SUM(D55:Q55)</f>
        <v>2582</v>
      </c>
      <c r="S55" s="583"/>
      <c r="T55" s="366"/>
      <c r="U55" s="359"/>
      <c r="V55" s="359"/>
    </row>
    <row r="56" spans="1:22" s="358" customFormat="1" ht="15" customHeight="1" x14ac:dyDescent="0.2">
      <c r="A56" s="944"/>
      <c r="B56" s="1047">
        <v>47</v>
      </c>
      <c r="C56" s="81" t="s">
        <v>1217</v>
      </c>
      <c r="D56" s="523"/>
      <c r="E56" s="292">
        <v>10000</v>
      </c>
      <c r="F56" s="521"/>
      <c r="G56" s="292">
        <v>5000</v>
      </c>
      <c r="H56" s="521"/>
      <c r="I56" s="292">
        <v>15216</v>
      </c>
      <c r="J56" s="521"/>
      <c r="K56" s="923"/>
      <c r="L56" s="521"/>
      <c r="M56" s="491"/>
      <c r="N56" s="292"/>
      <c r="O56" s="292"/>
      <c r="P56" s="521"/>
      <c r="Q56" s="292"/>
      <c r="R56" s="924">
        <f>SUM(D56:Q56)</f>
        <v>30216</v>
      </c>
      <c r="S56" s="583"/>
      <c r="T56" s="359"/>
      <c r="U56" s="359"/>
      <c r="V56" s="359"/>
    </row>
    <row r="57" spans="1:22" s="358" customFormat="1" ht="15" customHeight="1" x14ac:dyDescent="0.2">
      <c r="A57" s="944"/>
      <c r="B57" s="1047">
        <v>48</v>
      </c>
      <c r="C57" s="81" t="s">
        <v>1218</v>
      </c>
      <c r="D57" s="523"/>
      <c r="E57" s="292"/>
      <c r="F57" s="521"/>
      <c r="G57" s="292"/>
      <c r="H57" s="521"/>
      <c r="I57" s="292">
        <v>3000</v>
      </c>
      <c r="J57" s="521"/>
      <c r="K57" s="923"/>
      <c r="L57" s="521"/>
      <c r="M57" s="491"/>
      <c r="N57" s="292"/>
      <c r="O57" s="292"/>
      <c r="P57" s="521"/>
      <c r="Q57" s="292"/>
      <c r="R57" s="924">
        <f>SUM(D57:Q57)</f>
        <v>3000</v>
      </c>
      <c r="S57" s="583"/>
      <c r="T57" s="359"/>
      <c r="U57" s="359"/>
      <c r="V57" s="359"/>
    </row>
    <row r="58" spans="1:22" s="358" customFormat="1" ht="15" customHeight="1" x14ac:dyDescent="0.2">
      <c r="A58" s="944"/>
      <c r="B58" s="1047">
        <v>49</v>
      </c>
      <c r="C58" s="81" t="s">
        <v>1229</v>
      </c>
      <c r="D58" s="523"/>
      <c r="E58" s="292"/>
      <c r="F58" s="521"/>
      <c r="G58" s="292"/>
      <c r="H58" s="521">
        <v>140</v>
      </c>
      <c r="I58" s="292">
        <v>6607</v>
      </c>
      <c r="J58" s="521"/>
      <c r="K58" s="923"/>
      <c r="L58" s="521"/>
      <c r="M58" s="491"/>
      <c r="N58" s="292"/>
      <c r="O58" s="292"/>
      <c r="P58" s="521"/>
      <c r="Q58" s="292"/>
      <c r="R58" s="924">
        <f>SUM(D58:Q58)</f>
        <v>6747</v>
      </c>
      <c r="S58" s="583"/>
      <c r="T58" s="366"/>
      <c r="U58" s="359"/>
      <c r="V58" s="359"/>
    </row>
    <row r="59" spans="1:22" s="358" customFormat="1" ht="15" customHeight="1" x14ac:dyDescent="0.2">
      <c r="A59" s="944"/>
      <c r="B59" s="1047">
        <v>50</v>
      </c>
      <c r="C59" s="906" t="s">
        <v>1224</v>
      </c>
      <c r="D59" s="933">
        <v>8796</v>
      </c>
      <c r="E59" s="934">
        <v>645</v>
      </c>
      <c r="F59" s="918">
        <v>2437</v>
      </c>
      <c r="G59" s="292">
        <v>154</v>
      </c>
      <c r="H59" s="918">
        <f>15897+548</f>
        <v>16445</v>
      </c>
      <c r="I59" s="934"/>
      <c r="J59" s="918"/>
      <c r="K59" s="919"/>
      <c r="L59" s="917"/>
      <c r="M59" s="920"/>
      <c r="N59" s="916"/>
      <c r="O59" s="916"/>
      <c r="P59" s="917"/>
      <c r="Q59" s="916"/>
      <c r="R59" s="924">
        <f>SUM(D59:Q59)</f>
        <v>28477</v>
      </c>
      <c r="S59" s="583"/>
      <c r="T59" s="359"/>
      <c r="U59" s="359"/>
      <c r="V59" s="359"/>
    </row>
    <row r="60" spans="1:22" s="358" customFormat="1" ht="15" customHeight="1" x14ac:dyDescent="0.2">
      <c r="A60" s="944"/>
      <c r="B60" s="1047">
        <v>51</v>
      </c>
      <c r="C60" s="81" t="s">
        <v>1113</v>
      </c>
      <c r="D60" s="523"/>
      <c r="E60" s="292">
        <v>0</v>
      </c>
      <c r="F60" s="521"/>
      <c r="G60" s="292"/>
      <c r="H60" s="521"/>
      <c r="I60" s="292">
        <v>0</v>
      </c>
      <c r="J60" s="521"/>
      <c r="K60" s="923"/>
      <c r="L60" s="521"/>
      <c r="M60" s="491"/>
      <c r="N60" s="292"/>
      <c r="O60" s="292"/>
      <c r="P60" s="521"/>
      <c r="Q60" s="292"/>
      <c r="R60" s="924">
        <f t="shared" si="1"/>
        <v>0</v>
      </c>
      <c r="S60" s="583"/>
      <c r="T60" s="359"/>
      <c r="U60" s="359"/>
      <c r="V60" s="359"/>
    </row>
    <row r="61" spans="1:22" s="358" customFormat="1" ht="15" customHeight="1" x14ac:dyDescent="0.2">
      <c r="A61" s="944"/>
      <c r="B61" s="1047">
        <v>52</v>
      </c>
      <c r="C61" s="81" t="s">
        <v>1219</v>
      </c>
      <c r="D61" s="523"/>
      <c r="E61" s="292">
        <f>12414+50+1482+50</f>
        <v>13996</v>
      </c>
      <c r="F61" s="521"/>
      <c r="G61" s="292">
        <f>7391+22+22</f>
        <v>7435</v>
      </c>
      <c r="H61" s="521"/>
      <c r="I61" s="292">
        <f>3153+241</f>
        <v>3394</v>
      </c>
      <c r="J61" s="521"/>
      <c r="K61" s="923"/>
      <c r="L61" s="521"/>
      <c r="M61" s="491"/>
      <c r="N61" s="292"/>
      <c r="O61" s="292"/>
      <c r="P61" s="521"/>
      <c r="Q61" s="292"/>
      <c r="R61" s="924">
        <f t="shared" si="1"/>
        <v>24825</v>
      </c>
      <c r="S61" s="583"/>
      <c r="T61" s="359"/>
      <c r="U61" s="359"/>
      <c r="V61" s="359"/>
    </row>
    <row r="62" spans="1:22" s="358" customFormat="1" ht="15" customHeight="1" x14ac:dyDescent="0.2">
      <c r="A62" s="944"/>
      <c r="B62" s="1047">
        <v>53</v>
      </c>
      <c r="C62" s="935" t="s">
        <v>1114</v>
      </c>
      <c r="D62" s="936"/>
      <c r="E62" s="292">
        <v>0</v>
      </c>
      <c r="F62" s="521"/>
      <c r="G62" s="292">
        <v>0</v>
      </c>
      <c r="H62" s="521">
        <v>0</v>
      </c>
      <c r="I62" s="292">
        <v>0</v>
      </c>
      <c r="J62" s="521"/>
      <c r="K62" s="292"/>
      <c r="L62" s="523"/>
      <c r="M62" s="491"/>
      <c r="N62" s="292">
        <v>0</v>
      </c>
      <c r="O62" s="292"/>
      <c r="P62" s="523"/>
      <c r="Q62" s="292"/>
      <c r="R62" s="924">
        <f>SUM(D62:Q62)</f>
        <v>0</v>
      </c>
      <c r="S62" s="118"/>
      <c r="T62" s="359"/>
      <c r="U62" s="359"/>
      <c r="V62" s="359"/>
    </row>
    <row r="63" spans="1:22" s="358" customFormat="1" ht="15" customHeight="1" x14ac:dyDescent="0.2">
      <c r="A63" s="944"/>
      <c r="B63" s="1047">
        <v>54</v>
      </c>
      <c r="C63" s="81" t="s">
        <v>1121</v>
      </c>
      <c r="D63" s="936"/>
      <c r="E63" s="292"/>
      <c r="F63" s="521"/>
      <c r="G63" s="491"/>
      <c r="H63" s="292"/>
      <c r="I63" s="491">
        <v>0</v>
      </c>
      <c r="J63" s="292"/>
      <c r="K63" s="491"/>
      <c r="L63" s="292"/>
      <c r="M63" s="491"/>
      <c r="N63" s="292"/>
      <c r="O63" s="491"/>
      <c r="P63" s="292"/>
      <c r="Q63" s="292"/>
      <c r="R63" s="924">
        <f>SUM(D63:Q63)</f>
        <v>0</v>
      </c>
      <c r="S63" s="118"/>
      <c r="T63" s="359"/>
      <c r="U63" s="359"/>
      <c r="V63" s="359"/>
    </row>
    <row r="64" spans="1:22" s="358" customFormat="1" ht="15" customHeight="1" x14ac:dyDescent="0.2">
      <c r="A64" s="944"/>
      <c r="B64" s="1047">
        <v>55</v>
      </c>
      <c r="C64" s="81" t="s">
        <v>1122</v>
      </c>
      <c r="D64" s="936"/>
      <c r="E64" s="292"/>
      <c r="F64" s="521"/>
      <c r="G64" s="491"/>
      <c r="H64" s="292">
        <v>0</v>
      </c>
      <c r="I64" s="292"/>
      <c r="J64" s="521"/>
      <c r="K64" s="491"/>
      <c r="L64" s="292"/>
      <c r="M64" s="491"/>
      <c r="N64" s="292"/>
      <c r="O64" s="491"/>
      <c r="P64" s="292"/>
      <c r="Q64" s="292"/>
      <c r="R64" s="924">
        <f>SUM(D64:Q64)</f>
        <v>0</v>
      </c>
      <c r="S64" s="583"/>
      <c r="T64" s="359"/>
      <c r="U64" s="359"/>
      <c r="V64" s="359"/>
    </row>
    <row r="65" spans="1:22" s="358" customFormat="1" ht="15" customHeight="1" x14ac:dyDescent="0.2">
      <c r="A65" s="944"/>
      <c r="B65" s="1047">
        <v>56</v>
      </c>
      <c r="C65" s="81" t="s">
        <v>1210</v>
      </c>
      <c r="D65" s="523"/>
      <c r="E65" s="491"/>
      <c r="F65" s="292"/>
      <c r="G65" s="292"/>
      <c r="H65" s="521"/>
      <c r="I65" s="292"/>
      <c r="J65" s="521">
        <f>mc.pe.átad!D22</f>
        <v>8000</v>
      </c>
      <c r="K65" s="491">
        <f>mc.pe.átad!E58</f>
        <v>52874</v>
      </c>
      <c r="L65" s="304">
        <f>mc.pe.átad!D59</f>
        <v>314149</v>
      </c>
      <c r="M65" s="491">
        <f>21581+1800</f>
        <v>23381</v>
      </c>
      <c r="N65" s="292"/>
      <c r="O65" s="292"/>
      <c r="P65" s="521"/>
      <c r="Q65" s="292"/>
      <c r="R65" s="924">
        <f t="shared" si="1"/>
        <v>398404</v>
      </c>
      <c r="S65" s="359"/>
      <c r="T65" s="359"/>
      <c r="U65" s="359"/>
      <c r="V65" s="359"/>
    </row>
    <row r="66" spans="1:22" s="358" customFormat="1" ht="15" customHeight="1" x14ac:dyDescent="0.2">
      <c r="A66" s="944"/>
      <c r="B66" s="1047">
        <v>57</v>
      </c>
      <c r="C66" s="81" t="s">
        <v>1209</v>
      </c>
      <c r="D66" s="523">
        <v>138</v>
      </c>
      <c r="E66" s="491"/>
      <c r="F66" s="292">
        <v>37</v>
      </c>
      <c r="G66" s="491"/>
      <c r="H66" s="292">
        <v>3675</v>
      </c>
      <c r="I66" s="491"/>
      <c r="J66" s="292"/>
      <c r="K66" s="491"/>
      <c r="L66" s="304"/>
      <c r="M66" s="491"/>
      <c r="N66" s="292"/>
      <c r="O66" s="491"/>
      <c r="P66" s="292"/>
      <c r="Q66" s="491"/>
      <c r="R66" s="924">
        <f t="shared" si="1"/>
        <v>3850</v>
      </c>
      <c r="S66" s="117"/>
      <c r="T66" s="359"/>
      <c r="U66" s="359"/>
      <c r="V66" s="359"/>
    </row>
    <row r="67" spans="1:22" s="358" customFormat="1" ht="15" customHeight="1" x14ac:dyDescent="0.2">
      <c r="A67" s="944"/>
      <c r="B67" s="1047">
        <v>58</v>
      </c>
      <c r="C67" s="81" t="s">
        <v>1231</v>
      </c>
      <c r="D67" s="523"/>
      <c r="E67" s="491">
        <f>358+2148</f>
        <v>2506</v>
      </c>
      <c r="F67" s="292"/>
      <c r="G67" s="491">
        <f>49+65</f>
        <v>114</v>
      </c>
      <c r="H67" s="292"/>
      <c r="I67" s="491">
        <f>5853+1464</f>
        <v>7317</v>
      </c>
      <c r="J67" s="292"/>
      <c r="K67" s="491"/>
      <c r="L67" s="304"/>
      <c r="M67" s="491">
        <v>12520</v>
      </c>
      <c r="N67" s="292"/>
      <c r="O67" s="491"/>
      <c r="P67" s="292"/>
      <c r="Q67" s="491"/>
      <c r="R67" s="924">
        <f t="shared" si="1"/>
        <v>22457</v>
      </c>
      <c r="S67" s="117"/>
      <c r="T67" s="359"/>
      <c r="U67" s="359"/>
      <c r="V67" s="359"/>
    </row>
    <row r="68" spans="1:22" s="358" customFormat="1" ht="30.75" customHeight="1" x14ac:dyDescent="0.2">
      <c r="A68" s="944"/>
      <c r="B68" s="1047">
        <v>59</v>
      </c>
      <c r="C68" s="937" t="s">
        <v>1230</v>
      </c>
      <c r="D68" s="938"/>
      <c r="E68" s="896"/>
      <c r="F68" s="895"/>
      <c r="G68" s="896"/>
      <c r="H68" s="895">
        <v>15000</v>
      </c>
      <c r="I68" s="896"/>
      <c r="J68" s="895"/>
      <c r="K68" s="896"/>
      <c r="L68" s="897"/>
      <c r="M68" s="896"/>
      <c r="N68" s="895"/>
      <c r="O68" s="896"/>
      <c r="P68" s="895"/>
      <c r="Q68" s="896"/>
      <c r="R68" s="912">
        <f t="shared" si="1"/>
        <v>15000</v>
      </c>
      <c r="S68" s="117"/>
      <c r="T68" s="359"/>
      <c r="U68" s="359"/>
      <c r="V68" s="359"/>
    </row>
    <row r="69" spans="1:22" s="358" customFormat="1" ht="15" customHeight="1" x14ac:dyDescent="0.2">
      <c r="A69" s="944"/>
      <c r="B69" s="1047">
        <v>60</v>
      </c>
      <c r="C69" s="937" t="s">
        <v>1238</v>
      </c>
      <c r="D69" s="938"/>
      <c r="E69" s="896"/>
      <c r="F69" s="895"/>
      <c r="G69" s="896"/>
      <c r="H69" s="895"/>
      <c r="I69" s="896">
        <f>2515+1134</f>
        <v>3649</v>
      </c>
      <c r="J69" s="895"/>
      <c r="K69" s="896"/>
      <c r="L69" s="897"/>
      <c r="M69" s="896"/>
      <c r="N69" s="895"/>
      <c r="O69" s="896"/>
      <c r="P69" s="895"/>
      <c r="Q69" s="896"/>
      <c r="R69" s="912">
        <f t="shared" si="1"/>
        <v>3649</v>
      </c>
      <c r="S69" s="117"/>
      <c r="T69" s="359"/>
      <c r="U69" s="359"/>
      <c r="V69" s="359"/>
    </row>
    <row r="70" spans="1:22" s="358" customFormat="1" ht="15" customHeight="1" x14ac:dyDescent="0.2">
      <c r="A70" s="944"/>
      <c r="B70" s="1047">
        <v>61</v>
      </c>
      <c r="C70" s="937" t="s">
        <v>1239</v>
      </c>
      <c r="D70" s="938"/>
      <c r="E70" s="896"/>
      <c r="F70" s="895"/>
      <c r="G70" s="896"/>
      <c r="H70" s="895"/>
      <c r="I70" s="896"/>
      <c r="J70" s="895"/>
      <c r="K70" s="896"/>
      <c r="L70" s="897"/>
      <c r="M70" s="896"/>
      <c r="N70" s="895">
        <v>367</v>
      </c>
      <c r="O70" s="896"/>
      <c r="P70" s="895"/>
      <c r="Q70" s="896"/>
      <c r="R70" s="912">
        <f t="shared" si="1"/>
        <v>367</v>
      </c>
      <c r="S70" s="117"/>
      <c r="T70" s="359"/>
      <c r="U70" s="359"/>
      <c r="V70" s="359"/>
    </row>
    <row r="71" spans="1:22" s="358" customFormat="1" ht="15" customHeight="1" x14ac:dyDescent="0.2">
      <c r="A71" s="944"/>
      <c r="B71" s="1047">
        <v>62</v>
      </c>
      <c r="C71" s="937" t="s">
        <v>1240</v>
      </c>
      <c r="D71" s="938"/>
      <c r="E71" s="896"/>
      <c r="F71" s="895"/>
      <c r="G71" s="896"/>
      <c r="H71" s="895">
        <v>295</v>
      </c>
      <c r="I71" s="896"/>
      <c r="J71" s="895"/>
      <c r="K71" s="896"/>
      <c r="L71" s="897"/>
      <c r="M71" s="896"/>
      <c r="N71" s="895"/>
      <c r="O71" s="896"/>
      <c r="P71" s="895"/>
      <c r="Q71" s="896"/>
      <c r="R71" s="912">
        <f t="shared" si="1"/>
        <v>295</v>
      </c>
      <c r="S71" s="117"/>
      <c r="T71" s="359"/>
      <c r="U71" s="359"/>
      <c r="V71" s="359"/>
    </row>
    <row r="72" spans="1:22" s="358" customFormat="1" ht="15" customHeight="1" x14ac:dyDescent="0.2">
      <c r="A72" s="944"/>
      <c r="B72" s="1047">
        <v>63</v>
      </c>
      <c r="C72" s="937" t="s">
        <v>1241</v>
      </c>
      <c r="D72" s="938"/>
      <c r="E72" s="896">
        <f>301+64</f>
        <v>365</v>
      </c>
      <c r="F72" s="895"/>
      <c r="G72" s="896">
        <f>28+13</f>
        <v>41</v>
      </c>
      <c r="H72" s="895"/>
      <c r="I72" s="896">
        <f>1782+3</f>
        <v>1785</v>
      </c>
      <c r="J72" s="895"/>
      <c r="K72" s="896"/>
      <c r="L72" s="897"/>
      <c r="M72" s="896"/>
      <c r="N72" s="895"/>
      <c r="O72" s="896"/>
      <c r="P72" s="895"/>
      <c r="Q72" s="896"/>
      <c r="R72" s="912">
        <f t="shared" si="1"/>
        <v>2191</v>
      </c>
      <c r="S72" s="117"/>
      <c r="T72" s="359"/>
      <c r="U72" s="359"/>
      <c r="V72" s="359"/>
    </row>
    <row r="73" spans="1:22" s="358" customFormat="1" ht="15" customHeight="1" x14ac:dyDescent="0.2">
      <c r="A73" s="944"/>
      <c r="B73" s="1047">
        <v>64</v>
      </c>
      <c r="C73" s="937" t="s">
        <v>1242</v>
      </c>
      <c r="D73" s="938">
        <v>4766</v>
      </c>
      <c r="E73" s="896"/>
      <c r="F73" s="895">
        <v>1748</v>
      </c>
      <c r="G73" s="896"/>
      <c r="H73" s="895">
        <f>13917-1221</f>
        <v>12696</v>
      </c>
      <c r="I73" s="896"/>
      <c r="J73" s="895"/>
      <c r="K73" s="896"/>
      <c r="L73" s="897"/>
      <c r="M73" s="896"/>
      <c r="N73" s="895"/>
      <c r="O73" s="896"/>
      <c r="P73" s="895"/>
      <c r="Q73" s="896"/>
      <c r="R73" s="912">
        <f t="shared" si="1"/>
        <v>19210</v>
      </c>
      <c r="S73" s="117"/>
      <c r="T73" s="359"/>
      <c r="U73" s="359"/>
      <c r="V73" s="359"/>
    </row>
    <row r="74" spans="1:22" s="358" customFormat="1" ht="15" customHeight="1" x14ac:dyDescent="0.2">
      <c r="A74" s="944"/>
      <c r="B74" s="1047">
        <v>65</v>
      </c>
      <c r="C74" s="937" t="s">
        <v>1244</v>
      </c>
      <c r="D74" s="938"/>
      <c r="E74" s="896"/>
      <c r="F74" s="895"/>
      <c r="G74" s="896"/>
      <c r="H74" s="895">
        <f>3809+11261</f>
        <v>15070</v>
      </c>
      <c r="I74" s="896"/>
      <c r="J74" s="895"/>
      <c r="K74" s="896"/>
      <c r="L74" s="897"/>
      <c r="M74" s="896"/>
      <c r="N74" s="895"/>
      <c r="O74" s="896"/>
      <c r="P74" s="895"/>
      <c r="Q74" s="896"/>
      <c r="R74" s="912">
        <f t="shared" si="1"/>
        <v>15070</v>
      </c>
      <c r="S74" s="117"/>
      <c r="T74" s="359"/>
      <c r="U74" s="359"/>
      <c r="V74" s="359"/>
    </row>
    <row r="75" spans="1:22" s="358" customFormat="1" ht="15" customHeight="1" x14ac:dyDescent="0.2">
      <c r="A75" s="944"/>
      <c r="B75" s="1047">
        <v>66</v>
      </c>
      <c r="C75" s="937" t="s">
        <v>1245</v>
      </c>
      <c r="D75" s="938"/>
      <c r="E75" s="896"/>
      <c r="F75" s="895"/>
      <c r="G75" s="896"/>
      <c r="H75" s="895">
        <v>865</v>
      </c>
      <c r="I75" s="896"/>
      <c r="J75" s="895"/>
      <c r="K75" s="896"/>
      <c r="L75" s="897"/>
      <c r="M75" s="896"/>
      <c r="N75" s="895"/>
      <c r="O75" s="896"/>
      <c r="P75" s="895"/>
      <c r="Q75" s="896"/>
      <c r="R75" s="912">
        <f t="shared" si="1"/>
        <v>865</v>
      </c>
      <c r="S75" s="117"/>
      <c r="T75" s="359"/>
      <c r="U75" s="359"/>
      <c r="V75" s="359"/>
    </row>
    <row r="76" spans="1:22" s="358" customFormat="1" ht="15" customHeight="1" thickBot="1" x14ac:dyDescent="0.25">
      <c r="A76" s="944"/>
      <c r="B76" s="1047">
        <v>67</v>
      </c>
      <c r="C76" s="937" t="s">
        <v>1246</v>
      </c>
      <c r="D76" s="938"/>
      <c r="E76" s="896">
        <f>14017-50+2</f>
        <v>13969</v>
      </c>
      <c r="F76" s="895"/>
      <c r="G76" s="896">
        <f>2843-22+1</f>
        <v>2822</v>
      </c>
      <c r="H76" s="895">
        <f>13324+2540</f>
        <v>15864</v>
      </c>
      <c r="I76" s="896">
        <f>77849-4482+9-12+1173</f>
        <v>74537</v>
      </c>
      <c r="J76" s="895"/>
      <c r="K76" s="896"/>
      <c r="L76" s="897"/>
      <c r="M76" s="896"/>
      <c r="N76" s="895">
        <v>84</v>
      </c>
      <c r="O76" s="896"/>
      <c r="P76" s="895"/>
      <c r="Q76" s="896"/>
      <c r="R76" s="912">
        <f t="shared" si="1"/>
        <v>107276</v>
      </c>
      <c r="S76" s="117"/>
      <c r="T76" s="359"/>
      <c r="U76" s="359"/>
      <c r="V76" s="359"/>
    </row>
    <row r="77" spans="1:22" ht="15.6" customHeight="1" thickBot="1" x14ac:dyDescent="0.25">
      <c r="B77" s="1216" t="s">
        <v>642</v>
      </c>
      <c r="C77" s="1217"/>
      <c r="D77" s="319">
        <f>SUM(D10:D76)</f>
        <v>56408</v>
      </c>
      <c r="E77" s="319">
        <f t="shared" ref="E77:R77" si="4">SUM(E10:E76)</f>
        <v>45481</v>
      </c>
      <c r="F77" s="319">
        <f t="shared" si="4"/>
        <v>17241</v>
      </c>
      <c r="G77" s="319">
        <f t="shared" si="4"/>
        <v>16598</v>
      </c>
      <c r="H77" s="319">
        <f t="shared" si="4"/>
        <v>194972</v>
      </c>
      <c r="I77" s="319">
        <f t="shared" si="4"/>
        <v>170877</v>
      </c>
      <c r="J77" s="319">
        <f t="shared" si="4"/>
        <v>8000</v>
      </c>
      <c r="K77" s="319">
        <f t="shared" si="4"/>
        <v>52874</v>
      </c>
      <c r="L77" s="319">
        <f t="shared" si="4"/>
        <v>314149</v>
      </c>
      <c r="M77" s="319">
        <f t="shared" si="4"/>
        <v>35901</v>
      </c>
      <c r="N77" s="319">
        <f t="shared" si="4"/>
        <v>451</v>
      </c>
      <c r="O77" s="319">
        <f t="shared" si="4"/>
        <v>0</v>
      </c>
      <c r="P77" s="319">
        <f t="shared" si="4"/>
        <v>0</v>
      </c>
      <c r="Q77" s="319">
        <f t="shared" si="4"/>
        <v>13750</v>
      </c>
      <c r="R77" s="319">
        <f t="shared" si="4"/>
        <v>919000</v>
      </c>
      <c r="S77" s="119"/>
    </row>
    <row r="78" spans="1:22" x14ac:dyDescent="0.2">
      <c r="S78" s="369"/>
    </row>
    <row r="82" spans="12:19" x14ac:dyDescent="0.2">
      <c r="S82" s="366"/>
    </row>
    <row r="83" spans="12:19" x14ac:dyDescent="0.2">
      <c r="S83" s="366"/>
    </row>
    <row r="87" spans="12:19" x14ac:dyDescent="0.2">
      <c r="L87" s="365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77:C77"/>
    <mergeCell ref="N5:O5"/>
    <mergeCell ref="J5:K5"/>
    <mergeCell ref="F7:G8"/>
    <mergeCell ref="L7:M8"/>
    <mergeCell ref="F5:G5"/>
  </mergeCells>
  <phoneticPr fontId="34" type="noConversion"/>
  <pageMargins left="0.15748031496062992" right="0.15748031496062992" top="0.78740157480314965" bottom="0.78740157480314965" header="0.51181102362204722" footer="0.51181102362204722"/>
  <pageSetup paperSize="9" scale="66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S43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8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161" t="s">
        <v>1300</v>
      </c>
      <c r="C1" s="1161"/>
      <c r="D1" s="1161"/>
      <c r="E1" s="1161"/>
      <c r="F1" s="1161"/>
      <c r="G1" s="1161"/>
      <c r="H1" s="1119"/>
      <c r="I1" s="1119"/>
      <c r="J1" s="1119"/>
    </row>
    <row r="3" spans="2:11" ht="15.75" customHeight="1" x14ac:dyDescent="0.25">
      <c r="B3" s="1163" t="s">
        <v>78</v>
      </c>
      <c r="C3" s="1163"/>
      <c r="D3" s="1163"/>
      <c r="E3" s="1163"/>
      <c r="F3" s="1163"/>
      <c r="G3" s="1163"/>
      <c r="H3" s="1119"/>
      <c r="I3" s="1119"/>
      <c r="J3" s="1119"/>
    </row>
    <row r="4" spans="2:11" ht="15.75" customHeight="1" x14ac:dyDescent="0.25">
      <c r="B4" s="1249" t="s">
        <v>1004</v>
      </c>
      <c r="C4" s="1250"/>
      <c r="D4" s="1250"/>
      <c r="E4" s="1250"/>
      <c r="F4" s="1250"/>
      <c r="G4" s="1250"/>
    </row>
    <row r="5" spans="2:11" ht="15.75" customHeight="1" x14ac:dyDescent="0.25">
      <c r="B5" s="1163" t="s">
        <v>1055</v>
      </c>
      <c r="C5" s="1163"/>
      <c r="D5" s="1163"/>
      <c r="E5" s="1163"/>
      <c r="F5" s="1163"/>
      <c r="G5" s="1163"/>
      <c r="H5" s="1119"/>
      <c r="I5" s="1119"/>
      <c r="J5" s="1119"/>
    </row>
    <row r="6" spans="2:11" s="34" customFormat="1" ht="14.25" customHeight="1" x14ac:dyDescent="0.25">
      <c r="B6" s="1241" t="s">
        <v>344</v>
      </c>
      <c r="C6" s="1241"/>
      <c r="D6" s="1241"/>
      <c r="E6" s="1241"/>
      <c r="F6" s="1241"/>
      <c r="G6" s="1241"/>
      <c r="H6" s="1119"/>
      <c r="I6" s="1119"/>
      <c r="J6" s="1119"/>
    </row>
    <row r="7" spans="2:11" s="34" customFormat="1" ht="14.25" customHeight="1" x14ac:dyDescent="0.25">
      <c r="B7" s="29"/>
      <c r="C7" s="255"/>
      <c r="D7" s="256"/>
      <c r="E7" s="29"/>
      <c r="F7" s="29"/>
      <c r="G7" s="29"/>
    </row>
    <row r="8" spans="2:11" ht="30.6" customHeight="1" x14ac:dyDescent="0.25">
      <c r="B8" s="1242" t="s">
        <v>506</v>
      </c>
      <c r="C8" s="1245" t="s">
        <v>57</v>
      </c>
      <c r="D8" s="1245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243"/>
      <c r="C9" s="1246" t="s">
        <v>1011</v>
      </c>
      <c r="D9" s="1246"/>
      <c r="E9" s="1248" t="s">
        <v>1012</v>
      </c>
      <c r="F9" s="1248"/>
      <c r="G9" s="1248"/>
      <c r="H9" s="32"/>
      <c r="I9" s="32"/>
    </row>
    <row r="10" spans="2:11" ht="52.9" customHeight="1" x14ac:dyDescent="0.25">
      <c r="B10" s="1244"/>
      <c r="C10" s="1246"/>
      <c r="D10" s="1247"/>
      <c r="E10" s="257" t="s">
        <v>62</v>
      </c>
      <c r="F10" s="257" t="s">
        <v>63</v>
      </c>
      <c r="G10" s="257" t="s">
        <v>64</v>
      </c>
      <c r="H10" s="32"/>
      <c r="I10" s="32"/>
    </row>
    <row r="11" spans="2:11" ht="23.25" customHeight="1" x14ac:dyDescent="0.25">
      <c r="B11" s="258" t="s">
        <v>516</v>
      </c>
      <c r="C11" s="1240" t="s">
        <v>643</v>
      </c>
      <c r="D11" s="1240"/>
      <c r="E11" s="259"/>
      <c r="F11" s="259"/>
      <c r="G11" s="259"/>
      <c r="H11" s="32"/>
      <c r="I11" s="32"/>
      <c r="K11" s="642"/>
    </row>
    <row r="12" spans="2:11" ht="18" customHeight="1" x14ac:dyDescent="0.25">
      <c r="B12" s="258" t="s">
        <v>524</v>
      </c>
      <c r="C12" s="260" t="s">
        <v>607</v>
      </c>
      <c r="D12" s="256"/>
      <c r="E12" s="259"/>
      <c r="F12" s="259"/>
      <c r="G12" s="259"/>
      <c r="H12" s="32"/>
      <c r="I12" s="32"/>
      <c r="K12" s="642"/>
    </row>
    <row r="13" spans="2:11" ht="18" customHeight="1" x14ac:dyDescent="0.25">
      <c r="B13" s="258" t="s">
        <v>526</v>
      </c>
      <c r="C13" s="261"/>
      <c r="D13" s="262" t="s">
        <v>1051</v>
      </c>
      <c r="E13" s="259">
        <v>0</v>
      </c>
      <c r="F13" s="259">
        <v>850</v>
      </c>
      <c r="G13" s="259">
        <f>SUM(E13:F13)</f>
        <v>850</v>
      </c>
      <c r="H13" s="32"/>
      <c r="I13" s="32"/>
      <c r="K13" s="642"/>
    </row>
    <row r="14" spans="2:11" ht="18" customHeight="1" x14ac:dyDescent="0.25">
      <c r="B14" s="258" t="s">
        <v>527</v>
      </c>
      <c r="C14" s="261"/>
      <c r="D14" s="24" t="s">
        <v>607</v>
      </c>
      <c r="E14" s="259"/>
      <c r="F14" s="263">
        <v>0</v>
      </c>
      <c r="G14" s="259">
        <f>SUM(E14:F14)</f>
        <v>0</v>
      </c>
      <c r="H14" s="32"/>
      <c r="I14" s="32"/>
      <c r="K14" s="642"/>
    </row>
    <row r="15" spans="2:11" ht="18" customHeight="1" x14ac:dyDescent="0.25">
      <c r="B15" s="1029" t="s">
        <v>528</v>
      </c>
      <c r="C15" s="261"/>
      <c r="D15" s="24" t="s">
        <v>1177</v>
      </c>
      <c r="E15" s="259"/>
      <c r="F15" s="263">
        <v>600</v>
      </c>
      <c r="G15" s="259">
        <f>SUM(E15:F15)</f>
        <v>600</v>
      </c>
      <c r="H15" s="32"/>
      <c r="I15" s="32"/>
      <c r="K15" s="642"/>
    </row>
    <row r="16" spans="2:11" ht="18" customHeight="1" x14ac:dyDescent="0.25">
      <c r="B16" s="1029" t="s">
        <v>529</v>
      </c>
      <c r="C16" s="261"/>
      <c r="D16" s="24" t="s">
        <v>1178</v>
      </c>
      <c r="E16" s="259"/>
      <c r="F16" s="263">
        <v>800</v>
      </c>
      <c r="G16" s="259">
        <f t="shared" ref="G16:G19" si="0">SUM(E16:F16)</f>
        <v>800</v>
      </c>
      <c r="H16" s="32"/>
      <c r="I16" s="32"/>
      <c r="K16" s="642"/>
    </row>
    <row r="17" spans="2:19" ht="18" customHeight="1" x14ac:dyDescent="0.25">
      <c r="B17" s="1029" t="s">
        <v>530</v>
      </c>
      <c r="C17" s="261"/>
      <c r="D17" s="24" t="s">
        <v>1179</v>
      </c>
      <c r="E17" s="259"/>
      <c r="F17" s="263">
        <v>1000</v>
      </c>
      <c r="G17" s="259">
        <f t="shared" si="0"/>
        <v>1000</v>
      </c>
      <c r="H17" s="32"/>
      <c r="I17" s="32"/>
      <c r="K17" s="642"/>
    </row>
    <row r="18" spans="2:19" ht="18" customHeight="1" x14ac:dyDescent="0.25">
      <c r="B18" s="1029" t="s">
        <v>531</v>
      </c>
      <c r="C18" s="261"/>
      <c r="D18" s="24" t="s">
        <v>1180</v>
      </c>
      <c r="E18" s="259"/>
      <c r="F18" s="263">
        <v>600</v>
      </c>
      <c r="G18" s="259">
        <f t="shared" si="0"/>
        <v>600</v>
      </c>
      <c r="H18" s="32"/>
      <c r="I18" s="32"/>
      <c r="K18" s="642"/>
    </row>
    <row r="19" spans="2:19" ht="18" customHeight="1" x14ac:dyDescent="0.25">
      <c r="B19" s="1029" t="s">
        <v>573</v>
      </c>
      <c r="C19" s="261"/>
      <c r="D19" s="24" t="s">
        <v>1181</v>
      </c>
      <c r="E19" s="259"/>
      <c r="F19" s="263">
        <v>2300</v>
      </c>
      <c r="G19" s="259">
        <f t="shared" si="0"/>
        <v>2300</v>
      </c>
      <c r="H19" s="32"/>
      <c r="I19" s="32"/>
      <c r="K19" s="642"/>
    </row>
    <row r="20" spans="2:19" ht="18" customHeight="1" x14ac:dyDescent="0.25">
      <c r="B20" s="1029" t="s">
        <v>574</v>
      </c>
      <c r="C20" s="261"/>
      <c r="D20" s="613" t="s">
        <v>640</v>
      </c>
      <c r="E20" s="259"/>
      <c r="F20" s="263">
        <v>500</v>
      </c>
      <c r="G20" s="263">
        <f>SUM(F20)</f>
        <v>500</v>
      </c>
      <c r="H20" s="32"/>
      <c r="I20" s="32"/>
      <c r="K20" s="642"/>
    </row>
    <row r="21" spans="2:19" ht="18" customHeight="1" x14ac:dyDescent="0.25">
      <c r="B21" s="1029" t="s">
        <v>575</v>
      </c>
      <c r="C21" s="818"/>
      <c r="D21" s="613" t="s">
        <v>604</v>
      </c>
      <c r="E21" s="259"/>
      <c r="F21" s="263">
        <v>1800</v>
      </c>
      <c r="G21" s="259">
        <f>SUM(E21:F21)</f>
        <v>1800</v>
      </c>
      <c r="H21" s="32"/>
      <c r="I21" s="32"/>
      <c r="K21" s="642"/>
    </row>
    <row r="22" spans="2:19" ht="18" customHeight="1" x14ac:dyDescent="0.25">
      <c r="B22" s="1029" t="s">
        <v>576</v>
      </c>
      <c r="C22" s="818"/>
      <c r="D22" s="820" t="s">
        <v>603</v>
      </c>
      <c r="E22" s="819"/>
      <c r="F22" s="263">
        <v>1100</v>
      </c>
      <c r="G22" s="614">
        <f>SUM(E22:F22)</f>
        <v>1100</v>
      </c>
      <c r="H22" s="33"/>
      <c r="I22" s="33"/>
      <c r="J22" s="33"/>
      <c r="K22" s="642"/>
      <c r="M22" s="33"/>
    </row>
    <row r="23" spans="2:19" ht="18" customHeight="1" x14ac:dyDescent="0.25">
      <c r="B23" s="1029" t="s">
        <v>577</v>
      </c>
      <c r="C23" s="260" t="s">
        <v>1052</v>
      </c>
      <c r="D23" s="256"/>
      <c r="E23" s="264">
        <f>SUM(E13:E22)</f>
        <v>0</v>
      </c>
      <c r="F23" s="264">
        <f>SUM(F13:F22)</f>
        <v>9550</v>
      </c>
      <c r="G23" s="264">
        <f t="shared" ref="G23:J23" si="1">SUM(G13:G22)</f>
        <v>9550</v>
      </c>
      <c r="H23" s="264">
        <f t="shared" si="1"/>
        <v>0</v>
      </c>
      <c r="I23" s="264">
        <f t="shared" si="1"/>
        <v>0</v>
      </c>
      <c r="J23" s="264">
        <f t="shared" si="1"/>
        <v>0</v>
      </c>
      <c r="K23" s="642"/>
    </row>
    <row r="24" spans="2:19" ht="20.25" customHeight="1" x14ac:dyDescent="0.25">
      <c r="B24" s="1029" t="s">
        <v>578</v>
      </c>
      <c r="D24" s="28"/>
      <c r="E24" s="259"/>
      <c r="F24" s="259"/>
      <c r="G24" s="259"/>
      <c r="H24" s="32"/>
      <c r="I24" s="32"/>
      <c r="K24" s="642"/>
    </row>
    <row r="25" spans="2:19" ht="18" customHeight="1" x14ac:dyDescent="0.25">
      <c r="B25" s="1029" t="s">
        <v>579</v>
      </c>
      <c r="C25" s="17" t="s">
        <v>645</v>
      </c>
      <c r="E25" s="259"/>
      <c r="F25" s="259"/>
      <c r="G25" s="259"/>
      <c r="H25" s="32"/>
      <c r="I25" s="32"/>
      <c r="K25" s="642"/>
      <c r="S25" s="33"/>
    </row>
    <row r="26" spans="2:19" ht="18" customHeight="1" x14ac:dyDescent="0.25">
      <c r="B26" s="1029" t="s">
        <v>580</v>
      </c>
      <c r="D26" s="24" t="s">
        <v>646</v>
      </c>
      <c r="E26" s="259"/>
      <c r="F26" s="259">
        <v>0</v>
      </c>
      <c r="G26" s="259">
        <f>SUM(E26:F26)</f>
        <v>0</v>
      </c>
      <c r="H26" s="32"/>
      <c r="I26" s="32"/>
      <c r="K26" s="642"/>
    </row>
    <row r="27" spans="2:19" ht="18" customHeight="1" x14ac:dyDescent="0.25">
      <c r="B27" s="1029" t="s">
        <v>582</v>
      </c>
      <c r="D27" s="24" t="s">
        <v>594</v>
      </c>
      <c r="E27" s="263">
        <v>0</v>
      </c>
      <c r="F27" s="259">
        <v>0</v>
      </c>
      <c r="G27" s="259">
        <f>SUM(E27:F27)</f>
        <v>0</v>
      </c>
      <c r="H27" s="32"/>
      <c r="I27" s="32"/>
      <c r="K27" s="642"/>
    </row>
    <row r="28" spans="2:19" ht="18" customHeight="1" x14ac:dyDescent="0.25">
      <c r="B28" s="1029" t="s">
        <v>583</v>
      </c>
      <c r="C28" s="29" t="s">
        <v>1053</v>
      </c>
      <c r="E28" s="821">
        <f>SUM(E26:E27)</f>
        <v>0</v>
      </c>
      <c r="F28" s="821">
        <f>SUM(F26:F27)</f>
        <v>0</v>
      </c>
      <c r="G28" s="821">
        <f>SUM(G26:G27)</f>
        <v>0</v>
      </c>
      <c r="H28" s="32"/>
      <c r="I28" s="32"/>
      <c r="K28" s="642"/>
    </row>
    <row r="29" spans="2:19" ht="18" customHeight="1" x14ac:dyDescent="0.25">
      <c r="B29" s="1029" t="s">
        <v>584</v>
      </c>
      <c r="E29" s="259"/>
      <c r="F29" s="259"/>
      <c r="G29" s="259"/>
      <c r="H29" s="32"/>
      <c r="I29" s="32"/>
      <c r="K29" s="642"/>
    </row>
    <row r="30" spans="2:19" ht="37.9" customHeight="1" x14ac:dyDescent="0.25">
      <c r="B30" s="1029" t="s">
        <v>585</v>
      </c>
      <c r="D30" s="24" t="s">
        <v>648</v>
      </c>
      <c r="E30" s="259"/>
      <c r="F30" s="259">
        <v>4200</v>
      </c>
      <c r="G30" s="259">
        <f>SUM(E30:F30)</f>
        <v>4200</v>
      </c>
      <c r="H30" s="32"/>
      <c r="I30" s="32"/>
      <c r="K30" s="642"/>
    </row>
    <row r="31" spans="2:19" ht="37.9" customHeight="1" thickBot="1" x14ac:dyDescent="0.3">
      <c r="B31" s="1029" t="s">
        <v>586</v>
      </c>
      <c r="D31" s="28" t="s">
        <v>644</v>
      </c>
      <c r="E31" s="822">
        <f>E30</f>
        <v>0</v>
      </c>
      <c r="F31" s="822">
        <f t="shared" ref="F31:G31" si="2">F30</f>
        <v>4200</v>
      </c>
      <c r="G31" s="822">
        <f t="shared" si="2"/>
        <v>4200</v>
      </c>
      <c r="H31" s="32"/>
      <c r="I31" s="32"/>
      <c r="K31" s="642"/>
    </row>
    <row r="32" spans="2:19" s="34" customFormat="1" ht="18" customHeight="1" thickBot="1" x14ac:dyDescent="0.3">
      <c r="B32" s="1029" t="s">
        <v>587</v>
      </c>
      <c r="C32" s="309" t="s">
        <v>1054</v>
      </c>
      <c r="D32" s="310"/>
      <c r="E32" s="823">
        <f>E23+E28+E30</f>
        <v>0</v>
      </c>
      <c r="F32" s="823">
        <f t="shared" ref="F32:G32" si="3">F23+F28+F30</f>
        <v>13750</v>
      </c>
      <c r="G32" s="823">
        <f t="shared" si="3"/>
        <v>13750</v>
      </c>
      <c r="K32" s="643"/>
      <c r="M32" s="38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  <row r="41" spans="8:9" ht="18" customHeight="1" x14ac:dyDescent="0.25">
      <c r="H41" s="32"/>
      <c r="I41" s="32"/>
    </row>
    <row r="42" spans="8:9" ht="18" customHeight="1" x14ac:dyDescent="0.25">
      <c r="H42" s="32"/>
      <c r="I42" s="32"/>
    </row>
    <row r="43" spans="8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5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7" customWidth="1"/>
    <col min="5" max="6" width="9.42578125" style="3" customWidth="1"/>
    <col min="7" max="7" width="9.7109375" style="3" customWidth="1"/>
    <col min="8" max="9" width="0" style="253" hidden="1" customWidth="1"/>
    <col min="10" max="10" width="9.85546875" style="273" hidden="1" customWidth="1"/>
    <col min="11" max="11" width="0" style="273" hidden="1" customWidth="1"/>
    <col min="12" max="16384" width="9.140625" style="4"/>
  </cols>
  <sheetData>
    <row r="1" spans="2:12" ht="31.5" customHeight="1" x14ac:dyDescent="0.2">
      <c r="B1" s="1252" t="s">
        <v>1141</v>
      </c>
      <c r="C1" s="1252"/>
      <c r="D1" s="1252"/>
      <c r="E1" s="1252"/>
      <c r="F1" s="1252"/>
      <c r="G1" s="1252"/>
      <c r="H1" s="1253"/>
      <c r="I1" s="1253"/>
      <c r="J1" s="1253"/>
      <c r="K1" s="1119"/>
    </row>
    <row r="3" spans="2:12" ht="12.75" customHeight="1" x14ac:dyDescent="0.2">
      <c r="B3" s="1118" t="s">
        <v>546</v>
      </c>
      <c r="C3" s="1118"/>
      <c r="D3" s="1118"/>
      <c r="E3" s="1118"/>
      <c r="F3" s="1118"/>
      <c r="G3" s="1118"/>
      <c r="H3" s="1119"/>
      <c r="I3" s="1119"/>
      <c r="J3" s="1119"/>
    </row>
    <row r="4" spans="2:12" ht="12.75" customHeight="1" x14ac:dyDescent="0.2">
      <c r="B4" s="1118" t="s">
        <v>1004</v>
      </c>
      <c r="C4" s="1118"/>
      <c r="D4" s="1118"/>
      <c r="E4" s="1118"/>
      <c r="F4" s="1118"/>
      <c r="G4" s="1118"/>
      <c r="H4" s="1119"/>
      <c r="I4" s="1119"/>
      <c r="J4" s="1119"/>
    </row>
    <row r="5" spans="2:12" ht="12.75" customHeight="1" x14ac:dyDescent="0.2">
      <c r="B5" s="1118" t="s">
        <v>1055</v>
      </c>
      <c r="C5" s="1118"/>
      <c r="D5" s="1118"/>
      <c r="E5" s="1118"/>
      <c r="F5" s="1118"/>
      <c r="G5" s="1118"/>
      <c r="H5" s="1119"/>
      <c r="I5" s="1119"/>
      <c r="J5" s="1119"/>
    </row>
    <row r="6" spans="2:12" s="144" customFormat="1" ht="14.25" customHeight="1" x14ac:dyDescent="0.2">
      <c r="B6" s="240"/>
      <c r="C6" s="1251" t="s">
        <v>327</v>
      </c>
      <c r="D6" s="1251"/>
      <c r="E6" s="1204"/>
      <c r="F6" s="1204"/>
      <c r="G6" s="1204"/>
      <c r="H6" s="1119"/>
      <c r="I6" s="1119"/>
      <c r="J6" s="1119"/>
      <c r="K6" s="275"/>
    </row>
    <row r="7" spans="2:12" s="144" customFormat="1" ht="6" customHeight="1" x14ac:dyDescent="0.2">
      <c r="B7" s="240"/>
      <c r="C7" s="235"/>
      <c r="D7" s="265"/>
      <c r="E7" s="240"/>
      <c r="F7" s="240"/>
      <c r="G7" s="240"/>
      <c r="H7" s="307"/>
      <c r="I7" s="307"/>
      <c r="J7" s="275"/>
      <c r="K7" s="275"/>
    </row>
    <row r="8" spans="2:12" ht="27" customHeight="1" x14ac:dyDescent="0.25">
      <c r="B8" s="1254" t="s">
        <v>506</v>
      </c>
      <c r="C8" s="1257" t="s">
        <v>57</v>
      </c>
      <c r="D8" s="1257"/>
      <c r="E8" s="20" t="s">
        <v>58</v>
      </c>
      <c r="F8" s="20" t="s">
        <v>59</v>
      </c>
      <c r="G8" s="20" t="s">
        <v>60</v>
      </c>
      <c r="H8" s="273"/>
      <c r="I8" s="4"/>
      <c r="J8" s="4"/>
      <c r="K8" s="4"/>
    </row>
    <row r="9" spans="2:12" ht="30" customHeight="1" x14ac:dyDescent="0.2">
      <c r="B9" s="1255"/>
      <c r="C9" s="1246" t="s">
        <v>1011</v>
      </c>
      <c r="D9" s="1246"/>
      <c r="E9" s="1259" t="s">
        <v>994</v>
      </c>
      <c r="F9" s="1259"/>
      <c r="G9" s="1259"/>
      <c r="H9" s="273"/>
      <c r="I9" s="4"/>
      <c r="J9" s="4"/>
      <c r="K9" s="4"/>
    </row>
    <row r="10" spans="2:12" ht="41.25" customHeight="1" x14ac:dyDescent="0.2">
      <c r="B10" s="1256"/>
      <c r="C10" s="1246"/>
      <c r="D10" s="1246"/>
      <c r="E10" s="257" t="s">
        <v>62</v>
      </c>
      <c r="F10" s="257" t="s">
        <v>63</v>
      </c>
      <c r="G10" s="257" t="s">
        <v>64</v>
      </c>
      <c r="H10" s="273"/>
      <c r="I10" s="4"/>
      <c r="J10" s="4"/>
      <c r="K10" s="4"/>
    </row>
    <row r="11" spans="2:12" ht="18" customHeight="1" x14ac:dyDescent="0.2">
      <c r="B11" s="5" t="s">
        <v>516</v>
      </c>
      <c r="C11" s="1260" t="s">
        <v>649</v>
      </c>
      <c r="D11" s="1260"/>
      <c r="E11" s="266"/>
      <c r="F11" s="243"/>
      <c r="G11" s="609"/>
      <c r="H11" s="273"/>
      <c r="I11" s="4"/>
      <c r="J11" s="4"/>
      <c r="K11" s="4"/>
      <c r="L11" s="640"/>
    </row>
    <row r="12" spans="2:12" ht="26.45" customHeight="1" x14ac:dyDescent="0.2">
      <c r="B12" s="5" t="s">
        <v>524</v>
      </c>
      <c r="C12" s="243"/>
      <c r="D12" s="339" t="s">
        <v>1056</v>
      </c>
      <c r="E12" s="268">
        <f>'tám, végl. pe.átv  '!C29</f>
        <v>350</v>
      </c>
      <c r="F12" s="267"/>
      <c r="G12" s="609">
        <f>SUM(E12:F12)</f>
        <v>350</v>
      </c>
      <c r="H12" s="273"/>
      <c r="I12" s="4"/>
      <c r="J12" s="4"/>
      <c r="K12" s="4"/>
      <c r="L12" s="640"/>
    </row>
    <row r="13" spans="2:12" ht="20.25" customHeight="1" x14ac:dyDescent="0.2">
      <c r="B13" s="5" t="s">
        <v>525</v>
      </c>
      <c r="C13" s="243"/>
      <c r="D13" s="339" t="s">
        <v>114</v>
      </c>
      <c r="E13" s="266">
        <v>0</v>
      </c>
      <c r="F13" s="243">
        <f>SUM(F12)</f>
        <v>0</v>
      </c>
      <c r="G13" s="609">
        <f>SUM(E13:F13)</f>
        <v>0</v>
      </c>
      <c r="H13" s="273"/>
      <c r="I13" s="4"/>
      <c r="J13" s="4"/>
      <c r="K13" s="4"/>
      <c r="L13" s="640"/>
    </row>
    <row r="14" spans="2:12" ht="18" customHeight="1" x14ac:dyDescent="0.2">
      <c r="B14" s="5" t="s">
        <v>526</v>
      </c>
      <c r="D14" s="269" t="s">
        <v>644</v>
      </c>
      <c r="E14" s="270">
        <f>SUM(E12:E13)</f>
        <v>350</v>
      </c>
      <c r="F14" s="245"/>
      <c r="G14" s="610">
        <f>SUM(G12:G13)</f>
        <v>350</v>
      </c>
      <c r="H14" s="273"/>
      <c r="I14" s="4"/>
      <c r="J14" s="4"/>
      <c r="K14" s="4"/>
      <c r="L14" s="640"/>
    </row>
    <row r="15" spans="2:12" ht="18" customHeight="1" x14ac:dyDescent="0.2">
      <c r="B15" s="5" t="s">
        <v>527</v>
      </c>
      <c r="D15" s="269"/>
      <c r="E15" s="266"/>
      <c r="F15" s="243"/>
      <c r="G15" s="609"/>
      <c r="H15" s="273"/>
      <c r="I15" s="4"/>
      <c r="J15" s="4"/>
      <c r="K15" s="4"/>
      <c r="L15" s="640"/>
    </row>
    <row r="16" spans="2:12" ht="18" customHeight="1" x14ac:dyDescent="0.2">
      <c r="B16" s="5" t="s">
        <v>528</v>
      </c>
      <c r="E16" s="311"/>
      <c r="F16" s="243"/>
      <c r="G16" s="611"/>
      <c r="H16" s="273"/>
      <c r="I16" s="4"/>
      <c r="J16" s="4"/>
      <c r="K16" s="4"/>
      <c r="L16" s="640"/>
    </row>
    <row r="17" spans="2:11" ht="18" customHeight="1" x14ac:dyDescent="0.2">
      <c r="B17" s="271" t="s">
        <v>529</v>
      </c>
      <c r="C17" s="1258" t="s">
        <v>647</v>
      </c>
      <c r="D17" s="1258"/>
      <c r="E17" s="272">
        <f>E14</f>
        <v>350</v>
      </c>
      <c r="F17" s="272">
        <f t="shared" ref="F17:G17" si="0">F14</f>
        <v>0</v>
      </c>
      <c r="G17" s="272">
        <f t="shared" si="0"/>
        <v>350</v>
      </c>
      <c r="H17" s="273"/>
      <c r="I17" s="4"/>
      <c r="J17" s="4"/>
      <c r="K17" s="4"/>
    </row>
    <row r="18" spans="2:11" ht="18" customHeight="1" x14ac:dyDescent="0.2">
      <c r="B18" s="5"/>
      <c r="H18" s="273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9.85546875" style="158" customWidth="1"/>
    <col min="3" max="3" width="10.28515625" style="159" customWidth="1"/>
    <col min="4" max="4" width="11" style="159" customWidth="1"/>
    <col min="5" max="5" width="10.85546875" style="159" customWidth="1"/>
    <col min="6" max="6" width="33.7109375" style="159" customWidth="1"/>
    <col min="7" max="7" width="10.5703125" style="297" customWidth="1"/>
    <col min="8" max="8" width="12.42578125" style="297" customWidth="1"/>
    <col min="9" max="9" width="13" style="297" customWidth="1"/>
    <col min="10" max="10" width="9.140625" style="158"/>
    <col min="11" max="16384" width="9.140625" style="10"/>
  </cols>
  <sheetData>
    <row r="1" spans="1:10" ht="12.75" customHeight="1" x14ac:dyDescent="0.2">
      <c r="B1" s="1071" t="s">
        <v>1305</v>
      </c>
      <c r="C1" s="1119"/>
      <c r="D1" s="1119"/>
      <c r="E1" s="1119"/>
      <c r="F1" s="1119"/>
      <c r="G1" s="1119"/>
      <c r="H1" s="1119"/>
      <c r="I1" s="1119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74" t="s">
        <v>78</v>
      </c>
      <c r="C4" s="1074"/>
      <c r="D4" s="1074"/>
      <c r="E4" s="1074"/>
      <c r="F4" s="1074"/>
      <c r="G4" s="1074"/>
      <c r="H4" s="1074"/>
      <c r="I4" s="1074"/>
      <c r="J4" s="161"/>
    </row>
    <row r="5" spans="1:10" s="123" customFormat="1" x14ac:dyDescent="0.2">
      <c r="A5" s="161"/>
      <c r="B5" s="1172" t="s">
        <v>198</v>
      </c>
      <c r="C5" s="1172"/>
      <c r="D5" s="1172"/>
      <c r="E5" s="1172"/>
      <c r="F5" s="1172"/>
      <c r="G5" s="1172"/>
      <c r="H5" s="1172"/>
      <c r="I5" s="1172"/>
      <c r="J5" s="161"/>
    </row>
    <row r="6" spans="1:10" s="123" customFormat="1" x14ac:dyDescent="0.2">
      <c r="A6" s="161"/>
      <c r="B6" s="1074" t="s">
        <v>1007</v>
      </c>
      <c r="C6" s="1074"/>
      <c r="D6" s="1074"/>
      <c r="E6" s="1074"/>
      <c r="F6" s="1074"/>
      <c r="G6" s="1074"/>
      <c r="H6" s="1074"/>
      <c r="I6" s="1074"/>
      <c r="J6" s="161"/>
    </row>
    <row r="7" spans="1:10" s="123" customFormat="1" x14ac:dyDescent="0.2">
      <c r="A7" s="161"/>
      <c r="B7" s="1075" t="s">
        <v>327</v>
      </c>
      <c r="C7" s="1075"/>
      <c r="D7" s="1075"/>
      <c r="E7" s="1075"/>
      <c r="F7" s="1075"/>
      <c r="G7" s="1075"/>
      <c r="H7" s="1075"/>
      <c r="I7" s="1075"/>
      <c r="J7" s="161"/>
    </row>
    <row r="8" spans="1:10" s="123" customFormat="1" ht="12.75" customHeight="1" x14ac:dyDescent="0.2">
      <c r="A8" s="1079" t="s">
        <v>56</v>
      </c>
      <c r="B8" s="1080" t="s">
        <v>57</v>
      </c>
      <c r="C8" s="1095" t="s">
        <v>58</v>
      </c>
      <c r="D8" s="1095"/>
      <c r="E8" s="1096"/>
      <c r="F8" s="1171" t="s">
        <v>59</v>
      </c>
      <c r="G8" s="1093" t="s">
        <v>60</v>
      </c>
      <c r="H8" s="1094"/>
      <c r="I8" s="1094"/>
      <c r="J8" s="637"/>
    </row>
    <row r="9" spans="1:10" s="123" customFormat="1" ht="12.75" customHeight="1" x14ac:dyDescent="0.2">
      <c r="A9" s="1079"/>
      <c r="B9" s="1080"/>
      <c r="C9" s="1072" t="s">
        <v>994</v>
      </c>
      <c r="D9" s="1072"/>
      <c r="E9" s="1073"/>
      <c r="F9" s="1171"/>
      <c r="G9" s="1085" t="s">
        <v>994</v>
      </c>
      <c r="H9" s="1085"/>
      <c r="I9" s="1085"/>
      <c r="J9" s="637"/>
    </row>
    <row r="10" spans="1:10" s="317" customFormat="1" ht="36.6" customHeight="1" x14ac:dyDescent="0.2">
      <c r="A10" s="1079"/>
      <c r="B10" s="315" t="s">
        <v>61</v>
      </c>
      <c r="C10" s="136" t="s">
        <v>62</v>
      </c>
      <c r="D10" s="136" t="s">
        <v>63</v>
      </c>
      <c r="E10" s="163" t="s">
        <v>64</v>
      </c>
      <c r="F10" s="316" t="s">
        <v>65</v>
      </c>
      <c r="G10" s="373" t="s">
        <v>62</v>
      </c>
      <c r="H10" s="373" t="s">
        <v>63</v>
      </c>
      <c r="I10" s="373" t="s">
        <v>64</v>
      </c>
      <c r="J10" s="644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189247</v>
      </c>
      <c r="H12" s="292">
        <f>29809+2874</f>
        <v>32683</v>
      </c>
      <c r="I12" s="490">
        <f>SUM(G12:H12)</f>
        <v>221930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563" t="s">
        <v>234</v>
      </c>
      <c r="G13" s="292">
        <v>45566</v>
      </c>
      <c r="H13" s="292">
        <f>6724+316</f>
        <v>7040</v>
      </c>
      <c r="I13" s="490">
        <f>SUM(G13:H13)</f>
        <v>52606</v>
      </c>
      <c r="J13" s="194"/>
    </row>
    <row r="14" spans="1:10" x14ac:dyDescent="0.2">
      <c r="A14" s="165">
        <f t="shared" si="0"/>
        <v>4</v>
      </c>
      <c r="B14" s="168" t="s">
        <v>209</v>
      </c>
      <c r="C14" s="119">
        <f>'tám, végl. pe.átv  '!C57</f>
        <v>0</v>
      </c>
      <c r="D14" s="119">
        <f>'tám, végl. pe.átv  '!D57</f>
        <v>6038</v>
      </c>
      <c r="E14" s="120">
        <f t="shared" si="1"/>
        <v>6038</v>
      </c>
      <c r="F14" s="140" t="s">
        <v>235</v>
      </c>
      <c r="G14" s="292">
        <f>153497+201</f>
        <v>153698</v>
      </c>
      <c r="H14" s="292">
        <v>47844</v>
      </c>
      <c r="I14" s="490">
        <f>SUM(G14:H14)</f>
        <v>201542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f>54374+1800</f>
        <v>56174</v>
      </c>
      <c r="D20" s="374">
        <f>47860-1960</f>
        <v>45900</v>
      </c>
      <c r="E20" s="169">
        <f>SUM(C20:D20)</f>
        <v>102074</v>
      </c>
      <c r="F20" s="140" t="s">
        <v>207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1060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1061</v>
      </c>
      <c r="G22" s="299"/>
      <c r="H22" s="299"/>
      <c r="I22" s="492"/>
      <c r="J22" s="639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9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388511</v>
      </c>
      <c r="H24" s="375">
        <f>SUM(H12:H22)</f>
        <v>87567</v>
      </c>
      <c r="I24" s="493">
        <f>SUM(I12:I22)</f>
        <v>476078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299">
        <f>'felhalm. kiad.  '!G128</f>
        <v>8200</v>
      </c>
      <c r="H27" s="299">
        <f>'felhalm. kiad.  '!H128</f>
        <v>0</v>
      </c>
      <c r="I27" s="492">
        <f>SUM(G27:H27)</f>
        <v>8200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9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56174</v>
      </c>
      <c r="D32" s="169">
        <f>D14+D20</f>
        <v>51938</v>
      </c>
      <c r="E32" s="169">
        <f>E14+E20</f>
        <v>108112</v>
      </c>
      <c r="F32" s="140" t="s">
        <v>474</v>
      </c>
      <c r="G32" s="297"/>
      <c r="H32" s="297"/>
      <c r="I32" s="492"/>
      <c r="J32" s="538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8200</v>
      </c>
      <c r="H33" s="376">
        <f>SUM(H27:H32)</f>
        <v>0</v>
      </c>
      <c r="I33" s="494">
        <f>SUM(I27:I31)</f>
        <v>8200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56174</v>
      </c>
      <c r="D34" s="174">
        <f>SUM(D32:D33)</f>
        <v>51938</v>
      </c>
      <c r="E34" s="174">
        <f>SUM(C34:D34)</f>
        <v>108112</v>
      </c>
      <c r="F34" s="180" t="s">
        <v>69</v>
      </c>
      <c r="G34" s="377">
        <f>G24+G33</f>
        <v>396711</v>
      </c>
      <c r="H34" s="377">
        <f>H24+H33</f>
        <v>87567</v>
      </c>
      <c r="I34" s="465">
        <f>I24+I33</f>
        <v>484278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8"/>
    </row>
    <row r="38" spans="1:10" s="11" customFormat="1" x14ac:dyDescent="0.2">
      <c r="A38" s="825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8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8"/>
    </row>
    <row r="40" spans="1:10" s="11" customFormat="1" x14ac:dyDescent="0.2">
      <c r="A40" s="165">
        <f t="shared" si="0"/>
        <v>30</v>
      </c>
      <c r="B40" s="117" t="s">
        <v>1151</v>
      </c>
      <c r="C40" s="127"/>
      <c r="D40" s="127"/>
      <c r="E40" s="127"/>
      <c r="F40" s="564" t="s">
        <v>3</v>
      </c>
      <c r="G40" s="377"/>
      <c r="H40" s="377"/>
      <c r="I40" s="465"/>
      <c r="J40" s="538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62" t="s">
        <v>292</v>
      </c>
      <c r="C43" s="120">
        <v>1595</v>
      </c>
      <c r="D43" s="120"/>
      <c r="E43" s="120">
        <f>C43+D43</f>
        <v>1595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62" t="s">
        <v>1146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62" t="s">
        <v>230</v>
      </c>
      <c r="C48" s="120">
        <f>G24-(C34+C43)</f>
        <v>330742</v>
      </c>
      <c r="D48" s="120">
        <f>H24-(D34+D43)</f>
        <v>35629</v>
      </c>
      <c r="E48" s="120">
        <f>I24-(E34+E43)</f>
        <v>366371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62" t="s">
        <v>231</v>
      </c>
      <c r="C49" s="120">
        <f>G33-C33</f>
        <v>8200</v>
      </c>
      <c r="D49" s="120">
        <f>H33-D33</f>
        <v>0</v>
      </c>
      <c r="E49" s="120">
        <f>I33-E33</f>
        <v>8200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340537</v>
      </c>
      <c r="D53" s="344">
        <f>SUM(D39:D51)</f>
        <v>35629</v>
      </c>
      <c r="E53" s="344">
        <f>SUM(E39:E51)</f>
        <v>376166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396711</v>
      </c>
      <c r="D54" s="313">
        <f>D34+D53</f>
        <v>87567</v>
      </c>
      <c r="E54" s="1049">
        <f>E34+E53</f>
        <v>484278</v>
      </c>
      <c r="F54" s="530" t="s">
        <v>476</v>
      </c>
      <c r="G54" s="531">
        <f>G34+G53</f>
        <v>396711</v>
      </c>
      <c r="H54" s="532">
        <f>H34+H53</f>
        <v>87567</v>
      </c>
      <c r="I54" s="529">
        <f>I34+I53</f>
        <v>484278</v>
      </c>
      <c r="J54" s="298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85546875" style="158" customWidth="1"/>
    <col min="3" max="3" width="11.28515625" style="159" customWidth="1"/>
    <col min="4" max="4" width="13.85546875" style="159" customWidth="1"/>
    <col min="5" max="5" width="13" style="159" customWidth="1"/>
    <col min="6" max="6" width="35.42578125" style="159" customWidth="1"/>
    <col min="7" max="7" width="12.140625" style="297" customWidth="1"/>
    <col min="8" max="8" width="11.42578125" style="297" customWidth="1"/>
    <col min="9" max="9" width="12.85546875" style="297" customWidth="1"/>
    <col min="10" max="10" width="9.140625" style="158"/>
    <col min="11" max="16384" width="9.140625" style="10"/>
  </cols>
  <sheetData>
    <row r="1" spans="1:10" ht="12.75" x14ac:dyDescent="0.2">
      <c r="B1" s="1071" t="s">
        <v>1304</v>
      </c>
      <c r="C1" s="1119"/>
      <c r="D1" s="1119"/>
      <c r="E1" s="1119"/>
      <c r="F1" s="1119"/>
      <c r="G1" s="1119"/>
      <c r="H1" s="1119"/>
      <c r="I1" s="1119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74" t="s">
        <v>78</v>
      </c>
      <c r="C4" s="1074"/>
      <c r="D4" s="1074"/>
      <c r="E4" s="1074"/>
      <c r="F4" s="1074"/>
      <c r="G4" s="1074"/>
      <c r="H4" s="1074"/>
      <c r="I4" s="1074"/>
      <c r="J4" s="161"/>
    </row>
    <row r="5" spans="1:10" s="123" customFormat="1" x14ac:dyDescent="0.2">
      <c r="A5" s="161"/>
      <c r="B5" s="1172" t="s">
        <v>199</v>
      </c>
      <c r="C5" s="1172"/>
      <c r="D5" s="1172"/>
      <c r="E5" s="1172"/>
      <c r="F5" s="1172"/>
      <c r="G5" s="1172"/>
      <c r="H5" s="1172"/>
      <c r="I5" s="1172"/>
      <c r="J5" s="161"/>
    </row>
    <row r="6" spans="1:10" s="123" customFormat="1" x14ac:dyDescent="0.2">
      <c r="A6" s="161"/>
      <c r="B6" s="1074" t="s">
        <v>1007</v>
      </c>
      <c r="C6" s="1074"/>
      <c r="D6" s="1074"/>
      <c r="E6" s="1074"/>
      <c r="F6" s="1074"/>
      <c r="G6" s="1074"/>
      <c r="H6" s="1074"/>
      <c r="I6" s="1074"/>
      <c r="J6" s="161"/>
    </row>
    <row r="7" spans="1:10" s="123" customFormat="1" x14ac:dyDescent="0.2">
      <c r="A7" s="161"/>
      <c r="B7" s="1075" t="s">
        <v>327</v>
      </c>
      <c r="C7" s="1075"/>
      <c r="D7" s="1075"/>
      <c r="E7" s="1075"/>
      <c r="F7" s="1075"/>
      <c r="G7" s="1075"/>
      <c r="H7" s="1075"/>
      <c r="I7" s="1075"/>
      <c r="J7" s="161"/>
    </row>
    <row r="8" spans="1:10" s="123" customFormat="1" ht="12.75" customHeight="1" x14ac:dyDescent="0.2">
      <c r="A8" s="1098" t="s">
        <v>56</v>
      </c>
      <c r="B8" s="1261" t="s">
        <v>57</v>
      </c>
      <c r="C8" s="1096" t="s">
        <v>58</v>
      </c>
      <c r="D8" s="1080"/>
      <c r="E8" s="1263"/>
      <c r="F8" s="1264" t="s">
        <v>59</v>
      </c>
      <c r="G8" s="1093" t="s">
        <v>60</v>
      </c>
      <c r="H8" s="1094"/>
      <c r="I8" s="1094"/>
      <c r="J8" s="637"/>
    </row>
    <row r="9" spans="1:10" s="123" customFormat="1" ht="12.75" customHeight="1" x14ac:dyDescent="0.2">
      <c r="A9" s="1099"/>
      <c r="B9" s="1262"/>
      <c r="C9" s="1073" t="s">
        <v>994</v>
      </c>
      <c r="D9" s="1197"/>
      <c r="E9" s="1266"/>
      <c r="F9" s="1265"/>
      <c r="G9" s="1086" t="s">
        <v>994</v>
      </c>
      <c r="H9" s="1267"/>
      <c r="I9" s="1268"/>
      <c r="J9" s="637"/>
    </row>
    <row r="10" spans="1:10" s="317" customFormat="1" ht="36.6" customHeight="1" x14ac:dyDescent="0.2">
      <c r="A10" s="1100"/>
      <c r="B10" s="315" t="s">
        <v>61</v>
      </c>
      <c r="C10" s="136" t="s">
        <v>62</v>
      </c>
      <c r="D10" s="136" t="s">
        <v>63</v>
      </c>
      <c r="E10" s="136" t="s">
        <v>64</v>
      </c>
      <c r="F10" s="300" t="s">
        <v>65</v>
      </c>
      <c r="G10" s="373" t="s">
        <v>62</v>
      </c>
      <c r="H10" s="373" t="s">
        <v>63</v>
      </c>
      <c r="I10" s="373" t="s">
        <v>64</v>
      </c>
      <c r="J10" s="644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>SUM(C12:D12)</f>
        <v>0</v>
      </c>
      <c r="F12" s="140" t="s">
        <v>233</v>
      </c>
      <c r="G12" s="292">
        <f>98474+452</f>
        <v>98926</v>
      </c>
      <c r="H12" s="292">
        <v>2776</v>
      </c>
      <c r="I12" s="490">
        <f>SUM(G12:H12)</f>
        <v>101702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>SUM(C13:D13)</f>
        <v>0</v>
      </c>
      <c r="F13" s="563" t="s">
        <v>234</v>
      </c>
      <c r="G13" s="292">
        <f>23046+100</f>
        <v>23146</v>
      </c>
      <c r="H13" s="292">
        <v>611</v>
      </c>
      <c r="I13" s="490">
        <f>SUM(G13:H13)</f>
        <v>23757</v>
      </c>
      <c r="J13" s="194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>SUM(C14:D14)</f>
        <v>0</v>
      </c>
      <c r="F14" s="140" t="s">
        <v>235</v>
      </c>
      <c r="G14" s="292">
        <v>14022</v>
      </c>
      <c r="H14" s="292"/>
      <c r="I14" s="490">
        <f>SUM(G14:H14)</f>
        <v>14022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>SUM(C16:D16)</f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>SUM(C18:D18)</f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41</v>
      </c>
      <c r="C20" s="169"/>
      <c r="D20" s="169"/>
      <c r="E20" s="169">
        <f>SUM(C20:D20)</f>
        <v>0</v>
      </c>
      <c r="F20" s="159" t="s">
        <v>1059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1060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1061</v>
      </c>
      <c r="G22" s="299"/>
      <c r="H22" s="299"/>
      <c r="I22" s="492"/>
      <c r="J22" s="639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9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136094</v>
      </c>
      <c r="H24" s="375">
        <f>SUM(H12:H22)</f>
        <v>3387</v>
      </c>
      <c r="I24" s="493">
        <f>SUM(I12:I22)</f>
        <v>139481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244</v>
      </c>
      <c r="G27" s="299">
        <f>'felhalm. kiad.  '!G146</f>
        <v>500</v>
      </c>
      <c r="H27" s="299">
        <f>'felhalm. kiad.  '!H146</f>
        <v>0</v>
      </c>
      <c r="I27" s="492">
        <f>SUM(G27:H27)</f>
        <v>500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9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0</v>
      </c>
      <c r="D32" s="169">
        <f>D14+D20</f>
        <v>0</v>
      </c>
      <c r="E32" s="169">
        <f>E14+E20</f>
        <v>0</v>
      </c>
      <c r="F32" s="140" t="s">
        <v>474</v>
      </c>
      <c r="G32" s="297"/>
      <c r="H32" s="297"/>
      <c r="I32" s="492"/>
      <c r="J32" s="538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500</v>
      </c>
      <c r="H33" s="376">
        <f>SUM(H27:H32)</f>
        <v>0</v>
      </c>
      <c r="I33" s="494">
        <f>SUM(I27:I31)</f>
        <v>500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0</v>
      </c>
      <c r="D34" s="174">
        <f>SUM(D32:D33)</f>
        <v>0</v>
      </c>
      <c r="E34" s="174">
        <f>SUM(C34:D34)</f>
        <v>0</v>
      </c>
      <c r="F34" s="180" t="s">
        <v>69</v>
      </c>
      <c r="G34" s="377">
        <f>G24+G33</f>
        <v>136594</v>
      </c>
      <c r="H34" s="377">
        <f>H24+H33</f>
        <v>3387</v>
      </c>
      <c r="I34" s="465">
        <f>I24+I33</f>
        <v>139981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8"/>
    </row>
    <row r="38" spans="1:10" s="11" customFormat="1" x14ac:dyDescent="0.2">
      <c r="A38" s="825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8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8"/>
    </row>
    <row r="40" spans="1:10" s="11" customFormat="1" x14ac:dyDescent="0.2">
      <c r="A40" s="165">
        <f t="shared" si="0"/>
        <v>30</v>
      </c>
      <c r="B40" s="117" t="s">
        <v>1152</v>
      </c>
      <c r="C40" s="127"/>
      <c r="D40" s="127"/>
      <c r="E40" s="127"/>
      <c r="F40" s="564" t="s">
        <v>3</v>
      </c>
      <c r="G40" s="377"/>
      <c r="H40" s="377"/>
      <c r="I40" s="465"/>
      <c r="J40" s="538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62" t="s">
        <v>226</v>
      </c>
      <c r="C43" s="120">
        <v>28</v>
      </c>
      <c r="D43" s="120"/>
      <c r="E43" s="120">
        <f>C43+D43</f>
        <v>28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62" t="s">
        <v>1146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62" t="s">
        <v>230</v>
      </c>
      <c r="C48" s="120">
        <f>G24-(C34+C43)</f>
        <v>136066</v>
      </c>
      <c r="D48" s="120">
        <f>H24-(D34+D43)</f>
        <v>3387</v>
      </c>
      <c r="E48" s="120">
        <f>I24-(E34+E43)</f>
        <v>139453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62" t="s">
        <v>231</v>
      </c>
      <c r="C49" s="120">
        <f>G33-C33</f>
        <v>500</v>
      </c>
      <c r="D49" s="120"/>
      <c r="E49" s="120">
        <f>I33-E33</f>
        <v>500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136594</v>
      </c>
      <c r="D53" s="344">
        <f>SUM(D39:D51)</f>
        <v>3387</v>
      </c>
      <c r="E53" s="344">
        <f>SUM(E39:E51)</f>
        <v>139981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136594</v>
      </c>
      <c r="D54" s="340">
        <f>D34+D53</f>
        <v>3387</v>
      </c>
      <c r="E54" s="341">
        <f>E34+E53</f>
        <v>139981</v>
      </c>
      <c r="F54" s="530" t="s">
        <v>476</v>
      </c>
      <c r="G54" s="379">
        <f>G34+G53</f>
        <v>136594</v>
      </c>
      <c r="H54" s="380">
        <f>H34+H53</f>
        <v>3387</v>
      </c>
      <c r="I54" s="379">
        <f>I34+I53</f>
        <v>139981</v>
      </c>
      <c r="J54" s="10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41.85546875" style="158" customWidth="1"/>
    <col min="3" max="3" width="10.140625" style="159" customWidth="1"/>
    <col min="4" max="4" width="11.140625" style="159" customWidth="1"/>
    <col min="5" max="5" width="11.28515625" style="159" customWidth="1"/>
    <col min="6" max="6" width="32.42578125" style="159" customWidth="1"/>
    <col min="7" max="7" width="11.5703125" style="159" customWidth="1"/>
    <col min="8" max="8" width="14.7109375" style="159" customWidth="1"/>
    <col min="9" max="9" width="14.5703125" style="159" customWidth="1"/>
    <col min="10" max="25" width="9.140625" style="158"/>
    <col min="26" max="16384" width="9.140625" style="10"/>
  </cols>
  <sheetData>
    <row r="1" spans="1:25" ht="12.75" customHeight="1" x14ac:dyDescent="0.2">
      <c r="B1" s="1071" t="s">
        <v>1290</v>
      </c>
      <c r="C1" s="1071"/>
      <c r="D1" s="1071"/>
      <c r="E1" s="1071"/>
      <c r="F1" s="1071"/>
      <c r="G1" s="1071"/>
      <c r="H1" s="1071"/>
      <c r="I1" s="1071"/>
      <c r="J1" s="776"/>
    </row>
    <row r="2" spans="1:25" x14ac:dyDescent="0.2">
      <c r="B2" s="601"/>
      <c r="I2" s="160"/>
    </row>
    <row r="3" spans="1:25" s="123" customFormat="1" x14ac:dyDescent="0.2">
      <c r="A3" s="161"/>
      <c r="B3" s="1074" t="s">
        <v>54</v>
      </c>
      <c r="C3" s="1074"/>
      <c r="D3" s="1074"/>
      <c r="E3" s="1074"/>
      <c r="F3" s="1074"/>
      <c r="G3" s="1074"/>
      <c r="H3" s="1074"/>
      <c r="I3" s="1074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23" customFormat="1" x14ac:dyDescent="0.2">
      <c r="A4" s="161"/>
      <c r="B4" s="1074" t="s">
        <v>995</v>
      </c>
      <c r="C4" s="1074"/>
      <c r="D4" s="1074"/>
      <c r="E4" s="1074"/>
      <c r="F4" s="1074"/>
      <c r="G4" s="1074"/>
      <c r="H4" s="1074"/>
      <c r="I4" s="1074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23" customFormat="1" ht="12.75" customHeight="1" x14ac:dyDescent="0.2">
      <c r="A5" s="1087" t="s">
        <v>332</v>
      </c>
      <c r="B5" s="1087"/>
      <c r="C5" s="1087"/>
      <c r="D5" s="1087"/>
      <c r="E5" s="1087"/>
      <c r="F5" s="1087"/>
      <c r="G5" s="1087"/>
      <c r="H5" s="1087"/>
      <c r="I5" s="1087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5" s="123" customFormat="1" ht="12.75" customHeight="1" x14ac:dyDescent="0.2">
      <c r="A6" s="1088" t="s">
        <v>56</v>
      </c>
      <c r="B6" s="1089" t="s">
        <v>57</v>
      </c>
      <c r="C6" s="1090" t="s">
        <v>58</v>
      </c>
      <c r="D6" s="1090"/>
      <c r="E6" s="1091"/>
      <c r="F6" s="1092" t="s">
        <v>59</v>
      </c>
      <c r="G6" s="1093" t="s">
        <v>60</v>
      </c>
      <c r="H6" s="1094"/>
      <c r="I6" s="1094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25" s="123" customFormat="1" ht="12.75" customHeight="1" x14ac:dyDescent="0.2">
      <c r="A7" s="1088"/>
      <c r="B7" s="1089"/>
      <c r="C7" s="1085" t="s">
        <v>994</v>
      </c>
      <c r="D7" s="1085"/>
      <c r="E7" s="1086"/>
      <c r="F7" s="1092"/>
      <c r="G7" s="1085" t="s">
        <v>994</v>
      </c>
      <c r="H7" s="1085"/>
      <c r="I7" s="1086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25" s="124" customFormat="1" ht="36.6" customHeight="1" x14ac:dyDescent="0.2">
      <c r="A8" s="1088"/>
      <c r="B8" s="973" t="s">
        <v>61</v>
      </c>
      <c r="C8" s="974" t="s">
        <v>62</v>
      </c>
      <c r="D8" s="974" t="s">
        <v>63</v>
      </c>
      <c r="E8" s="975" t="s">
        <v>64</v>
      </c>
      <c r="F8" s="976" t="s">
        <v>65</v>
      </c>
      <c r="G8" s="373" t="s">
        <v>62</v>
      </c>
      <c r="H8" s="373" t="s">
        <v>63</v>
      </c>
      <c r="I8" s="373" t="s">
        <v>64</v>
      </c>
      <c r="J8" s="620"/>
      <c r="K8" s="191"/>
      <c r="L8" s="191"/>
      <c r="M8" s="191"/>
      <c r="N8" s="191"/>
      <c r="O8" s="191"/>
      <c r="P8" s="191"/>
      <c r="Q8" s="191"/>
      <c r="R8" s="191"/>
      <c r="S8" s="191"/>
    </row>
    <row r="9" spans="1:25" ht="11.45" customHeight="1" x14ac:dyDescent="0.2">
      <c r="A9" s="977">
        <v>1</v>
      </c>
      <c r="B9" s="978" t="s">
        <v>24</v>
      </c>
      <c r="C9" s="979"/>
      <c r="D9" s="979"/>
      <c r="E9" s="979"/>
      <c r="F9" s="980" t="s">
        <v>25</v>
      </c>
      <c r="G9" s="378"/>
      <c r="H9" s="378"/>
      <c r="I9" s="489"/>
      <c r="J9" s="185"/>
      <c r="T9" s="10"/>
      <c r="U9" s="10"/>
      <c r="V9" s="10"/>
      <c r="W9" s="10"/>
      <c r="X9" s="10"/>
      <c r="Y9" s="10"/>
    </row>
    <row r="10" spans="1:25" x14ac:dyDescent="0.2">
      <c r="A10" s="977">
        <f>A9+1</f>
        <v>2</v>
      </c>
      <c r="B10" s="81" t="s">
        <v>35</v>
      </c>
      <c r="C10" s="304"/>
      <c r="D10" s="304"/>
      <c r="E10" s="292">
        <f>SUM(C10:D10)</f>
        <v>0</v>
      </c>
      <c r="F10" s="523" t="s">
        <v>26</v>
      </c>
      <c r="G10" s="292">
        <f>Össz.önkor.mérleg.!G10</f>
        <v>575919</v>
      </c>
      <c r="H10" s="292">
        <f>Össz.önkor.mérleg.!H10</f>
        <v>303625</v>
      </c>
      <c r="I10" s="491">
        <f>Össz.önkor.mérleg.!I10</f>
        <v>879544</v>
      </c>
      <c r="J10" s="185"/>
      <c r="T10" s="10"/>
      <c r="U10" s="10"/>
      <c r="V10" s="10"/>
      <c r="W10" s="10"/>
      <c r="X10" s="10"/>
      <c r="Y10" s="10"/>
    </row>
    <row r="11" spans="1:25" x14ac:dyDescent="0.2">
      <c r="A11" s="977">
        <f t="shared" ref="A11:A45" si="0">A10+1</f>
        <v>3</v>
      </c>
      <c r="B11" s="81" t="s">
        <v>36</v>
      </c>
      <c r="C11" s="304">
        <f>Össz.önkor.mérleg.!C11</f>
        <v>661664</v>
      </c>
      <c r="D11" s="304">
        <f>Össz.önkor.mérleg.!D11</f>
        <v>84418</v>
      </c>
      <c r="E11" s="304">
        <f>Össz.önkor.mérleg.!E11</f>
        <v>746082</v>
      </c>
      <c r="F11" s="523" t="s">
        <v>27</v>
      </c>
      <c r="G11" s="292">
        <f>Össz.önkor.mérleg.!G11</f>
        <v>144933</v>
      </c>
      <c r="H11" s="292">
        <f>Össz.önkor.mérleg.!H11</f>
        <v>75478</v>
      </c>
      <c r="I11" s="491">
        <f>Össz.önkor.mérleg.!I11</f>
        <v>220411</v>
      </c>
      <c r="J11" s="185"/>
      <c r="T11" s="10"/>
      <c r="U11" s="10"/>
      <c r="V11" s="10"/>
      <c r="W11" s="10"/>
      <c r="X11" s="10"/>
      <c r="Y11" s="10"/>
    </row>
    <row r="12" spans="1:25" x14ac:dyDescent="0.2">
      <c r="A12" s="977">
        <f t="shared" si="0"/>
        <v>4</v>
      </c>
      <c r="B12" s="81" t="s">
        <v>1064</v>
      </c>
      <c r="C12" s="304">
        <f>Össz.önkor.mérleg.!C12</f>
        <v>0</v>
      </c>
      <c r="D12" s="304">
        <f>Össz.önkor.mérleg.!D12</f>
        <v>36</v>
      </c>
      <c r="E12" s="304">
        <f>Össz.önkor.mérleg.!E12</f>
        <v>36</v>
      </c>
      <c r="F12" s="523" t="s">
        <v>29</v>
      </c>
      <c r="G12" s="292">
        <f>Össz.önkor.mérleg.!G12</f>
        <v>480430</v>
      </c>
      <c r="H12" s="292">
        <f>Össz.önkor.mérleg.!H12</f>
        <v>488139</v>
      </c>
      <c r="I12" s="491">
        <f>Össz.önkor.mérleg.!I12</f>
        <v>968569</v>
      </c>
      <c r="J12" s="185"/>
      <c r="T12" s="10"/>
      <c r="U12" s="10"/>
      <c r="V12" s="10"/>
      <c r="W12" s="10"/>
      <c r="X12" s="10"/>
      <c r="Y12" s="10"/>
    </row>
    <row r="13" spans="1:25" ht="12" customHeight="1" x14ac:dyDescent="0.2">
      <c r="A13" s="977">
        <f t="shared" si="0"/>
        <v>5</v>
      </c>
      <c r="B13" s="81" t="s">
        <v>37</v>
      </c>
      <c r="C13" s="304">
        <f>Össz.önkor.mérleg.!C13</f>
        <v>72303</v>
      </c>
      <c r="D13" s="304">
        <f>Össz.önkor.mérleg.!D13</f>
        <v>15736</v>
      </c>
      <c r="E13" s="304">
        <f>Össz.önkor.mérleg.!E13</f>
        <v>88039</v>
      </c>
      <c r="F13" s="523"/>
      <c r="G13" s="292">
        <f>Össz.önkor.mérleg.!G13</f>
        <v>0</v>
      </c>
      <c r="H13" s="304"/>
      <c r="I13" s="490"/>
      <c r="J13" s="185"/>
      <c r="T13" s="10"/>
      <c r="U13" s="10"/>
      <c r="V13" s="10"/>
      <c r="W13" s="10"/>
      <c r="X13" s="10"/>
      <c r="Y13" s="10"/>
    </row>
    <row r="14" spans="1:25" x14ac:dyDescent="0.2">
      <c r="A14" s="977">
        <f t="shared" si="0"/>
        <v>6</v>
      </c>
      <c r="B14" s="81" t="s">
        <v>39</v>
      </c>
      <c r="C14" s="304">
        <f>Össz.önkor.mérleg.!C16</f>
        <v>576268</v>
      </c>
      <c r="D14" s="304">
        <f>Össz.önkor.mérleg.!D16</f>
        <v>659052</v>
      </c>
      <c r="E14" s="304">
        <f>Össz.önkor.mérleg.!E16</f>
        <v>1235320</v>
      </c>
      <c r="F14" s="523" t="s">
        <v>28</v>
      </c>
      <c r="G14" s="292">
        <f>Össz.önkor.mérleg.!G14</f>
        <v>350</v>
      </c>
      <c r="H14" s="292">
        <f>Össz.önkor.mérleg.!H14</f>
        <v>13750</v>
      </c>
      <c r="I14" s="491">
        <f>Össz.önkor.mérleg.!I14</f>
        <v>14100</v>
      </c>
      <c r="J14" s="185"/>
      <c r="T14" s="10"/>
      <c r="U14" s="10"/>
      <c r="V14" s="10"/>
      <c r="W14" s="10"/>
      <c r="X14" s="10"/>
      <c r="Y14" s="10"/>
    </row>
    <row r="15" spans="1:25" x14ac:dyDescent="0.2">
      <c r="A15" s="977">
        <f t="shared" si="0"/>
        <v>7</v>
      </c>
      <c r="B15" s="81"/>
      <c r="C15" s="304"/>
      <c r="D15" s="304"/>
      <c r="E15" s="292"/>
      <c r="F15" s="523" t="s">
        <v>30</v>
      </c>
      <c r="G15" s="292">
        <f>Össz.önkor.mérleg.!G15</f>
        <v>0</v>
      </c>
      <c r="H15" s="299"/>
      <c r="I15" s="490"/>
      <c r="J15" s="185"/>
      <c r="T15" s="10"/>
      <c r="U15" s="10"/>
      <c r="V15" s="10"/>
      <c r="W15" s="10"/>
      <c r="X15" s="10"/>
      <c r="Y15" s="10"/>
    </row>
    <row r="16" spans="1:25" x14ac:dyDescent="0.2">
      <c r="A16" s="977">
        <f t="shared" si="0"/>
        <v>8</v>
      </c>
      <c r="B16" s="80" t="s">
        <v>41</v>
      </c>
      <c r="C16" s="374">
        <f>Össz.önkor.mérleg.!C19</f>
        <v>164294</v>
      </c>
      <c r="D16" s="374">
        <f>Össz.önkor.mérleg.!D19</f>
        <v>190962</v>
      </c>
      <c r="E16" s="374">
        <f>Össz.önkor.mérleg.!E19</f>
        <v>355256</v>
      </c>
      <c r="F16" s="523" t="s">
        <v>480</v>
      </c>
      <c r="G16" s="292">
        <f>Össz.önkor.mérleg.!G16</f>
        <v>8000</v>
      </c>
      <c r="H16" s="292">
        <f>Össz.önkor.mérleg.!H16</f>
        <v>52874</v>
      </c>
      <c r="I16" s="491">
        <f>Össz.önkor.mérleg.!I16</f>
        <v>60874</v>
      </c>
      <c r="J16" s="185"/>
      <c r="T16" s="10"/>
      <c r="U16" s="10"/>
      <c r="V16" s="10"/>
      <c r="W16" s="10"/>
      <c r="X16" s="10"/>
      <c r="Y16" s="10"/>
    </row>
    <row r="17" spans="1:25" x14ac:dyDescent="0.2">
      <c r="A17" s="977">
        <f t="shared" si="0"/>
        <v>9</v>
      </c>
      <c r="B17" s="935" t="s">
        <v>40</v>
      </c>
      <c r="C17" s="374"/>
      <c r="D17" s="374"/>
      <c r="E17" s="374"/>
      <c r="F17" s="523" t="s">
        <v>479</v>
      </c>
      <c r="G17" s="292">
        <f>Össz.önkor.mérleg.!G17</f>
        <v>314149</v>
      </c>
      <c r="H17" s="292">
        <f>Össz.önkor.mérleg.!H17</f>
        <v>35901</v>
      </c>
      <c r="I17" s="491">
        <f>Össz.önkor.mérleg.!I17</f>
        <v>350050</v>
      </c>
      <c r="J17" s="185"/>
      <c r="T17" s="10"/>
      <c r="U17" s="10"/>
      <c r="V17" s="10"/>
      <c r="W17" s="10"/>
      <c r="X17" s="10"/>
      <c r="Y17" s="10"/>
    </row>
    <row r="18" spans="1:25" x14ac:dyDescent="0.2">
      <c r="A18" s="977">
        <f t="shared" si="0"/>
        <v>10</v>
      </c>
      <c r="B18" s="935"/>
      <c r="C18" s="374"/>
      <c r="D18" s="374"/>
      <c r="E18" s="374"/>
      <c r="F18" s="523" t="s">
        <v>207</v>
      </c>
      <c r="G18" s="292">
        <f>Össz.önkor.mérleg.!G18</f>
        <v>451</v>
      </c>
      <c r="H18" s="292">
        <f>Össz.önkor.mérleg.!H18</f>
        <v>36</v>
      </c>
      <c r="I18" s="292">
        <f>Össz.önkor.mérleg.!I18</f>
        <v>487</v>
      </c>
      <c r="J18" s="185"/>
      <c r="T18" s="10"/>
      <c r="U18" s="10"/>
      <c r="V18" s="10"/>
      <c r="W18" s="10"/>
      <c r="X18" s="10"/>
      <c r="Y18" s="10"/>
    </row>
    <row r="19" spans="1:25" x14ac:dyDescent="0.2">
      <c r="A19" s="977">
        <f t="shared" si="0"/>
        <v>11</v>
      </c>
      <c r="B19" s="10" t="s">
        <v>50</v>
      </c>
      <c r="C19" s="297">
        <f>Össz.önkor.mérleg.!C28</f>
        <v>0</v>
      </c>
      <c r="D19" s="297">
        <f>Össz.önkor.mérleg.!D28</f>
        <v>2134</v>
      </c>
      <c r="E19" s="297">
        <f>Össz.önkor.mérleg.!E28</f>
        <v>2134</v>
      </c>
      <c r="F19" s="523" t="s">
        <v>472</v>
      </c>
      <c r="G19" s="292">
        <f>Össz.önkor.mérleg.!G19</f>
        <v>0</v>
      </c>
      <c r="H19" s="292">
        <f>Össz.önkor.mérleg.!H19</f>
        <v>30817</v>
      </c>
      <c r="I19" s="491">
        <f>Össz.önkor.mérleg.!I19</f>
        <v>30817</v>
      </c>
      <c r="J19" s="185"/>
      <c r="T19" s="10"/>
      <c r="U19" s="10"/>
      <c r="V19" s="10"/>
      <c r="W19" s="10"/>
      <c r="X19" s="10"/>
      <c r="Y19" s="10"/>
    </row>
    <row r="20" spans="1:25" x14ac:dyDescent="0.2">
      <c r="A20" s="977">
        <f t="shared" si="0"/>
        <v>12</v>
      </c>
      <c r="B20" s="10"/>
      <c r="C20" s="374"/>
      <c r="D20" s="374"/>
      <c r="E20" s="374"/>
      <c r="F20" s="523" t="s">
        <v>473</v>
      </c>
      <c r="G20" s="292">
        <f>Össz.önkor.mérleg.!G20</f>
        <v>5909</v>
      </c>
      <c r="H20" s="292">
        <f>Össz.önkor.mérleg.!H20</f>
        <v>0</v>
      </c>
      <c r="I20" s="491">
        <f>Össz.önkor.mérleg.!I20</f>
        <v>5909</v>
      </c>
      <c r="J20" s="185"/>
      <c r="T20" s="10"/>
      <c r="U20" s="10"/>
      <c r="V20" s="10"/>
      <c r="W20" s="10"/>
      <c r="X20" s="10"/>
      <c r="Y20" s="10"/>
    </row>
    <row r="21" spans="1:25" x14ac:dyDescent="0.2">
      <c r="A21" s="977">
        <f t="shared" si="0"/>
        <v>13</v>
      </c>
      <c r="B21" s="10"/>
      <c r="C21" s="374"/>
      <c r="D21" s="374"/>
      <c r="E21" s="374"/>
      <c r="F21" s="523"/>
      <c r="G21" s="292"/>
      <c r="H21" s="299"/>
      <c r="I21" s="490"/>
      <c r="J21" s="185"/>
      <c r="T21" s="10"/>
      <c r="U21" s="10"/>
      <c r="V21" s="10"/>
      <c r="W21" s="10"/>
      <c r="X21" s="10"/>
      <c r="Y21" s="10"/>
    </row>
    <row r="22" spans="1:25" s="125" customFormat="1" x14ac:dyDescent="0.2">
      <c r="A22" s="977">
        <f t="shared" si="0"/>
        <v>14</v>
      </c>
      <c r="B22" s="12" t="s">
        <v>52</v>
      </c>
      <c r="C22" s="981">
        <f>SUM(C11:C20)</f>
        <v>1474529</v>
      </c>
      <c r="D22" s="981">
        <f>SUM(D11:D20)</f>
        <v>952338</v>
      </c>
      <c r="E22" s="981">
        <f>SUM(E11:E20)</f>
        <v>2426867</v>
      </c>
      <c r="F22" s="966" t="s">
        <v>66</v>
      </c>
      <c r="G22" s="375">
        <f>SUM(G10:G21)</f>
        <v>1530141</v>
      </c>
      <c r="H22" s="375">
        <f>SUM(H10:H21)</f>
        <v>1000620</v>
      </c>
      <c r="I22" s="493">
        <f>SUM(I10:I21)</f>
        <v>2530761</v>
      </c>
      <c r="J22" s="561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25" s="125" customFormat="1" x14ac:dyDescent="0.2">
      <c r="A23" s="977">
        <f t="shared" si="0"/>
        <v>15</v>
      </c>
      <c r="B23" s="10"/>
      <c r="C23" s="374"/>
      <c r="D23" s="374"/>
      <c r="E23" s="374"/>
      <c r="F23" s="636"/>
      <c r="G23" s="299"/>
      <c r="H23" s="299"/>
      <c r="I23" s="492"/>
      <c r="J23" s="561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1:25" x14ac:dyDescent="0.2">
      <c r="A24" s="977">
        <f t="shared" si="0"/>
        <v>16</v>
      </c>
      <c r="B24" s="982" t="s">
        <v>51</v>
      </c>
      <c r="C24" s="965">
        <f>SUM(C22:C23)</f>
        <v>1474529</v>
      </c>
      <c r="D24" s="965">
        <f>SUM(D22:D23)</f>
        <v>952338</v>
      </c>
      <c r="E24" s="965">
        <f>SUM(E22:E23)</f>
        <v>2426867</v>
      </c>
      <c r="F24" s="969" t="s">
        <v>69</v>
      </c>
      <c r="G24" s="193">
        <f>SUM(G22:G23)</f>
        <v>1530141</v>
      </c>
      <c r="H24" s="193">
        <f>SUM(H22:H23)</f>
        <v>1000620</v>
      </c>
      <c r="I24" s="465">
        <f>SUM(I22:I23)</f>
        <v>2530761</v>
      </c>
      <c r="J24" s="185"/>
      <c r="T24" s="10"/>
      <c r="U24" s="10"/>
      <c r="V24" s="10"/>
      <c r="W24" s="10"/>
      <c r="X24" s="10"/>
      <c r="Y24" s="10"/>
    </row>
    <row r="25" spans="1:25" x14ac:dyDescent="0.2">
      <c r="A25" s="977">
        <f t="shared" si="0"/>
        <v>17</v>
      </c>
      <c r="B25" s="81"/>
      <c r="C25" s="374"/>
      <c r="D25" s="374"/>
      <c r="E25" s="374"/>
      <c r="F25" s="636"/>
      <c r="G25" s="299"/>
      <c r="H25" s="299"/>
      <c r="I25" s="492"/>
      <c r="J25" s="185"/>
      <c r="T25" s="10"/>
      <c r="U25" s="10"/>
      <c r="V25" s="10"/>
      <c r="W25" s="10"/>
      <c r="X25" s="10"/>
      <c r="Y25" s="10"/>
    </row>
    <row r="26" spans="1:25" x14ac:dyDescent="0.2">
      <c r="A26" s="983">
        <f t="shared" si="0"/>
        <v>18</v>
      </c>
      <c r="B26" s="984" t="s">
        <v>679</v>
      </c>
      <c r="C26" s="671">
        <f>C24-G45</f>
        <v>-79638</v>
      </c>
      <c r="D26" s="671">
        <f>D24-H45</f>
        <v>-51344</v>
      </c>
      <c r="E26" s="985">
        <f>E24-I45</f>
        <v>-130982</v>
      </c>
      <c r="F26" s="967"/>
      <c r="G26" s="377"/>
      <c r="H26" s="377"/>
      <c r="I26" s="492"/>
      <c r="J26" s="185"/>
      <c r="T26" s="10"/>
      <c r="U26" s="10"/>
      <c r="V26" s="10"/>
      <c r="W26" s="10"/>
      <c r="X26" s="10"/>
      <c r="Y26" s="10"/>
    </row>
    <row r="27" spans="1:25" x14ac:dyDescent="0.2">
      <c r="A27" s="983">
        <f t="shared" si="0"/>
        <v>19</v>
      </c>
      <c r="B27" s="81"/>
      <c r="C27" s="292"/>
      <c r="D27" s="292"/>
      <c r="E27" s="292"/>
      <c r="F27" s="523"/>
      <c r="G27" s="299"/>
      <c r="H27" s="299"/>
      <c r="I27" s="492"/>
      <c r="J27" s="185"/>
      <c r="T27" s="10"/>
      <c r="U27" s="10"/>
      <c r="V27" s="10"/>
      <c r="W27" s="10"/>
      <c r="X27" s="10"/>
      <c r="Y27" s="10"/>
    </row>
    <row r="28" spans="1:25" x14ac:dyDescent="0.2">
      <c r="A28" s="983">
        <f t="shared" si="0"/>
        <v>20</v>
      </c>
      <c r="B28" s="671" t="s">
        <v>53</v>
      </c>
      <c r="C28" s="671"/>
      <c r="D28" s="671"/>
      <c r="E28" s="671"/>
      <c r="F28" s="967" t="s">
        <v>33</v>
      </c>
      <c r="G28" s="299"/>
      <c r="H28" s="299"/>
      <c r="I28" s="492"/>
      <c r="J28" s="185"/>
      <c r="T28" s="10"/>
      <c r="U28" s="10"/>
      <c r="V28" s="10"/>
      <c r="W28" s="10"/>
      <c r="X28" s="10"/>
      <c r="Y28" s="10"/>
    </row>
    <row r="29" spans="1:25" s="125" customFormat="1" x14ac:dyDescent="0.2">
      <c r="A29" s="983">
        <f t="shared" si="0"/>
        <v>21</v>
      </c>
      <c r="B29" s="986" t="s">
        <v>738</v>
      </c>
      <c r="C29" s="671"/>
      <c r="D29" s="671"/>
      <c r="E29" s="671"/>
      <c r="F29" s="970" t="s">
        <v>4</v>
      </c>
      <c r="G29" s="299"/>
      <c r="H29" s="299"/>
      <c r="I29" s="492"/>
      <c r="J29" s="561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5" ht="21.75" x14ac:dyDescent="0.2">
      <c r="A30" s="983">
        <f t="shared" si="0"/>
        <v>22</v>
      </c>
      <c r="B30" s="1054" t="s">
        <v>1253</v>
      </c>
      <c r="C30" s="292">
        <f>Össz.önkor.mérleg.!C39</f>
        <v>1243160</v>
      </c>
      <c r="D30" s="292">
        <f>Össz.önkor.mérleg.!D39</f>
        <v>0</v>
      </c>
      <c r="E30" s="292">
        <f>Össz.önkor.mérleg.!E39</f>
        <v>1243160</v>
      </c>
      <c r="F30" s="194" t="s">
        <v>3</v>
      </c>
      <c r="G30" s="299"/>
      <c r="H30" s="299"/>
      <c r="I30" s="492"/>
      <c r="J30" s="185"/>
      <c r="T30" s="10"/>
      <c r="U30" s="10"/>
      <c r="V30" s="10"/>
      <c r="W30" s="10"/>
      <c r="X30" s="10"/>
      <c r="Y30" s="10"/>
    </row>
    <row r="31" spans="1:25" x14ac:dyDescent="0.2">
      <c r="A31" s="983">
        <f t="shared" si="0"/>
        <v>23</v>
      </c>
      <c r="B31" s="10" t="s">
        <v>1251</v>
      </c>
      <c r="C31" s="671">
        <f>-997160-244511-1489</f>
        <v>-1243160</v>
      </c>
      <c r="D31" s="671"/>
      <c r="E31" s="292">
        <f>C31+D31</f>
        <v>-1243160</v>
      </c>
      <c r="F31" s="194"/>
      <c r="G31" s="299"/>
      <c r="H31" s="299"/>
      <c r="I31" s="492"/>
      <c r="J31" s="185"/>
      <c r="T31" s="10"/>
      <c r="U31" s="10"/>
      <c r="V31" s="10"/>
      <c r="W31" s="10"/>
      <c r="X31" s="10"/>
      <c r="Y31" s="10"/>
    </row>
    <row r="32" spans="1:25" s="11" customFormat="1" x14ac:dyDescent="0.2">
      <c r="A32" s="983">
        <f t="shared" si="0"/>
        <v>24</v>
      </c>
      <c r="B32" s="304" t="s">
        <v>687</v>
      </c>
      <c r="C32" s="971"/>
      <c r="D32" s="972"/>
      <c r="E32" s="972">
        <f>SUM(C32:D32)</f>
        <v>0</v>
      </c>
      <c r="F32" s="523" t="s">
        <v>5</v>
      </c>
      <c r="G32" s="297"/>
      <c r="H32" s="297"/>
      <c r="I32" s="492"/>
      <c r="J32" s="539"/>
      <c r="K32" s="184"/>
      <c r="L32" s="184"/>
      <c r="M32" s="184"/>
      <c r="N32" s="184"/>
      <c r="O32" s="184"/>
      <c r="P32" s="184"/>
      <c r="Q32" s="184"/>
      <c r="R32" s="184"/>
      <c r="S32" s="184"/>
    </row>
    <row r="33" spans="1:25" x14ac:dyDescent="0.2">
      <c r="A33" s="983">
        <f t="shared" si="0"/>
        <v>25</v>
      </c>
      <c r="B33" s="304" t="s">
        <v>739</v>
      </c>
      <c r="C33" s="292"/>
      <c r="D33" s="292"/>
      <c r="E33" s="292"/>
      <c r="F33" s="523" t="s">
        <v>6</v>
      </c>
      <c r="G33" s="376"/>
      <c r="H33" s="376"/>
      <c r="I33" s="494"/>
      <c r="J33" s="185"/>
      <c r="T33" s="10"/>
      <c r="U33" s="10"/>
      <c r="V33" s="10"/>
      <c r="W33" s="10"/>
      <c r="X33" s="10"/>
      <c r="Y33" s="10"/>
    </row>
    <row r="34" spans="1:25" x14ac:dyDescent="0.2">
      <c r="A34" s="983">
        <f t="shared" si="0"/>
        <v>26</v>
      </c>
      <c r="B34" s="304" t="s">
        <v>689</v>
      </c>
      <c r="C34" s="292">
        <f>Össz.önkor.mérleg.!C42</f>
        <v>648582</v>
      </c>
      <c r="D34" s="292">
        <f>Össz.önkor.mérleg.!D42</f>
        <v>115463</v>
      </c>
      <c r="E34" s="292">
        <f>SUM(C34:D34)</f>
        <v>764045</v>
      </c>
      <c r="F34" s="523" t="s">
        <v>7</v>
      </c>
      <c r="G34" s="377"/>
      <c r="H34" s="377"/>
      <c r="I34" s="465"/>
      <c r="J34" s="185"/>
      <c r="T34" s="10"/>
      <c r="U34" s="10"/>
      <c r="V34" s="10"/>
      <c r="W34" s="10"/>
      <c r="X34" s="10"/>
      <c r="Y34" s="10"/>
    </row>
    <row r="35" spans="1:25" x14ac:dyDescent="0.2">
      <c r="A35" s="983">
        <f t="shared" si="0"/>
        <v>27</v>
      </c>
      <c r="B35" s="304" t="s">
        <v>1146</v>
      </c>
      <c r="C35" s="292">
        <f>Össz.önkor.mérleg.!C43</f>
        <v>0</v>
      </c>
      <c r="D35" s="292">
        <f>Össz.önkor.mérleg.!D43</f>
        <v>355</v>
      </c>
      <c r="E35" s="292">
        <f>Össz.önkor.mérleg.!E43</f>
        <v>355</v>
      </c>
      <c r="F35" s="523"/>
      <c r="G35" s="377"/>
      <c r="H35" s="377"/>
      <c r="I35" s="465"/>
      <c r="J35" s="185"/>
      <c r="T35" s="10"/>
      <c r="U35" s="10"/>
      <c r="V35" s="10"/>
      <c r="W35" s="10"/>
      <c r="X35" s="10"/>
      <c r="Y35" s="10"/>
    </row>
    <row r="36" spans="1:25" x14ac:dyDescent="0.2">
      <c r="A36" s="983">
        <f t="shared" si="0"/>
        <v>28</v>
      </c>
      <c r="B36" s="80" t="s">
        <v>688</v>
      </c>
      <c r="C36" s="292">
        <f>-'felhalm. mérleg'!C33</f>
        <v>-568944</v>
      </c>
      <c r="D36" s="292">
        <f>-'felhalm. mérleg'!D33</f>
        <v>-64474.119999999995</v>
      </c>
      <c r="E36" s="292">
        <f>-'felhalm. mérleg'!E33</f>
        <v>-633418.12000000011</v>
      </c>
      <c r="F36" s="523" t="s">
        <v>8</v>
      </c>
      <c r="G36" s="299"/>
      <c r="H36" s="299"/>
      <c r="I36" s="492"/>
      <c r="J36" s="185"/>
      <c r="T36" s="10"/>
      <c r="U36" s="10"/>
      <c r="V36" s="10"/>
      <c r="W36" s="10"/>
      <c r="X36" s="10"/>
      <c r="Y36" s="10"/>
    </row>
    <row r="37" spans="1:25" x14ac:dyDescent="0.2">
      <c r="A37" s="983">
        <f t="shared" si="0"/>
        <v>29</v>
      </c>
      <c r="B37" s="292" t="s">
        <v>741</v>
      </c>
      <c r="C37" s="671"/>
      <c r="D37" s="671"/>
      <c r="E37" s="671"/>
      <c r="F37" s="523" t="s">
        <v>9</v>
      </c>
      <c r="G37" s="375">
        <f>Össz.önkor.mérleg.!G45</f>
        <v>24026</v>
      </c>
      <c r="H37" s="375">
        <f>Össz.önkor.mérleg.!H45</f>
        <v>3062</v>
      </c>
      <c r="I37" s="493">
        <f>Össz.önkor.mérleg.!I45</f>
        <v>27088</v>
      </c>
      <c r="J37" s="185"/>
      <c r="T37" s="10"/>
      <c r="U37" s="10"/>
      <c r="V37" s="10"/>
      <c r="W37" s="10"/>
      <c r="X37" s="10"/>
      <c r="Y37" s="10"/>
    </row>
    <row r="38" spans="1:25" s="11" customFormat="1" x14ac:dyDescent="0.2">
      <c r="A38" s="983">
        <f t="shared" si="0"/>
        <v>30</v>
      </c>
      <c r="B38" s="292" t="s">
        <v>742</v>
      </c>
      <c r="C38" s="292"/>
      <c r="D38" s="292"/>
      <c r="E38" s="292"/>
      <c r="F38" s="523" t="s">
        <v>10</v>
      </c>
      <c r="G38" s="299"/>
      <c r="H38" s="299"/>
      <c r="I38" s="492"/>
      <c r="J38" s="539"/>
      <c r="K38" s="184"/>
      <c r="L38" s="184"/>
      <c r="M38" s="184"/>
      <c r="N38" s="184"/>
      <c r="O38" s="184"/>
      <c r="P38" s="184"/>
      <c r="Q38" s="184"/>
      <c r="R38" s="184"/>
      <c r="S38" s="184"/>
    </row>
    <row r="39" spans="1:25" s="11" customFormat="1" x14ac:dyDescent="0.2">
      <c r="A39" s="983">
        <f t="shared" si="0"/>
        <v>31</v>
      </c>
      <c r="B39" s="304" t="s">
        <v>743</v>
      </c>
      <c r="C39" s="292"/>
      <c r="D39" s="292"/>
      <c r="E39" s="292"/>
      <c r="F39" s="523" t="s">
        <v>11</v>
      </c>
      <c r="G39" s="377"/>
      <c r="H39" s="377"/>
      <c r="I39" s="465"/>
      <c r="J39" s="539"/>
      <c r="K39" s="184"/>
      <c r="L39" s="184"/>
      <c r="M39" s="184"/>
      <c r="N39" s="184"/>
      <c r="O39" s="184"/>
      <c r="P39" s="184"/>
      <c r="Q39" s="184"/>
      <c r="R39" s="184"/>
      <c r="S39" s="184"/>
    </row>
    <row r="40" spans="1:25" s="11" customFormat="1" x14ac:dyDescent="0.2">
      <c r="A40" s="983">
        <f t="shared" si="0"/>
        <v>32</v>
      </c>
      <c r="B40" s="304" t="s">
        <v>744</v>
      </c>
      <c r="C40" s="292"/>
      <c r="D40" s="292"/>
      <c r="E40" s="292"/>
      <c r="F40" s="523" t="s">
        <v>12</v>
      </c>
      <c r="G40" s="193"/>
      <c r="I40" s="495"/>
      <c r="J40" s="539"/>
      <c r="K40" s="184"/>
      <c r="L40" s="184"/>
      <c r="M40" s="184"/>
      <c r="N40" s="184"/>
      <c r="O40" s="184"/>
      <c r="P40" s="184"/>
      <c r="Q40" s="184"/>
      <c r="R40" s="184"/>
      <c r="S40" s="184"/>
    </row>
    <row r="41" spans="1:25" s="11" customFormat="1" x14ac:dyDescent="0.2">
      <c r="A41" s="983">
        <f t="shared" si="0"/>
        <v>33</v>
      </c>
      <c r="B41" s="304" t="s">
        <v>0</v>
      </c>
      <c r="C41" s="292"/>
      <c r="D41" s="292"/>
      <c r="E41" s="292"/>
      <c r="F41" s="523" t="s">
        <v>13</v>
      </c>
      <c r="G41" s="377"/>
      <c r="H41" s="377"/>
      <c r="I41" s="465"/>
      <c r="J41" s="539"/>
      <c r="K41" s="184"/>
      <c r="L41" s="184"/>
      <c r="M41" s="184"/>
      <c r="N41" s="184"/>
      <c r="O41" s="184"/>
      <c r="P41" s="184"/>
      <c r="Q41" s="184"/>
      <c r="R41" s="184"/>
      <c r="S41" s="184"/>
    </row>
    <row r="42" spans="1:25" x14ac:dyDescent="0.2">
      <c r="A42" s="983">
        <f t="shared" si="0"/>
        <v>34</v>
      </c>
      <c r="B42" s="304" t="s">
        <v>1</v>
      </c>
      <c r="C42" s="292">
        <f>Össz.önkor.mérleg.!C49</f>
        <v>0</v>
      </c>
      <c r="D42" s="292">
        <f>Össz.önkor.mérleg.!D49</f>
        <v>0</v>
      </c>
      <c r="E42" s="292">
        <f>Össz.önkor.mérleg.!E49</f>
        <v>0</v>
      </c>
      <c r="F42" s="523" t="s">
        <v>14</v>
      </c>
      <c r="G42" s="377"/>
      <c r="H42" s="377"/>
      <c r="I42" s="465"/>
      <c r="J42" s="185"/>
      <c r="T42" s="10"/>
      <c r="U42" s="10"/>
      <c r="V42" s="10"/>
      <c r="W42" s="10"/>
      <c r="X42" s="10"/>
      <c r="Y42" s="10"/>
    </row>
    <row r="43" spans="1:25" x14ac:dyDescent="0.2">
      <c r="A43" s="983">
        <f t="shared" si="0"/>
        <v>35</v>
      </c>
      <c r="B43" s="304" t="s">
        <v>2</v>
      </c>
      <c r="C43" s="292"/>
      <c r="D43" s="292"/>
      <c r="E43" s="292"/>
      <c r="F43" s="523" t="s">
        <v>15</v>
      </c>
      <c r="G43" s="193"/>
      <c r="H43" s="193"/>
      <c r="I43" s="465"/>
      <c r="J43" s="185"/>
      <c r="T43" s="10"/>
      <c r="U43" s="10"/>
      <c r="V43" s="10"/>
      <c r="W43" s="10"/>
      <c r="X43" s="10"/>
      <c r="Y43" s="10"/>
    </row>
    <row r="44" spans="1:25" ht="12" thickBot="1" x14ac:dyDescent="0.25">
      <c r="A44" s="983">
        <f t="shared" si="0"/>
        <v>36</v>
      </c>
      <c r="B44" s="982" t="s">
        <v>482</v>
      </c>
      <c r="C44" s="671">
        <f>SUM(C29:C42)</f>
        <v>79638</v>
      </c>
      <c r="D44" s="671">
        <f>SUM(D29:D42)</f>
        <v>51343.880000000005</v>
      </c>
      <c r="E44" s="671">
        <f>SUM(E29:E42)</f>
        <v>130981.87999999989</v>
      </c>
      <c r="F44" s="967" t="s">
        <v>475</v>
      </c>
      <c r="G44" s="193">
        <f>SUM(G29:G43)</f>
        <v>24026</v>
      </c>
      <c r="H44" s="193">
        <f>SUM(H29:H43)</f>
        <v>3062</v>
      </c>
      <c r="I44" s="465">
        <f>SUM(I29:I43)</f>
        <v>27088</v>
      </c>
      <c r="J44" s="185"/>
      <c r="T44" s="10"/>
      <c r="U44" s="10"/>
      <c r="V44" s="10"/>
      <c r="W44" s="10"/>
      <c r="X44" s="10"/>
      <c r="Y44" s="10"/>
    </row>
    <row r="45" spans="1:25" ht="12" thickBot="1" x14ac:dyDescent="0.25">
      <c r="A45" s="983">
        <f t="shared" si="0"/>
        <v>37</v>
      </c>
      <c r="B45" s="987" t="s">
        <v>477</v>
      </c>
      <c r="C45" s="988">
        <f>C24+C44</f>
        <v>1554167</v>
      </c>
      <c r="D45" s="988">
        <f>D24+D44</f>
        <v>1003681.88</v>
      </c>
      <c r="E45" s="988">
        <f>E24+E44</f>
        <v>2557848.88</v>
      </c>
      <c r="F45" s="989" t="s">
        <v>476</v>
      </c>
      <c r="G45" s="990">
        <f>G24+G44</f>
        <v>1554167</v>
      </c>
      <c r="H45" s="990">
        <f>H24+H44</f>
        <v>1003682</v>
      </c>
      <c r="I45" s="991">
        <f>I24+I44</f>
        <v>2557849</v>
      </c>
      <c r="J45" s="181"/>
      <c r="T45" s="10"/>
      <c r="U45" s="10"/>
      <c r="V45" s="10"/>
      <c r="W45" s="10"/>
      <c r="X45" s="10"/>
      <c r="Y45" s="10"/>
    </row>
    <row r="46" spans="1:25" x14ac:dyDescent="0.2">
      <c r="B46" s="184"/>
      <c r="C46" s="183"/>
      <c r="D46" s="183"/>
      <c r="E46" s="183"/>
      <c r="F46" s="183"/>
      <c r="G46" s="183"/>
      <c r="H46" s="183"/>
      <c r="I46" s="183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8" customWidth="1"/>
    <col min="2" max="2" width="38.28515625" style="158" customWidth="1"/>
    <col min="3" max="3" width="10.140625" style="159" customWidth="1"/>
    <col min="4" max="4" width="11.140625" style="159" customWidth="1"/>
    <col min="5" max="5" width="11.5703125" style="159" customWidth="1"/>
    <col min="6" max="6" width="38" style="159" customWidth="1"/>
    <col min="7" max="7" width="10.42578125" style="159" customWidth="1"/>
    <col min="8" max="8" width="12" style="297" customWidth="1"/>
    <col min="9" max="9" width="13.28515625" style="297" customWidth="1"/>
    <col min="10" max="10" width="9.140625" style="158"/>
    <col min="11" max="16384" width="9.140625" style="10"/>
  </cols>
  <sheetData>
    <row r="1" spans="1:10" ht="12.75" customHeight="1" x14ac:dyDescent="0.2">
      <c r="C1" s="1071" t="s">
        <v>1301</v>
      </c>
      <c r="D1" s="1071"/>
      <c r="E1" s="1071"/>
      <c r="F1" s="1071"/>
      <c r="G1" s="1071"/>
      <c r="H1" s="1071"/>
      <c r="I1" s="1071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74" t="s">
        <v>78</v>
      </c>
      <c r="C4" s="1074"/>
      <c r="D4" s="1074"/>
      <c r="E4" s="1074"/>
      <c r="F4" s="1074"/>
      <c r="G4" s="1074"/>
      <c r="H4" s="1074"/>
      <c r="I4" s="1074"/>
      <c r="J4" s="161"/>
    </row>
    <row r="5" spans="1:10" s="123" customFormat="1" x14ac:dyDescent="0.2">
      <c r="A5" s="161"/>
      <c r="B5" s="1172" t="s">
        <v>747</v>
      </c>
      <c r="C5" s="1172"/>
      <c r="D5" s="1172"/>
      <c r="E5" s="1172"/>
      <c r="F5" s="1172"/>
      <c r="G5" s="1172"/>
      <c r="H5" s="1172"/>
      <c r="I5" s="1172"/>
      <c r="J5" s="161"/>
    </row>
    <row r="6" spans="1:10" s="123" customFormat="1" ht="12.75" customHeight="1" x14ac:dyDescent="0.2">
      <c r="A6" s="161"/>
      <c r="B6" s="1269" t="s">
        <v>1016</v>
      </c>
      <c r="C6" s="1269"/>
      <c r="D6" s="1269"/>
      <c r="E6" s="1269"/>
      <c r="F6" s="1269"/>
      <c r="G6" s="1269"/>
      <c r="H6" s="1269"/>
      <c r="I6" s="1269"/>
    </row>
    <row r="7" spans="1:10" s="123" customFormat="1" x14ac:dyDescent="0.2">
      <c r="A7" s="161"/>
      <c r="B7" s="1075" t="s">
        <v>327</v>
      </c>
      <c r="C7" s="1075"/>
      <c r="D7" s="1075"/>
      <c r="E7" s="1075"/>
      <c r="F7" s="1075"/>
      <c r="G7" s="1075"/>
      <c r="H7" s="1075"/>
      <c r="I7" s="1075"/>
      <c r="J7" s="161"/>
    </row>
    <row r="8" spans="1:10" s="123" customFormat="1" ht="12.75" customHeight="1" x14ac:dyDescent="0.2">
      <c r="A8" s="1079" t="s">
        <v>56</v>
      </c>
      <c r="B8" s="1080" t="s">
        <v>57</v>
      </c>
      <c r="C8" s="1096" t="s">
        <v>58</v>
      </c>
      <c r="D8" s="1080"/>
      <c r="E8" s="1263"/>
      <c r="F8" s="1097" t="s">
        <v>59</v>
      </c>
      <c r="G8" s="1093" t="s">
        <v>60</v>
      </c>
      <c r="H8" s="1094"/>
      <c r="I8" s="1094"/>
    </row>
    <row r="9" spans="1:10" s="123" customFormat="1" ht="12.75" customHeight="1" x14ac:dyDescent="0.2">
      <c r="A9" s="1079"/>
      <c r="B9" s="1080"/>
      <c r="C9" s="1073" t="s">
        <v>994</v>
      </c>
      <c r="D9" s="1197"/>
      <c r="E9" s="1266"/>
      <c r="F9" s="1097"/>
      <c r="G9" s="1086" t="s">
        <v>994</v>
      </c>
      <c r="H9" s="1267"/>
      <c r="I9" s="1268"/>
    </row>
    <row r="10" spans="1:10" s="124" customFormat="1" ht="36.6" customHeight="1" x14ac:dyDescent="0.2">
      <c r="A10" s="1079"/>
      <c r="B10" s="162" t="s">
        <v>61</v>
      </c>
      <c r="C10" s="136" t="s">
        <v>62</v>
      </c>
      <c r="D10" s="136" t="s">
        <v>63</v>
      </c>
      <c r="E10" s="136" t="s">
        <v>64</v>
      </c>
      <c r="F10" s="672" t="s">
        <v>65</v>
      </c>
      <c r="G10" s="136" t="s">
        <v>62</v>
      </c>
      <c r="H10" s="373" t="s">
        <v>63</v>
      </c>
      <c r="I10" s="373" t="s">
        <v>64</v>
      </c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0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f>51558+120</f>
        <v>51678</v>
      </c>
      <c r="H12" s="292">
        <f>25193+300</f>
        <v>25493</v>
      </c>
      <c r="I12" s="490">
        <f>SUM(G12:H12)</f>
        <v>77171</v>
      </c>
      <c r="J12" s="10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140" t="s">
        <v>234</v>
      </c>
      <c r="G13" s="292">
        <f>12397+26</f>
        <v>12423</v>
      </c>
      <c r="H13" s="292">
        <f>5428+285</f>
        <v>5713</v>
      </c>
      <c r="I13" s="490">
        <f>SUM(G13:H13)</f>
        <v>18136</v>
      </c>
      <c r="J13" s="10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 t="shared" si="1"/>
        <v>0</v>
      </c>
      <c r="F14" s="140" t="s">
        <v>235</v>
      </c>
      <c r="G14" s="292">
        <f>69126+1301</f>
        <v>70427</v>
      </c>
      <c r="H14" s="292">
        <f>106998+14500</f>
        <v>121498</v>
      </c>
      <c r="I14" s="490">
        <f>SUM(G14:H14)</f>
        <v>191925</v>
      </c>
      <c r="J14" s="10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0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170"/>
      <c r="H16" s="299"/>
      <c r="I16" s="492"/>
      <c r="J16" s="10"/>
    </row>
    <row r="17" spans="1:12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0"/>
    </row>
    <row r="18" spans="1:12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170"/>
      <c r="H18" s="299"/>
      <c r="I18" s="492"/>
      <c r="J18" s="10"/>
    </row>
    <row r="19" spans="1:12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0"/>
    </row>
    <row r="20" spans="1:12" x14ac:dyDescent="0.2">
      <c r="A20" s="165">
        <f t="shared" si="0"/>
        <v>10</v>
      </c>
      <c r="B20" s="117" t="s">
        <v>212</v>
      </c>
      <c r="C20" s="374">
        <f>39290+10000</f>
        <v>49290</v>
      </c>
      <c r="D20" s="374">
        <f>28191+4500</f>
        <v>32691</v>
      </c>
      <c r="E20" s="169">
        <f>SUM(C20:D20)</f>
        <v>81981</v>
      </c>
      <c r="F20" s="140" t="s">
        <v>1058</v>
      </c>
      <c r="G20" s="170"/>
      <c r="H20" s="299">
        <v>36</v>
      </c>
      <c r="I20" s="492">
        <f>G20+H20</f>
        <v>36</v>
      </c>
      <c r="J20" s="10"/>
    </row>
    <row r="21" spans="1:12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0"/>
    </row>
    <row r="22" spans="1:12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</row>
    <row r="23" spans="1:12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</row>
    <row r="24" spans="1:12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134528</v>
      </c>
      <c r="H24" s="375">
        <f>SUM(H12:H22)</f>
        <v>152740</v>
      </c>
      <c r="I24" s="493">
        <f>SUM(I12:I22)</f>
        <v>287268</v>
      </c>
      <c r="J24" s="10"/>
    </row>
    <row r="25" spans="1:12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170"/>
      <c r="H25" s="299"/>
      <c r="I25" s="492"/>
      <c r="J25" s="10"/>
      <c r="L25" s="298"/>
    </row>
    <row r="26" spans="1:12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0"/>
    </row>
    <row r="27" spans="1:12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'!G135</f>
        <v>7500</v>
      </c>
      <c r="H27" s="170">
        <f>'felhalm. kiad.  '!H135</f>
        <v>13500.119999999999</v>
      </c>
      <c r="I27" s="464">
        <f>'felhalm. kiad.  '!F135</f>
        <v>21000.12</v>
      </c>
      <c r="J27" s="10"/>
    </row>
    <row r="28" spans="1:12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0"/>
    </row>
    <row r="29" spans="1:12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0"/>
    </row>
    <row r="30" spans="1:12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K30" s="889"/>
    </row>
    <row r="31" spans="1:12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0"/>
    </row>
    <row r="32" spans="1:12" s="11" customFormat="1" x14ac:dyDescent="0.2">
      <c r="A32" s="165">
        <f t="shared" si="0"/>
        <v>22</v>
      </c>
      <c r="B32" s="175" t="s">
        <v>52</v>
      </c>
      <c r="C32" s="169">
        <f>C14+C20</f>
        <v>49290</v>
      </c>
      <c r="D32" s="169">
        <f>D14+D20</f>
        <v>32691</v>
      </c>
      <c r="E32" s="169">
        <f>E14+E20</f>
        <v>81981</v>
      </c>
      <c r="F32" s="140" t="s">
        <v>474</v>
      </c>
      <c r="G32" s="159"/>
      <c r="H32" s="297"/>
      <c r="I32" s="492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178">
        <f>SUM(G27:G32)</f>
        <v>7500</v>
      </c>
      <c r="H33" s="376">
        <f>SUM(H27:H32)</f>
        <v>13500.119999999999</v>
      </c>
      <c r="I33" s="494">
        <f>SUM(I27:I31)</f>
        <v>21000.12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49290</v>
      </c>
      <c r="D34" s="174">
        <f>SUM(D32:D33)</f>
        <v>32691</v>
      </c>
      <c r="E34" s="174">
        <f>SUM(C34:D34)</f>
        <v>81981</v>
      </c>
      <c r="F34" s="180" t="s">
        <v>69</v>
      </c>
      <c r="G34" s="174">
        <f>G24+G33</f>
        <v>142028</v>
      </c>
      <c r="H34" s="377">
        <f>H24+H33</f>
        <v>166240.12</v>
      </c>
      <c r="I34" s="465">
        <f>I24+I33</f>
        <v>308268.12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0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0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</row>
    <row r="38" spans="1:10" s="11" customFormat="1" x14ac:dyDescent="0.2">
      <c r="A38" s="825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</row>
    <row r="39" spans="1:10" s="11" customFormat="1" ht="12" customHeigh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</row>
    <row r="40" spans="1:10" s="11" customFormat="1" x14ac:dyDescent="0.2">
      <c r="A40" s="165">
        <f t="shared" si="0"/>
        <v>30</v>
      </c>
      <c r="B40" s="158" t="s">
        <v>1153</v>
      </c>
      <c r="C40" s="127"/>
      <c r="D40" s="127"/>
      <c r="E40" s="127"/>
      <c r="F40" s="564" t="s">
        <v>3</v>
      </c>
      <c r="G40" s="174"/>
      <c r="H40" s="377"/>
      <c r="I40" s="465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0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0"/>
    </row>
    <row r="43" spans="1:10" x14ac:dyDescent="0.2">
      <c r="A43" s="165">
        <f t="shared" si="0"/>
        <v>33</v>
      </c>
      <c r="B43" s="562" t="s">
        <v>226</v>
      </c>
      <c r="C43" s="120"/>
      <c r="D43" s="120">
        <v>2553</v>
      </c>
      <c r="E43" s="120">
        <f>C43+D43</f>
        <v>2553</v>
      </c>
      <c r="F43" s="140" t="s">
        <v>7</v>
      </c>
      <c r="G43" s="183"/>
      <c r="H43" s="193"/>
      <c r="I43" s="465"/>
      <c r="J43" s="10"/>
    </row>
    <row r="44" spans="1:10" x14ac:dyDescent="0.2">
      <c r="A44" s="165">
        <f t="shared" si="0"/>
        <v>34</v>
      </c>
      <c r="B44" s="562" t="s">
        <v>1146</v>
      </c>
      <c r="C44" s="120"/>
      <c r="D44" s="120">
        <v>355</v>
      </c>
      <c r="E44" s="120">
        <f>C44+D44</f>
        <v>355</v>
      </c>
      <c r="F44" s="140"/>
      <c r="G44" s="183"/>
      <c r="H44" s="193"/>
      <c r="I44" s="465"/>
      <c r="J44" s="10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0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0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0"/>
    </row>
    <row r="48" spans="1:10" x14ac:dyDescent="0.2">
      <c r="A48" s="165">
        <f t="shared" si="0"/>
        <v>38</v>
      </c>
      <c r="B48" s="562" t="s">
        <v>230</v>
      </c>
      <c r="C48" s="120">
        <f>G24-(C34+C43+C44)</f>
        <v>85238</v>
      </c>
      <c r="D48" s="120">
        <f>H24-(D34+D43+D44)</f>
        <v>117141</v>
      </c>
      <c r="E48" s="120">
        <f>I24-(E34+E43+E44)</f>
        <v>202379</v>
      </c>
      <c r="F48" s="140" t="s">
        <v>11</v>
      </c>
      <c r="G48" s="170"/>
      <c r="H48" s="299"/>
      <c r="I48" s="492"/>
      <c r="J48" s="10"/>
    </row>
    <row r="49" spans="1:10" x14ac:dyDescent="0.2">
      <c r="A49" s="165">
        <f t="shared" si="0"/>
        <v>39</v>
      </c>
      <c r="B49" s="562" t="s">
        <v>231</v>
      </c>
      <c r="C49" s="120">
        <f>G33-C33</f>
        <v>7500</v>
      </c>
      <c r="D49" s="120">
        <f>H33-D33</f>
        <v>13500.119999999999</v>
      </c>
      <c r="E49" s="120">
        <f>I33-E33</f>
        <v>21000.12</v>
      </c>
      <c r="F49" s="140" t="s">
        <v>12</v>
      </c>
      <c r="G49" s="170"/>
      <c r="H49" s="299"/>
      <c r="I49" s="492"/>
      <c r="J49" s="10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170"/>
      <c r="H50" s="299"/>
      <c r="I50" s="492"/>
      <c r="J50" s="10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170"/>
      <c r="H51" s="299"/>
      <c r="I51" s="492"/>
      <c r="J51" s="10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170"/>
      <c r="H52" s="299"/>
      <c r="I52" s="492"/>
      <c r="J52" s="10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92738</v>
      </c>
      <c r="D53" s="127">
        <f>SUM(D39:D51)</f>
        <v>133549.12</v>
      </c>
      <c r="E53" s="548">
        <f>SUM(E39:E51)</f>
        <v>226287.12</v>
      </c>
      <c r="F53" s="127" t="s">
        <v>475</v>
      </c>
      <c r="G53" s="174">
        <f>SUM(G39:G52)</f>
        <v>0</v>
      </c>
      <c r="H53" s="377">
        <f>SUM(H39:H52)</f>
        <v>0</v>
      </c>
      <c r="I53" s="465">
        <f>SUM(I39:I52)</f>
        <v>0</v>
      </c>
      <c r="J53" s="10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142028</v>
      </c>
      <c r="D54" s="313">
        <f>D34+D53</f>
        <v>166240.12</v>
      </c>
      <c r="E54" s="890">
        <f>E34+E53</f>
        <v>308268.12</v>
      </c>
      <c r="F54" s="314" t="s">
        <v>476</v>
      </c>
      <c r="G54" s="314">
        <f>G34+G53</f>
        <v>142028</v>
      </c>
      <c r="H54" s="891">
        <f>H34+H53</f>
        <v>166240.12</v>
      </c>
      <c r="I54" s="892">
        <f>I34+I53</f>
        <v>308268.12</v>
      </c>
      <c r="J54" s="10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7109375" style="158" customWidth="1"/>
    <col min="3" max="3" width="7" style="159" customWidth="1"/>
    <col min="4" max="5" width="9.5703125" style="159" customWidth="1"/>
    <col min="6" max="6" width="32.85546875" style="159" customWidth="1"/>
    <col min="7" max="7" width="7.5703125" style="159" customWidth="1"/>
    <col min="8" max="8" width="10.140625" style="297" customWidth="1"/>
    <col min="9" max="9" width="9.42578125" style="297" customWidth="1"/>
    <col min="10" max="10" width="9.140625" style="158"/>
    <col min="11" max="16384" width="9.140625" style="10"/>
  </cols>
  <sheetData>
    <row r="1" spans="1:10" ht="12.75" customHeight="1" x14ac:dyDescent="0.2">
      <c r="B1" s="1270" t="s">
        <v>1302</v>
      </c>
      <c r="C1" s="1203"/>
      <c r="D1" s="1203"/>
      <c r="E1" s="1203"/>
      <c r="F1" s="1203"/>
      <c r="G1" s="1203"/>
      <c r="H1" s="1203"/>
      <c r="I1" s="1203"/>
    </row>
    <row r="2" spans="1:10" x14ac:dyDescent="0.2">
      <c r="I2" s="372"/>
    </row>
    <row r="3" spans="1:10" x14ac:dyDescent="0.2">
      <c r="I3" s="372"/>
    </row>
    <row r="4" spans="1:10" s="123" customFormat="1" ht="12.75" customHeight="1" x14ac:dyDescent="0.2">
      <c r="A4" s="1074" t="s">
        <v>78</v>
      </c>
      <c r="B4" s="1074"/>
      <c r="C4" s="1074"/>
      <c r="D4" s="1074"/>
      <c r="E4" s="1074"/>
      <c r="F4" s="1074"/>
      <c r="G4" s="1074"/>
      <c r="H4" s="1074"/>
      <c r="I4" s="1074"/>
      <c r="J4" s="161"/>
    </row>
    <row r="5" spans="1:10" s="123" customFormat="1" ht="12.75" customHeight="1" x14ac:dyDescent="0.2">
      <c r="A5" s="1172" t="s">
        <v>773</v>
      </c>
      <c r="B5" s="1172"/>
      <c r="C5" s="1172"/>
      <c r="D5" s="1172"/>
      <c r="E5" s="1172"/>
      <c r="F5" s="1172"/>
      <c r="G5" s="1172"/>
      <c r="H5" s="1172"/>
      <c r="I5" s="1172"/>
      <c r="J5" s="161"/>
    </row>
    <row r="6" spans="1:10" s="123" customFormat="1" ht="12.75" customHeight="1" x14ac:dyDescent="0.2">
      <c r="A6" s="1074" t="s">
        <v>1007</v>
      </c>
      <c r="B6" s="1074"/>
      <c r="C6" s="1074"/>
      <c r="D6" s="1074"/>
      <c r="E6" s="1074"/>
      <c r="F6" s="1074"/>
      <c r="G6" s="1074"/>
      <c r="H6" s="1074"/>
      <c r="I6" s="1074"/>
      <c r="J6" s="161"/>
    </row>
    <row r="7" spans="1:10" s="123" customFormat="1" x14ac:dyDescent="0.2">
      <c r="A7" s="161"/>
      <c r="B7" s="1075" t="s">
        <v>331</v>
      </c>
      <c r="C7" s="1075"/>
      <c r="D7" s="1075"/>
      <c r="E7" s="1075"/>
      <c r="F7" s="1075"/>
      <c r="G7" s="1075"/>
      <c r="H7" s="1075"/>
      <c r="I7" s="1075"/>
      <c r="J7" s="161"/>
    </row>
    <row r="8" spans="1:10" s="123" customFormat="1" ht="12.75" customHeight="1" x14ac:dyDescent="0.2">
      <c r="A8" s="1079" t="s">
        <v>56</v>
      </c>
      <c r="B8" s="1080" t="s">
        <v>57</v>
      </c>
      <c r="C8" s="1095" t="s">
        <v>58</v>
      </c>
      <c r="D8" s="1095"/>
      <c r="E8" s="1096"/>
      <c r="F8" s="1171" t="s">
        <v>59</v>
      </c>
      <c r="G8" s="1077" t="s">
        <v>60</v>
      </c>
      <c r="H8" s="1078"/>
      <c r="I8" s="1078"/>
      <c r="J8" s="637"/>
    </row>
    <row r="9" spans="1:10" s="123" customFormat="1" ht="12.75" customHeight="1" x14ac:dyDescent="0.2">
      <c r="A9" s="1079"/>
      <c r="B9" s="1080"/>
      <c r="C9" s="1072" t="s">
        <v>994</v>
      </c>
      <c r="D9" s="1072"/>
      <c r="E9" s="1073"/>
      <c r="F9" s="1171"/>
      <c r="G9" s="1072" t="s">
        <v>994</v>
      </c>
      <c r="H9" s="1072"/>
      <c r="I9" s="1072"/>
      <c r="J9" s="637"/>
    </row>
    <row r="10" spans="1:10" s="124" customFormat="1" ht="36.6" customHeight="1" x14ac:dyDescent="0.2">
      <c r="A10" s="1079"/>
      <c r="B10" s="162" t="s">
        <v>61</v>
      </c>
      <c r="C10" s="136" t="s">
        <v>62</v>
      </c>
      <c r="D10" s="136" t="s">
        <v>63</v>
      </c>
      <c r="E10" s="163" t="s">
        <v>64</v>
      </c>
      <c r="F10" s="164" t="s">
        <v>65</v>
      </c>
      <c r="G10" s="136" t="s">
        <v>62</v>
      </c>
      <c r="H10" s="373" t="s">
        <v>63</v>
      </c>
      <c r="I10" s="373" t="s">
        <v>64</v>
      </c>
      <c r="J10" s="638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/>
      <c r="F12" s="140" t="s">
        <v>233</v>
      </c>
      <c r="G12" s="292">
        <v>79633</v>
      </c>
      <c r="H12" s="292">
        <f>127590+3519</f>
        <v>131109</v>
      </c>
      <c r="I12" s="490">
        <f>SUM(G12:H12)</f>
        <v>210742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/>
      <c r="F13" s="140" t="s">
        <v>234</v>
      </c>
      <c r="G13" s="292">
        <v>18490</v>
      </c>
      <c r="H13" s="292">
        <f>29264+495</f>
        <v>29759</v>
      </c>
      <c r="I13" s="490">
        <f>SUM(G13:H13)</f>
        <v>48249</v>
      </c>
      <c r="J13" s="194"/>
    </row>
    <row r="14" spans="1:10" x14ac:dyDescent="0.2">
      <c r="A14" s="165">
        <f t="shared" si="0"/>
        <v>4</v>
      </c>
      <c r="B14" s="168" t="s">
        <v>209</v>
      </c>
      <c r="C14" s="304">
        <f>'tám, végl. pe.átv  '!C67</f>
        <v>19891</v>
      </c>
      <c r="D14" s="304">
        <f>'tám, végl. pe.átv  '!D67</f>
        <v>5611</v>
      </c>
      <c r="E14" s="292">
        <f>SUM(C14:D14)</f>
        <v>25502</v>
      </c>
      <c r="F14" s="140" t="s">
        <v>235</v>
      </c>
      <c r="G14" s="292">
        <v>41100</v>
      </c>
      <c r="H14" s="292">
        <f>84958+3000</f>
        <v>87958</v>
      </c>
      <c r="I14" s="490">
        <f>SUM(G14:H14)</f>
        <v>129058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/>
      <c r="F16" s="140" t="s">
        <v>28</v>
      </c>
      <c r="G16" s="170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/>
      <c r="F18" s="140" t="s">
        <v>480</v>
      </c>
      <c r="G18" s="170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18446</v>
      </c>
      <c r="D20" s="374">
        <v>65449</v>
      </c>
      <c r="E20" s="169">
        <f>SUM(C20:D20)</f>
        <v>83895</v>
      </c>
      <c r="F20" s="140" t="s">
        <v>1057</v>
      </c>
      <c r="G20" s="170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  <c r="J22" s="639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  <c r="J23" s="639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139223</v>
      </c>
      <c r="H24" s="375">
        <f>SUM(H12:H22)</f>
        <v>248826</v>
      </c>
      <c r="I24" s="493">
        <f>SUM(I12:I22)</f>
        <v>388049</v>
      </c>
      <c r="J24" s="194"/>
    </row>
    <row r="25" spans="1:10" x14ac:dyDescent="0.2">
      <c r="A25" s="165">
        <f t="shared" si="0"/>
        <v>15</v>
      </c>
      <c r="B25" s="168" t="s">
        <v>45</v>
      </c>
      <c r="C25" s="169">
        <f>'felh. bev.  '!D44</f>
        <v>945</v>
      </c>
      <c r="D25" s="169"/>
      <c r="E25" s="169">
        <f>D25+C25</f>
        <v>945</v>
      </c>
      <c r="F25" s="172"/>
      <c r="G25" s="170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'!G142</f>
        <v>10200</v>
      </c>
      <c r="H27" s="299">
        <f>'felhalm. kiad.  '!H142</f>
        <v>0</v>
      </c>
      <c r="I27" s="492">
        <f>SUM(G27:H27)</f>
        <v>10200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J30" s="639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53">
        <f>C14+C20</f>
        <v>38337</v>
      </c>
      <c r="D32" s="1053">
        <f>D14+D20</f>
        <v>71060</v>
      </c>
      <c r="E32" s="1053">
        <f>E14+E20</f>
        <v>109397</v>
      </c>
      <c r="F32" s="140" t="s">
        <v>474</v>
      </c>
      <c r="G32" s="159"/>
      <c r="H32" s="297"/>
      <c r="I32" s="492"/>
      <c r="J32" s="538"/>
    </row>
    <row r="33" spans="1:10" x14ac:dyDescent="0.2">
      <c r="A33" s="165">
        <f t="shared" si="0"/>
        <v>23</v>
      </c>
      <c r="B33" s="176" t="s">
        <v>67</v>
      </c>
      <c r="C33" s="178">
        <f>C16+C24+C25+C26+C27+C30</f>
        <v>945</v>
      </c>
      <c r="D33" s="178">
        <f t="shared" ref="D33:E33" si="1">D16+D24+D25+D26+D27+D30</f>
        <v>0</v>
      </c>
      <c r="E33" s="178">
        <f t="shared" si="1"/>
        <v>945</v>
      </c>
      <c r="F33" s="177" t="s">
        <v>68</v>
      </c>
      <c r="G33" s="178">
        <f>SUM(G27:G32)</f>
        <v>10200</v>
      </c>
      <c r="H33" s="376">
        <f>SUM(H27:H32)</f>
        <v>0</v>
      </c>
      <c r="I33" s="494">
        <f>SUM(I27:I31)</f>
        <v>10200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39282</v>
      </c>
      <c r="D34" s="174">
        <f>SUM(D32:D33)</f>
        <v>71060</v>
      </c>
      <c r="E34" s="174">
        <f>SUM(C34:D34)</f>
        <v>110342</v>
      </c>
      <c r="F34" s="180" t="s">
        <v>69</v>
      </c>
      <c r="G34" s="174">
        <f>G24+G33</f>
        <v>149423</v>
      </c>
      <c r="H34" s="377">
        <f>H24+H33</f>
        <v>248826</v>
      </c>
      <c r="I34" s="465">
        <f>I24+I33</f>
        <v>398249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  <c r="J37" s="538"/>
    </row>
    <row r="38" spans="1:10" s="11" customFormat="1" x14ac:dyDescent="0.2">
      <c r="A38" s="825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  <c r="J38" s="538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  <c r="J39" s="538"/>
    </row>
    <row r="40" spans="1:10" s="11" customFormat="1" x14ac:dyDescent="0.2">
      <c r="A40" s="165">
        <f t="shared" si="0"/>
        <v>30</v>
      </c>
      <c r="B40" s="117" t="s">
        <v>1152</v>
      </c>
      <c r="C40" s="127"/>
      <c r="D40" s="127"/>
      <c r="E40" s="127"/>
      <c r="F40" s="564" t="s">
        <v>3</v>
      </c>
      <c r="G40" s="174"/>
      <c r="H40" s="377"/>
      <c r="I40" s="465"/>
      <c r="J40" s="538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94"/>
    </row>
    <row r="43" spans="1:10" x14ac:dyDescent="0.2">
      <c r="A43" s="165">
        <f t="shared" si="0"/>
        <v>33</v>
      </c>
      <c r="B43" s="562" t="s">
        <v>226</v>
      </c>
      <c r="C43" s="120">
        <v>271</v>
      </c>
      <c r="D43" s="120"/>
      <c r="E43" s="120">
        <f>C43+D43</f>
        <v>271</v>
      </c>
      <c r="F43" s="140" t="s">
        <v>7</v>
      </c>
      <c r="G43" s="183"/>
      <c r="H43" s="193"/>
      <c r="I43" s="465"/>
      <c r="J43" s="194"/>
    </row>
    <row r="44" spans="1:10" x14ac:dyDescent="0.2">
      <c r="A44" s="165">
        <f t="shared" si="0"/>
        <v>34</v>
      </c>
      <c r="B44" s="562" t="s">
        <v>1146</v>
      </c>
      <c r="C44" s="120"/>
      <c r="D44" s="120"/>
      <c r="E44" s="120"/>
      <c r="F44" s="140"/>
      <c r="G44" s="18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94"/>
    </row>
    <row r="48" spans="1:10" x14ac:dyDescent="0.2">
      <c r="A48" s="165">
        <f t="shared" si="0"/>
        <v>38</v>
      </c>
      <c r="B48" s="562" t="s">
        <v>230</v>
      </c>
      <c r="C48" s="292">
        <f>G24-(C32+C43)</f>
        <v>100615</v>
      </c>
      <c r="D48" s="292">
        <f t="shared" ref="D48:E48" si="2">H24-(D32+D43)</f>
        <v>177766</v>
      </c>
      <c r="E48" s="292">
        <f t="shared" si="2"/>
        <v>278381</v>
      </c>
      <c r="F48" s="140" t="s">
        <v>11</v>
      </c>
      <c r="G48" s="170"/>
      <c r="H48" s="299"/>
      <c r="I48" s="492"/>
      <c r="J48" s="194"/>
    </row>
    <row r="49" spans="1:10" x14ac:dyDescent="0.2">
      <c r="A49" s="165">
        <f t="shared" si="0"/>
        <v>39</v>
      </c>
      <c r="B49" s="562" t="s">
        <v>231</v>
      </c>
      <c r="C49" s="120">
        <f>G33-C33</f>
        <v>9255</v>
      </c>
      <c r="D49" s="120">
        <f t="shared" ref="D49:E49" si="3">H33-D33</f>
        <v>0</v>
      </c>
      <c r="E49" s="120">
        <f t="shared" si="3"/>
        <v>9255</v>
      </c>
      <c r="F49" s="140" t="s">
        <v>12</v>
      </c>
      <c r="G49" s="170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470"/>
      <c r="F50" s="140" t="s">
        <v>13</v>
      </c>
      <c r="G50" s="170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470"/>
      <c r="F51" s="140" t="s">
        <v>14</v>
      </c>
      <c r="G51" s="170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470"/>
      <c r="F52" s="140" t="s">
        <v>15</v>
      </c>
      <c r="G52" s="170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110141</v>
      </c>
      <c r="D53" s="344">
        <f>SUM(D39:D51)</f>
        <v>177766</v>
      </c>
      <c r="E53" s="683">
        <f>SUM(E39:E51)</f>
        <v>287907</v>
      </c>
      <c r="F53" s="141" t="s">
        <v>475</v>
      </c>
      <c r="G53" s="174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149423</v>
      </c>
      <c r="D54" s="340">
        <f>D34+D53</f>
        <v>248826</v>
      </c>
      <c r="E54" s="471">
        <f>E34+E53</f>
        <v>398249</v>
      </c>
      <c r="F54" s="530" t="s">
        <v>476</v>
      </c>
      <c r="G54" s="476">
        <f>G34+G53</f>
        <v>149423</v>
      </c>
      <c r="H54" s="379">
        <f>H34+H53</f>
        <v>248826</v>
      </c>
      <c r="I54" s="531">
        <f>I34+I53</f>
        <v>398249</v>
      </c>
      <c r="J54" s="298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407" customWidth="1"/>
    <col min="5" max="5" width="10.42578125" style="407" bestFit="1" customWidth="1"/>
    <col min="6" max="9" width="9.7109375" style="407" customWidth="1"/>
    <col min="10" max="10" width="10.140625" style="407" customWidth="1"/>
    <col min="11" max="14" width="9.7109375" style="407" customWidth="1"/>
    <col min="15" max="15" width="11.5703125" style="407" customWidth="1"/>
    <col min="16" max="16" width="10.140625" style="16" customWidth="1"/>
    <col min="17" max="16384" width="9.140625" style="16"/>
  </cols>
  <sheetData>
    <row r="1" spans="1:16" ht="12.75" customHeight="1" x14ac:dyDescent="0.25">
      <c r="B1" s="32"/>
      <c r="C1" s="273"/>
      <c r="D1" s="273"/>
      <c r="E1" s="273"/>
      <c r="F1" s="273"/>
      <c r="G1" s="273"/>
      <c r="H1" s="273"/>
      <c r="I1" s="273"/>
      <c r="J1" s="273"/>
      <c r="K1" s="1271" t="s">
        <v>1142</v>
      </c>
      <c r="L1" s="1271"/>
      <c r="M1" s="1271"/>
      <c r="N1" s="1271"/>
      <c r="O1" s="1271"/>
    </row>
    <row r="2" spans="1:16" ht="14.1" customHeight="1" x14ac:dyDescent="0.25">
      <c r="A2" s="32"/>
      <c r="B2" s="1272" t="s">
        <v>87</v>
      </c>
      <c r="C2" s="1272"/>
      <c r="D2" s="1272"/>
      <c r="E2" s="1272"/>
      <c r="F2" s="1272"/>
      <c r="G2" s="1272"/>
      <c r="H2" s="1272"/>
      <c r="I2" s="1272"/>
      <c r="J2" s="1272"/>
      <c r="K2" s="1272"/>
      <c r="L2" s="1272"/>
      <c r="M2" s="1272"/>
      <c r="N2" s="1272"/>
      <c r="O2" s="1272"/>
    </row>
    <row r="3" spans="1:16" ht="14.1" customHeight="1" x14ac:dyDescent="0.25">
      <c r="A3" s="32"/>
      <c r="B3" s="1272" t="s">
        <v>1069</v>
      </c>
      <c r="C3" s="1272"/>
      <c r="D3" s="1272"/>
      <c r="E3" s="1272"/>
      <c r="F3" s="1272"/>
      <c r="G3" s="1272"/>
      <c r="H3" s="1272"/>
      <c r="I3" s="1272"/>
      <c r="J3" s="1272"/>
      <c r="K3" s="1272"/>
      <c r="L3" s="1272"/>
      <c r="M3" s="1272"/>
      <c r="N3" s="1272"/>
      <c r="O3" s="1272"/>
    </row>
    <row r="4" spans="1:16" ht="14.1" customHeight="1" x14ac:dyDescent="0.25">
      <c r="A4" s="32"/>
      <c r="B4" s="832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</row>
    <row r="5" spans="1:16" ht="15" customHeight="1" x14ac:dyDescent="0.25">
      <c r="A5" s="1273"/>
      <c r="B5" s="834" t="s">
        <v>57</v>
      </c>
      <c r="C5" s="835" t="s">
        <v>58</v>
      </c>
      <c r="D5" s="835" t="s">
        <v>59</v>
      </c>
      <c r="E5" s="835" t="s">
        <v>60</v>
      </c>
      <c r="F5" s="835" t="s">
        <v>507</v>
      </c>
      <c r="G5" s="835" t="s">
        <v>508</v>
      </c>
      <c r="H5" s="835" t="s">
        <v>509</v>
      </c>
      <c r="I5" s="835" t="s">
        <v>639</v>
      </c>
      <c r="J5" s="835" t="s">
        <v>650</v>
      </c>
      <c r="K5" s="835" t="s">
        <v>651</v>
      </c>
      <c r="L5" s="835" t="s">
        <v>652</v>
      </c>
      <c r="M5" s="835" t="s">
        <v>653</v>
      </c>
      <c r="N5" s="835" t="s">
        <v>654</v>
      </c>
      <c r="O5" s="835" t="s">
        <v>655</v>
      </c>
    </row>
    <row r="6" spans="1:16" ht="12.75" customHeight="1" x14ac:dyDescent="0.25">
      <c r="A6" s="1273"/>
      <c r="B6" s="826" t="s">
        <v>86</v>
      </c>
      <c r="C6" s="836" t="s">
        <v>656</v>
      </c>
      <c r="D6" s="836" t="s">
        <v>657</v>
      </c>
      <c r="E6" s="836" t="s">
        <v>658</v>
      </c>
      <c r="F6" s="836" t="s">
        <v>659</v>
      </c>
      <c r="G6" s="836" t="s">
        <v>660</v>
      </c>
      <c r="H6" s="836" t="s">
        <v>661</v>
      </c>
      <c r="I6" s="836" t="s">
        <v>662</v>
      </c>
      <c r="J6" s="836" t="s">
        <v>663</v>
      </c>
      <c r="K6" s="836" t="s">
        <v>664</v>
      </c>
      <c r="L6" s="836" t="s">
        <v>665</v>
      </c>
      <c r="M6" s="836" t="s">
        <v>666</v>
      </c>
      <c r="N6" s="836" t="s">
        <v>667</v>
      </c>
      <c r="O6" s="836" t="s">
        <v>572</v>
      </c>
    </row>
    <row r="7" spans="1:16" s="32" customFormat="1" ht="12.75" customHeight="1" x14ac:dyDescent="0.25">
      <c r="A7" s="21" t="s">
        <v>516</v>
      </c>
      <c r="B7" s="34" t="s">
        <v>697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6" s="32" customFormat="1" ht="15.75" customHeight="1" x14ac:dyDescent="0.25">
      <c r="A8" s="21" t="s">
        <v>524</v>
      </c>
      <c r="B8" s="32" t="s">
        <v>691</v>
      </c>
      <c r="C8" s="273">
        <f>O8/12</f>
        <v>62173.5</v>
      </c>
      <c r="D8" s="273">
        <v>82728</v>
      </c>
      <c r="E8" s="273">
        <v>82728</v>
      </c>
      <c r="F8" s="273">
        <v>82728</v>
      </c>
      <c r="G8" s="273">
        <v>82728</v>
      </c>
      <c r="H8" s="273">
        <v>82728</v>
      </c>
      <c r="I8" s="273">
        <v>82728</v>
      </c>
      <c r="J8" s="273">
        <v>82728</v>
      </c>
      <c r="K8" s="273">
        <v>82728</v>
      </c>
      <c r="L8" s="273">
        <v>82728</v>
      </c>
      <c r="M8" s="273">
        <v>82728</v>
      </c>
      <c r="N8" s="273">
        <v>82728</v>
      </c>
      <c r="O8" s="273">
        <f>Össz.önkor.mérleg.!E11</f>
        <v>746082</v>
      </c>
      <c r="P8" s="35"/>
    </row>
    <row r="9" spans="1:16" s="32" customFormat="1" ht="16.5" customHeight="1" x14ac:dyDescent="0.25">
      <c r="A9" s="21" t="s">
        <v>525</v>
      </c>
      <c r="B9" s="32" t="s">
        <v>692</v>
      </c>
      <c r="C9" s="273">
        <f>O9/12</f>
        <v>7336.583333333333</v>
      </c>
      <c r="D9" s="273">
        <v>4095</v>
      </c>
      <c r="E9" s="273">
        <v>4095</v>
      </c>
      <c r="F9" s="273">
        <v>4095</v>
      </c>
      <c r="G9" s="273">
        <v>4095</v>
      </c>
      <c r="H9" s="273">
        <v>4095</v>
      </c>
      <c r="I9" s="273">
        <v>4095</v>
      </c>
      <c r="J9" s="273">
        <v>4095</v>
      </c>
      <c r="K9" s="273">
        <v>4095</v>
      </c>
      <c r="L9" s="273">
        <v>4095</v>
      </c>
      <c r="M9" s="273">
        <v>4095</v>
      </c>
      <c r="N9" s="273">
        <v>4095</v>
      </c>
      <c r="O9" s="273">
        <f>Össz.önkor.mérleg.!E13</f>
        <v>88039</v>
      </c>
      <c r="P9" s="35"/>
    </row>
    <row r="10" spans="1:16" s="32" customFormat="1" ht="15.75" customHeight="1" x14ac:dyDescent="0.25">
      <c r="A10" s="21" t="s">
        <v>526</v>
      </c>
      <c r="B10" s="32" t="s">
        <v>487</v>
      </c>
      <c r="C10" s="273">
        <f>O10/12</f>
        <v>102943.33333333333</v>
      </c>
      <c r="D10" s="273">
        <v>93027</v>
      </c>
      <c r="E10" s="273">
        <v>93027</v>
      </c>
      <c r="F10" s="273">
        <v>93027</v>
      </c>
      <c r="G10" s="273">
        <v>93027</v>
      </c>
      <c r="H10" s="273">
        <v>93027</v>
      </c>
      <c r="I10" s="273">
        <v>93027</v>
      </c>
      <c r="J10" s="273">
        <v>93027</v>
      </c>
      <c r="K10" s="273">
        <v>93027</v>
      </c>
      <c r="L10" s="273">
        <v>93027</v>
      </c>
      <c r="M10" s="273">
        <v>93027</v>
      </c>
      <c r="N10" s="273">
        <v>93027</v>
      </c>
      <c r="O10" s="273">
        <f>Össz.önkor.mérleg.!E16</f>
        <v>1235320</v>
      </c>
      <c r="P10" s="35"/>
    </row>
    <row r="11" spans="1:16" s="33" customFormat="1" ht="18" customHeight="1" x14ac:dyDescent="0.25">
      <c r="A11" s="21" t="s">
        <v>527</v>
      </c>
      <c r="B11" s="33" t="s">
        <v>693</v>
      </c>
      <c r="C11" s="273">
        <f>O11/12</f>
        <v>29604.666666666668</v>
      </c>
      <c r="D11" s="273">
        <v>28093</v>
      </c>
      <c r="E11" s="273">
        <v>28093</v>
      </c>
      <c r="F11" s="273">
        <v>28093</v>
      </c>
      <c r="G11" s="273">
        <v>28093</v>
      </c>
      <c r="H11" s="273">
        <v>28093</v>
      </c>
      <c r="I11" s="273">
        <v>28093</v>
      </c>
      <c r="J11" s="273">
        <v>28093</v>
      </c>
      <c r="K11" s="273">
        <v>28093</v>
      </c>
      <c r="L11" s="273">
        <v>28093</v>
      </c>
      <c r="M11" s="273">
        <v>28093</v>
      </c>
      <c r="N11" s="273">
        <v>28093</v>
      </c>
      <c r="O11" s="273">
        <f>Össz.önkor.mérleg.!E19</f>
        <v>355256</v>
      </c>
      <c r="P11" s="35"/>
    </row>
    <row r="12" spans="1:16" s="32" customFormat="1" ht="13.5" customHeight="1" x14ac:dyDescent="0.25">
      <c r="A12" s="21" t="s">
        <v>528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>
        <f t="shared" ref="O12:O18" si="0">SUM(C12:N12)</f>
        <v>0</v>
      </c>
      <c r="P12" s="35"/>
    </row>
    <row r="13" spans="1:16" s="32" customFormat="1" ht="15" customHeight="1" x14ac:dyDescent="0.25">
      <c r="A13" s="21" t="s">
        <v>529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>
        <f t="shared" si="0"/>
        <v>0</v>
      </c>
      <c r="P13" s="35"/>
    </row>
    <row r="14" spans="1:16" s="34" customFormat="1" ht="15.75" customHeight="1" x14ac:dyDescent="0.25">
      <c r="A14" s="21" t="s">
        <v>530</v>
      </c>
      <c r="B14" s="837" t="s">
        <v>668</v>
      </c>
      <c r="C14" s="838">
        <f>SUM(C8:C12)</f>
        <v>202058.08333333331</v>
      </c>
      <c r="D14" s="838">
        <f>SUM(D8:D12)</f>
        <v>207943</v>
      </c>
      <c r="E14" s="838">
        <f>SUM(E8:E12)</f>
        <v>207943</v>
      </c>
      <c r="F14" s="838">
        <f>SUM(F8:F13)</f>
        <v>207943</v>
      </c>
      <c r="G14" s="838">
        <f>SUM(G8:G13)</f>
        <v>207943</v>
      </c>
      <c r="H14" s="838">
        <f t="shared" ref="H14:N14" si="1">SUM(H8:H12)</f>
        <v>207943</v>
      </c>
      <c r="I14" s="838">
        <f t="shared" si="1"/>
        <v>207943</v>
      </c>
      <c r="J14" s="838">
        <f t="shared" si="1"/>
        <v>207943</v>
      </c>
      <c r="K14" s="838">
        <f t="shared" si="1"/>
        <v>207943</v>
      </c>
      <c r="L14" s="838">
        <f t="shared" si="1"/>
        <v>207943</v>
      </c>
      <c r="M14" s="838">
        <f t="shared" si="1"/>
        <v>207943</v>
      </c>
      <c r="N14" s="838">
        <f t="shared" si="1"/>
        <v>207943</v>
      </c>
      <c r="O14" s="839">
        <f>SUM(O8:O13)</f>
        <v>2424697</v>
      </c>
      <c r="P14" s="36"/>
    </row>
    <row r="15" spans="1:16" s="32" customFormat="1" ht="15.75" customHeight="1" x14ac:dyDescent="0.25">
      <c r="A15" s="21" t="s">
        <v>531</v>
      </c>
      <c r="B15" s="32" t="s">
        <v>694</v>
      </c>
      <c r="C15" s="273"/>
      <c r="D15" s="273"/>
      <c r="E15" s="273"/>
      <c r="F15" s="273"/>
      <c r="G15" s="840"/>
      <c r="H15" s="840"/>
      <c r="I15" s="840"/>
      <c r="J15" s="840"/>
      <c r="K15" s="840"/>
      <c r="L15" s="840"/>
      <c r="M15" s="840"/>
      <c r="N15" s="840"/>
      <c r="O15" s="275">
        <f>Össz.önkor.mérleg.!E23</f>
        <v>1070</v>
      </c>
      <c r="P15" s="35"/>
    </row>
    <row r="16" spans="1:16" s="32" customFormat="1" ht="15" customHeight="1" x14ac:dyDescent="0.25">
      <c r="A16" s="21" t="s">
        <v>573</v>
      </c>
      <c r="B16" s="32" t="s">
        <v>695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5">
        <v>0</v>
      </c>
      <c r="P16" s="35"/>
    </row>
    <row r="17" spans="1:256" s="32" customFormat="1" ht="16.5" customHeight="1" x14ac:dyDescent="0.25">
      <c r="A17" s="21" t="s">
        <v>574</v>
      </c>
      <c r="B17" s="32" t="s">
        <v>610</v>
      </c>
      <c r="C17" s="273">
        <f>O17/12</f>
        <v>263.5</v>
      </c>
      <c r="D17" s="273">
        <v>308</v>
      </c>
      <c r="E17" s="273">
        <v>308</v>
      </c>
      <c r="F17" s="273">
        <v>308</v>
      </c>
      <c r="G17" s="273">
        <v>308</v>
      </c>
      <c r="H17" s="273">
        <v>308</v>
      </c>
      <c r="I17" s="273">
        <v>308</v>
      </c>
      <c r="J17" s="273">
        <v>308</v>
      </c>
      <c r="K17" s="273">
        <v>308</v>
      </c>
      <c r="L17" s="273">
        <v>308</v>
      </c>
      <c r="M17" s="273">
        <v>308</v>
      </c>
      <c r="N17" s="273">
        <v>308</v>
      </c>
      <c r="O17" s="275">
        <f>Össz.önkor.mérleg.!E29</f>
        <v>3162</v>
      </c>
      <c r="P17" s="35"/>
    </row>
    <row r="18" spans="1:256" s="33" customFormat="1" ht="15" customHeight="1" x14ac:dyDescent="0.25">
      <c r="A18" s="21" t="s">
        <v>575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>
        <f t="shared" si="0"/>
        <v>0</v>
      </c>
      <c r="P18" s="35"/>
    </row>
    <row r="19" spans="1:256" s="38" customFormat="1" ht="16.5" customHeight="1" x14ac:dyDescent="0.25">
      <c r="A19" s="21" t="s">
        <v>579</v>
      </c>
      <c r="B19" s="837" t="s">
        <v>669</v>
      </c>
      <c r="C19" s="838">
        <f>SUM(C15:C18)</f>
        <v>263.5</v>
      </c>
      <c r="D19" s="838">
        <f>SUM(D15:D18)</f>
        <v>308</v>
      </c>
      <c r="E19" s="838">
        <f>SUM(E15:E18)</f>
        <v>308</v>
      </c>
      <c r="F19" s="838">
        <f t="shared" ref="F19:M19" si="2">SUM(F15:F18)</f>
        <v>308</v>
      </c>
      <c r="G19" s="838">
        <f t="shared" si="2"/>
        <v>308</v>
      </c>
      <c r="H19" s="838">
        <f t="shared" si="2"/>
        <v>308</v>
      </c>
      <c r="I19" s="838">
        <f t="shared" si="2"/>
        <v>308</v>
      </c>
      <c r="J19" s="838">
        <f t="shared" si="2"/>
        <v>308</v>
      </c>
      <c r="K19" s="838">
        <f t="shared" si="2"/>
        <v>308</v>
      </c>
      <c r="L19" s="838">
        <f t="shared" si="2"/>
        <v>308</v>
      </c>
      <c r="M19" s="838">
        <f t="shared" si="2"/>
        <v>308</v>
      </c>
      <c r="N19" s="838">
        <f>SUM(N15:N18)</f>
        <v>308</v>
      </c>
      <c r="O19" s="838">
        <f>SUM(O15:O18)</f>
        <v>4232</v>
      </c>
      <c r="P19" s="37"/>
    </row>
    <row r="20" spans="1:256" s="34" customFormat="1" ht="16.5" customHeight="1" x14ac:dyDescent="0.25">
      <c r="A20" s="21" t="s">
        <v>580</v>
      </c>
      <c r="B20" s="38" t="s">
        <v>696</v>
      </c>
      <c r="C20" s="276"/>
      <c r="D20" s="276"/>
      <c r="E20" s="276"/>
      <c r="F20" s="276"/>
      <c r="G20" s="276"/>
      <c r="H20" s="274"/>
      <c r="I20" s="274"/>
      <c r="J20" s="274"/>
      <c r="K20" s="274"/>
      <c r="L20" s="274"/>
      <c r="M20" s="274"/>
      <c r="N20" s="274"/>
      <c r="O20" s="275">
        <f>SUM(C20:N20)</f>
        <v>0</v>
      </c>
      <c r="P20" s="36"/>
    </row>
    <row r="21" spans="1:256" s="32" customFormat="1" ht="15.75" customHeight="1" x14ac:dyDescent="0.25">
      <c r="A21" s="21" t="s">
        <v>582</v>
      </c>
      <c r="B21" s="33" t="s">
        <v>497</v>
      </c>
      <c r="C21" s="274">
        <f>O21/12</f>
        <v>167296.66666666666</v>
      </c>
      <c r="D21" s="274">
        <v>28750.25</v>
      </c>
      <c r="E21" s="274">
        <v>28750.25</v>
      </c>
      <c r="F21" s="274">
        <v>28750.25</v>
      </c>
      <c r="G21" s="274">
        <v>28750.25</v>
      </c>
      <c r="H21" s="274">
        <v>28750.25</v>
      </c>
      <c r="I21" s="274">
        <v>28750.25</v>
      </c>
      <c r="J21" s="274">
        <v>28750.25</v>
      </c>
      <c r="K21" s="274">
        <v>28750.25</v>
      </c>
      <c r="L21" s="274">
        <v>28750.25</v>
      </c>
      <c r="M21" s="274">
        <v>28750.25</v>
      </c>
      <c r="N21" s="274">
        <v>28750.25</v>
      </c>
      <c r="O21" s="275">
        <f>Össz.önkor.mérleg.!E52</f>
        <v>2007560</v>
      </c>
      <c r="P21" s="35"/>
    </row>
    <row r="22" spans="1:256" s="34" customFormat="1" ht="16.5" customHeight="1" x14ac:dyDescent="0.25">
      <c r="A22" s="21" t="s">
        <v>583</v>
      </c>
      <c r="B22" s="841" t="s">
        <v>670</v>
      </c>
      <c r="C22" s="842">
        <f t="shared" ref="C22:N22" si="3">C19+C14+C20+C21</f>
        <v>369618.25</v>
      </c>
      <c r="D22" s="842">
        <f t="shared" si="3"/>
        <v>237001.25</v>
      </c>
      <c r="E22" s="842">
        <f t="shared" si="3"/>
        <v>237001.25</v>
      </c>
      <c r="F22" s="842">
        <f t="shared" si="3"/>
        <v>237001.25</v>
      </c>
      <c r="G22" s="842">
        <f t="shared" si="3"/>
        <v>237001.25</v>
      </c>
      <c r="H22" s="842">
        <f t="shared" si="3"/>
        <v>237001.25</v>
      </c>
      <c r="I22" s="842">
        <f t="shared" si="3"/>
        <v>237001.25</v>
      </c>
      <c r="J22" s="842">
        <f t="shared" si="3"/>
        <v>237001.25</v>
      </c>
      <c r="K22" s="842">
        <f t="shared" si="3"/>
        <v>237001.25</v>
      </c>
      <c r="L22" s="842">
        <f t="shared" si="3"/>
        <v>237001.25</v>
      </c>
      <c r="M22" s="842">
        <f t="shared" si="3"/>
        <v>237001.25</v>
      </c>
      <c r="N22" s="842">
        <f t="shared" si="3"/>
        <v>237001.25</v>
      </c>
      <c r="O22" s="843">
        <f>O14+O21+O19</f>
        <v>4436489</v>
      </c>
      <c r="P22" s="36"/>
    </row>
    <row r="23" spans="1:256" s="15" customFormat="1" ht="9.75" customHeight="1" x14ac:dyDescent="0.25">
      <c r="A23" s="21"/>
      <c r="B23" s="3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</row>
    <row r="24" spans="1:256" s="34" customFormat="1" ht="12.75" customHeight="1" x14ac:dyDescent="0.25">
      <c r="A24" s="21" t="s">
        <v>584</v>
      </c>
      <c r="B24" s="34" t="s">
        <v>65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</row>
    <row r="25" spans="1:256" s="32" customFormat="1" ht="15.75" customHeight="1" x14ac:dyDescent="0.25">
      <c r="A25" s="21" t="s">
        <v>585</v>
      </c>
      <c r="B25" s="32" t="s">
        <v>498</v>
      </c>
      <c r="C25" s="273">
        <f t="shared" ref="C25:C32" si="4">O25/12</f>
        <v>73295.333333333328</v>
      </c>
      <c r="D25" s="273">
        <v>66253.25</v>
      </c>
      <c r="E25" s="273">
        <v>66253.25</v>
      </c>
      <c r="F25" s="273">
        <v>66253.25</v>
      </c>
      <c r="G25" s="273">
        <v>66253.25</v>
      </c>
      <c r="H25" s="273">
        <v>66253.25</v>
      </c>
      <c r="I25" s="273">
        <v>66253.25</v>
      </c>
      <c r="J25" s="273">
        <v>66253.25</v>
      </c>
      <c r="K25" s="273">
        <v>66253.25</v>
      </c>
      <c r="L25" s="273">
        <v>66253.25</v>
      </c>
      <c r="M25" s="273">
        <v>66253.25</v>
      </c>
      <c r="N25" s="273">
        <v>66253.25</v>
      </c>
      <c r="O25" s="275">
        <f>Össz.önkor.mérleg.!I10</f>
        <v>879544</v>
      </c>
    </row>
    <row r="26" spans="1:256" s="32" customFormat="1" ht="17.25" customHeight="1" x14ac:dyDescent="0.25">
      <c r="A26" s="21" t="s">
        <v>586</v>
      </c>
      <c r="B26" s="32" t="s">
        <v>499</v>
      </c>
      <c r="C26" s="273">
        <f t="shared" si="4"/>
        <v>18367.583333333332</v>
      </c>
      <c r="D26" s="273">
        <v>18981.416666666668</v>
      </c>
      <c r="E26" s="273">
        <v>18981.416666666668</v>
      </c>
      <c r="F26" s="273">
        <v>18981.416666666668</v>
      </c>
      <c r="G26" s="273">
        <v>18981.416666666668</v>
      </c>
      <c r="H26" s="273">
        <v>18981.416666666668</v>
      </c>
      <c r="I26" s="273">
        <v>18981.416666666668</v>
      </c>
      <c r="J26" s="273">
        <v>18981.416666666668</v>
      </c>
      <c r="K26" s="273">
        <v>18981.416666666668</v>
      </c>
      <c r="L26" s="273">
        <v>18981.416666666668</v>
      </c>
      <c r="M26" s="273">
        <v>18981.416666666668</v>
      </c>
      <c r="N26" s="273">
        <v>18981.416666666668</v>
      </c>
      <c r="O26" s="275">
        <f>Össz.önkor.mérleg.!I11</f>
        <v>220411</v>
      </c>
    </row>
    <row r="27" spans="1:256" s="32" customFormat="1" ht="13.5" customHeight="1" x14ac:dyDescent="0.25">
      <c r="A27" s="21" t="s">
        <v>587</v>
      </c>
      <c r="B27" s="32" t="s">
        <v>500</v>
      </c>
      <c r="C27" s="273">
        <f t="shared" si="4"/>
        <v>80714.083333333328</v>
      </c>
      <c r="D27" s="273">
        <v>71861.833333333328</v>
      </c>
      <c r="E27" s="273">
        <v>71861.833333333328</v>
      </c>
      <c r="F27" s="273">
        <v>71861.833333333328</v>
      </c>
      <c r="G27" s="273">
        <v>71861.833333333328</v>
      </c>
      <c r="H27" s="273">
        <v>71861.833333333328</v>
      </c>
      <c r="I27" s="273">
        <v>71861.833333333328</v>
      </c>
      <c r="J27" s="273">
        <v>71861.833333333328</v>
      </c>
      <c r="K27" s="273">
        <v>71861.833333333328</v>
      </c>
      <c r="L27" s="273">
        <v>71861.833333333328</v>
      </c>
      <c r="M27" s="273">
        <v>71861.833333333328</v>
      </c>
      <c r="N27" s="273">
        <v>71861.833333333328</v>
      </c>
      <c r="O27" s="275">
        <f>Össz.önkor.mérleg.!I12</f>
        <v>968569</v>
      </c>
    </row>
    <row r="28" spans="1:256" s="32" customFormat="1" ht="15" customHeight="1" x14ac:dyDescent="0.25">
      <c r="A28" s="21" t="s">
        <v>588</v>
      </c>
      <c r="B28" s="32" t="s">
        <v>671</v>
      </c>
      <c r="C28" s="273">
        <f t="shared" si="4"/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v>0</v>
      </c>
      <c r="O28" s="275">
        <f>Össz.önkor.mérleg.!I13</f>
        <v>0</v>
      </c>
      <c r="IV28" s="35"/>
    </row>
    <row r="29" spans="1:256" s="32" customFormat="1" ht="15" customHeight="1" x14ac:dyDescent="0.25">
      <c r="A29" s="21" t="s">
        <v>589</v>
      </c>
      <c r="B29" s="32" t="s">
        <v>285</v>
      </c>
      <c r="C29" s="273">
        <f t="shared" si="4"/>
        <v>1175</v>
      </c>
      <c r="D29" s="273">
        <v>1304.1666666666667</v>
      </c>
      <c r="E29" s="273">
        <v>1304.1666666666667</v>
      </c>
      <c r="F29" s="273">
        <v>1304.1666666666667</v>
      </c>
      <c r="G29" s="273">
        <v>1304.1666666666667</v>
      </c>
      <c r="H29" s="273">
        <v>1304.1666666666667</v>
      </c>
      <c r="I29" s="273">
        <v>1304.1666666666667</v>
      </c>
      <c r="J29" s="273">
        <v>1304.1666666666667</v>
      </c>
      <c r="K29" s="273">
        <v>1304.1666666666667</v>
      </c>
      <c r="L29" s="273">
        <v>1304.1666666666667</v>
      </c>
      <c r="M29" s="273">
        <v>1304.1666666666667</v>
      </c>
      <c r="N29" s="273">
        <v>1304.1666666666667</v>
      </c>
      <c r="O29" s="275">
        <f>Össz.önkor.mérleg.!I14</f>
        <v>14100</v>
      </c>
    </row>
    <row r="30" spans="1:256" s="32" customFormat="1" ht="12.75" customHeight="1" x14ac:dyDescent="0.25">
      <c r="A30" s="21" t="s">
        <v>611</v>
      </c>
      <c r="B30" s="32" t="s">
        <v>501</v>
      </c>
      <c r="C30" s="273">
        <f t="shared" si="4"/>
        <v>5072.833333333333</v>
      </c>
      <c r="D30" s="273">
        <v>5266</v>
      </c>
      <c r="E30" s="273">
        <v>5266</v>
      </c>
      <c r="F30" s="273">
        <v>5266</v>
      </c>
      <c r="G30" s="273">
        <v>5266</v>
      </c>
      <c r="H30" s="273">
        <v>5266</v>
      </c>
      <c r="I30" s="273">
        <v>5266</v>
      </c>
      <c r="J30" s="273">
        <v>5266</v>
      </c>
      <c r="K30" s="273">
        <v>5266</v>
      </c>
      <c r="L30" s="273">
        <v>5266</v>
      </c>
      <c r="M30" s="273">
        <v>5266</v>
      </c>
      <c r="N30" s="273">
        <v>5266</v>
      </c>
      <c r="O30" s="275">
        <f>Össz.önkor.mérleg.!I16</f>
        <v>60874</v>
      </c>
    </row>
    <row r="31" spans="1:256" s="32" customFormat="1" ht="15.75" customHeight="1" x14ac:dyDescent="0.25">
      <c r="A31" s="21" t="s">
        <v>612</v>
      </c>
      <c r="B31" s="32" t="s">
        <v>502</v>
      </c>
      <c r="C31" s="273">
        <f t="shared" si="4"/>
        <v>29170.833333333332</v>
      </c>
      <c r="D31" s="273">
        <v>21191.5</v>
      </c>
      <c r="E31" s="273">
        <v>21191.5</v>
      </c>
      <c r="F31" s="273">
        <v>21191.5</v>
      </c>
      <c r="G31" s="273">
        <v>21191.5</v>
      </c>
      <c r="H31" s="273">
        <v>21191.5</v>
      </c>
      <c r="I31" s="273">
        <v>21191.5</v>
      </c>
      <c r="J31" s="273">
        <v>21191.5</v>
      </c>
      <c r="K31" s="273">
        <v>21191.5</v>
      </c>
      <c r="L31" s="273">
        <v>21191.5</v>
      </c>
      <c r="M31" s="273">
        <v>21191.5</v>
      </c>
      <c r="N31" s="273">
        <v>21191.5</v>
      </c>
      <c r="O31" s="275">
        <f>Össz.önkor.mérleg.!I17</f>
        <v>350050</v>
      </c>
    </row>
    <row r="32" spans="1:256" s="32" customFormat="1" ht="15" customHeight="1" x14ac:dyDescent="0.25">
      <c r="A32" s="21" t="s">
        <v>613</v>
      </c>
      <c r="B32" s="32" t="s">
        <v>700</v>
      </c>
      <c r="C32" s="273">
        <f t="shared" si="4"/>
        <v>3060.5</v>
      </c>
      <c r="D32" s="273">
        <v>9095.1666666666661</v>
      </c>
      <c r="E32" s="273">
        <v>9095.1666666666661</v>
      </c>
      <c r="F32" s="273">
        <v>9095.1666666666661</v>
      </c>
      <c r="G32" s="273">
        <v>9095.1666666666661</v>
      </c>
      <c r="H32" s="273">
        <v>9095.1666666666661</v>
      </c>
      <c r="I32" s="273">
        <v>9095.1666666666661</v>
      </c>
      <c r="J32" s="273">
        <v>9095.1666666666661</v>
      </c>
      <c r="K32" s="273">
        <v>9095.1666666666661</v>
      </c>
      <c r="L32" s="273">
        <v>9095.1666666666661</v>
      </c>
      <c r="M32" s="273">
        <v>9095.1666666666661</v>
      </c>
      <c r="N32" s="273">
        <v>9095.1666666666661</v>
      </c>
      <c r="O32" s="275">
        <f>Össz.önkor.mérleg.!I19+Össz.önkor.mérleg.!I20</f>
        <v>36726</v>
      </c>
    </row>
    <row r="33" spans="1:16" s="33" customFormat="1" ht="15.75" customHeight="1" x14ac:dyDescent="0.25">
      <c r="A33" s="21" t="s">
        <v>614</v>
      </c>
      <c r="B33" s="837" t="s">
        <v>672</v>
      </c>
      <c r="C33" s="838">
        <f>SUM(C25:C32)</f>
        <v>210856.16666666669</v>
      </c>
      <c r="D33" s="838">
        <f>SUM(D25:D32)</f>
        <v>193953.33333333331</v>
      </c>
      <c r="E33" s="838">
        <f t="shared" ref="E33:N33" si="5">SUM(E25:E32)</f>
        <v>193953.33333333331</v>
      </c>
      <c r="F33" s="838">
        <f t="shared" si="5"/>
        <v>193953.33333333331</v>
      </c>
      <c r="G33" s="838">
        <f t="shared" si="5"/>
        <v>193953.33333333331</v>
      </c>
      <c r="H33" s="838">
        <f t="shared" si="5"/>
        <v>193953.33333333331</v>
      </c>
      <c r="I33" s="838">
        <f t="shared" si="5"/>
        <v>193953.33333333331</v>
      </c>
      <c r="J33" s="838">
        <f t="shared" si="5"/>
        <v>193953.33333333331</v>
      </c>
      <c r="K33" s="838">
        <f t="shared" si="5"/>
        <v>193953.33333333331</v>
      </c>
      <c r="L33" s="838">
        <f t="shared" si="5"/>
        <v>193953.33333333331</v>
      </c>
      <c r="M33" s="838">
        <f t="shared" si="5"/>
        <v>193953.33333333331</v>
      </c>
      <c r="N33" s="838">
        <f t="shared" si="5"/>
        <v>193953.33333333331</v>
      </c>
      <c r="O33" s="838">
        <f>SUM(O25:O32)</f>
        <v>2530274</v>
      </c>
    </row>
    <row r="34" spans="1:16" s="33" customFormat="1" ht="15" customHeight="1" x14ac:dyDescent="0.25">
      <c r="A34" s="21" t="s">
        <v>615</v>
      </c>
      <c r="B34" s="33" t="s">
        <v>673</v>
      </c>
      <c r="C34" s="274">
        <f t="shared" ref="C34:C39" si="6">O34/12</f>
        <v>172158.84333333335</v>
      </c>
      <c r="D34" s="274">
        <v>21286.833333333332</v>
      </c>
      <c r="E34" s="274">
        <v>21286.833333333332</v>
      </c>
      <c r="F34" s="274">
        <v>21286.833333333332</v>
      </c>
      <c r="G34" s="274">
        <v>21286.833333333332</v>
      </c>
      <c r="H34" s="274">
        <v>21286.833333333332</v>
      </c>
      <c r="I34" s="274">
        <v>21286.833333333332</v>
      </c>
      <c r="J34" s="274">
        <v>21286.833333333332</v>
      </c>
      <c r="K34" s="274">
        <v>21286.833333333332</v>
      </c>
      <c r="L34" s="274">
        <v>21286.833333333332</v>
      </c>
      <c r="M34" s="274">
        <v>21286.833333333332</v>
      </c>
      <c r="N34" s="274">
        <v>21286.833333333332</v>
      </c>
      <c r="O34" s="276">
        <f>Össz.önkor.mérleg.!I26</f>
        <v>2065906.12</v>
      </c>
    </row>
    <row r="35" spans="1:16" s="33" customFormat="1" ht="15" customHeight="1" x14ac:dyDescent="0.25">
      <c r="A35" s="21" t="s">
        <v>616</v>
      </c>
      <c r="B35" s="33" t="s">
        <v>520</v>
      </c>
      <c r="C35" s="274">
        <f t="shared" si="6"/>
        <v>2912.8333333333335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6">
        <f>Össz.önkor.mérleg.!I27</f>
        <v>34954</v>
      </c>
    </row>
    <row r="36" spans="1:16" s="33" customFormat="1" ht="15.75" customHeight="1" x14ac:dyDescent="0.25">
      <c r="A36" s="21" t="s">
        <v>617</v>
      </c>
      <c r="B36" s="33" t="s">
        <v>503</v>
      </c>
      <c r="C36" s="274">
        <f t="shared" si="6"/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6">
        <f>Össz.önkor.mérleg.!I28</f>
        <v>0</v>
      </c>
    </row>
    <row r="37" spans="1:16" s="33" customFormat="1" ht="15.75" customHeight="1" x14ac:dyDescent="0.25">
      <c r="A37" s="21" t="s">
        <v>618</v>
      </c>
      <c r="B37" s="32" t="s">
        <v>698</v>
      </c>
      <c r="C37" s="274">
        <f t="shared" si="6"/>
        <v>4.166666666666667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6">
        <f>Össz.önkor.mérleg.!I29</f>
        <v>50</v>
      </c>
    </row>
    <row r="38" spans="1:16" s="33" customFormat="1" ht="16.5" customHeight="1" x14ac:dyDescent="0.25">
      <c r="A38" s="21" t="s">
        <v>619</v>
      </c>
      <c r="B38" s="32" t="s">
        <v>699</v>
      </c>
      <c r="C38" s="274">
        <f t="shared" si="6"/>
        <v>8813.5833333333339</v>
      </c>
      <c r="D38" s="274">
        <v>702.5</v>
      </c>
      <c r="E38" s="274">
        <v>702.5</v>
      </c>
      <c r="F38" s="274">
        <v>702.5</v>
      </c>
      <c r="G38" s="274">
        <v>702.5</v>
      </c>
      <c r="H38" s="274">
        <v>702.5</v>
      </c>
      <c r="I38" s="274">
        <v>702.5</v>
      </c>
      <c r="J38" s="274">
        <v>702.5</v>
      </c>
      <c r="K38" s="274">
        <v>702.5</v>
      </c>
      <c r="L38" s="274">
        <v>702.5</v>
      </c>
      <c r="M38" s="274">
        <v>702.5</v>
      </c>
      <c r="N38" s="274">
        <v>702.5</v>
      </c>
      <c r="O38" s="276">
        <f>Össz.önkor.mérleg.!I30</f>
        <v>105763</v>
      </c>
    </row>
    <row r="39" spans="1:16" s="33" customFormat="1" ht="15" customHeight="1" x14ac:dyDescent="0.25">
      <c r="A39" s="21" t="s">
        <v>674</v>
      </c>
      <c r="B39" s="32" t="s">
        <v>701</v>
      </c>
      <c r="C39" s="274">
        <f t="shared" si="6"/>
        <v>12913.166666666666</v>
      </c>
      <c r="D39" s="274">
        <v>21057.833333333332</v>
      </c>
      <c r="E39" s="274">
        <v>21057.833333333332</v>
      </c>
      <c r="F39" s="274">
        <v>21057.833333333332</v>
      </c>
      <c r="G39" s="274">
        <v>21057.833333333332</v>
      </c>
      <c r="H39" s="274">
        <v>21057.833333333332</v>
      </c>
      <c r="I39" s="274">
        <v>21057.833333333332</v>
      </c>
      <c r="J39" s="274">
        <v>21057.833333333332</v>
      </c>
      <c r="K39" s="274">
        <v>21057.833333333332</v>
      </c>
      <c r="L39" s="274">
        <v>21057.833333333332</v>
      </c>
      <c r="M39" s="274">
        <v>21057.833333333332</v>
      </c>
      <c r="N39" s="274">
        <v>21057.833333333332</v>
      </c>
      <c r="O39" s="276">
        <f>Össz.önkor.mérleg.!I31</f>
        <v>154958</v>
      </c>
    </row>
    <row r="40" spans="1:16" s="33" customFormat="1" ht="16.5" customHeight="1" x14ac:dyDescent="0.25">
      <c r="A40" s="21" t="s">
        <v>675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6"/>
    </row>
    <row r="41" spans="1:16" s="33" customFormat="1" ht="15.75" customHeight="1" x14ac:dyDescent="0.25">
      <c r="A41" s="21" t="s">
        <v>676</v>
      </c>
      <c r="C41" s="274">
        <f>O41/3</f>
        <v>0</v>
      </c>
      <c r="D41" s="274">
        <f>O41/3</f>
        <v>0</v>
      </c>
      <c r="E41" s="274">
        <f>O41/3</f>
        <v>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6"/>
    </row>
    <row r="42" spans="1:16" s="38" customFormat="1" ht="15" customHeight="1" x14ac:dyDescent="0.25">
      <c r="A42" s="21" t="s">
        <v>677</v>
      </c>
      <c r="B42" s="837" t="s">
        <v>702</v>
      </c>
      <c r="C42" s="838">
        <f t="shared" ref="C42:O42" si="7">SUM(C34:C41)</f>
        <v>196802.59333333335</v>
      </c>
      <c r="D42" s="838">
        <f t="shared" si="7"/>
        <v>43047.166666666664</v>
      </c>
      <c r="E42" s="838">
        <f t="shared" si="7"/>
        <v>43047.166666666664</v>
      </c>
      <c r="F42" s="838">
        <f t="shared" si="7"/>
        <v>43047.166666666664</v>
      </c>
      <c r="G42" s="838">
        <f t="shared" si="7"/>
        <v>43047.166666666664</v>
      </c>
      <c r="H42" s="838">
        <f t="shared" si="7"/>
        <v>43047.166666666664</v>
      </c>
      <c r="I42" s="838">
        <f t="shared" si="7"/>
        <v>43047.166666666664</v>
      </c>
      <c r="J42" s="838">
        <f t="shared" si="7"/>
        <v>43047.166666666664</v>
      </c>
      <c r="K42" s="838">
        <f t="shared" si="7"/>
        <v>43047.166666666664</v>
      </c>
      <c r="L42" s="838">
        <f t="shared" si="7"/>
        <v>43047.166666666664</v>
      </c>
      <c r="M42" s="838">
        <f t="shared" si="7"/>
        <v>43047.166666666664</v>
      </c>
      <c r="N42" s="838">
        <f t="shared" si="7"/>
        <v>43047.166666666664</v>
      </c>
      <c r="O42" s="838">
        <f t="shared" si="7"/>
        <v>2361631.12</v>
      </c>
    </row>
    <row r="43" spans="1:16" s="32" customFormat="1" ht="15.75" customHeight="1" x14ac:dyDescent="0.25">
      <c r="A43" s="21" t="s">
        <v>703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5">
        <f>SUM(C43:N43)</f>
        <v>0</v>
      </c>
    </row>
    <row r="44" spans="1:16" s="34" customFormat="1" ht="16.5" customHeight="1" x14ac:dyDescent="0.25">
      <c r="A44" s="21" t="s">
        <v>704</v>
      </c>
      <c r="B44" s="841" t="s">
        <v>705</v>
      </c>
      <c r="C44" s="842">
        <f t="shared" ref="C44:N44" si="8">C42+C33+C43</f>
        <v>407658.76</v>
      </c>
      <c r="D44" s="842">
        <f t="shared" si="8"/>
        <v>237000.49999999997</v>
      </c>
      <c r="E44" s="842">
        <f t="shared" si="8"/>
        <v>237000.49999999997</v>
      </c>
      <c r="F44" s="842">
        <f t="shared" si="8"/>
        <v>237000.49999999997</v>
      </c>
      <c r="G44" s="842">
        <f t="shared" si="8"/>
        <v>237000.49999999997</v>
      </c>
      <c r="H44" s="842">
        <f t="shared" si="8"/>
        <v>237000.49999999997</v>
      </c>
      <c r="I44" s="842">
        <f t="shared" si="8"/>
        <v>237000.49999999997</v>
      </c>
      <c r="J44" s="842">
        <f t="shared" si="8"/>
        <v>237000.49999999997</v>
      </c>
      <c r="K44" s="842">
        <f t="shared" si="8"/>
        <v>237000.49999999997</v>
      </c>
      <c r="L44" s="842">
        <f t="shared" si="8"/>
        <v>237000.49999999997</v>
      </c>
      <c r="M44" s="842">
        <f t="shared" si="8"/>
        <v>237000.49999999997</v>
      </c>
      <c r="N44" s="842">
        <f t="shared" si="8"/>
        <v>237000.49999999997</v>
      </c>
      <c r="O44" s="843">
        <f>SUM(C44:N44)</f>
        <v>3014664.26</v>
      </c>
      <c r="P44" s="36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4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F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V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4" width="4" style="17" customWidth="1"/>
    <col min="5" max="8" width="5" style="17" customWidth="1"/>
    <col min="9" max="9" width="5.5703125" style="17" customWidth="1"/>
    <col min="10" max="10" width="4.7109375" style="17" customWidth="1"/>
    <col min="11" max="11" width="5.42578125" style="17" customWidth="1"/>
    <col min="12" max="13" width="4" style="17" customWidth="1"/>
    <col min="14" max="14" width="5.5703125" style="17" customWidth="1"/>
    <col min="15" max="15" width="5.7109375" style="17" customWidth="1"/>
    <col min="16" max="16" width="4" style="17" customWidth="1"/>
    <col min="17" max="17" width="5.7109375" style="17" customWidth="1"/>
    <col min="18" max="18" width="8.7109375" style="17" customWidth="1"/>
    <col min="19" max="19" width="5.28515625" style="17" customWidth="1"/>
    <col min="20" max="24" width="6.7109375" style="17" customWidth="1"/>
    <col min="25" max="25" width="5.140625" style="17" customWidth="1"/>
    <col min="26" max="26" width="5.7109375" style="17" customWidth="1"/>
    <col min="27" max="28" width="6.7109375" style="17" customWidth="1"/>
    <col min="29" max="29" width="5.140625" style="17" customWidth="1"/>
    <col min="30" max="33" width="4.85546875" style="17" customWidth="1"/>
    <col min="34" max="35" width="6.42578125" style="17" customWidth="1"/>
    <col min="36" max="36" width="6.7109375" style="17" customWidth="1"/>
    <col min="37" max="37" width="6.85546875" style="17" customWidth="1"/>
    <col min="38" max="38" width="6.5703125" style="17" customWidth="1"/>
    <col min="39" max="40" width="7.140625" style="17" customWidth="1"/>
    <col min="41" max="45" width="4.85546875" style="17" customWidth="1"/>
    <col min="46" max="47" width="6" style="17" customWidth="1"/>
    <col min="48" max="48" width="7.5703125" style="17" customWidth="1"/>
    <col min="49" max="16384" width="9.140625" style="16"/>
  </cols>
  <sheetData>
    <row r="1" spans="1:48" ht="15.75" customHeight="1" x14ac:dyDescent="0.25">
      <c r="A1" s="1279" t="s">
        <v>1303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1279"/>
      <c r="N1" s="1279"/>
      <c r="O1" s="1279"/>
      <c r="P1" s="1279"/>
      <c r="Q1" s="1279"/>
      <c r="R1" s="1279"/>
      <c r="S1" s="1279"/>
      <c r="T1" s="1279"/>
      <c r="U1" s="1279"/>
      <c r="V1" s="1279"/>
      <c r="W1" s="1279"/>
      <c r="X1" s="1279"/>
      <c r="Y1" s="1279"/>
      <c r="Z1" s="1279"/>
      <c r="AA1" s="1279"/>
      <c r="AB1" s="1279"/>
      <c r="AC1" s="1279"/>
      <c r="AD1" s="1279"/>
      <c r="AE1" s="1279"/>
      <c r="AF1" s="1279"/>
      <c r="AG1" s="1279"/>
      <c r="AH1" s="1279"/>
      <c r="AI1" s="1279"/>
      <c r="AJ1" s="1279"/>
      <c r="AK1" s="1279"/>
      <c r="AL1" s="1279"/>
      <c r="AM1" s="1279"/>
      <c r="AN1" s="1279"/>
      <c r="AO1" s="1279"/>
      <c r="AP1" s="1279"/>
      <c r="AQ1" s="1279"/>
      <c r="AR1" s="1279"/>
      <c r="AS1" s="1279"/>
      <c r="AT1" s="1279"/>
      <c r="AU1" s="1279"/>
      <c r="AV1" s="1279"/>
    </row>
    <row r="2" spans="1:48" ht="15.75" customHeight="1" x14ac:dyDescent="0.25">
      <c r="A2" s="1280" t="s">
        <v>54</v>
      </c>
      <c r="B2" s="1280"/>
      <c r="C2" s="1280"/>
      <c r="D2" s="1280"/>
      <c r="E2" s="1280"/>
      <c r="F2" s="1280"/>
      <c r="G2" s="1280"/>
      <c r="H2" s="1280"/>
      <c r="I2" s="1280"/>
      <c r="J2" s="1280"/>
      <c r="K2" s="1280"/>
      <c r="L2" s="1280"/>
      <c r="M2" s="1280"/>
      <c r="N2" s="1280"/>
      <c r="O2" s="1280"/>
      <c r="P2" s="1280"/>
      <c r="Q2" s="1280"/>
      <c r="R2" s="1280"/>
      <c r="S2" s="1280"/>
      <c r="T2" s="1280"/>
      <c r="U2" s="1280"/>
      <c r="V2" s="1280"/>
      <c r="W2" s="1280"/>
      <c r="X2" s="1280"/>
      <c r="Y2" s="1280"/>
      <c r="Z2" s="1280"/>
      <c r="AA2" s="1280"/>
      <c r="AB2" s="1280"/>
      <c r="AC2" s="1280"/>
      <c r="AD2" s="1280"/>
      <c r="AE2" s="1280"/>
      <c r="AF2" s="1280"/>
      <c r="AG2" s="1280"/>
      <c r="AH2" s="1280"/>
      <c r="AI2" s="1280"/>
      <c r="AJ2" s="1280"/>
      <c r="AK2" s="1280"/>
      <c r="AL2" s="1280"/>
      <c r="AM2" s="1280"/>
      <c r="AN2" s="1280"/>
      <c r="AO2" s="1280"/>
      <c r="AP2" s="1280"/>
      <c r="AQ2" s="1280"/>
      <c r="AR2" s="1280"/>
      <c r="AS2" s="1280"/>
      <c r="AT2" s="1280"/>
      <c r="AU2" s="1280"/>
      <c r="AV2" s="1280"/>
    </row>
    <row r="3" spans="1:48" ht="15.75" customHeight="1" x14ac:dyDescent="0.25">
      <c r="A3" s="1280" t="s">
        <v>1014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0"/>
      <c r="R3" s="1280"/>
      <c r="S3" s="1280"/>
      <c r="T3" s="1280"/>
      <c r="U3" s="1280"/>
      <c r="V3" s="1280"/>
      <c r="W3" s="1280"/>
      <c r="X3" s="1280"/>
      <c r="Y3" s="1280"/>
      <c r="Z3" s="1280"/>
      <c r="AA3" s="1280"/>
      <c r="AB3" s="1280"/>
      <c r="AC3" s="1280"/>
      <c r="AD3" s="1280"/>
      <c r="AE3" s="1280"/>
      <c r="AF3" s="1280"/>
      <c r="AG3" s="1280"/>
      <c r="AH3" s="1280"/>
      <c r="AI3" s="1280"/>
      <c r="AJ3" s="1280"/>
      <c r="AK3" s="1280"/>
      <c r="AL3" s="1280"/>
      <c r="AM3" s="1280"/>
      <c r="AN3" s="1280"/>
      <c r="AO3" s="1280"/>
      <c r="AP3" s="1280"/>
      <c r="AQ3" s="1280"/>
      <c r="AR3" s="1280"/>
      <c r="AS3" s="1280"/>
      <c r="AT3" s="1280"/>
      <c r="AU3" s="1280"/>
      <c r="AV3" s="1280"/>
    </row>
    <row r="4" spans="1:48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 t="s">
        <v>706</v>
      </c>
    </row>
    <row r="5" spans="1:48" ht="27.75" customHeight="1" x14ac:dyDescent="0.25">
      <c r="A5" s="1281" t="s">
        <v>70</v>
      </c>
      <c r="B5" s="42" t="s">
        <v>57</v>
      </c>
      <c r="C5" s="1282" t="s">
        <v>58</v>
      </c>
      <c r="D5" s="1282"/>
      <c r="E5" s="1282"/>
      <c r="F5" s="1282"/>
      <c r="G5" s="1282"/>
      <c r="H5" s="1282"/>
      <c r="I5" s="1282"/>
      <c r="J5" s="1282" t="s">
        <v>59</v>
      </c>
      <c r="K5" s="1282"/>
      <c r="L5" s="1282" t="s">
        <v>60</v>
      </c>
      <c r="M5" s="1282"/>
      <c r="N5" s="1282"/>
      <c r="O5" s="1282"/>
      <c r="P5" s="1283" t="s">
        <v>507</v>
      </c>
      <c r="Q5" s="1283"/>
      <c r="R5" s="1282" t="s">
        <v>508</v>
      </c>
      <c r="S5" s="1282"/>
      <c r="T5" s="1282"/>
      <c r="U5" s="1282"/>
      <c r="V5" s="1282"/>
      <c r="W5" s="1282"/>
      <c r="X5" s="1282"/>
      <c r="Y5" s="1282" t="s">
        <v>509</v>
      </c>
      <c r="Z5" s="1282"/>
      <c r="AA5" s="1284" t="s">
        <v>639</v>
      </c>
      <c r="AB5" s="1284"/>
      <c r="AC5" s="1284"/>
      <c r="AD5" s="1284"/>
      <c r="AE5" s="1284"/>
      <c r="AF5" s="1284"/>
      <c r="AG5" s="1284"/>
      <c r="AH5" s="1284"/>
      <c r="AI5" s="1284"/>
      <c r="AJ5" s="1284"/>
      <c r="AK5" s="1282" t="s">
        <v>650</v>
      </c>
      <c r="AL5" s="1282"/>
      <c r="AM5" s="1282" t="s">
        <v>651</v>
      </c>
      <c r="AN5" s="1282"/>
      <c r="AO5" s="1282"/>
      <c r="AP5" s="1282"/>
      <c r="AQ5" s="1282"/>
      <c r="AR5" s="1282"/>
      <c r="AS5" s="1282"/>
      <c r="AT5" s="1282"/>
      <c r="AU5" s="1282"/>
      <c r="AV5" s="1282"/>
    </row>
    <row r="6" spans="1:48" s="4" customFormat="1" ht="30.75" customHeight="1" x14ac:dyDescent="0.2">
      <c r="A6" s="1281"/>
      <c r="B6" s="1246" t="s">
        <v>707</v>
      </c>
      <c r="C6" s="1285" t="s">
        <v>708</v>
      </c>
      <c r="D6" s="1285"/>
      <c r="E6" s="1285"/>
      <c r="F6" s="1285"/>
      <c r="G6" s="1285"/>
      <c r="H6" s="1285"/>
      <c r="I6" s="1285"/>
      <c r="J6" s="1285"/>
      <c r="K6" s="1285"/>
      <c r="L6" s="1285" t="s">
        <v>709</v>
      </c>
      <c r="M6" s="1285"/>
      <c r="N6" s="1285"/>
      <c r="O6" s="1285"/>
      <c r="P6" s="1285"/>
      <c r="Q6" s="1285"/>
      <c r="R6" s="1278" t="s">
        <v>710</v>
      </c>
      <c r="S6" s="1278"/>
      <c r="T6" s="1278"/>
      <c r="U6" s="1278"/>
      <c r="V6" s="1278"/>
      <c r="W6" s="1278"/>
      <c r="X6" s="1278"/>
      <c r="Y6" s="1278"/>
      <c r="Z6" s="1278"/>
      <c r="AA6" s="1278" t="s">
        <v>572</v>
      </c>
      <c r="AB6" s="1278"/>
      <c r="AC6" s="1278"/>
      <c r="AD6" s="1278"/>
      <c r="AE6" s="1278"/>
      <c r="AF6" s="1278"/>
      <c r="AG6" s="1278"/>
      <c r="AH6" s="1278"/>
      <c r="AI6" s="1278"/>
      <c r="AJ6" s="1278"/>
      <c r="AK6" s="1278"/>
      <c r="AL6" s="1278"/>
      <c r="AM6" s="1132" t="s">
        <v>711</v>
      </c>
      <c r="AN6" s="1132"/>
      <c r="AO6" s="1132"/>
      <c r="AP6" s="1132"/>
      <c r="AQ6" s="1132"/>
      <c r="AR6" s="1132"/>
      <c r="AS6" s="1132"/>
      <c r="AT6" s="1132"/>
      <c r="AU6" s="1132"/>
      <c r="AV6" s="1132"/>
    </row>
    <row r="7" spans="1:48" s="4" customFormat="1" ht="40.5" customHeight="1" x14ac:dyDescent="0.2">
      <c r="A7" s="1281"/>
      <c r="B7" s="1246"/>
      <c r="C7" s="1276" t="s">
        <v>712</v>
      </c>
      <c r="D7" s="1276"/>
      <c r="E7" s="1276"/>
      <c r="F7" s="1276"/>
      <c r="G7" s="1276"/>
      <c r="H7" s="1276"/>
      <c r="I7" s="1276"/>
      <c r="J7" s="1079" t="s">
        <v>713</v>
      </c>
      <c r="K7" s="1079"/>
      <c r="L7" s="1276" t="s">
        <v>714</v>
      </c>
      <c r="M7" s="1276"/>
      <c r="N7" s="1276"/>
      <c r="O7" s="1276"/>
      <c r="P7" s="1276" t="s">
        <v>713</v>
      </c>
      <c r="Q7" s="1276"/>
      <c r="R7" s="1277" t="s">
        <v>714</v>
      </c>
      <c r="S7" s="1277"/>
      <c r="T7" s="1277"/>
      <c r="U7" s="1277"/>
      <c r="V7" s="1277"/>
      <c r="W7" s="1277"/>
      <c r="X7" s="1277"/>
      <c r="Y7" s="1276" t="s">
        <v>713</v>
      </c>
      <c r="Z7" s="1276"/>
      <c r="AA7" s="1277" t="s">
        <v>714</v>
      </c>
      <c r="AB7" s="1277"/>
      <c r="AC7" s="1277"/>
      <c r="AD7" s="1277"/>
      <c r="AE7" s="1277"/>
      <c r="AF7" s="1277"/>
      <c r="AG7" s="1277"/>
      <c r="AH7" s="1277"/>
      <c r="AI7" s="1277"/>
      <c r="AJ7" s="1277"/>
      <c r="AK7" s="1277" t="s">
        <v>715</v>
      </c>
      <c r="AL7" s="1277"/>
      <c r="AM7" s="1132"/>
      <c r="AN7" s="1132"/>
      <c r="AO7" s="1132"/>
      <c r="AP7" s="1132"/>
      <c r="AQ7" s="1132"/>
      <c r="AR7" s="1132"/>
      <c r="AS7" s="1132"/>
      <c r="AT7" s="1132"/>
      <c r="AU7" s="1132"/>
      <c r="AV7" s="1132"/>
    </row>
    <row r="8" spans="1:48" s="4" customFormat="1" ht="27" customHeight="1" x14ac:dyDescent="0.2">
      <c r="A8" s="1281"/>
      <c r="B8" s="1246"/>
      <c r="C8" s="43">
        <v>42736</v>
      </c>
      <c r="D8" s="43">
        <v>42795</v>
      </c>
      <c r="E8" s="43">
        <v>42866</v>
      </c>
      <c r="F8" s="43">
        <v>42887</v>
      </c>
      <c r="G8" s="43">
        <v>42917</v>
      </c>
      <c r="H8" s="43">
        <v>43040</v>
      </c>
      <c r="I8" s="43">
        <v>43100</v>
      </c>
      <c r="J8" s="43">
        <v>42736</v>
      </c>
      <c r="K8" s="43">
        <v>43100</v>
      </c>
      <c r="L8" s="43">
        <v>42736</v>
      </c>
      <c r="M8" s="43">
        <v>42856</v>
      </c>
      <c r="N8" s="960">
        <v>43040</v>
      </c>
      <c r="O8" s="43">
        <v>43100</v>
      </c>
      <c r="P8" s="43">
        <v>42736</v>
      </c>
      <c r="Q8" s="43">
        <v>43100</v>
      </c>
      <c r="R8" s="43">
        <v>42736</v>
      </c>
      <c r="S8" s="43">
        <v>42737</v>
      </c>
      <c r="T8" s="43">
        <v>42795</v>
      </c>
      <c r="U8" s="43">
        <v>42866</v>
      </c>
      <c r="V8" s="43">
        <v>42917</v>
      </c>
      <c r="W8" s="43">
        <v>42979</v>
      </c>
      <c r="X8" s="43">
        <v>43100</v>
      </c>
      <c r="Y8" s="43">
        <v>42736</v>
      </c>
      <c r="Z8" s="43">
        <v>43100</v>
      </c>
      <c r="AA8" s="43">
        <v>42736</v>
      </c>
      <c r="AB8" s="43">
        <v>42737</v>
      </c>
      <c r="AC8" s="43">
        <v>42795</v>
      </c>
      <c r="AD8" s="43">
        <v>42856</v>
      </c>
      <c r="AE8" s="43">
        <v>42866</v>
      </c>
      <c r="AF8" s="43">
        <v>42887</v>
      </c>
      <c r="AG8" s="43">
        <v>42917</v>
      </c>
      <c r="AH8" s="43">
        <v>43040</v>
      </c>
      <c r="AI8" s="43">
        <v>42979</v>
      </c>
      <c r="AJ8" s="43">
        <v>43100</v>
      </c>
      <c r="AK8" s="43">
        <v>42736</v>
      </c>
      <c r="AL8" s="43">
        <v>43100</v>
      </c>
      <c r="AM8" s="43">
        <v>42736</v>
      </c>
      <c r="AN8" s="43">
        <v>42737</v>
      </c>
      <c r="AO8" s="43">
        <v>42795</v>
      </c>
      <c r="AP8" s="43">
        <v>42856</v>
      </c>
      <c r="AQ8" s="43">
        <v>42866</v>
      </c>
      <c r="AR8" s="43">
        <v>42887</v>
      </c>
      <c r="AS8" s="43">
        <v>42917</v>
      </c>
      <c r="AT8" s="960">
        <v>43040</v>
      </c>
      <c r="AU8" s="960">
        <v>42979</v>
      </c>
      <c r="AV8" s="43">
        <v>43100</v>
      </c>
    </row>
    <row r="9" spans="1:48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1:48" s="4" customFormat="1" ht="13.9" customHeight="1" x14ac:dyDescent="0.25">
      <c r="A10" s="44" t="s">
        <v>516</v>
      </c>
      <c r="B10" s="46" t="s">
        <v>87</v>
      </c>
      <c r="C10" s="47" t="s">
        <v>328</v>
      </c>
      <c r="D10" s="47"/>
      <c r="E10" s="47"/>
      <c r="F10" s="47" t="s">
        <v>535</v>
      </c>
      <c r="G10" s="47"/>
      <c r="H10" s="47" t="s">
        <v>1148</v>
      </c>
      <c r="I10" s="47" t="s">
        <v>328</v>
      </c>
      <c r="J10" s="47"/>
      <c r="K10" s="47"/>
      <c r="L10" s="47">
        <v>2</v>
      </c>
      <c r="M10" s="47"/>
      <c r="N10" s="47"/>
      <c r="O10" s="47" t="s">
        <v>717</v>
      </c>
      <c r="P10" s="47"/>
      <c r="Q10" s="47"/>
      <c r="R10" s="47" t="s">
        <v>608</v>
      </c>
      <c r="S10" s="47"/>
      <c r="T10" s="47"/>
      <c r="U10" s="47"/>
      <c r="V10" s="47"/>
      <c r="W10" s="47"/>
      <c r="X10" s="47" t="s">
        <v>608</v>
      </c>
      <c r="Y10" s="47" t="s">
        <v>608</v>
      </c>
      <c r="Z10" s="47" t="s">
        <v>608</v>
      </c>
      <c r="AA10" s="47" t="s">
        <v>1021</v>
      </c>
      <c r="AB10" s="47"/>
      <c r="AC10" s="47"/>
      <c r="AD10" s="47"/>
      <c r="AE10" s="47"/>
      <c r="AF10" s="47" t="s">
        <v>535</v>
      </c>
      <c r="AG10" s="47"/>
      <c r="AH10" s="47" t="s">
        <v>1148</v>
      </c>
      <c r="AI10" s="47"/>
      <c r="AJ10" s="47" t="s">
        <v>1021</v>
      </c>
      <c r="AK10" s="47" t="s">
        <v>608</v>
      </c>
      <c r="AL10" s="47" t="s">
        <v>608</v>
      </c>
      <c r="AM10" s="47" t="s">
        <v>1021</v>
      </c>
      <c r="AN10" s="1030"/>
      <c r="AO10" s="1030"/>
      <c r="AP10" s="1030"/>
      <c r="AQ10" s="1030"/>
      <c r="AR10" s="1030" t="str">
        <f>AF10</f>
        <v>1</v>
      </c>
      <c r="AS10" s="1030"/>
      <c r="AT10" s="1030" t="str">
        <f>AH10</f>
        <v>-1</v>
      </c>
      <c r="AU10" s="1030"/>
      <c r="AV10" s="537">
        <f>AM10+AP10+AR10+AQ10+AT10</f>
        <v>6</v>
      </c>
    </row>
    <row r="11" spans="1:48" s="4" customFormat="1" ht="13.9" customHeight="1" x14ac:dyDescent="0.25">
      <c r="A11" s="44"/>
      <c r="B11" s="31"/>
      <c r="C11" s="48"/>
      <c r="D11" s="48"/>
      <c r="E11" s="48"/>
      <c r="F11" s="48"/>
      <c r="G11" s="48"/>
      <c r="H11" s="48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</row>
    <row r="12" spans="1:48" s="17" customFormat="1" ht="14.45" customHeight="1" x14ac:dyDescent="0.25">
      <c r="A12" s="5" t="s">
        <v>524</v>
      </c>
      <c r="B12" s="49" t="s">
        <v>718</v>
      </c>
      <c r="C12" s="50">
        <v>5</v>
      </c>
      <c r="D12" s="50">
        <v>0</v>
      </c>
      <c r="E12" s="50">
        <v>-3</v>
      </c>
      <c r="F12" s="50"/>
      <c r="G12" s="50">
        <v>1</v>
      </c>
      <c r="H12" s="50"/>
      <c r="I12" s="51">
        <f>C12+E12+G12</f>
        <v>3</v>
      </c>
      <c r="J12" s="51"/>
      <c r="K12" s="51"/>
      <c r="L12" s="51">
        <v>36</v>
      </c>
      <c r="M12" s="51">
        <v>2</v>
      </c>
      <c r="N12" s="51">
        <v>-2</v>
      </c>
      <c r="O12" s="51">
        <f>L12</f>
        <v>36</v>
      </c>
      <c r="P12" s="51"/>
      <c r="Q12" s="51"/>
      <c r="R12" s="51">
        <v>0</v>
      </c>
      <c r="S12" s="51"/>
      <c r="T12" s="51"/>
      <c r="U12" s="51"/>
      <c r="V12" s="51"/>
      <c r="W12" s="51"/>
      <c r="X12" s="51">
        <v>0</v>
      </c>
      <c r="Y12" s="51">
        <v>0</v>
      </c>
      <c r="Z12" s="51">
        <v>0</v>
      </c>
      <c r="AA12" s="51">
        <f>C12+L12+R12</f>
        <v>41</v>
      </c>
      <c r="AB12" s="51"/>
      <c r="AC12" s="51">
        <f>D12</f>
        <v>0</v>
      </c>
      <c r="AD12" s="51">
        <f>M12</f>
        <v>2</v>
      </c>
      <c r="AE12" s="51">
        <f>E12</f>
        <v>-3</v>
      </c>
      <c r="AF12" s="51"/>
      <c r="AG12" s="51">
        <f>G12</f>
        <v>1</v>
      </c>
      <c r="AH12" s="51">
        <f>N12</f>
        <v>-2</v>
      </c>
      <c r="AI12" s="51"/>
      <c r="AJ12" s="51">
        <f>SUM(AA12:AI12)</f>
        <v>39</v>
      </c>
      <c r="AK12" s="51">
        <v>0</v>
      </c>
      <c r="AL12" s="51">
        <v>0</v>
      </c>
      <c r="AM12" s="53">
        <f>AA12</f>
        <v>41</v>
      </c>
      <c r="AN12" s="53"/>
      <c r="AO12" s="53">
        <f>AC12</f>
        <v>0</v>
      </c>
      <c r="AP12" s="53">
        <f>M12</f>
        <v>2</v>
      </c>
      <c r="AQ12" s="53">
        <f>E12</f>
        <v>-3</v>
      </c>
      <c r="AR12" s="53"/>
      <c r="AS12" s="53">
        <f>AG12</f>
        <v>1</v>
      </c>
      <c r="AT12" s="53">
        <f>AH12</f>
        <v>-2</v>
      </c>
      <c r="AU12" s="53"/>
      <c r="AV12" s="53">
        <f>AM12+AP12+AQ12+AR12+AT12+AS12</f>
        <v>39</v>
      </c>
    </row>
    <row r="13" spans="1:48" s="17" customFormat="1" ht="14.45" customHeight="1" x14ac:dyDescent="0.25">
      <c r="A13" s="5"/>
    </row>
    <row r="14" spans="1:48" ht="15.75" customHeight="1" x14ac:dyDescent="0.25">
      <c r="A14" s="5"/>
      <c r="B14" s="54"/>
      <c r="C14" s="55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</row>
    <row r="15" spans="1:48" s="17" customFormat="1" ht="14.45" customHeight="1" x14ac:dyDescent="0.25">
      <c r="A15" s="5" t="s">
        <v>525</v>
      </c>
      <c r="B15" s="59" t="s">
        <v>719</v>
      </c>
      <c r="C15" s="6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</row>
    <row r="16" spans="1:48" s="17" customFormat="1" ht="14.45" customHeight="1" x14ac:dyDescent="0.25">
      <c r="A16" s="5" t="s">
        <v>526</v>
      </c>
      <c r="B16" s="64" t="s">
        <v>720</v>
      </c>
      <c r="C16" s="65"/>
      <c r="D16" s="65"/>
      <c r="E16" s="65"/>
      <c r="F16" s="65"/>
      <c r="G16" s="65"/>
      <c r="H16" s="65"/>
      <c r="I16" s="66"/>
      <c r="J16" s="66"/>
      <c r="K16" s="66"/>
      <c r="L16" s="66"/>
      <c r="M16" s="66"/>
      <c r="N16" s="66"/>
      <c r="O16" s="66"/>
      <c r="P16" s="66"/>
      <c r="Q16" s="66"/>
      <c r="R16" s="66">
        <v>21</v>
      </c>
      <c r="S16" s="66">
        <v>1.5</v>
      </c>
      <c r="T16" s="66"/>
      <c r="U16" s="66"/>
      <c r="V16" s="66"/>
      <c r="W16" s="66"/>
      <c r="X16" s="66">
        <f>R16+S16+T16+U16</f>
        <v>22.5</v>
      </c>
      <c r="Y16" s="66"/>
      <c r="Z16" s="66"/>
      <c r="AA16" s="51">
        <f t="shared" ref="AA16:AA25" si="0">C16+L16+R16</f>
        <v>21</v>
      </c>
      <c r="AB16" s="51">
        <f>S16</f>
        <v>1.5</v>
      </c>
      <c r="AC16" s="51"/>
      <c r="AD16" s="51"/>
      <c r="AE16" s="51"/>
      <c r="AF16" s="51"/>
      <c r="AG16" s="51"/>
      <c r="AH16" s="51"/>
      <c r="AI16" s="51"/>
      <c r="AJ16" s="51">
        <f>I16+O16+X16</f>
        <v>22.5</v>
      </c>
      <c r="AK16" s="51"/>
      <c r="AL16" s="51"/>
      <c r="AM16" s="51">
        <f t="shared" ref="AM16:AM21" si="1">AA16+AK16/2</f>
        <v>21</v>
      </c>
      <c r="AN16" s="51">
        <f>AB16</f>
        <v>1.5</v>
      </c>
      <c r="AO16" s="51"/>
      <c r="AP16" s="51"/>
      <c r="AQ16" s="51"/>
      <c r="AR16" s="51"/>
      <c r="AS16" s="51"/>
      <c r="AT16" s="51"/>
      <c r="AU16" s="51"/>
      <c r="AV16" s="51">
        <f>AJ16+AL16/2</f>
        <v>22.5</v>
      </c>
    </row>
    <row r="17" spans="1:49" s="17" customFormat="1" ht="14.45" customHeight="1" x14ac:dyDescent="0.25">
      <c r="A17" s="5" t="s">
        <v>527</v>
      </c>
      <c r="B17" s="64" t="s">
        <v>1125</v>
      </c>
      <c r="C17" s="65"/>
      <c r="D17" s="65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66"/>
      <c r="P17" s="66"/>
      <c r="Q17" s="66"/>
      <c r="R17" s="66">
        <v>20</v>
      </c>
      <c r="S17" s="66"/>
      <c r="T17" s="66"/>
      <c r="U17" s="66"/>
      <c r="V17" s="66"/>
      <c r="W17" s="66"/>
      <c r="X17" s="66">
        <f t="shared" ref="X17:X23" si="2">R17+S17+T17+U17</f>
        <v>20</v>
      </c>
      <c r="Y17" s="66"/>
      <c r="Z17" s="66"/>
      <c r="AA17" s="51">
        <f t="shared" si="0"/>
        <v>20</v>
      </c>
      <c r="AB17" s="51"/>
      <c r="AC17" s="51"/>
      <c r="AD17" s="51"/>
      <c r="AE17" s="51"/>
      <c r="AF17" s="51"/>
      <c r="AG17" s="51"/>
      <c r="AH17" s="51"/>
      <c r="AI17" s="51"/>
      <c r="AJ17" s="51">
        <f t="shared" ref="AJ17:AJ24" si="3">I17+O17+X17</f>
        <v>20</v>
      </c>
      <c r="AK17" s="51"/>
      <c r="AL17" s="51"/>
      <c r="AM17" s="51">
        <f t="shared" si="1"/>
        <v>20</v>
      </c>
      <c r="AN17" s="51">
        <f t="shared" ref="AN17:AN25" si="4">AB17</f>
        <v>0</v>
      </c>
      <c r="AO17" s="51"/>
      <c r="AP17" s="51"/>
      <c r="AQ17" s="51"/>
      <c r="AR17" s="51"/>
      <c r="AS17" s="51"/>
      <c r="AT17" s="51"/>
      <c r="AU17" s="51"/>
      <c r="AV17" s="51">
        <f t="shared" ref="AV17:AV24" si="5">AJ17+AL17/2</f>
        <v>20</v>
      </c>
    </row>
    <row r="18" spans="1:49" s="17" customFormat="1" ht="14.45" customHeight="1" x14ac:dyDescent="0.25">
      <c r="A18" s="5" t="s">
        <v>528</v>
      </c>
      <c r="B18" s="64" t="s">
        <v>1126</v>
      </c>
      <c r="C18" s="65"/>
      <c r="D18" s="65"/>
      <c r="E18" s="65"/>
      <c r="F18" s="65"/>
      <c r="G18" s="65"/>
      <c r="H18" s="65"/>
      <c r="I18" s="66"/>
      <c r="J18" s="66"/>
      <c r="K18" s="66"/>
      <c r="L18" s="66"/>
      <c r="M18" s="66"/>
      <c r="N18" s="66"/>
      <c r="O18" s="66"/>
      <c r="P18" s="66"/>
      <c r="Q18" s="66"/>
      <c r="R18" s="66">
        <v>9</v>
      </c>
      <c r="S18" s="66"/>
      <c r="T18" s="66"/>
      <c r="U18" s="66"/>
      <c r="V18" s="66"/>
      <c r="W18" s="66"/>
      <c r="X18" s="66">
        <f t="shared" si="2"/>
        <v>9</v>
      </c>
      <c r="Y18" s="66"/>
      <c r="Z18" s="66"/>
      <c r="AA18" s="51">
        <f t="shared" si="0"/>
        <v>9</v>
      </c>
      <c r="AB18" s="51"/>
      <c r="AC18" s="51"/>
      <c r="AD18" s="51"/>
      <c r="AE18" s="51"/>
      <c r="AF18" s="51"/>
      <c r="AG18" s="51"/>
      <c r="AH18" s="51"/>
      <c r="AI18" s="51"/>
      <c r="AJ18" s="51">
        <f t="shared" si="3"/>
        <v>9</v>
      </c>
      <c r="AK18" s="51"/>
      <c r="AL18" s="51"/>
      <c r="AM18" s="51">
        <f t="shared" si="1"/>
        <v>9</v>
      </c>
      <c r="AN18" s="51">
        <f t="shared" si="4"/>
        <v>0</v>
      </c>
      <c r="AO18" s="51"/>
      <c r="AP18" s="51"/>
      <c r="AQ18" s="51"/>
      <c r="AR18" s="51"/>
      <c r="AS18" s="51"/>
      <c r="AT18" s="51"/>
      <c r="AU18" s="51"/>
      <c r="AV18" s="51">
        <f t="shared" si="5"/>
        <v>9</v>
      </c>
    </row>
    <row r="19" spans="1:49" s="17" customFormat="1" ht="14.45" customHeight="1" x14ac:dyDescent="0.25">
      <c r="A19" s="5" t="s">
        <v>529</v>
      </c>
      <c r="B19" s="64" t="s">
        <v>1127</v>
      </c>
      <c r="C19" s="65"/>
      <c r="D19" s="65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>
        <v>11</v>
      </c>
      <c r="S19" s="66"/>
      <c r="T19" s="66"/>
      <c r="U19" s="66"/>
      <c r="V19" s="66"/>
      <c r="W19" s="66"/>
      <c r="X19" s="66">
        <f t="shared" si="2"/>
        <v>11</v>
      </c>
      <c r="Y19" s="66"/>
      <c r="Z19" s="66"/>
      <c r="AA19" s="51">
        <f t="shared" si="0"/>
        <v>11</v>
      </c>
      <c r="AB19" s="51"/>
      <c r="AC19" s="51"/>
      <c r="AD19" s="51"/>
      <c r="AE19" s="51"/>
      <c r="AF19" s="51"/>
      <c r="AG19" s="51"/>
      <c r="AH19" s="51"/>
      <c r="AI19" s="51"/>
      <c r="AJ19" s="51">
        <f t="shared" si="3"/>
        <v>11</v>
      </c>
      <c r="AK19" s="51"/>
      <c r="AL19" s="51"/>
      <c r="AM19" s="51">
        <f t="shared" si="1"/>
        <v>11</v>
      </c>
      <c r="AN19" s="51">
        <f t="shared" si="4"/>
        <v>0</v>
      </c>
      <c r="AO19" s="51"/>
      <c r="AP19" s="51"/>
      <c r="AQ19" s="51"/>
      <c r="AR19" s="51"/>
      <c r="AS19" s="51"/>
      <c r="AT19" s="51"/>
      <c r="AU19" s="51"/>
      <c r="AV19" s="51">
        <f t="shared" si="5"/>
        <v>11</v>
      </c>
    </row>
    <row r="20" spans="1:49" s="17" customFormat="1" ht="14.45" customHeight="1" x14ac:dyDescent="0.25">
      <c r="A20" s="5" t="s">
        <v>530</v>
      </c>
      <c r="B20" s="64" t="s">
        <v>721</v>
      </c>
      <c r="C20" s="65"/>
      <c r="D20" s="65"/>
      <c r="E20" s="65"/>
      <c r="F20" s="65"/>
      <c r="G20" s="65"/>
      <c r="H20" s="65"/>
      <c r="I20" s="66"/>
      <c r="J20" s="66"/>
      <c r="K20" s="66"/>
      <c r="L20" s="66"/>
      <c r="M20" s="66"/>
      <c r="N20" s="66"/>
      <c r="O20" s="66"/>
      <c r="P20" s="66"/>
      <c r="Q20" s="66"/>
      <c r="R20" s="66">
        <v>1</v>
      </c>
      <c r="S20" s="66"/>
      <c r="T20" s="66"/>
      <c r="U20" s="66"/>
      <c r="V20" s="66"/>
      <c r="W20" s="66"/>
      <c r="X20" s="66">
        <f t="shared" si="2"/>
        <v>1</v>
      </c>
      <c r="Y20" s="66"/>
      <c r="Z20" s="66"/>
      <c r="AA20" s="51">
        <f t="shared" si="0"/>
        <v>1</v>
      </c>
      <c r="AB20" s="51"/>
      <c r="AC20" s="51"/>
      <c r="AD20" s="51"/>
      <c r="AE20" s="51"/>
      <c r="AF20" s="51"/>
      <c r="AG20" s="51"/>
      <c r="AH20" s="51"/>
      <c r="AI20" s="51"/>
      <c r="AJ20" s="51">
        <f t="shared" si="3"/>
        <v>1</v>
      </c>
      <c r="AK20" s="51"/>
      <c r="AL20" s="51"/>
      <c r="AM20" s="51">
        <f t="shared" si="1"/>
        <v>1</v>
      </c>
      <c r="AN20" s="51">
        <f t="shared" si="4"/>
        <v>0</v>
      </c>
      <c r="AO20" s="51"/>
      <c r="AP20" s="51"/>
      <c r="AQ20" s="51"/>
      <c r="AR20" s="51"/>
      <c r="AS20" s="51"/>
      <c r="AT20" s="51"/>
      <c r="AU20" s="51"/>
      <c r="AV20" s="51">
        <f t="shared" si="5"/>
        <v>1</v>
      </c>
    </row>
    <row r="21" spans="1:49" s="17" customFormat="1" ht="14.45" customHeight="1" x14ac:dyDescent="0.25">
      <c r="A21" s="5" t="s">
        <v>531</v>
      </c>
      <c r="B21" s="64" t="s">
        <v>722</v>
      </c>
      <c r="C21" s="65"/>
      <c r="D21" s="65"/>
      <c r="E21" s="65"/>
      <c r="F21" s="65"/>
      <c r="G21" s="65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>
        <v>5</v>
      </c>
      <c r="S21" s="66"/>
      <c r="T21" s="66"/>
      <c r="U21" s="66"/>
      <c r="V21" s="66"/>
      <c r="W21" s="66"/>
      <c r="X21" s="66">
        <f t="shared" si="2"/>
        <v>5</v>
      </c>
      <c r="Y21" s="66"/>
      <c r="Z21" s="66"/>
      <c r="AA21" s="51">
        <f t="shared" si="0"/>
        <v>5</v>
      </c>
      <c r="AB21" s="51"/>
      <c r="AC21" s="51"/>
      <c r="AD21" s="51"/>
      <c r="AE21" s="51"/>
      <c r="AF21" s="51"/>
      <c r="AG21" s="51"/>
      <c r="AH21" s="51"/>
      <c r="AI21" s="51"/>
      <c r="AJ21" s="51">
        <f t="shared" si="3"/>
        <v>5</v>
      </c>
      <c r="AK21" s="51"/>
      <c r="AL21" s="51"/>
      <c r="AM21" s="51">
        <f t="shared" si="1"/>
        <v>5</v>
      </c>
      <c r="AN21" s="51">
        <f t="shared" si="4"/>
        <v>0</v>
      </c>
      <c r="AO21" s="51"/>
      <c r="AP21" s="51"/>
      <c r="AQ21" s="51"/>
      <c r="AR21" s="51"/>
      <c r="AS21" s="51"/>
      <c r="AT21" s="51"/>
      <c r="AU21" s="51"/>
      <c r="AV21" s="51">
        <f t="shared" si="5"/>
        <v>5</v>
      </c>
    </row>
    <row r="22" spans="1:49" s="17" customFormat="1" ht="14.45" customHeight="1" x14ac:dyDescent="0.25">
      <c r="A22" s="5" t="s">
        <v>574</v>
      </c>
      <c r="B22" s="64" t="s">
        <v>1067</v>
      </c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>
        <v>3</v>
      </c>
      <c r="S22" s="66"/>
      <c r="T22" s="66"/>
      <c r="U22" s="66"/>
      <c r="V22" s="66"/>
      <c r="W22" s="66"/>
      <c r="X22" s="66">
        <f t="shared" si="2"/>
        <v>3</v>
      </c>
      <c r="Y22" s="66"/>
      <c r="Z22" s="66"/>
      <c r="AA22" s="51">
        <f t="shared" si="0"/>
        <v>3</v>
      </c>
      <c r="AB22" s="51"/>
      <c r="AC22" s="51"/>
      <c r="AD22" s="51"/>
      <c r="AE22" s="51"/>
      <c r="AF22" s="51"/>
      <c r="AG22" s="51"/>
      <c r="AH22" s="51"/>
      <c r="AI22" s="51"/>
      <c r="AJ22" s="51">
        <f t="shared" si="3"/>
        <v>3</v>
      </c>
      <c r="AK22" s="51"/>
      <c r="AL22" s="51"/>
      <c r="AM22" s="51">
        <v>3</v>
      </c>
      <c r="AN22" s="51">
        <f t="shared" si="4"/>
        <v>0</v>
      </c>
      <c r="AO22" s="51"/>
      <c r="AP22" s="51"/>
      <c r="AQ22" s="51"/>
      <c r="AR22" s="51"/>
      <c r="AS22" s="51"/>
      <c r="AT22" s="51"/>
      <c r="AU22" s="51"/>
      <c r="AV22" s="51">
        <f t="shared" si="5"/>
        <v>3</v>
      </c>
    </row>
    <row r="23" spans="1:49" s="17" customFormat="1" ht="14.45" customHeight="1" x14ac:dyDescent="0.25">
      <c r="A23" s="5" t="s">
        <v>575</v>
      </c>
      <c r="B23" s="64" t="s">
        <v>724</v>
      </c>
      <c r="C23" s="65"/>
      <c r="D23" s="65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>
        <v>2.5</v>
      </c>
      <c r="S23" s="66">
        <v>-1.5</v>
      </c>
      <c r="T23" s="66">
        <v>0</v>
      </c>
      <c r="U23" s="66">
        <v>3</v>
      </c>
      <c r="V23" s="66"/>
      <c r="W23" s="66"/>
      <c r="X23" s="66">
        <f t="shared" si="2"/>
        <v>4</v>
      </c>
      <c r="Y23" s="66"/>
      <c r="Z23" s="66"/>
      <c r="AA23" s="51">
        <f t="shared" si="0"/>
        <v>2.5</v>
      </c>
      <c r="AB23" s="51">
        <f>S23</f>
        <v>-1.5</v>
      </c>
      <c r="AC23" s="51">
        <f>T23</f>
        <v>0</v>
      </c>
      <c r="AD23" s="51"/>
      <c r="AE23" s="51">
        <f>U23</f>
        <v>3</v>
      </c>
      <c r="AF23" s="51"/>
      <c r="AG23" s="51"/>
      <c r="AH23" s="51"/>
      <c r="AI23" s="51"/>
      <c r="AJ23" s="51">
        <f t="shared" si="3"/>
        <v>4</v>
      </c>
      <c r="AK23" s="51"/>
      <c r="AL23" s="51"/>
      <c r="AM23" s="51">
        <f>AA23+AK23/2</f>
        <v>2.5</v>
      </c>
      <c r="AN23" s="51">
        <f t="shared" si="4"/>
        <v>-1.5</v>
      </c>
      <c r="AO23" s="51">
        <f>T23</f>
        <v>0</v>
      </c>
      <c r="AP23" s="51"/>
      <c r="AQ23" s="51">
        <f>AE23</f>
        <v>3</v>
      </c>
      <c r="AR23" s="51"/>
      <c r="AS23" s="51"/>
      <c r="AT23" s="51"/>
      <c r="AU23" s="51"/>
      <c r="AV23" s="51">
        <f t="shared" si="5"/>
        <v>4</v>
      </c>
    </row>
    <row r="24" spans="1:49" s="17" customFormat="1" ht="14.45" customHeight="1" x14ac:dyDescent="0.25">
      <c r="A24" s="5" t="s">
        <v>576</v>
      </c>
      <c r="B24" s="64" t="s">
        <v>1118</v>
      </c>
      <c r="C24" s="65"/>
      <c r="D24" s="65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>
        <v>1</v>
      </c>
      <c r="U24" s="66"/>
      <c r="V24" s="66">
        <v>-1</v>
      </c>
      <c r="W24" s="66"/>
      <c r="X24" s="66">
        <f>R24+S24+T24+U24+V24</f>
        <v>0</v>
      </c>
      <c r="Y24" s="66"/>
      <c r="Z24" s="66"/>
      <c r="AA24" s="51">
        <v>0</v>
      </c>
      <c r="AB24" s="51"/>
      <c r="AC24" s="51">
        <v>1</v>
      </c>
      <c r="AD24" s="51"/>
      <c r="AE24" s="51"/>
      <c r="AF24" s="51"/>
      <c r="AG24" s="51">
        <f>V24</f>
        <v>-1</v>
      </c>
      <c r="AH24" s="51"/>
      <c r="AI24" s="51"/>
      <c r="AJ24" s="51">
        <f t="shared" si="3"/>
        <v>0</v>
      </c>
      <c r="AK24" s="51"/>
      <c r="AL24" s="51"/>
      <c r="AM24" s="51"/>
      <c r="AN24" s="51">
        <f t="shared" si="4"/>
        <v>0</v>
      </c>
      <c r="AO24" s="51">
        <f>T24</f>
        <v>1</v>
      </c>
      <c r="AP24" s="51"/>
      <c r="AQ24" s="51"/>
      <c r="AR24" s="51"/>
      <c r="AS24" s="51">
        <f>AG24</f>
        <v>-1</v>
      </c>
      <c r="AT24" s="51"/>
      <c r="AU24" s="51"/>
      <c r="AV24" s="51">
        <f t="shared" si="5"/>
        <v>0</v>
      </c>
    </row>
    <row r="25" spans="1:49" s="17" customFormat="1" ht="14.45" customHeight="1" x14ac:dyDescent="0.25">
      <c r="A25" s="5" t="s">
        <v>577</v>
      </c>
      <c r="B25" s="49" t="s">
        <v>725</v>
      </c>
      <c r="C25" s="50"/>
      <c r="D25" s="50"/>
      <c r="E25" s="50"/>
      <c r="F25" s="50"/>
      <c r="G25" s="50"/>
      <c r="H25" s="50"/>
      <c r="I25" s="67"/>
      <c r="J25" s="67"/>
      <c r="K25" s="67"/>
      <c r="L25" s="67"/>
      <c r="M25" s="67"/>
      <c r="N25" s="67"/>
      <c r="O25" s="66"/>
      <c r="P25" s="66"/>
      <c r="Q25" s="66"/>
      <c r="R25" s="51">
        <f>SUM(R16:R23)</f>
        <v>72.5</v>
      </c>
      <c r="S25" s="51">
        <f>SUM(S16:S23)</f>
        <v>0</v>
      </c>
      <c r="T25" s="51">
        <f>SUM(T16:T24)</f>
        <v>1</v>
      </c>
      <c r="U25" s="51">
        <f>SUM(U16:U24)</f>
        <v>3</v>
      </c>
      <c r="V25" s="51">
        <f>SUM(V16:V24)</f>
        <v>-1</v>
      </c>
      <c r="W25" s="51"/>
      <c r="X25" s="66">
        <f>R25+S25+T25+U25+V25</f>
        <v>75.5</v>
      </c>
      <c r="Y25" s="51">
        <v>0</v>
      </c>
      <c r="Z25" s="51">
        <v>0</v>
      </c>
      <c r="AA25" s="51">
        <f t="shared" si="0"/>
        <v>72.5</v>
      </c>
      <c r="AB25" s="51">
        <f>SUM(AB16:AB24)</f>
        <v>0</v>
      </c>
      <c r="AC25" s="51">
        <f>SUM(AC16:AC24)</f>
        <v>1</v>
      </c>
      <c r="AD25" s="51"/>
      <c r="AE25" s="51">
        <f t="shared" ref="AE25" si="6">SUM(AE16:AE24)</f>
        <v>3</v>
      </c>
      <c r="AF25" s="51"/>
      <c r="AG25" s="51">
        <f>SUM(AG16:AG24)</f>
        <v>-1</v>
      </c>
      <c r="AH25" s="51"/>
      <c r="AI25" s="51"/>
      <c r="AJ25" s="51">
        <f>SUM(AJ16:AJ24)</f>
        <v>75.5</v>
      </c>
      <c r="AK25" s="51">
        <v>0</v>
      </c>
      <c r="AL25" s="51">
        <v>0</v>
      </c>
      <c r="AM25" s="279">
        <f>AA25+AK25/2</f>
        <v>72.5</v>
      </c>
      <c r="AN25" s="51">
        <f t="shared" si="4"/>
        <v>0</v>
      </c>
      <c r="AO25" s="961">
        <f>SUM(AO16:AO24)</f>
        <v>1</v>
      </c>
      <c r="AP25" s="961">
        <v>0</v>
      </c>
      <c r="AQ25" s="961">
        <f>SUM(AQ16:AQ24)</f>
        <v>3</v>
      </c>
      <c r="AR25" s="961">
        <v>0</v>
      </c>
      <c r="AS25" s="961">
        <f>SUM(AS16:AS24)</f>
        <v>-1</v>
      </c>
      <c r="AT25" s="961">
        <v>0</v>
      </c>
      <c r="AU25" s="961"/>
      <c r="AV25" s="51">
        <f>SUM(AV16:AV24)</f>
        <v>75.5</v>
      </c>
      <c r="AW25" s="893"/>
    </row>
    <row r="26" spans="1:49" s="17" customFormat="1" ht="13.5" customHeight="1" x14ac:dyDescent="0.25">
      <c r="A26" s="5"/>
      <c r="B26" s="132"/>
      <c r="C26" s="133"/>
      <c r="D26" s="133"/>
      <c r="E26" s="133"/>
      <c r="F26" s="133"/>
      <c r="G26" s="133"/>
      <c r="H26" s="133"/>
      <c r="I26" s="134"/>
      <c r="J26" s="134"/>
      <c r="K26" s="134"/>
      <c r="L26" s="134"/>
      <c r="M26" s="134"/>
      <c r="N26" s="134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</row>
    <row r="27" spans="1:49" ht="12.75" customHeight="1" x14ac:dyDescent="0.25">
      <c r="A27" s="5"/>
      <c r="B27" s="54"/>
      <c r="C27" s="55"/>
      <c r="D27" s="55"/>
      <c r="E27" s="55"/>
      <c r="F27" s="55"/>
      <c r="G27" s="55"/>
      <c r="H27" s="55"/>
      <c r="I27" s="56"/>
      <c r="J27" s="56"/>
      <c r="K27" s="56"/>
      <c r="L27" s="56"/>
      <c r="M27" s="56"/>
      <c r="N27" s="56"/>
      <c r="O27" s="74"/>
      <c r="P27" s="74"/>
      <c r="Q27" s="74"/>
      <c r="R27" s="74"/>
      <c r="S27" s="74"/>
      <c r="T27" s="74"/>
      <c r="U27" s="74"/>
      <c r="V27" s="74"/>
      <c r="W27" s="74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9" s="17" customFormat="1" ht="27" customHeight="1" x14ac:dyDescent="0.25">
      <c r="A28" s="5" t="s">
        <v>578</v>
      </c>
      <c r="B28" s="59" t="s">
        <v>726</v>
      </c>
      <c r="C28" s="60"/>
      <c r="D28" s="60"/>
      <c r="E28" s="60"/>
      <c r="F28" s="60"/>
      <c r="G28" s="60"/>
      <c r="H28" s="6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61"/>
    </row>
    <row r="29" spans="1:49" s="17" customFormat="1" ht="14.45" customHeight="1" x14ac:dyDescent="0.25">
      <c r="A29" s="5" t="s">
        <v>579</v>
      </c>
      <c r="B29" s="64" t="s">
        <v>641</v>
      </c>
      <c r="C29" s="65"/>
      <c r="D29" s="65"/>
      <c r="E29" s="65"/>
      <c r="F29" s="65"/>
      <c r="G29" s="65"/>
      <c r="H29" s="65"/>
      <c r="I29" s="66"/>
      <c r="J29" s="66"/>
      <c r="K29" s="66"/>
      <c r="L29" s="66"/>
      <c r="M29" s="66"/>
      <c r="N29" s="66"/>
      <c r="O29" s="51"/>
      <c r="P29" s="51"/>
      <c r="Q29" s="51"/>
      <c r="R29" s="66">
        <v>7</v>
      </c>
      <c r="S29" s="66"/>
      <c r="T29" s="66"/>
      <c r="U29" s="66"/>
      <c r="V29" s="66"/>
      <c r="W29" s="66"/>
      <c r="X29" s="51">
        <f>R29</f>
        <v>7</v>
      </c>
      <c r="Y29" s="66"/>
      <c r="Z29" s="66"/>
      <c r="AA29" s="51">
        <f>C29+L29+R29</f>
        <v>7</v>
      </c>
      <c r="AB29" s="51"/>
      <c r="AC29" s="51"/>
      <c r="AD29" s="51"/>
      <c r="AE29" s="51"/>
      <c r="AF29" s="51"/>
      <c r="AG29" s="51"/>
      <c r="AH29" s="51"/>
      <c r="AI29" s="51"/>
      <c r="AJ29" s="51">
        <f>I29+O29+X29</f>
        <v>7</v>
      </c>
      <c r="AK29" s="51"/>
      <c r="AL29" s="51"/>
      <c r="AM29" s="51">
        <f t="shared" ref="AM29:AM41" si="7">C29+L29+R29+Y29/2</f>
        <v>7</v>
      </c>
      <c r="AN29" s="66"/>
      <c r="AO29" s="66"/>
      <c r="AP29" s="66"/>
      <c r="AQ29" s="66"/>
      <c r="AR29" s="66"/>
      <c r="AS29" s="66"/>
      <c r="AT29" s="66"/>
      <c r="AU29" s="66"/>
      <c r="AV29" s="51">
        <f>I29+O29+X29+Z29/2</f>
        <v>7</v>
      </c>
      <c r="AW29" s="29"/>
    </row>
    <row r="30" spans="1:49" s="17" customFormat="1" ht="14.45" customHeight="1" x14ac:dyDescent="0.25">
      <c r="A30" s="5" t="s">
        <v>580</v>
      </c>
      <c r="B30" s="64" t="s">
        <v>727</v>
      </c>
      <c r="C30" s="65"/>
      <c r="D30" s="65"/>
      <c r="E30" s="65"/>
      <c r="F30" s="65"/>
      <c r="G30" s="65"/>
      <c r="H30" s="65"/>
      <c r="I30" s="66"/>
      <c r="J30" s="66"/>
      <c r="K30" s="66"/>
      <c r="L30" s="66"/>
      <c r="M30" s="66"/>
      <c r="N30" s="66"/>
      <c r="O30" s="66"/>
      <c r="P30" s="66"/>
      <c r="Q30" s="66"/>
      <c r="R30" s="66">
        <v>1</v>
      </c>
      <c r="S30" s="66"/>
      <c r="T30" s="66"/>
      <c r="U30" s="66"/>
      <c r="V30" s="66"/>
      <c r="W30" s="66"/>
      <c r="X30" s="51">
        <f t="shared" ref="X30:X42" si="8">R30</f>
        <v>1</v>
      </c>
      <c r="Y30" s="66"/>
      <c r="Z30" s="66"/>
      <c r="AA30" s="51">
        <f>C30+L30+R30</f>
        <v>1</v>
      </c>
      <c r="AB30" s="51"/>
      <c r="AC30" s="51"/>
      <c r="AD30" s="51"/>
      <c r="AE30" s="51"/>
      <c r="AF30" s="51"/>
      <c r="AG30" s="51"/>
      <c r="AH30" s="51"/>
      <c r="AI30" s="51"/>
      <c r="AJ30" s="51">
        <f t="shared" ref="AJ30:AJ41" si="9">I30+O30+X30</f>
        <v>1</v>
      </c>
      <c r="AK30" s="51"/>
      <c r="AL30" s="51"/>
      <c r="AM30" s="51">
        <f t="shared" si="7"/>
        <v>1</v>
      </c>
      <c r="AN30" s="51"/>
      <c r="AO30" s="66"/>
      <c r="AP30" s="66"/>
      <c r="AQ30" s="66"/>
      <c r="AR30" s="66"/>
      <c r="AS30" s="66"/>
      <c r="AT30" s="66"/>
      <c r="AU30" s="66"/>
      <c r="AV30" s="51">
        <f t="shared" ref="AV30:AV40" si="10">I30+O30+X30+Z30/2</f>
        <v>1</v>
      </c>
      <c r="AW30" s="29"/>
    </row>
    <row r="31" spans="1:49" s="17" customFormat="1" ht="28.5" customHeight="1" x14ac:dyDescent="0.25">
      <c r="A31" s="5" t="s">
        <v>582</v>
      </c>
      <c r="B31" s="64" t="s">
        <v>1288</v>
      </c>
      <c r="C31" s="65"/>
      <c r="D31" s="65"/>
      <c r="E31" s="65"/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>
        <v>30</v>
      </c>
      <c r="S31" s="66"/>
      <c r="T31" s="66"/>
      <c r="U31" s="66"/>
      <c r="V31" s="66"/>
      <c r="W31" s="66">
        <v>1</v>
      </c>
      <c r="X31" s="51">
        <f>R31+W31</f>
        <v>31</v>
      </c>
      <c r="Y31" s="66">
        <v>1</v>
      </c>
      <c r="Z31" s="66">
        <v>1</v>
      </c>
      <c r="AA31" s="51">
        <v>30</v>
      </c>
      <c r="AB31" s="51"/>
      <c r="AC31" s="51"/>
      <c r="AD31" s="51"/>
      <c r="AE31" s="51"/>
      <c r="AF31" s="51"/>
      <c r="AG31" s="51"/>
      <c r="AH31" s="51"/>
      <c r="AI31" s="51">
        <v>1</v>
      </c>
      <c r="AJ31" s="51">
        <f t="shared" si="9"/>
        <v>31</v>
      </c>
      <c r="AK31" s="51">
        <f>Y31+P31+J31</f>
        <v>1</v>
      </c>
      <c r="AL31" s="51">
        <f>K31+Q31+Z31</f>
        <v>1</v>
      </c>
      <c r="AM31" s="51">
        <f t="shared" si="7"/>
        <v>30.5</v>
      </c>
      <c r="AN31" s="51"/>
      <c r="AO31" s="66"/>
      <c r="AP31" s="66"/>
      <c r="AQ31" s="66"/>
      <c r="AR31" s="66"/>
      <c r="AS31" s="66"/>
      <c r="AT31" s="66"/>
      <c r="AU31" s="66">
        <v>1</v>
      </c>
      <c r="AV31" s="51">
        <f t="shared" si="10"/>
        <v>31.5</v>
      </c>
      <c r="AW31" s="29"/>
    </row>
    <row r="32" spans="1:49" s="17" customFormat="1" ht="14.45" customHeight="1" x14ac:dyDescent="0.25">
      <c r="A32" s="5" t="s">
        <v>583</v>
      </c>
      <c r="B32" s="64" t="s">
        <v>728</v>
      </c>
      <c r="C32" s="65"/>
      <c r="D32" s="65"/>
      <c r="E32" s="65"/>
      <c r="F32" s="65"/>
      <c r="G32" s="65"/>
      <c r="H32" s="65"/>
      <c r="I32" s="66"/>
      <c r="J32" s="66"/>
      <c r="K32" s="66"/>
      <c r="L32" s="66"/>
      <c r="M32" s="66"/>
      <c r="N32" s="66"/>
      <c r="O32" s="66"/>
      <c r="P32" s="66"/>
      <c r="Q32" s="66"/>
      <c r="R32" s="66">
        <v>2</v>
      </c>
      <c r="S32" s="66"/>
      <c r="T32" s="66"/>
      <c r="U32" s="66"/>
      <c r="V32" s="66"/>
      <c r="W32" s="66"/>
      <c r="X32" s="51">
        <f t="shared" si="8"/>
        <v>2</v>
      </c>
      <c r="Y32" s="66"/>
      <c r="Z32" s="66"/>
      <c r="AA32" s="51">
        <f>C32+L32+R32</f>
        <v>2</v>
      </c>
      <c r="AB32" s="51"/>
      <c r="AC32" s="51"/>
      <c r="AD32" s="51"/>
      <c r="AE32" s="51"/>
      <c r="AF32" s="51"/>
      <c r="AG32" s="51"/>
      <c r="AH32" s="51"/>
      <c r="AI32" s="51"/>
      <c r="AJ32" s="51">
        <f t="shared" si="9"/>
        <v>2</v>
      </c>
      <c r="AK32" s="51"/>
      <c r="AL32" s="51"/>
      <c r="AM32" s="51">
        <f t="shared" si="7"/>
        <v>2</v>
      </c>
      <c r="AN32" s="51"/>
      <c r="AO32" s="66"/>
      <c r="AP32" s="66"/>
      <c r="AQ32" s="66"/>
      <c r="AR32" s="66"/>
      <c r="AS32" s="66"/>
      <c r="AT32" s="66"/>
      <c r="AU32" s="66"/>
      <c r="AV32" s="51">
        <f t="shared" si="10"/>
        <v>2</v>
      </c>
      <c r="AW32" s="29"/>
    </row>
    <row r="33" spans="1:51" s="17" customFormat="1" ht="14.45" customHeight="1" x14ac:dyDescent="0.25">
      <c r="A33" s="5" t="s">
        <v>584</v>
      </c>
      <c r="B33" s="64" t="s">
        <v>746</v>
      </c>
      <c r="C33" s="65"/>
      <c r="D33" s="65"/>
      <c r="E33" s="65"/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6"/>
      <c r="Q33" s="66"/>
      <c r="R33" s="66">
        <v>2</v>
      </c>
      <c r="S33" s="66"/>
      <c r="T33" s="66"/>
      <c r="U33" s="66"/>
      <c r="V33" s="66"/>
      <c r="W33" s="66"/>
      <c r="X33" s="51">
        <f t="shared" si="8"/>
        <v>2</v>
      </c>
      <c r="Y33" s="66"/>
      <c r="Z33" s="66"/>
      <c r="AA33" s="51">
        <f>C33+L33+R33</f>
        <v>2</v>
      </c>
      <c r="AB33" s="51"/>
      <c r="AC33" s="51">
        <f>S33</f>
        <v>0</v>
      </c>
      <c r="AD33" s="51"/>
      <c r="AE33" s="51"/>
      <c r="AF33" s="51"/>
      <c r="AG33" s="51"/>
      <c r="AH33" s="51"/>
      <c r="AI33" s="51"/>
      <c r="AJ33" s="51">
        <f t="shared" si="9"/>
        <v>2</v>
      </c>
      <c r="AK33" s="51"/>
      <c r="AL33" s="51"/>
      <c r="AM33" s="51">
        <f t="shared" si="7"/>
        <v>2</v>
      </c>
      <c r="AN33" s="51"/>
      <c r="AO33" s="51">
        <f>AC33</f>
        <v>0</v>
      </c>
      <c r="AP33" s="51"/>
      <c r="AQ33" s="51"/>
      <c r="AR33" s="51"/>
      <c r="AS33" s="51"/>
      <c r="AT33" s="51"/>
      <c r="AU33" s="51"/>
      <c r="AV33" s="51">
        <f t="shared" si="10"/>
        <v>2</v>
      </c>
      <c r="AW33" s="29"/>
    </row>
    <row r="34" spans="1:51" s="17" customFormat="1" ht="14.45" customHeight="1" x14ac:dyDescent="0.25">
      <c r="A34" s="5" t="s">
        <v>585</v>
      </c>
      <c r="B34" s="64" t="s">
        <v>729</v>
      </c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>
        <v>2</v>
      </c>
      <c r="S34" s="66"/>
      <c r="T34" s="66"/>
      <c r="U34" s="66"/>
      <c r="V34" s="66"/>
      <c r="W34" s="66"/>
      <c r="X34" s="51">
        <f t="shared" si="8"/>
        <v>2</v>
      </c>
      <c r="Y34" s="66"/>
      <c r="Z34" s="66"/>
      <c r="AA34" s="51">
        <v>2</v>
      </c>
      <c r="AB34" s="51"/>
      <c r="AC34" s="51"/>
      <c r="AD34" s="51"/>
      <c r="AE34" s="51"/>
      <c r="AF34" s="51"/>
      <c r="AG34" s="51"/>
      <c r="AH34" s="51"/>
      <c r="AI34" s="51"/>
      <c r="AJ34" s="51">
        <f t="shared" si="9"/>
        <v>2</v>
      </c>
      <c r="AK34" s="51"/>
      <c r="AL34" s="51"/>
      <c r="AM34" s="51">
        <f t="shared" si="7"/>
        <v>2</v>
      </c>
      <c r="AN34" s="51"/>
      <c r="AO34" s="66"/>
      <c r="AP34" s="66"/>
      <c r="AQ34" s="66"/>
      <c r="AR34" s="66"/>
      <c r="AS34" s="66"/>
      <c r="AT34" s="66"/>
      <c r="AU34" s="66"/>
      <c r="AV34" s="51">
        <f t="shared" si="10"/>
        <v>2</v>
      </c>
      <c r="AW34" s="29"/>
      <c r="AY34" s="614"/>
    </row>
    <row r="35" spans="1:51" s="17" customFormat="1" ht="14.45" customHeight="1" x14ac:dyDescent="0.25">
      <c r="A35" s="5" t="s">
        <v>586</v>
      </c>
      <c r="B35" s="64" t="s">
        <v>730</v>
      </c>
      <c r="C35" s="65"/>
      <c r="D35" s="65"/>
      <c r="E35" s="65"/>
      <c r="F35" s="65"/>
      <c r="G35" s="65"/>
      <c r="H35" s="65"/>
      <c r="I35" s="66"/>
      <c r="J35" s="66"/>
      <c r="K35" s="66"/>
      <c r="L35" s="66"/>
      <c r="M35" s="66"/>
      <c r="N35" s="66"/>
      <c r="O35" s="66"/>
      <c r="P35" s="66"/>
      <c r="Q35" s="66"/>
      <c r="R35" s="66">
        <v>5</v>
      </c>
      <c r="S35" s="66"/>
      <c r="T35" s="66"/>
      <c r="U35" s="66"/>
      <c r="V35" s="66"/>
      <c r="W35" s="66"/>
      <c r="X35" s="51">
        <f t="shared" si="8"/>
        <v>5</v>
      </c>
      <c r="Y35" s="66"/>
      <c r="Z35" s="66"/>
      <c r="AA35" s="51">
        <f>R35+Y35</f>
        <v>5</v>
      </c>
      <c r="AB35" s="51"/>
      <c r="AC35" s="51"/>
      <c r="AD35" s="51"/>
      <c r="AE35" s="51"/>
      <c r="AF35" s="51"/>
      <c r="AG35" s="51"/>
      <c r="AH35" s="51"/>
      <c r="AI35" s="51"/>
      <c r="AJ35" s="51">
        <f t="shared" si="9"/>
        <v>5</v>
      </c>
      <c r="AK35" s="51"/>
      <c r="AL35" s="51"/>
      <c r="AM35" s="51">
        <f t="shared" si="7"/>
        <v>5</v>
      </c>
      <c r="AN35" s="51"/>
      <c r="AO35" s="66"/>
      <c r="AP35" s="66"/>
      <c r="AQ35" s="66"/>
      <c r="AR35" s="66"/>
      <c r="AS35" s="66"/>
      <c r="AT35" s="66"/>
      <c r="AU35" s="66"/>
      <c r="AV35" s="51">
        <f t="shared" si="10"/>
        <v>5</v>
      </c>
      <c r="AW35" s="29"/>
    </row>
    <row r="36" spans="1:51" s="17" customFormat="1" ht="14.45" customHeight="1" x14ac:dyDescent="0.25">
      <c r="A36" s="5" t="s">
        <v>587</v>
      </c>
      <c r="B36" s="64" t="s">
        <v>723</v>
      </c>
      <c r="C36" s="65"/>
      <c r="D36" s="65"/>
      <c r="E36" s="65"/>
      <c r="F36" s="65"/>
      <c r="G36" s="65"/>
      <c r="H36" s="65"/>
      <c r="I36" s="66"/>
      <c r="J36" s="66"/>
      <c r="K36" s="66"/>
      <c r="L36" s="66"/>
      <c r="M36" s="66"/>
      <c r="N36" s="66"/>
      <c r="O36" s="66"/>
      <c r="P36" s="66"/>
      <c r="Q36" s="66"/>
      <c r="R36" s="66">
        <v>4</v>
      </c>
      <c r="S36" s="66"/>
      <c r="T36" s="66"/>
      <c r="U36" s="66"/>
      <c r="V36" s="66"/>
      <c r="W36" s="66"/>
      <c r="X36" s="51">
        <f t="shared" si="8"/>
        <v>4</v>
      </c>
      <c r="Y36" s="66"/>
      <c r="Z36" s="66"/>
      <c r="AA36" s="51">
        <v>4</v>
      </c>
      <c r="AB36" s="51"/>
      <c r="AC36" s="51"/>
      <c r="AD36" s="51"/>
      <c r="AE36" s="51"/>
      <c r="AF36" s="51"/>
      <c r="AG36" s="51"/>
      <c r="AH36" s="51"/>
      <c r="AI36" s="51"/>
      <c r="AJ36" s="51">
        <f t="shared" si="9"/>
        <v>4</v>
      </c>
      <c r="AK36" s="51"/>
      <c r="AL36" s="51"/>
      <c r="AM36" s="51">
        <f t="shared" si="7"/>
        <v>4</v>
      </c>
      <c r="AN36" s="51"/>
      <c r="AO36" s="66"/>
      <c r="AP36" s="66"/>
      <c r="AQ36" s="66"/>
      <c r="AR36" s="66"/>
      <c r="AS36" s="66"/>
      <c r="AT36" s="66"/>
      <c r="AU36" s="66"/>
      <c r="AV36" s="51">
        <f t="shared" si="10"/>
        <v>4</v>
      </c>
    </row>
    <row r="37" spans="1:51" s="17" customFormat="1" ht="14.45" customHeight="1" x14ac:dyDescent="0.25">
      <c r="A37" s="5" t="s">
        <v>588</v>
      </c>
      <c r="B37" s="64" t="s">
        <v>555</v>
      </c>
      <c r="C37" s="65"/>
      <c r="D37" s="65"/>
      <c r="E37" s="65"/>
      <c r="F37" s="65"/>
      <c r="G37" s="65"/>
      <c r="H37" s="65"/>
      <c r="I37" s="66"/>
      <c r="J37" s="66"/>
      <c r="K37" s="66"/>
      <c r="L37" s="66"/>
      <c r="M37" s="66"/>
      <c r="N37" s="66"/>
      <c r="O37" s="66"/>
      <c r="P37" s="66"/>
      <c r="Q37" s="66"/>
      <c r="R37" s="66">
        <v>1</v>
      </c>
      <c r="S37" s="66"/>
      <c r="T37" s="66"/>
      <c r="U37" s="66"/>
      <c r="V37" s="66"/>
      <c r="W37" s="66"/>
      <c r="X37" s="51">
        <f t="shared" si="8"/>
        <v>1</v>
      </c>
      <c r="Y37" s="66"/>
      <c r="Z37" s="66"/>
      <c r="AA37" s="51">
        <v>1</v>
      </c>
      <c r="AB37" s="51"/>
      <c r="AC37" s="51"/>
      <c r="AD37" s="51"/>
      <c r="AE37" s="51"/>
      <c r="AF37" s="51"/>
      <c r="AG37" s="51"/>
      <c r="AH37" s="51"/>
      <c r="AI37" s="51"/>
      <c r="AJ37" s="51">
        <f t="shared" si="9"/>
        <v>1</v>
      </c>
      <c r="AK37" s="51"/>
      <c r="AL37" s="51"/>
      <c r="AM37" s="51">
        <f t="shared" si="7"/>
        <v>1</v>
      </c>
      <c r="AN37" s="51"/>
      <c r="AO37" s="66"/>
      <c r="AP37" s="66"/>
      <c r="AQ37" s="66"/>
      <c r="AR37" s="66"/>
      <c r="AS37" s="66"/>
      <c r="AT37" s="66"/>
      <c r="AU37" s="66"/>
      <c r="AV37" s="51">
        <f t="shared" si="10"/>
        <v>1</v>
      </c>
    </row>
    <row r="38" spans="1:51" s="17" customFormat="1" ht="14.45" customHeight="1" x14ac:dyDescent="0.25">
      <c r="A38" s="5" t="s">
        <v>589</v>
      </c>
      <c r="B38" s="64" t="s">
        <v>556</v>
      </c>
      <c r="C38" s="65"/>
      <c r="D38" s="65"/>
      <c r="E38" s="65"/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>
        <v>4</v>
      </c>
      <c r="S38" s="66"/>
      <c r="T38" s="66"/>
      <c r="U38" s="66"/>
      <c r="V38" s="66"/>
      <c r="W38" s="66"/>
      <c r="X38" s="51">
        <f t="shared" si="8"/>
        <v>4</v>
      </c>
      <c r="Y38" s="66"/>
      <c r="Z38" s="66"/>
      <c r="AA38" s="51">
        <v>4</v>
      </c>
      <c r="AB38" s="51"/>
      <c r="AC38" s="51"/>
      <c r="AD38" s="51"/>
      <c r="AE38" s="51"/>
      <c r="AF38" s="51"/>
      <c r="AG38" s="51"/>
      <c r="AH38" s="51"/>
      <c r="AI38" s="51"/>
      <c r="AJ38" s="51">
        <f t="shared" si="9"/>
        <v>4</v>
      </c>
      <c r="AK38" s="51"/>
      <c r="AL38" s="51"/>
      <c r="AM38" s="51">
        <f t="shared" si="7"/>
        <v>4</v>
      </c>
      <c r="AN38" s="51"/>
      <c r="AO38" s="66"/>
      <c r="AP38" s="66"/>
      <c r="AQ38" s="66"/>
      <c r="AR38" s="66"/>
      <c r="AS38" s="66"/>
      <c r="AT38" s="66"/>
      <c r="AU38" s="66"/>
      <c r="AV38" s="51">
        <f t="shared" si="10"/>
        <v>4</v>
      </c>
    </row>
    <row r="39" spans="1:51" s="17" customFormat="1" ht="14.25" customHeight="1" x14ac:dyDescent="0.25">
      <c r="A39" s="5" t="s">
        <v>611</v>
      </c>
      <c r="B39" s="64" t="s">
        <v>557</v>
      </c>
      <c r="C39" s="65"/>
      <c r="D39" s="65"/>
      <c r="E39" s="65"/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6"/>
      <c r="R39" s="66">
        <v>4</v>
      </c>
      <c r="S39" s="66"/>
      <c r="T39" s="66"/>
      <c r="U39" s="66"/>
      <c r="V39" s="66"/>
      <c r="W39" s="66"/>
      <c r="X39" s="51">
        <f t="shared" si="8"/>
        <v>4</v>
      </c>
      <c r="Y39" s="66"/>
      <c r="Z39" s="66"/>
      <c r="AA39" s="51">
        <v>4</v>
      </c>
      <c r="AB39" s="51"/>
      <c r="AC39" s="51"/>
      <c r="AD39" s="51"/>
      <c r="AE39" s="51"/>
      <c r="AF39" s="51"/>
      <c r="AG39" s="51"/>
      <c r="AH39" s="51"/>
      <c r="AI39" s="51"/>
      <c r="AJ39" s="51">
        <f t="shared" si="9"/>
        <v>4</v>
      </c>
      <c r="AK39" s="51"/>
      <c r="AL39" s="51"/>
      <c r="AM39" s="51">
        <f t="shared" si="7"/>
        <v>4</v>
      </c>
      <c r="AN39" s="51"/>
      <c r="AO39" s="66"/>
      <c r="AP39" s="66"/>
      <c r="AQ39" s="66"/>
      <c r="AR39" s="66"/>
      <c r="AS39" s="66"/>
      <c r="AT39" s="66"/>
      <c r="AU39" s="66"/>
      <c r="AV39" s="51">
        <f t="shared" si="10"/>
        <v>4</v>
      </c>
    </row>
    <row r="40" spans="1:51" s="17" customFormat="1" ht="14.25" customHeight="1" x14ac:dyDescent="0.25">
      <c r="A40" s="5" t="s">
        <v>612</v>
      </c>
      <c r="B40" s="64" t="s">
        <v>1149</v>
      </c>
      <c r="C40" s="65"/>
      <c r="D40" s="65"/>
      <c r="E40" s="65"/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>
        <v>1</v>
      </c>
      <c r="X40" s="51">
        <f>SUM(R40:W40)</f>
        <v>1</v>
      </c>
      <c r="Y40" s="66"/>
      <c r="Z40" s="66"/>
      <c r="AA40" s="51"/>
      <c r="AB40" s="51"/>
      <c r="AC40" s="51"/>
      <c r="AD40" s="51"/>
      <c r="AE40" s="51"/>
      <c r="AF40" s="51"/>
      <c r="AG40" s="51"/>
      <c r="AH40" s="51"/>
      <c r="AI40" s="51">
        <f>W40</f>
        <v>1</v>
      </c>
      <c r="AJ40" s="51">
        <f t="shared" si="9"/>
        <v>1</v>
      </c>
      <c r="AK40" s="51"/>
      <c r="AL40" s="51"/>
      <c r="AM40" s="51"/>
      <c r="AN40" s="51"/>
      <c r="AO40" s="66"/>
      <c r="AP40" s="66"/>
      <c r="AQ40" s="66"/>
      <c r="AR40" s="66"/>
      <c r="AS40" s="66"/>
      <c r="AT40" s="66"/>
      <c r="AU40" s="66">
        <f>AI40</f>
        <v>1</v>
      </c>
      <c r="AV40" s="51">
        <f t="shared" si="10"/>
        <v>1</v>
      </c>
    </row>
    <row r="41" spans="1:51" s="17" customFormat="1" ht="14.25" customHeight="1" x14ac:dyDescent="0.25">
      <c r="A41" s="5" t="s">
        <v>613</v>
      </c>
      <c r="B41" s="49" t="s">
        <v>731</v>
      </c>
      <c r="C41" s="50"/>
      <c r="D41" s="50"/>
      <c r="E41" s="50"/>
      <c r="F41" s="50"/>
      <c r="G41" s="50"/>
      <c r="H41" s="50"/>
      <c r="I41" s="67"/>
      <c r="J41" s="67"/>
      <c r="K41" s="67"/>
      <c r="L41" s="67"/>
      <c r="M41" s="67"/>
      <c r="N41" s="67"/>
      <c r="O41" s="51"/>
      <c r="P41" s="51"/>
      <c r="Q41" s="51"/>
      <c r="R41" s="51">
        <f>SUM(R29:R39)</f>
        <v>62</v>
      </c>
      <c r="S41" s="51">
        <f>SUM(S29:S39)</f>
        <v>0</v>
      </c>
      <c r="T41" s="51"/>
      <c r="U41" s="51"/>
      <c r="V41" s="51"/>
      <c r="W41" s="51">
        <f>SUM(W29:W40)</f>
        <v>2</v>
      </c>
      <c r="X41" s="51">
        <f>R41+S41+T41+U41+V41+W41</f>
        <v>64</v>
      </c>
      <c r="Y41" s="51">
        <f>SUM(Y29:Y39)</f>
        <v>1</v>
      </c>
      <c r="Z41" s="51">
        <f>SUM(Z29:Z39)</f>
        <v>1</v>
      </c>
      <c r="AA41" s="51">
        <f>SUM(AA29:AA39)</f>
        <v>62</v>
      </c>
      <c r="AB41" s="51"/>
      <c r="AC41" s="51"/>
      <c r="AD41" s="51"/>
      <c r="AE41" s="51"/>
      <c r="AF41" s="51"/>
      <c r="AG41" s="51"/>
      <c r="AH41" s="51"/>
      <c r="AI41" s="51">
        <f>SUM(AI29:AI40)</f>
        <v>2</v>
      </c>
      <c r="AJ41" s="51">
        <f t="shared" si="9"/>
        <v>64</v>
      </c>
      <c r="AK41" s="51">
        <f>Y41+P41+J41</f>
        <v>1</v>
      </c>
      <c r="AL41" s="51">
        <f>K41+Q41+Z41</f>
        <v>1</v>
      </c>
      <c r="AM41" s="279">
        <f t="shared" si="7"/>
        <v>62.5</v>
      </c>
      <c r="AN41" s="961">
        <v>0</v>
      </c>
      <c r="AO41" s="51">
        <v>0</v>
      </c>
      <c r="AP41" s="51">
        <v>0</v>
      </c>
      <c r="AQ41" s="51">
        <v>0</v>
      </c>
      <c r="AR41" s="51">
        <v>0</v>
      </c>
      <c r="AS41" s="51"/>
      <c r="AT41" s="51">
        <v>0</v>
      </c>
      <c r="AU41" s="51">
        <f>SUM(AU29:AU40)</f>
        <v>2</v>
      </c>
      <c r="AV41" s="51">
        <f>I41+O41+X41+Z41/2</f>
        <v>64.5</v>
      </c>
    </row>
    <row r="42" spans="1:51" ht="12.75" hidden="1" customHeight="1" x14ac:dyDescent="0.25">
      <c r="A42" s="5" t="s">
        <v>613</v>
      </c>
      <c r="B42" s="68"/>
      <c r="C42" s="69"/>
      <c r="D42" s="69"/>
      <c r="E42" s="69"/>
      <c r="F42" s="69"/>
      <c r="G42" s="69"/>
      <c r="H42" s="69"/>
      <c r="I42" s="70"/>
      <c r="J42" s="70"/>
      <c r="K42" s="70"/>
      <c r="L42" s="70"/>
      <c r="M42" s="70"/>
      <c r="N42" s="70"/>
      <c r="O42" s="71"/>
      <c r="P42" s="71"/>
      <c r="Q42" s="71"/>
      <c r="R42" s="71"/>
      <c r="S42" s="71"/>
      <c r="T42" s="71"/>
      <c r="U42" s="71"/>
      <c r="V42" s="71"/>
      <c r="W42" s="71"/>
      <c r="X42" s="51">
        <f t="shared" si="8"/>
        <v>0</v>
      </c>
      <c r="Y42" s="71">
        <f>SUM(Y29:Y41)</f>
        <v>2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615"/>
      <c r="AW42" s="536"/>
    </row>
    <row r="43" spans="1:51" s="32" customFormat="1" ht="14.25" hidden="1" customHeight="1" x14ac:dyDescent="0.25">
      <c r="A43" s="5" t="s">
        <v>614</v>
      </c>
      <c r="B43" s="59"/>
      <c r="C43" s="73"/>
      <c r="D43" s="73"/>
      <c r="E43" s="73"/>
      <c r="F43" s="73"/>
      <c r="G43" s="73"/>
      <c r="H43" s="73"/>
      <c r="I43" s="57"/>
      <c r="J43" s="57"/>
      <c r="K43" s="57"/>
      <c r="L43" s="57"/>
      <c r="M43" s="57"/>
      <c r="N43" s="57"/>
      <c r="O43" s="74"/>
      <c r="P43" s="74"/>
      <c r="Q43" s="74"/>
      <c r="R43" s="74"/>
      <c r="S43" s="74"/>
      <c r="T43" s="74"/>
      <c r="U43" s="74"/>
      <c r="V43" s="74"/>
      <c r="W43" s="74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74"/>
      <c r="AK43" s="74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</row>
    <row r="44" spans="1:51" s="32" customFormat="1" ht="14.45" hidden="1" customHeight="1" x14ac:dyDescent="0.25">
      <c r="A44" s="5" t="s">
        <v>615</v>
      </c>
      <c r="B44" s="75"/>
      <c r="C44" s="76"/>
      <c r="D44" s="76"/>
      <c r="E44" s="76"/>
      <c r="F44" s="76"/>
      <c r="G44" s="76"/>
      <c r="H44" s="76"/>
      <c r="I44" s="51"/>
      <c r="J44" s="51"/>
      <c r="K44" s="51"/>
      <c r="L44" s="51"/>
      <c r="M44" s="51"/>
      <c r="N44" s="51"/>
      <c r="O44" s="66"/>
      <c r="P44" s="66"/>
      <c r="Q44" s="66"/>
      <c r="R44" s="66"/>
      <c r="S44" s="66"/>
      <c r="T44" s="66"/>
      <c r="U44" s="66"/>
      <c r="V44" s="66"/>
      <c r="W44" s="66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66"/>
      <c r="AK44" s="66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</row>
    <row r="45" spans="1:51" s="32" customFormat="1" ht="14.25" hidden="1" customHeight="1" x14ac:dyDescent="0.25">
      <c r="A45" s="5" t="s">
        <v>616</v>
      </c>
      <c r="B45" s="64"/>
      <c r="C45" s="65"/>
      <c r="D45" s="65"/>
      <c r="E45" s="65"/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</row>
    <row r="46" spans="1:51" s="32" customFormat="1" ht="14.25" hidden="1" customHeight="1" x14ac:dyDescent="0.25">
      <c r="A46" s="5" t="s">
        <v>617</v>
      </c>
      <c r="B46" s="64"/>
      <c r="C46" s="65"/>
      <c r="D46" s="65"/>
      <c r="E46" s="65"/>
      <c r="F46" s="65"/>
      <c r="G46" s="65"/>
      <c r="H46" s="65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</row>
    <row r="47" spans="1:51" s="32" customFormat="1" ht="14.25" hidden="1" customHeight="1" x14ac:dyDescent="0.25">
      <c r="A47" s="5" t="s">
        <v>618</v>
      </c>
      <c r="B47" s="64"/>
      <c r="C47" s="65"/>
      <c r="D47" s="65"/>
      <c r="E47" s="65"/>
      <c r="F47" s="65"/>
      <c r="G47" s="65"/>
      <c r="H47" s="65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</row>
    <row r="48" spans="1:51" s="32" customFormat="1" ht="14.25" hidden="1" customHeight="1" x14ac:dyDescent="0.25">
      <c r="A48" s="5" t="s">
        <v>619</v>
      </c>
      <c r="B48" s="64"/>
      <c r="C48" s="65"/>
      <c r="D48" s="65"/>
      <c r="E48" s="65"/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</row>
    <row r="49" spans="1:48" s="32" customFormat="1" ht="14.25" hidden="1" customHeight="1" x14ac:dyDescent="0.25">
      <c r="A49" s="5" t="s">
        <v>674</v>
      </c>
      <c r="B49" s="64"/>
      <c r="C49" s="65"/>
      <c r="D49" s="65"/>
      <c r="E49" s="65"/>
      <c r="F49" s="65"/>
      <c r="G49" s="65"/>
      <c r="H49" s="65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</row>
    <row r="50" spans="1:48" s="32" customFormat="1" ht="14.25" hidden="1" customHeight="1" x14ac:dyDescent="0.25">
      <c r="A50" s="5" t="s">
        <v>675</v>
      </c>
      <c r="B50" s="64"/>
      <c r="C50" s="65"/>
      <c r="D50" s="65"/>
      <c r="E50" s="65"/>
      <c r="F50" s="65"/>
      <c r="G50" s="65"/>
      <c r="H50" s="65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</row>
    <row r="51" spans="1:48" s="32" customFormat="1" ht="14.25" hidden="1" customHeight="1" x14ac:dyDescent="0.25">
      <c r="A51" s="5" t="s">
        <v>676</v>
      </c>
      <c r="B51" s="64"/>
      <c r="C51" s="65"/>
      <c r="D51" s="65"/>
      <c r="E51" s="65"/>
      <c r="F51" s="65"/>
      <c r="G51" s="65"/>
      <c r="H51" s="65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51"/>
      <c r="AN51" s="51"/>
      <c r="AO51" s="66"/>
      <c r="AP51" s="66"/>
      <c r="AQ51" s="66"/>
      <c r="AR51" s="66"/>
      <c r="AS51" s="66"/>
      <c r="AT51" s="66"/>
      <c r="AU51" s="66"/>
      <c r="AV51" s="51"/>
    </row>
    <row r="52" spans="1:48" s="32" customFormat="1" ht="14.25" hidden="1" customHeight="1" x14ac:dyDescent="0.25">
      <c r="A52" s="5" t="s">
        <v>677</v>
      </c>
      <c r="B52" s="64"/>
      <c r="C52" s="65"/>
      <c r="D52" s="65"/>
      <c r="E52" s="65"/>
      <c r="F52" s="65"/>
      <c r="G52" s="65"/>
      <c r="H52" s="65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51"/>
      <c r="AN52" s="51"/>
      <c r="AO52" s="66"/>
      <c r="AP52" s="66"/>
      <c r="AQ52" s="66"/>
      <c r="AR52" s="66"/>
      <c r="AS52" s="66"/>
      <c r="AT52" s="66"/>
      <c r="AU52" s="66"/>
      <c r="AV52" s="51"/>
    </row>
    <row r="53" spans="1:48" s="32" customFormat="1" ht="14.25" hidden="1" customHeight="1" x14ac:dyDescent="0.25">
      <c r="A53" s="5" t="s">
        <v>125</v>
      </c>
      <c r="B53" s="64"/>
      <c r="C53" s="65"/>
      <c r="D53" s="65"/>
      <c r="E53" s="65"/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51"/>
      <c r="AN53" s="51"/>
      <c r="AO53" s="66"/>
      <c r="AP53" s="66"/>
      <c r="AQ53" s="66"/>
      <c r="AR53" s="66"/>
      <c r="AS53" s="66"/>
      <c r="AT53" s="66"/>
      <c r="AU53" s="66"/>
      <c r="AV53" s="51"/>
    </row>
    <row r="54" spans="1:48" s="32" customFormat="1" ht="14.25" hidden="1" customHeight="1" x14ac:dyDescent="0.25">
      <c r="A54" s="5" t="s">
        <v>703</v>
      </c>
      <c r="B54" s="77"/>
      <c r="C54" s="76"/>
      <c r="D54" s="76"/>
      <c r="E54" s="76"/>
      <c r="F54" s="76"/>
      <c r="G54" s="76"/>
      <c r="H54" s="7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</row>
    <row r="55" spans="1:48" s="32" customFormat="1" ht="14.25" hidden="1" customHeight="1" x14ac:dyDescent="0.25">
      <c r="A55" s="5" t="s">
        <v>704</v>
      </c>
      <c r="B55" s="64"/>
      <c r="C55" s="65"/>
      <c r="D55" s="65"/>
      <c r="E55" s="65"/>
      <c r="F55" s="65"/>
      <c r="G55" s="65"/>
      <c r="H55" s="65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</row>
    <row r="56" spans="1:48" s="32" customFormat="1" ht="14.25" hidden="1" customHeight="1" x14ac:dyDescent="0.25">
      <c r="A56" s="5" t="s">
        <v>128</v>
      </c>
      <c r="B56" s="64"/>
      <c r="C56" s="65"/>
      <c r="D56" s="65"/>
      <c r="E56" s="65"/>
      <c r="F56" s="65"/>
      <c r="G56" s="65"/>
      <c r="H56" s="65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</row>
    <row r="57" spans="1:48" s="32" customFormat="1" ht="14.25" hidden="1" customHeight="1" x14ac:dyDescent="0.25">
      <c r="A57" s="5" t="s">
        <v>129</v>
      </c>
      <c r="B57" s="64"/>
      <c r="C57" s="65"/>
      <c r="D57" s="65"/>
      <c r="E57" s="65"/>
      <c r="F57" s="65"/>
      <c r="G57" s="65"/>
      <c r="H57" s="65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</row>
    <row r="58" spans="1:48" s="32" customFormat="1" ht="14.25" hidden="1" customHeight="1" x14ac:dyDescent="0.25">
      <c r="A58" s="5" t="s">
        <v>130</v>
      </c>
      <c r="B58" s="77"/>
      <c r="C58" s="76"/>
      <c r="D58" s="76"/>
      <c r="E58" s="76"/>
      <c r="F58" s="76"/>
      <c r="G58" s="76"/>
      <c r="H58" s="7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</row>
    <row r="59" spans="1:48" s="32" customFormat="1" ht="14.25" hidden="1" customHeight="1" x14ac:dyDescent="0.25">
      <c r="A59" s="5" t="s">
        <v>133</v>
      </c>
      <c r="B59" s="64"/>
      <c r="C59" s="65"/>
      <c r="D59" s="65"/>
      <c r="E59" s="65"/>
      <c r="F59" s="65"/>
      <c r="G59" s="65"/>
      <c r="H59" s="65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</row>
    <row r="60" spans="1:48" s="32" customFormat="1" ht="14.25" hidden="1" customHeight="1" x14ac:dyDescent="0.25">
      <c r="A60" s="5" t="s">
        <v>136</v>
      </c>
      <c r="B60" s="64"/>
      <c r="C60" s="65"/>
      <c r="D60" s="65"/>
      <c r="E60" s="65"/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</row>
    <row r="61" spans="1:48" s="32" customFormat="1" ht="14.45" hidden="1" customHeight="1" x14ac:dyDescent="0.25">
      <c r="A61" s="5" t="s">
        <v>137</v>
      </c>
      <c r="B61" s="77"/>
      <c r="C61" s="76"/>
      <c r="D61" s="76"/>
      <c r="E61" s="76"/>
      <c r="F61" s="76"/>
      <c r="G61" s="76"/>
      <c r="H61" s="7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</row>
    <row r="62" spans="1:48" s="32" customFormat="1" ht="14.45" hidden="1" customHeight="1" x14ac:dyDescent="0.25">
      <c r="A62" s="5" t="s">
        <v>138</v>
      </c>
      <c r="B62" s="64"/>
      <c r="C62" s="65"/>
      <c r="D62" s="65"/>
      <c r="E62" s="65"/>
      <c r="F62" s="65"/>
      <c r="G62" s="65"/>
      <c r="H62" s="65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</row>
    <row r="63" spans="1:48" s="32" customFormat="1" ht="14.45" hidden="1" customHeight="1" x14ac:dyDescent="0.25">
      <c r="A63" s="5" t="s">
        <v>139</v>
      </c>
      <c r="B63" s="64"/>
      <c r="C63" s="65"/>
      <c r="D63" s="65"/>
      <c r="E63" s="65"/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</row>
    <row r="64" spans="1:48" s="32" customFormat="1" ht="14.45" hidden="1" customHeight="1" x14ac:dyDescent="0.25">
      <c r="A64" s="5" t="s">
        <v>142</v>
      </c>
      <c r="B64" s="64"/>
      <c r="C64" s="65"/>
      <c r="D64" s="65"/>
      <c r="E64" s="65"/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</row>
    <row r="65" spans="1:48" s="32" customFormat="1" ht="14.45" hidden="1" customHeight="1" x14ac:dyDescent="0.25">
      <c r="A65" s="5" t="s">
        <v>145</v>
      </c>
      <c r="B65" s="49"/>
      <c r="C65" s="50"/>
      <c r="D65" s="50"/>
      <c r="E65" s="50"/>
      <c r="F65" s="50"/>
      <c r="G65" s="50"/>
      <c r="H65" s="50"/>
      <c r="I65" s="67"/>
      <c r="J65" s="67"/>
      <c r="K65" s="67"/>
      <c r="L65" s="67"/>
      <c r="M65" s="67"/>
      <c r="N65" s="67"/>
      <c r="O65" s="66"/>
      <c r="P65" s="66"/>
      <c r="Q65" s="66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2"/>
      <c r="AN65" s="52"/>
      <c r="AO65" s="51"/>
      <c r="AP65" s="51"/>
      <c r="AQ65" s="51"/>
      <c r="AR65" s="51"/>
      <c r="AS65" s="51"/>
      <c r="AT65" s="51"/>
      <c r="AU65" s="51"/>
      <c r="AV65" s="51"/>
    </row>
    <row r="66" spans="1:48" s="32" customFormat="1" ht="14.45" customHeight="1" x14ac:dyDescent="0.25">
      <c r="A66" s="5"/>
      <c r="B66" s="674"/>
      <c r="C66" s="675"/>
      <c r="D66" s="675"/>
      <c r="E66" s="675"/>
      <c r="F66" s="675"/>
      <c r="G66" s="675"/>
      <c r="H66" s="675"/>
      <c r="I66" s="134"/>
      <c r="J66" s="134"/>
      <c r="K66" s="134"/>
      <c r="L66" s="134"/>
      <c r="M66" s="134"/>
      <c r="N66" s="134"/>
      <c r="O66" s="676"/>
      <c r="P66" s="676"/>
      <c r="Q66" s="676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677"/>
      <c r="AN66" s="677"/>
      <c r="AO66" s="135"/>
      <c r="AP66" s="135"/>
      <c r="AQ66" s="135"/>
      <c r="AR66" s="135"/>
      <c r="AS66" s="135"/>
      <c r="AT66" s="135"/>
      <c r="AU66" s="135"/>
      <c r="AV66" s="135"/>
    </row>
    <row r="67" spans="1:48" s="32" customFormat="1" ht="14.45" customHeight="1" x14ac:dyDescent="0.25">
      <c r="A67" s="5"/>
      <c r="B67" s="79"/>
      <c r="C67" s="73"/>
      <c r="D67" s="73"/>
      <c r="E67" s="73"/>
      <c r="F67" s="73"/>
      <c r="G67" s="73"/>
      <c r="H67" s="73"/>
      <c r="I67" s="56"/>
      <c r="J67" s="56"/>
      <c r="K67" s="56"/>
      <c r="L67" s="56"/>
      <c r="M67" s="56"/>
      <c r="N67" s="56"/>
      <c r="O67" s="74"/>
      <c r="P67" s="74"/>
      <c r="Q67" s="74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282"/>
      <c r="AN67" s="282"/>
      <c r="AO67" s="57"/>
      <c r="AP67" s="57"/>
      <c r="AQ67" s="57"/>
      <c r="AR67" s="57"/>
      <c r="AS67" s="57"/>
      <c r="AT67" s="57"/>
      <c r="AU67" s="57"/>
      <c r="AV67" s="57"/>
    </row>
    <row r="68" spans="1:48" s="32" customFormat="1" ht="14.45" customHeight="1" x14ac:dyDescent="0.25">
      <c r="A68" s="5"/>
      <c r="B68" s="79"/>
      <c r="C68" s="73"/>
      <c r="D68" s="73"/>
      <c r="E68" s="73"/>
      <c r="F68" s="73"/>
      <c r="G68" s="73"/>
      <c r="H68" s="73"/>
      <c r="I68" s="56"/>
      <c r="J68" s="56"/>
      <c r="K68" s="56"/>
      <c r="L68" s="56"/>
      <c r="M68" s="56"/>
      <c r="N68" s="56"/>
      <c r="O68" s="74"/>
      <c r="P68" s="74"/>
      <c r="Q68" s="74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282"/>
      <c r="AN68" s="282"/>
      <c r="AO68" s="57"/>
      <c r="AP68" s="57"/>
      <c r="AQ68" s="57"/>
      <c r="AR68" s="57"/>
      <c r="AS68" s="57"/>
      <c r="AT68" s="57"/>
      <c r="AU68" s="57"/>
      <c r="AV68" s="57"/>
    </row>
    <row r="69" spans="1:48" s="32" customFormat="1" ht="14.45" customHeight="1" x14ac:dyDescent="0.25">
      <c r="A69" s="5" t="s">
        <v>614</v>
      </c>
      <c r="B69" s="34" t="s">
        <v>749</v>
      </c>
      <c r="C69" s="73"/>
      <c r="D69" s="73"/>
      <c r="E69" s="73"/>
      <c r="F69" s="73"/>
      <c r="G69" s="73"/>
      <c r="H69" s="73"/>
      <c r="I69" s="56"/>
      <c r="J69" s="56"/>
      <c r="K69" s="56"/>
      <c r="L69" s="56"/>
      <c r="M69" s="56"/>
      <c r="N69" s="56"/>
      <c r="O69" s="74"/>
      <c r="P69" s="74"/>
      <c r="Q69" s="74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282"/>
      <c r="AN69" s="282"/>
      <c r="AO69" s="57"/>
      <c r="AP69" s="57"/>
      <c r="AQ69" s="57"/>
      <c r="AR69" s="57"/>
      <c r="AS69" s="57"/>
      <c r="AT69" s="57"/>
      <c r="AU69" s="57"/>
      <c r="AV69" s="57"/>
    </row>
    <row r="70" spans="1:48" s="32" customFormat="1" ht="14.45" customHeight="1" x14ac:dyDescent="0.25">
      <c r="A70" s="5" t="s">
        <v>615</v>
      </c>
      <c r="B70" s="679" t="s">
        <v>750</v>
      </c>
      <c r="C70" s="284"/>
      <c r="D70" s="284"/>
      <c r="E70" s="284"/>
      <c r="F70" s="284"/>
      <c r="G70" s="284"/>
      <c r="H70" s="284"/>
      <c r="I70" s="285"/>
      <c r="J70" s="285"/>
      <c r="K70" s="285"/>
      <c r="L70" s="285"/>
      <c r="M70" s="285"/>
      <c r="N70" s="285"/>
      <c r="O70" s="286"/>
      <c r="P70" s="286"/>
      <c r="Q70" s="286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678"/>
      <c r="AN70" s="678"/>
      <c r="AO70" s="678"/>
      <c r="AP70" s="678"/>
      <c r="AQ70" s="678"/>
      <c r="AR70" s="678"/>
      <c r="AS70" s="678"/>
      <c r="AT70" s="678"/>
      <c r="AU70" s="678"/>
      <c r="AV70" s="678"/>
    </row>
    <row r="71" spans="1:48" s="32" customFormat="1" ht="14.45" customHeight="1" x14ac:dyDescent="0.25">
      <c r="A71" s="5" t="s">
        <v>616</v>
      </c>
      <c r="B71" s="673" t="s">
        <v>751</v>
      </c>
      <c r="C71" s="284"/>
      <c r="D71" s="284"/>
      <c r="E71" s="284"/>
      <c r="F71" s="284"/>
      <c r="G71" s="284"/>
      <c r="H71" s="284"/>
      <c r="I71" s="285"/>
      <c r="J71" s="285"/>
      <c r="K71" s="285"/>
      <c r="L71" s="285"/>
      <c r="M71" s="285"/>
      <c r="N71" s="285"/>
      <c r="O71" s="286"/>
      <c r="P71" s="286"/>
      <c r="Q71" s="286"/>
      <c r="R71" s="287">
        <v>1</v>
      </c>
      <c r="S71" s="287"/>
      <c r="T71" s="287"/>
      <c r="U71" s="287"/>
      <c r="V71" s="287"/>
      <c r="W71" s="287"/>
      <c r="X71" s="287">
        <f>R71</f>
        <v>1</v>
      </c>
      <c r="Y71" s="287"/>
      <c r="Z71" s="287"/>
      <c r="AA71" s="287">
        <v>1</v>
      </c>
      <c r="AB71" s="287"/>
      <c r="AC71" s="287"/>
      <c r="AD71" s="287"/>
      <c r="AE71" s="287"/>
      <c r="AF71" s="287"/>
      <c r="AG71" s="287"/>
      <c r="AH71" s="287"/>
      <c r="AI71" s="287"/>
      <c r="AJ71" s="287">
        <f>I71+O71+X71</f>
        <v>1</v>
      </c>
      <c r="AK71" s="287"/>
      <c r="AL71" s="287"/>
      <c r="AM71" s="678">
        <f>AA71+AK71/2</f>
        <v>1</v>
      </c>
      <c r="AN71" s="678"/>
      <c r="AO71" s="678"/>
      <c r="AP71" s="678"/>
      <c r="AQ71" s="678"/>
      <c r="AR71" s="678"/>
      <c r="AS71" s="678"/>
      <c r="AT71" s="678"/>
      <c r="AU71" s="678"/>
      <c r="AV71" s="678">
        <f>AJ71+AL71/2</f>
        <v>1</v>
      </c>
    </row>
    <row r="72" spans="1:48" s="32" customFormat="1" ht="14.45" customHeight="1" x14ac:dyDescent="0.25">
      <c r="A72" s="5" t="s">
        <v>617</v>
      </c>
      <c r="B72" s="673" t="s">
        <v>752</v>
      </c>
      <c r="C72" s="284"/>
      <c r="D72" s="284"/>
      <c r="E72" s="284"/>
      <c r="F72" s="284"/>
      <c r="G72" s="284"/>
      <c r="H72" s="284"/>
      <c r="I72" s="285"/>
      <c r="J72" s="285"/>
      <c r="K72" s="285"/>
      <c r="L72" s="285"/>
      <c r="M72" s="285"/>
      <c r="N72" s="285"/>
      <c r="O72" s="286"/>
      <c r="P72" s="286"/>
      <c r="Q72" s="286"/>
      <c r="R72" s="287">
        <v>1</v>
      </c>
      <c r="S72" s="287"/>
      <c r="T72" s="287"/>
      <c r="U72" s="287"/>
      <c r="V72" s="287"/>
      <c r="W72" s="287"/>
      <c r="X72" s="287">
        <f t="shared" ref="X72:X93" si="11">R72</f>
        <v>1</v>
      </c>
      <c r="Y72" s="287"/>
      <c r="Z72" s="287"/>
      <c r="AA72" s="287">
        <v>1</v>
      </c>
      <c r="AB72" s="287"/>
      <c r="AC72" s="287"/>
      <c r="AD72" s="287"/>
      <c r="AE72" s="287"/>
      <c r="AF72" s="287"/>
      <c r="AG72" s="287"/>
      <c r="AH72" s="287"/>
      <c r="AI72" s="287"/>
      <c r="AJ72" s="287">
        <f t="shared" ref="AJ72:AJ93" si="12">I72+O72+X72</f>
        <v>1</v>
      </c>
      <c r="AK72" s="287"/>
      <c r="AL72" s="287"/>
      <c r="AM72" s="678">
        <f>AA72+AK72/2</f>
        <v>1</v>
      </c>
      <c r="AN72" s="678"/>
      <c r="AO72" s="678"/>
      <c r="AP72" s="678"/>
      <c r="AQ72" s="678"/>
      <c r="AR72" s="678"/>
      <c r="AS72" s="678"/>
      <c r="AT72" s="678"/>
      <c r="AU72" s="678"/>
      <c r="AV72" s="678">
        <f t="shared" ref="AV72:AV92" si="13">AJ72+AL72/2</f>
        <v>1</v>
      </c>
    </row>
    <row r="73" spans="1:48" s="32" customFormat="1" ht="14.45" customHeight="1" x14ac:dyDescent="0.25">
      <c r="A73" s="5" t="s">
        <v>618</v>
      </c>
      <c r="B73" s="673" t="s">
        <v>753</v>
      </c>
      <c r="C73" s="284"/>
      <c r="D73" s="284"/>
      <c r="E73" s="284"/>
      <c r="F73" s="284"/>
      <c r="G73" s="284"/>
      <c r="H73" s="284"/>
      <c r="I73" s="285"/>
      <c r="J73" s="285"/>
      <c r="K73" s="285"/>
      <c r="L73" s="285"/>
      <c r="M73" s="285"/>
      <c r="N73" s="285"/>
      <c r="O73" s="286"/>
      <c r="P73" s="286"/>
      <c r="Q73" s="286"/>
      <c r="R73" s="287">
        <v>2</v>
      </c>
      <c r="S73" s="287"/>
      <c r="T73" s="287"/>
      <c r="U73" s="287"/>
      <c r="V73" s="287"/>
      <c r="W73" s="287"/>
      <c r="X73" s="287">
        <f t="shared" si="11"/>
        <v>2</v>
      </c>
      <c r="Y73" s="287"/>
      <c r="Z73" s="287"/>
      <c r="AA73" s="287">
        <v>2</v>
      </c>
      <c r="AB73" s="287"/>
      <c r="AC73" s="287"/>
      <c r="AD73" s="287"/>
      <c r="AE73" s="287"/>
      <c r="AF73" s="287"/>
      <c r="AG73" s="287"/>
      <c r="AH73" s="287"/>
      <c r="AI73" s="287"/>
      <c r="AJ73" s="287">
        <f t="shared" si="12"/>
        <v>2</v>
      </c>
      <c r="AK73" s="287"/>
      <c r="AL73" s="287"/>
      <c r="AM73" s="678">
        <f>AA73+AK73/2</f>
        <v>2</v>
      </c>
      <c r="AN73" s="678"/>
      <c r="AO73" s="678"/>
      <c r="AP73" s="678"/>
      <c r="AQ73" s="678"/>
      <c r="AR73" s="678"/>
      <c r="AS73" s="678"/>
      <c r="AT73" s="678"/>
      <c r="AU73" s="678"/>
      <c r="AV73" s="678">
        <f t="shared" si="13"/>
        <v>2</v>
      </c>
    </row>
    <row r="74" spans="1:48" s="32" customFormat="1" ht="14.45" customHeight="1" x14ac:dyDescent="0.25">
      <c r="A74" s="5" t="s">
        <v>619</v>
      </c>
      <c r="B74" s="673" t="s">
        <v>754</v>
      </c>
      <c r="C74" s="284"/>
      <c r="D74" s="284"/>
      <c r="E74" s="284"/>
      <c r="F74" s="284"/>
      <c r="G74" s="284"/>
      <c r="H74" s="284"/>
      <c r="I74" s="285"/>
      <c r="J74" s="285"/>
      <c r="K74" s="285"/>
      <c r="L74" s="285"/>
      <c r="M74" s="285"/>
      <c r="N74" s="285"/>
      <c r="O74" s="286"/>
      <c r="P74" s="286"/>
      <c r="Q74" s="286"/>
      <c r="R74" s="287">
        <v>1</v>
      </c>
      <c r="S74" s="287"/>
      <c r="T74" s="287"/>
      <c r="U74" s="287"/>
      <c r="V74" s="287"/>
      <c r="W74" s="287"/>
      <c r="X74" s="287">
        <f t="shared" si="11"/>
        <v>1</v>
      </c>
      <c r="Y74" s="287"/>
      <c r="Z74" s="287"/>
      <c r="AA74" s="287">
        <v>1</v>
      </c>
      <c r="AB74" s="287"/>
      <c r="AC74" s="287"/>
      <c r="AD74" s="287"/>
      <c r="AE74" s="287"/>
      <c r="AF74" s="287"/>
      <c r="AG74" s="287"/>
      <c r="AH74" s="287"/>
      <c r="AI74" s="287"/>
      <c r="AJ74" s="287">
        <f t="shared" si="12"/>
        <v>1</v>
      </c>
      <c r="AK74" s="287"/>
      <c r="AL74" s="287"/>
      <c r="AM74" s="678">
        <f t="shared" ref="AM74:AM93" si="14">AA74+AK74/2</f>
        <v>1</v>
      </c>
      <c r="AN74" s="678"/>
      <c r="AO74" s="678"/>
      <c r="AP74" s="678"/>
      <c r="AQ74" s="678"/>
      <c r="AR74" s="678"/>
      <c r="AS74" s="678"/>
      <c r="AT74" s="678"/>
      <c r="AU74" s="678"/>
      <c r="AV74" s="678">
        <f t="shared" si="13"/>
        <v>1</v>
      </c>
    </row>
    <row r="75" spans="1:48" s="32" customFormat="1" ht="14.45" customHeight="1" x14ac:dyDescent="0.25">
      <c r="A75" s="5" t="s">
        <v>674</v>
      </c>
      <c r="B75" s="673" t="s">
        <v>755</v>
      </c>
      <c r="C75" s="284"/>
      <c r="D75" s="284"/>
      <c r="E75" s="284"/>
      <c r="F75" s="284"/>
      <c r="G75" s="284"/>
      <c r="H75" s="284"/>
      <c r="I75" s="285"/>
      <c r="J75" s="285"/>
      <c r="K75" s="285"/>
      <c r="L75" s="285"/>
      <c r="M75" s="285"/>
      <c r="N75" s="285"/>
      <c r="O75" s="286"/>
      <c r="P75" s="286"/>
      <c r="Q75" s="286"/>
      <c r="R75" s="287">
        <v>1</v>
      </c>
      <c r="S75" s="287"/>
      <c r="T75" s="287"/>
      <c r="U75" s="287"/>
      <c r="V75" s="287"/>
      <c r="W75" s="287"/>
      <c r="X75" s="287">
        <f t="shared" si="11"/>
        <v>1</v>
      </c>
      <c r="Y75" s="287"/>
      <c r="Z75" s="287"/>
      <c r="AA75" s="287">
        <v>1</v>
      </c>
      <c r="AB75" s="287"/>
      <c r="AC75" s="287"/>
      <c r="AD75" s="287"/>
      <c r="AE75" s="287"/>
      <c r="AF75" s="287"/>
      <c r="AG75" s="287"/>
      <c r="AH75" s="287"/>
      <c r="AI75" s="287"/>
      <c r="AJ75" s="287">
        <f t="shared" si="12"/>
        <v>1</v>
      </c>
      <c r="AK75" s="287"/>
      <c r="AL75" s="287"/>
      <c r="AM75" s="678">
        <f t="shared" si="14"/>
        <v>1</v>
      </c>
      <c r="AN75" s="678"/>
      <c r="AO75" s="678"/>
      <c r="AP75" s="678"/>
      <c r="AQ75" s="678"/>
      <c r="AR75" s="678"/>
      <c r="AS75" s="678"/>
      <c r="AT75" s="678"/>
      <c r="AU75" s="678"/>
      <c r="AV75" s="678">
        <f t="shared" si="13"/>
        <v>1</v>
      </c>
    </row>
    <row r="76" spans="1:48" s="32" customFormat="1" ht="14.45" customHeight="1" x14ac:dyDescent="0.25">
      <c r="A76" s="5" t="s">
        <v>675</v>
      </c>
      <c r="B76" s="673" t="s">
        <v>756</v>
      </c>
      <c r="C76" s="284"/>
      <c r="D76" s="284"/>
      <c r="E76" s="284"/>
      <c r="F76" s="284"/>
      <c r="G76" s="284"/>
      <c r="H76" s="284"/>
      <c r="I76" s="285"/>
      <c r="J76" s="285"/>
      <c r="K76" s="285"/>
      <c r="L76" s="285"/>
      <c r="M76" s="285"/>
      <c r="N76" s="285"/>
      <c r="O76" s="286"/>
      <c r="P76" s="286"/>
      <c r="Q76" s="286"/>
      <c r="R76" s="287">
        <v>1</v>
      </c>
      <c r="S76" s="287"/>
      <c r="T76" s="287"/>
      <c r="U76" s="287"/>
      <c r="V76" s="287"/>
      <c r="W76" s="287"/>
      <c r="X76" s="287">
        <f t="shared" si="11"/>
        <v>1</v>
      </c>
      <c r="Y76" s="287"/>
      <c r="Z76" s="287"/>
      <c r="AA76" s="287">
        <v>1</v>
      </c>
      <c r="AB76" s="287"/>
      <c r="AC76" s="287"/>
      <c r="AD76" s="287"/>
      <c r="AE76" s="287"/>
      <c r="AF76" s="287"/>
      <c r="AG76" s="287"/>
      <c r="AH76" s="287"/>
      <c r="AI76" s="287"/>
      <c r="AJ76" s="287">
        <f t="shared" si="12"/>
        <v>1</v>
      </c>
      <c r="AK76" s="287"/>
      <c r="AL76" s="287"/>
      <c r="AM76" s="678">
        <f t="shared" si="14"/>
        <v>1</v>
      </c>
      <c r="AN76" s="678"/>
      <c r="AO76" s="678"/>
      <c r="AP76" s="678"/>
      <c r="AQ76" s="678"/>
      <c r="AR76" s="678"/>
      <c r="AS76" s="678"/>
      <c r="AT76" s="678"/>
      <c r="AU76" s="678"/>
      <c r="AV76" s="678">
        <f t="shared" si="13"/>
        <v>1</v>
      </c>
    </row>
    <row r="77" spans="1:48" s="32" customFormat="1" ht="14.45" customHeight="1" x14ac:dyDescent="0.25">
      <c r="A77" s="5" t="s">
        <v>676</v>
      </c>
      <c r="B77" s="673" t="s">
        <v>757</v>
      </c>
      <c r="C77" s="284"/>
      <c r="D77" s="284"/>
      <c r="E77" s="284"/>
      <c r="F77" s="284"/>
      <c r="G77" s="284"/>
      <c r="H77" s="284"/>
      <c r="I77" s="285"/>
      <c r="J77" s="285"/>
      <c r="K77" s="285"/>
      <c r="L77" s="285"/>
      <c r="M77" s="285"/>
      <c r="N77" s="285"/>
      <c r="O77" s="286"/>
      <c r="P77" s="286"/>
      <c r="Q77" s="286"/>
      <c r="R77" s="287">
        <v>1</v>
      </c>
      <c r="S77" s="287"/>
      <c r="T77" s="287"/>
      <c r="U77" s="287"/>
      <c r="V77" s="287"/>
      <c r="W77" s="287"/>
      <c r="X77" s="287">
        <f t="shared" si="11"/>
        <v>1</v>
      </c>
      <c r="Y77" s="287"/>
      <c r="Z77" s="287"/>
      <c r="AA77" s="287">
        <v>1</v>
      </c>
      <c r="AB77" s="287"/>
      <c r="AC77" s="287"/>
      <c r="AD77" s="287"/>
      <c r="AE77" s="287"/>
      <c r="AF77" s="287"/>
      <c r="AG77" s="287"/>
      <c r="AH77" s="287"/>
      <c r="AI77" s="287"/>
      <c r="AJ77" s="287">
        <f t="shared" si="12"/>
        <v>1</v>
      </c>
      <c r="AK77" s="287"/>
      <c r="AL77" s="287"/>
      <c r="AM77" s="678">
        <f t="shared" si="14"/>
        <v>1</v>
      </c>
      <c r="AN77" s="678"/>
      <c r="AO77" s="678"/>
      <c r="AP77" s="678"/>
      <c r="AQ77" s="678"/>
      <c r="AR77" s="678"/>
      <c r="AS77" s="678"/>
      <c r="AT77" s="678"/>
      <c r="AU77" s="678"/>
      <c r="AV77" s="678">
        <f t="shared" si="13"/>
        <v>1</v>
      </c>
    </row>
    <row r="78" spans="1:48" s="32" customFormat="1" ht="14.45" customHeight="1" x14ac:dyDescent="0.25">
      <c r="A78" s="5" t="s">
        <v>677</v>
      </c>
      <c r="B78" s="673" t="s">
        <v>758</v>
      </c>
      <c r="C78" s="284"/>
      <c r="D78" s="284"/>
      <c r="E78" s="284"/>
      <c r="F78" s="284"/>
      <c r="G78" s="284"/>
      <c r="H78" s="284"/>
      <c r="I78" s="285"/>
      <c r="J78" s="285"/>
      <c r="K78" s="285"/>
      <c r="L78" s="285"/>
      <c r="M78" s="285"/>
      <c r="N78" s="285"/>
      <c r="O78" s="286"/>
      <c r="P78" s="286"/>
      <c r="Q78" s="286"/>
      <c r="R78" s="287">
        <v>1</v>
      </c>
      <c r="S78" s="287"/>
      <c r="T78" s="287"/>
      <c r="U78" s="287"/>
      <c r="V78" s="287"/>
      <c r="W78" s="287"/>
      <c r="X78" s="287">
        <f t="shared" si="11"/>
        <v>1</v>
      </c>
      <c r="Y78" s="287"/>
      <c r="Z78" s="287"/>
      <c r="AA78" s="287">
        <v>1</v>
      </c>
      <c r="AB78" s="287"/>
      <c r="AC78" s="287"/>
      <c r="AD78" s="287"/>
      <c r="AE78" s="287"/>
      <c r="AF78" s="287"/>
      <c r="AG78" s="287"/>
      <c r="AH78" s="287"/>
      <c r="AI78" s="287"/>
      <c r="AJ78" s="287">
        <f t="shared" si="12"/>
        <v>1</v>
      </c>
      <c r="AK78" s="287"/>
      <c r="AL78" s="287"/>
      <c r="AM78" s="678">
        <f t="shared" si="14"/>
        <v>1</v>
      </c>
      <c r="AN78" s="678"/>
      <c r="AO78" s="678"/>
      <c r="AP78" s="678"/>
      <c r="AQ78" s="678"/>
      <c r="AR78" s="678"/>
      <c r="AS78" s="678"/>
      <c r="AT78" s="678"/>
      <c r="AU78" s="678"/>
      <c r="AV78" s="678">
        <f t="shared" si="13"/>
        <v>1</v>
      </c>
    </row>
    <row r="79" spans="1:48" s="32" customFormat="1" ht="14.45" customHeight="1" x14ac:dyDescent="0.25">
      <c r="A79" s="5" t="s">
        <v>125</v>
      </c>
      <c r="B79" s="673" t="s">
        <v>759</v>
      </c>
      <c r="C79" s="284"/>
      <c r="D79" s="284"/>
      <c r="E79" s="284"/>
      <c r="F79" s="284"/>
      <c r="G79" s="284"/>
      <c r="H79" s="284"/>
      <c r="I79" s="285"/>
      <c r="J79" s="285"/>
      <c r="K79" s="285"/>
      <c r="L79" s="285"/>
      <c r="M79" s="285"/>
      <c r="N79" s="285"/>
      <c r="O79" s="286"/>
      <c r="P79" s="286"/>
      <c r="Q79" s="286"/>
      <c r="R79" s="287">
        <v>1</v>
      </c>
      <c r="S79" s="287"/>
      <c r="T79" s="287"/>
      <c r="U79" s="287"/>
      <c r="V79" s="287"/>
      <c r="W79" s="287"/>
      <c r="X79" s="287">
        <f t="shared" si="11"/>
        <v>1</v>
      </c>
      <c r="Y79" s="287"/>
      <c r="Z79" s="287"/>
      <c r="AA79" s="287">
        <v>1</v>
      </c>
      <c r="AB79" s="287"/>
      <c r="AC79" s="287"/>
      <c r="AD79" s="287"/>
      <c r="AE79" s="287"/>
      <c r="AF79" s="287"/>
      <c r="AG79" s="287"/>
      <c r="AH79" s="287"/>
      <c r="AI79" s="287"/>
      <c r="AJ79" s="287">
        <f t="shared" si="12"/>
        <v>1</v>
      </c>
      <c r="AK79" s="287"/>
      <c r="AL79" s="287"/>
      <c r="AM79" s="678">
        <f t="shared" si="14"/>
        <v>1</v>
      </c>
      <c r="AN79" s="678"/>
      <c r="AO79" s="678"/>
      <c r="AP79" s="678"/>
      <c r="AQ79" s="678"/>
      <c r="AR79" s="678"/>
      <c r="AS79" s="678"/>
      <c r="AT79" s="678"/>
      <c r="AU79" s="678"/>
      <c r="AV79" s="678">
        <f t="shared" si="13"/>
        <v>1</v>
      </c>
    </row>
    <row r="80" spans="1:48" s="32" customFormat="1" ht="14.45" customHeight="1" x14ac:dyDescent="0.25">
      <c r="A80" s="5" t="s">
        <v>703</v>
      </c>
      <c r="B80" s="679" t="s">
        <v>760</v>
      </c>
      <c r="C80" s="284"/>
      <c r="D80" s="284"/>
      <c r="E80" s="284"/>
      <c r="F80" s="284"/>
      <c r="G80" s="284"/>
      <c r="H80" s="284"/>
      <c r="I80" s="285"/>
      <c r="J80" s="285"/>
      <c r="K80" s="285"/>
      <c r="L80" s="285"/>
      <c r="M80" s="285"/>
      <c r="N80" s="285"/>
      <c r="O80" s="286"/>
      <c r="P80" s="286"/>
      <c r="Q80" s="286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678"/>
      <c r="AN80" s="678"/>
      <c r="AO80" s="678"/>
      <c r="AP80" s="678"/>
      <c r="AQ80" s="678"/>
      <c r="AR80" s="678"/>
      <c r="AS80" s="678"/>
      <c r="AT80" s="678"/>
      <c r="AU80" s="678"/>
      <c r="AV80" s="678"/>
    </row>
    <row r="81" spans="1:48" s="32" customFormat="1" ht="14.45" customHeight="1" x14ac:dyDescent="0.25">
      <c r="A81" s="5" t="s">
        <v>704</v>
      </c>
      <c r="B81" s="673" t="s">
        <v>761</v>
      </c>
      <c r="C81" s="284"/>
      <c r="D81" s="284"/>
      <c r="E81" s="284"/>
      <c r="F81" s="284"/>
      <c r="G81" s="284"/>
      <c r="H81" s="284"/>
      <c r="I81" s="285"/>
      <c r="J81" s="285"/>
      <c r="K81" s="285"/>
      <c r="L81" s="285"/>
      <c r="M81" s="285"/>
      <c r="N81" s="285"/>
      <c r="O81" s="286"/>
      <c r="P81" s="286"/>
      <c r="Q81" s="286"/>
      <c r="R81" s="287">
        <v>1</v>
      </c>
      <c r="S81" s="287"/>
      <c r="T81" s="287"/>
      <c r="U81" s="287"/>
      <c r="V81" s="287"/>
      <c r="W81" s="287"/>
      <c r="X81" s="287">
        <f t="shared" si="11"/>
        <v>1</v>
      </c>
      <c r="Y81" s="287"/>
      <c r="Z81" s="287"/>
      <c r="AA81" s="287">
        <v>1</v>
      </c>
      <c r="AB81" s="287"/>
      <c r="AC81" s="287"/>
      <c r="AD81" s="287"/>
      <c r="AE81" s="287"/>
      <c r="AF81" s="287"/>
      <c r="AG81" s="287"/>
      <c r="AH81" s="287"/>
      <c r="AI81" s="287"/>
      <c r="AJ81" s="287">
        <f t="shared" si="12"/>
        <v>1</v>
      </c>
      <c r="AK81" s="287"/>
      <c r="AL81" s="287"/>
      <c r="AM81" s="678">
        <f t="shared" si="14"/>
        <v>1</v>
      </c>
      <c r="AN81" s="678"/>
      <c r="AO81" s="678"/>
      <c r="AP81" s="678"/>
      <c r="AQ81" s="678"/>
      <c r="AR81" s="678"/>
      <c r="AS81" s="678"/>
      <c r="AT81" s="678"/>
      <c r="AU81" s="678"/>
      <c r="AV81" s="678">
        <f t="shared" si="13"/>
        <v>1</v>
      </c>
    </row>
    <row r="82" spans="1:48" s="32" customFormat="1" ht="14.45" customHeight="1" x14ac:dyDescent="0.25">
      <c r="A82" s="5" t="s">
        <v>128</v>
      </c>
      <c r="B82" s="673" t="s">
        <v>762</v>
      </c>
      <c r="C82" s="284"/>
      <c r="D82" s="284"/>
      <c r="E82" s="284"/>
      <c r="F82" s="284"/>
      <c r="G82" s="284"/>
      <c r="H82" s="284"/>
      <c r="I82" s="285"/>
      <c r="J82" s="285"/>
      <c r="K82" s="285"/>
      <c r="L82" s="285"/>
      <c r="M82" s="285"/>
      <c r="N82" s="285"/>
      <c r="O82" s="286"/>
      <c r="P82" s="286"/>
      <c r="Q82" s="286"/>
      <c r="R82" s="287">
        <v>1</v>
      </c>
      <c r="S82" s="287"/>
      <c r="T82" s="287"/>
      <c r="U82" s="287"/>
      <c r="V82" s="287"/>
      <c r="W82" s="287"/>
      <c r="X82" s="287">
        <f t="shared" si="11"/>
        <v>1</v>
      </c>
      <c r="Y82" s="287"/>
      <c r="Z82" s="287"/>
      <c r="AA82" s="287">
        <v>1</v>
      </c>
      <c r="AB82" s="287"/>
      <c r="AC82" s="287"/>
      <c r="AD82" s="287"/>
      <c r="AE82" s="287"/>
      <c r="AF82" s="287"/>
      <c r="AG82" s="287"/>
      <c r="AH82" s="287"/>
      <c r="AI82" s="287"/>
      <c r="AJ82" s="287">
        <f t="shared" si="12"/>
        <v>1</v>
      </c>
      <c r="AK82" s="287"/>
      <c r="AL82" s="287"/>
      <c r="AM82" s="678">
        <f t="shared" si="14"/>
        <v>1</v>
      </c>
      <c r="AN82" s="678"/>
      <c r="AO82" s="678"/>
      <c r="AP82" s="678"/>
      <c r="AQ82" s="678"/>
      <c r="AR82" s="678"/>
      <c r="AS82" s="678"/>
      <c r="AT82" s="678"/>
      <c r="AU82" s="678"/>
      <c r="AV82" s="678">
        <f t="shared" si="13"/>
        <v>1</v>
      </c>
    </row>
    <row r="83" spans="1:48" s="32" customFormat="1" ht="14.45" customHeight="1" x14ac:dyDescent="0.25">
      <c r="A83" s="5" t="s">
        <v>129</v>
      </c>
      <c r="B83" s="673" t="s">
        <v>763</v>
      </c>
      <c r="C83" s="284"/>
      <c r="D83" s="284"/>
      <c r="E83" s="284"/>
      <c r="F83" s="284"/>
      <c r="G83" s="284"/>
      <c r="H83" s="284"/>
      <c r="I83" s="285"/>
      <c r="J83" s="285"/>
      <c r="K83" s="285"/>
      <c r="L83" s="285"/>
      <c r="M83" s="285"/>
      <c r="N83" s="285"/>
      <c r="O83" s="286"/>
      <c r="P83" s="286"/>
      <c r="Q83" s="286"/>
      <c r="R83" s="287">
        <v>1</v>
      </c>
      <c r="S83" s="287"/>
      <c r="T83" s="287"/>
      <c r="U83" s="287"/>
      <c r="V83" s="287"/>
      <c r="W83" s="287"/>
      <c r="X83" s="287">
        <f t="shared" si="11"/>
        <v>1</v>
      </c>
      <c r="Y83" s="287"/>
      <c r="Z83" s="287"/>
      <c r="AA83" s="287">
        <v>1</v>
      </c>
      <c r="AB83" s="287"/>
      <c r="AC83" s="287"/>
      <c r="AD83" s="287"/>
      <c r="AE83" s="287"/>
      <c r="AF83" s="287"/>
      <c r="AG83" s="287"/>
      <c r="AH83" s="287"/>
      <c r="AI83" s="287"/>
      <c r="AJ83" s="287">
        <f t="shared" si="12"/>
        <v>1</v>
      </c>
      <c r="AK83" s="287"/>
      <c r="AL83" s="287"/>
      <c r="AM83" s="678">
        <f t="shared" si="14"/>
        <v>1</v>
      </c>
      <c r="AN83" s="678"/>
      <c r="AO83" s="678"/>
      <c r="AP83" s="678"/>
      <c r="AQ83" s="678"/>
      <c r="AR83" s="678"/>
      <c r="AS83" s="678"/>
      <c r="AT83" s="678"/>
      <c r="AU83" s="678"/>
      <c r="AV83" s="678">
        <f t="shared" si="13"/>
        <v>1</v>
      </c>
    </row>
    <row r="84" spans="1:48" s="32" customFormat="1" ht="14.45" customHeight="1" x14ac:dyDescent="0.25">
      <c r="A84" s="5" t="s">
        <v>130</v>
      </c>
      <c r="B84" s="679" t="s">
        <v>764</v>
      </c>
      <c r="C84" s="284"/>
      <c r="D84" s="284"/>
      <c r="E84" s="284"/>
      <c r="F84" s="284"/>
      <c r="G84" s="284"/>
      <c r="H84" s="284"/>
      <c r="I84" s="285"/>
      <c r="J84" s="285"/>
      <c r="K84" s="285"/>
      <c r="L84" s="285"/>
      <c r="M84" s="285"/>
      <c r="N84" s="285"/>
      <c r="O84" s="286"/>
      <c r="P84" s="286"/>
      <c r="Q84" s="286"/>
      <c r="R84" s="287"/>
      <c r="S84" s="287"/>
      <c r="T84" s="287"/>
      <c r="U84" s="287"/>
      <c r="V84" s="287"/>
      <c r="W84" s="287"/>
      <c r="X84" s="287">
        <f t="shared" si="11"/>
        <v>0</v>
      </c>
      <c r="Y84" s="287"/>
      <c r="Z84" s="287"/>
      <c r="AA84" s="287"/>
      <c r="AB84" s="287"/>
      <c r="AC84" s="287"/>
      <c r="AD84" s="287"/>
      <c r="AE84" s="287"/>
      <c r="AF84" s="287"/>
      <c r="AG84" s="287"/>
      <c r="AH84" s="287"/>
      <c r="AI84" s="287"/>
      <c r="AJ84" s="287">
        <f t="shared" si="12"/>
        <v>0</v>
      </c>
      <c r="AK84" s="287"/>
      <c r="AL84" s="287"/>
      <c r="AM84" s="678">
        <f t="shared" si="14"/>
        <v>0</v>
      </c>
      <c r="AN84" s="678"/>
      <c r="AO84" s="678"/>
      <c r="AP84" s="678"/>
      <c r="AQ84" s="678"/>
      <c r="AR84" s="678"/>
      <c r="AS84" s="678"/>
      <c r="AT84" s="678"/>
      <c r="AU84" s="678"/>
      <c r="AV84" s="678">
        <f t="shared" si="13"/>
        <v>0</v>
      </c>
    </row>
    <row r="85" spans="1:48" s="32" customFormat="1" ht="14.45" customHeight="1" x14ac:dyDescent="0.25">
      <c r="A85" s="5" t="s">
        <v>133</v>
      </c>
      <c r="B85" s="673" t="s">
        <v>765</v>
      </c>
      <c r="C85" s="284"/>
      <c r="D85" s="284"/>
      <c r="E85" s="284"/>
      <c r="F85" s="284"/>
      <c r="G85" s="284"/>
      <c r="H85" s="284"/>
      <c r="I85" s="285"/>
      <c r="J85" s="285"/>
      <c r="K85" s="285"/>
      <c r="L85" s="285"/>
      <c r="M85" s="285"/>
      <c r="N85" s="285"/>
      <c r="O85" s="286"/>
      <c r="P85" s="286"/>
      <c r="Q85" s="286"/>
      <c r="R85" s="287">
        <v>1</v>
      </c>
      <c r="S85" s="287"/>
      <c r="T85" s="287"/>
      <c r="U85" s="287"/>
      <c r="V85" s="287"/>
      <c r="W85" s="287"/>
      <c r="X85" s="287">
        <f t="shared" si="11"/>
        <v>1</v>
      </c>
      <c r="Y85" s="287"/>
      <c r="Z85" s="287"/>
      <c r="AA85" s="287">
        <v>1</v>
      </c>
      <c r="AB85" s="287"/>
      <c r="AC85" s="287"/>
      <c r="AD85" s="287"/>
      <c r="AE85" s="287"/>
      <c r="AF85" s="287"/>
      <c r="AG85" s="287"/>
      <c r="AH85" s="287"/>
      <c r="AI85" s="287"/>
      <c r="AJ85" s="287">
        <f t="shared" si="12"/>
        <v>1</v>
      </c>
      <c r="AK85" s="287"/>
      <c r="AL85" s="287"/>
      <c r="AM85" s="678">
        <f t="shared" si="14"/>
        <v>1</v>
      </c>
      <c r="AN85" s="678"/>
      <c r="AO85" s="678"/>
      <c r="AP85" s="678"/>
      <c r="AQ85" s="678"/>
      <c r="AR85" s="678"/>
      <c r="AS85" s="678"/>
      <c r="AT85" s="678"/>
      <c r="AU85" s="678"/>
      <c r="AV85" s="678">
        <f t="shared" si="13"/>
        <v>1</v>
      </c>
    </row>
    <row r="86" spans="1:48" s="32" customFormat="1" ht="14.45" customHeight="1" x14ac:dyDescent="0.25">
      <c r="A86" s="5" t="s">
        <v>136</v>
      </c>
      <c r="B86" s="673" t="s">
        <v>766</v>
      </c>
      <c r="C86" s="284"/>
      <c r="D86" s="284"/>
      <c r="E86" s="284"/>
      <c r="F86" s="284"/>
      <c r="G86" s="284"/>
      <c r="H86" s="284"/>
      <c r="I86" s="285"/>
      <c r="J86" s="285"/>
      <c r="K86" s="285"/>
      <c r="L86" s="285"/>
      <c r="M86" s="285"/>
      <c r="N86" s="285"/>
      <c r="O86" s="286"/>
      <c r="P86" s="286"/>
      <c r="Q86" s="286"/>
      <c r="R86" s="287">
        <v>1</v>
      </c>
      <c r="S86" s="287"/>
      <c r="T86" s="287"/>
      <c r="U86" s="287"/>
      <c r="V86" s="287"/>
      <c r="W86" s="287"/>
      <c r="X86" s="287">
        <f t="shared" si="11"/>
        <v>1</v>
      </c>
      <c r="Y86" s="287"/>
      <c r="Z86" s="287"/>
      <c r="AA86" s="287">
        <v>1</v>
      </c>
      <c r="AB86" s="287"/>
      <c r="AC86" s="287"/>
      <c r="AD86" s="287"/>
      <c r="AE86" s="287"/>
      <c r="AF86" s="287"/>
      <c r="AG86" s="287"/>
      <c r="AH86" s="287"/>
      <c r="AI86" s="287"/>
      <c r="AJ86" s="287">
        <f t="shared" si="12"/>
        <v>1</v>
      </c>
      <c r="AK86" s="287"/>
      <c r="AL86" s="287"/>
      <c r="AM86" s="678">
        <f t="shared" si="14"/>
        <v>1</v>
      </c>
      <c r="AN86" s="678"/>
      <c r="AO86" s="678"/>
      <c r="AP86" s="678"/>
      <c r="AQ86" s="678"/>
      <c r="AR86" s="678"/>
      <c r="AS86" s="678"/>
      <c r="AT86" s="678"/>
      <c r="AU86" s="678"/>
      <c r="AV86" s="678">
        <f t="shared" si="13"/>
        <v>1</v>
      </c>
    </row>
    <row r="87" spans="1:48" s="32" customFormat="1" ht="14.45" customHeight="1" x14ac:dyDescent="0.25">
      <c r="A87" s="5" t="s">
        <v>137</v>
      </c>
      <c r="B87" s="673" t="s">
        <v>767</v>
      </c>
      <c r="C87" s="284"/>
      <c r="D87" s="284"/>
      <c r="E87" s="284"/>
      <c r="F87" s="284"/>
      <c r="G87" s="284"/>
      <c r="H87" s="284"/>
      <c r="I87" s="285"/>
      <c r="J87" s="285"/>
      <c r="K87" s="285"/>
      <c r="L87" s="285"/>
      <c r="M87" s="285"/>
      <c r="N87" s="285"/>
      <c r="O87" s="286"/>
      <c r="P87" s="286"/>
      <c r="Q87" s="286"/>
      <c r="R87" s="287">
        <v>3</v>
      </c>
      <c r="S87" s="287"/>
      <c r="T87" s="287"/>
      <c r="U87" s="287"/>
      <c r="V87" s="287"/>
      <c r="W87" s="287"/>
      <c r="X87" s="287">
        <f t="shared" si="11"/>
        <v>3</v>
      </c>
      <c r="Y87" s="287"/>
      <c r="Z87" s="287"/>
      <c r="AA87" s="287">
        <v>3</v>
      </c>
      <c r="AB87" s="287"/>
      <c r="AC87" s="287"/>
      <c r="AD87" s="287"/>
      <c r="AE87" s="287"/>
      <c r="AF87" s="287"/>
      <c r="AG87" s="287"/>
      <c r="AH87" s="287"/>
      <c r="AI87" s="287"/>
      <c r="AJ87" s="287">
        <f t="shared" si="12"/>
        <v>3</v>
      </c>
      <c r="AK87" s="287"/>
      <c r="AL87" s="287"/>
      <c r="AM87" s="678">
        <f t="shared" si="14"/>
        <v>3</v>
      </c>
      <c r="AN87" s="678"/>
      <c r="AO87" s="678"/>
      <c r="AP87" s="678"/>
      <c r="AQ87" s="678"/>
      <c r="AR87" s="678"/>
      <c r="AS87" s="678"/>
      <c r="AT87" s="678"/>
      <c r="AU87" s="678"/>
      <c r="AV87" s="678">
        <f t="shared" si="13"/>
        <v>3</v>
      </c>
    </row>
    <row r="88" spans="1:48" s="32" customFormat="1" ht="14.45" customHeight="1" x14ac:dyDescent="0.25">
      <c r="A88" s="5" t="s">
        <v>138</v>
      </c>
      <c r="B88" s="673" t="s">
        <v>1022</v>
      </c>
      <c r="C88" s="284"/>
      <c r="D88" s="284"/>
      <c r="E88" s="284"/>
      <c r="F88" s="284"/>
      <c r="G88" s="284"/>
      <c r="H88" s="284"/>
      <c r="I88" s="285"/>
      <c r="J88" s="285"/>
      <c r="K88" s="285"/>
      <c r="L88" s="285"/>
      <c r="M88" s="285"/>
      <c r="N88" s="285"/>
      <c r="O88" s="286"/>
      <c r="P88" s="286"/>
      <c r="Q88" s="286"/>
      <c r="R88" s="287">
        <v>1</v>
      </c>
      <c r="S88" s="287"/>
      <c r="T88" s="287"/>
      <c r="U88" s="287"/>
      <c r="V88" s="287"/>
      <c r="W88" s="287"/>
      <c r="X88" s="287">
        <f t="shared" si="11"/>
        <v>1</v>
      </c>
      <c r="Y88" s="287"/>
      <c r="Z88" s="287"/>
      <c r="AA88" s="287">
        <v>1</v>
      </c>
      <c r="AB88" s="287"/>
      <c r="AC88" s="287"/>
      <c r="AD88" s="287"/>
      <c r="AE88" s="287"/>
      <c r="AF88" s="287"/>
      <c r="AG88" s="287"/>
      <c r="AH88" s="287"/>
      <c r="AI88" s="287"/>
      <c r="AJ88" s="287">
        <f t="shared" si="12"/>
        <v>1</v>
      </c>
      <c r="AK88" s="287"/>
      <c r="AL88" s="287"/>
      <c r="AM88" s="678">
        <f t="shared" si="14"/>
        <v>1</v>
      </c>
      <c r="AN88" s="678"/>
      <c r="AO88" s="678"/>
      <c r="AP88" s="678"/>
      <c r="AQ88" s="678"/>
      <c r="AR88" s="678"/>
      <c r="AS88" s="678"/>
      <c r="AT88" s="678"/>
      <c r="AU88" s="678"/>
      <c r="AV88" s="678">
        <f t="shared" si="13"/>
        <v>1</v>
      </c>
    </row>
    <row r="89" spans="1:48" s="32" customFormat="1" ht="14.45" customHeight="1" x14ac:dyDescent="0.25">
      <c r="A89" s="5" t="s">
        <v>139</v>
      </c>
      <c r="B89" s="679" t="s">
        <v>768</v>
      </c>
      <c r="C89" s="284"/>
      <c r="D89" s="284"/>
      <c r="E89" s="284"/>
      <c r="F89" s="284"/>
      <c r="G89" s="284"/>
      <c r="H89" s="284"/>
      <c r="I89" s="285"/>
      <c r="J89" s="285"/>
      <c r="K89" s="285"/>
      <c r="L89" s="285"/>
      <c r="M89" s="285"/>
      <c r="N89" s="285"/>
      <c r="O89" s="286"/>
      <c r="P89" s="286"/>
      <c r="Q89" s="286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678"/>
      <c r="AN89" s="678"/>
      <c r="AO89" s="678"/>
      <c r="AP89" s="678"/>
      <c r="AQ89" s="678"/>
      <c r="AR89" s="678"/>
      <c r="AS89" s="678"/>
      <c r="AT89" s="678"/>
      <c r="AU89" s="678"/>
      <c r="AV89" s="678"/>
    </row>
    <row r="90" spans="1:48" s="32" customFormat="1" ht="14.45" customHeight="1" x14ac:dyDescent="0.25">
      <c r="A90" s="5" t="s">
        <v>142</v>
      </c>
      <c r="B90" s="673" t="s">
        <v>769</v>
      </c>
      <c r="C90" s="284"/>
      <c r="D90" s="284"/>
      <c r="E90" s="284"/>
      <c r="F90" s="284"/>
      <c r="G90" s="284"/>
      <c r="H90" s="284"/>
      <c r="I90" s="285"/>
      <c r="J90" s="285"/>
      <c r="K90" s="285"/>
      <c r="L90" s="285"/>
      <c r="M90" s="285"/>
      <c r="N90" s="285"/>
      <c r="O90" s="286"/>
      <c r="P90" s="286"/>
      <c r="Q90" s="286"/>
      <c r="R90" s="287">
        <v>1</v>
      </c>
      <c r="S90" s="287"/>
      <c r="T90" s="287"/>
      <c r="U90" s="287"/>
      <c r="V90" s="287"/>
      <c r="W90" s="287"/>
      <c r="X90" s="287">
        <f t="shared" si="11"/>
        <v>1</v>
      </c>
      <c r="Y90" s="287"/>
      <c r="Z90" s="287"/>
      <c r="AA90" s="287">
        <v>1</v>
      </c>
      <c r="AB90" s="287"/>
      <c r="AC90" s="287"/>
      <c r="AD90" s="287"/>
      <c r="AE90" s="287"/>
      <c r="AF90" s="287"/>
      <c r="AG90" s="287"/>
      <c r="AH90" s="287"/>
      <c r="AI90" s="287"/>
      <c r="AJ90" s="287">
        <f t="shared" si="12"/>
        <v>1</v>
      </c>
      <c r="AK90" s="287"/>
      <c r="AL90" s="287"/>
      <c r="AM90" s="678">
        <f t="shared" si="14"/>
        <v>1</v>
      </c>
      <c r="AN90" s="678"/>
      <c r="AO90" s="678"/>
      <c r="AP90" s="678"/>
      <c r="AQ90" s="678"/>
      <c r="AR90" s="678"/>
      <c r="AS90" s="678"/>
      <c r="AT90" s="678"/>
      <c r="AU90" s="678"/>
      <c r="AV90" s="678">
        <f t="shared" si="13"/>
        <v>1</v>
      </c>
    </row>
    <row r="91" spans="1:48" s="32" customFormat="1" ht="14.45" customHeight="1" x14ac:dyDescent="0.25">
      <c r="A91" s="5" t="s">
        <v>145</v>
      </c>
      <c r="B91" s="673" t="s">
        <v>770</v>
      </c>
      <c r="C91" s="284"/>
      <c r="D91" s="284"/>
      <c r="E91" s="284"/>
      <c r="F91" s="284"/>
      <c r="G91" s="284"/>
      <c r="H91" s="284"/>
      <c r="I91" s="285"/>
      <c r="J91" s="285"/>
      <c r="K91" s="285"/>
      <c r="L91" s="285"/>
      <c r="M91" s="285"/>
      <c r="N91" s="285"/>
      <c r="O91" s="286"/>
      <c r="P91" s="286"/>
      <c r="Q91" s="286"/>
      <c r="R91" s="287">
        <v>2</v>
      </c>
      <c r="S91" s="287"/>
      <c r="T91" s="287"/>
      <c r="U91" s="287"/>
      <c r="V91" s="287"/>
      <c r="W91" s="287"/>
      <c r="X91" s="287">
        <f t="shared" si="11"/>
        <v>2</v>
      </c>
      <c r="Y91" s="287"/>
      <c r="Z91" s="287"/>
      <c r="AA91" s="287">
        <v>2</v>
      </c>
      <c r="AB91" s="287"/>
      <c r="AC91" s="287"/>
      <c r="AD91" s="287"/>
      <c r="AE91" s="287"/>
      <c r="AF91" s="287"/>
      <c r="AG91" s="287"/>
      <c r="AH91" s="287"/>
      <c r="AI91" s="287"/>
      <c r="AJ91" s="287">
        <f t="shared" si="12"/>
        <v>2</v>
      </c>
      <c r="AK91" s="287"/>
      <c r="AL91" s="287"/>
      <c r="AM91" s="678">
        <f t="shared" si="14"/>
        <v>2</v>
      </c>
      <c r="AN91" s="678"/>
      <c r="AO91" s="678"/>
      <c r="AP91" s="678"/>
      <c r="AQ91" s="678"/>
      <c r="AR91" s="678"/>
      <c r="AS91" s="678"/>
      <c r="AT91" s="678"/>
      <c r="AU91" s="678"/>
      <c r="AV91" s="678">
        <f t="shared" si="13"/>
        <v>2</v>
      </c>
    </row>
    <row r="92" spans="1:48" s="32" customFormat="1" ht="14.45" customHeight="1" x14ac:dyDescent="0.25">
      <c r="A92" s="5" t="s">
        <v>148</v>
      </c>
      <c r="B92" s="673" t="s">
        <v>771</v>
      </c>
      <c r="C92" s="284"/>
      <c r="D92" s="284"/>
      <c r="E92" s="284"/>
      <c r="F92" s="284"/>
      <c r="G92" s="284"/>
      <c r="H92" s="284"/>
      <c r="I92" s="285"/>
      <c r="J92" s="285"/>
      <c r="K92" s="285"/>
      <c r="L92" s="285"/>
      <c r="M92" s="285"/>
      <c r="N92" s="285"/>
      <c r="O92" s="286"/>
      <c r="P92" s="286"/>
      <c r="Q92" s="286"/>
      <c r="R92" s="287">
        <v>1</v>
      </c>
      <c r="S92" s="287"/>
      <c r="T92" s="287"/>
      <c r="U92" s="287"/>
      <c r="V92" s="287"/>
      <c r="W92" s="287"/>
      <c r="X92" s="287">
        <f t="shared" si="11"/>
        <v>1</v>
      </c>
      <c r="Y92" s="287"/>
      <c r="Z92" s="287"/>
      <c r="AA92" s="287">
        <v>1</v>
      </c>
      <c r="AB92" s="287"/>
      <c r="AC92" s="287"/>
      <c r="AD92" s="287"/>
      <c r="AE92" s="287"/>
      <c r="AF92" s="287"/>
      <c r="AG92" s="287"/>
      <c r="AH92" s="287"/>
      <c r="AI92" s="287"/>
      <c r="AJ92" s="287">
        <f t="shared" si="12"/>
        <v>1</v>
      </c>
      <c r="AK92" s="287"/>
      <c r="AL92" s="287"/>
      <c r="AM92" s="678">
        <f t="shared" si="14"/>
        <v>1</v>
      </c>
      <c r="AN92" s="678"/>
      <c r="AO92" s="678"/>
      <c r="AP92" s="678"/>
      <c r="AQ92" s="678"/>
      <c r="AR92" s="678"/>
      <c r="AS92" s="678"/>
      <c r="AT92" s="678"/>
      <c r="AU92" s="678"/>
      <c r="AV92" s="678">
        <f t="shared" si="13"/>
        <v>1</v>
      </c>
    </row>
    <row r="93" spans="1:48" s="32" customFormat="1" ht="14.45" customHeight="1" x14ac:dyDescent="0.25">
      <c r="A93" s="5" t="s">
        <v>149</v>
      </c>
      <c r="B93" s="280" t="s">
        <v>772</v>
      </c>
      <c r="C93" s="284"/>
      <c r="D93" s="284"/>
      <c r="E93" s="284"/>
      <c r="F93" s="284"/>
      <c r="G93" s="284"/>
      <c r="H93" s="284"/>
      <c r="I93" s="285"/>
      <c r="J93" s="285"/>
      <c r="K93" s="285"/>
      <c r="L93" s="285"/>
      <c r="M93" s="285"/>
      <c r="N93" s="285"/>
      <c r="O93" s="286"/>
      <c r="P93" s="286"/>
      <c r="Q93" s="286"/>
      <c r="R93" s="287">
        <f>SUM(R71:R92)</f>
        <v>23</v>
      </c>
      <c r="S93" s="287">
        <f>SUM(S71:S92)</f>
        <v>0</v>
      </c>
      <c r="T93" s="287"/>
      <c r="U93" s="287"/>
      <c r="V93" s="287"/>
      <c r="W93" s="287"/>
      <c r="X93" s="287">
        <f t="shared" si="11"/>
        <v>23</v>
      </c>
      <c r="Y93" s="287">
        <f>SUM(Y71:Y92)</f>
        <v>0</v>
      </c>
      <c r="Z93" s="287">
        <f>SUM(Z71:Z92)</f>
        <v>0</v>
      </c>
      <c r="AA93" s="287">
        <f>SUM(AA71:AA92)</f>
        <v>23</v>
      </c>
      <c r="AB93" s="287"/>
      <c r="AC93" s="287">
        <f>SUM(AC71:AC92)</f>
        <v>0</v>
      </c>
      <c r="AD93" s="287"/>
      <c r="AE93" s="287"/>
      <c r="AF93" s="287"/>
      <c r="AG93" s="287"/>
      <c r="AH93" s="287"/>
      <c r="AI93" s="287"/>
      <c r="AJ93" s="287">
        <f t="shared" si="12"/>
        <v>23</v>
      </c>
      <c r="AK93" s="287">
        <f>SUM(AK71:AK92)</f>
        <v>0</v>
      </c>
      <c r="AL93" s="287">
        <f>SUM(AL71:AL92)</f>
        <v>0</v>
      </c>
      <c r="AM93" s="779">
        <f t="shared" si="14"/>
        <v>23</v>
      </c>
      <c r="AN93" s="1031">
        <v>0</v>
      </c>
      <c r="AO93" s="1031">
        <v>0</v>
      </c>
      <c r="AP93" s="1031">
        <v>0</v>
      </c>
      <c r="AQ93" s="1031">
        <v>0</v>
      </c>
      <c r="AR93" s="1031">
        <v>0</v>
      </c>
      <c r="AS93" s="1031">
        <v>0</v>
      </c>
      <c r="AT93" s="1031">
        <v>0</v>
      </c>
      <c r="AU93" s="1031"/>
      <c r="AV93" s="779">
        <f>SUM(AV71:AV92)</f>
        <v>23</v>
      </c>
    </row>
    <row r="94" spans="1:48" s="32" customFormat="1" ht="14.45" customHeight="1" x14ac:dyDescent="0.25">
      <c r="A94" s="5"/>
      <c r="B94" s="674"/>
      <c r="C94" s="760"/>
      <c r="D94" s="760"/>
      <c r="E94" s="760"/>
      <c r="F94" s="760"/>
      <c r="G94" s="760"/>
      <c r="H94" s="760"/>
      <c r="I94" s="761"/>
      <c r="J94" s="761"/>
      <c r="K94" s="761"/>
      <c r="L94" s="761"/>
      <c r="M94" s="761"/>
      <c r="N94" s="761"/>
      <c r="O94" s="762"/>
      <c r="P94" s="762"/>
      <c r="Q94" s="762"/>
      <c r="R94" s="763"/>
      <c r="S94" s="763"/>
      <c r="T94" s="763"/>
      <c r="U94" s="763"/>
      <c r="V94" s="763"/>
      <c r="W94" s="763"/>
      <c r="X94" s="763"/>
      <c r="Y94" s="763"/>
      <c r="Z94" s="763"/>
      <c r="AA94" s="763"/>
      <c r="AB94" s="763"/>
      <c r="AC94" s="763"/>
      <c r="AD94" s="763"/>
      <c r="AE94" s="763"/>
      <c r="AF94" s="763"/>
      <c r="AG94" s="763"/>
      <c r="AH94" s="763"/>
      <c r="AI94" s="763"/>
      <c r="AJ94" s="763"/>
      <c r="AK94" s="763"/>
      <c r="AL94" s="763"/>
      <c r="AM94" s="764"/>
      <c r="AN94" s="764"/>
      <c r="AO94" s="763"/>
      <c r="AP94" s="763"/>
      <c r="AQ94" s="763"/>
      <c r="AR94" s="763"/>
      <c r="AS94" s="763"/>
      <c r="AT94" s="763"/>
      <c r="AU94" s="763"/>
      <c r="AV94" s="763"/>
    </row>
    <row r="95" spans="1:48" s="32" customFormat="1" ht="14.45" customHeight="1" x14ac:dyDescent="0.25">
      <c r="A95" s="5"/>
      <c r="B95" s="79"/>
      <c r="C95" s="73"/>
      <c r="D95" s="73"/>
      <c r="E95" s="73"/>
      <c r="F95" s="73"/>
      <c r="G95" s="73"/>
      <c r="H95" s="73"/>
      <c r="I95" s="56"/>
      <c r="J95" s="56"/>
      <c r="K95" s="56"/>
      <c r="L95" s="56"/>
      <c r="M95" s="56"/>
      <c r="N95" s="56"/>
      <c r="O95" s="74"/>
      <c r="P95" s="74"/>
      <c r="Q95" s="74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282"/>
      <c r="AN95" s="282"/>
      <c r="AO95" s="57"/>
      <c r="AP95" s="57"/>
      <c r="AQ95" s="57"/>
      <c r="AR95" s="57"/>
      <c r="AS95" s="57"/>
      <c r="AT95" s="57"/>
      <c r="AU95" s="57"/>
      <c r="AV95" s="57"/>
    </row>
    <row r="96" spans="1:48" s="32" customFormat="1" ht="14.45" customHeight="1" x14ac:dyDescent="0.25">
      <c r="A96" s="5"/>
      <c r="B96" s="79"/>
      <c r="C96" s="73"/>
      <c r="D96" s="73"/>
      <c r="E96" s="73"/>
      <c r="F96" s="73"/>
      <c r="G96" s="73"/>
      <c r="H96" s="73"/>
      <c r="I96" s="56"/>
      <c r="J96" s="56"/>
      <c r="K96" s="56"/>
      <c r="L96" s="56"/>
      <c r="M96" s="56"/>
      <c r="N96" s="56"/>
      <c r="O96" s="74"/>
      <c r="P96" s="74"/>
      <c r="Q96" s="74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282"/>
      <c r="AN96" s="282"/>
      <c r="AO96" s="57"/>
      <c r="AP96" s="57"/>
      <c r="AQ96" s="57"/>
      <c r="AR96" s="57"/>
      <c r="AS96" s="57"/>
      <c r="AT96" s="57"/>
      <c r="AU96" s="57"/>
      <c r="AV96" s="57"/>
    </row>
    <row r="97" spans="1:266" s="32" customFormat="1" ht="14.45" customHeight="1" x14ac:dyDescent="0.25">
      <c r="A97" s="281" t="s">
        <v>152</v>
      </c>
      <c r="B97" s="79" t="s">
        <v>554</v>
      </c>
      <c r="C97" s="73"/>
      <c r="D97" s="73"/>
      <c r="E97" s="73"/>
      <c r="F97" s="73"/>
      <c r="G97" s="73"/>
      <c r="H97" s="73"/>
      <c r="I97" s="56"/>
      <c r="J97" s="56"/>
      <c r="K97" s="56"/>
      <c r="L97" s="56"/>
      <c r="M97" s="56"/>
      <c r="N97" s="56"/>
      <c r="O97" s="74"/>
      <c r="P97" s="74"/>
      <c r="Q97" s="74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282"/>
      <c r="AN97" s="282"/>
      <c r="AO97" s="57"/>
      <c r="AP97" s="57"/>
      <c r="AQ97" s="57"/>
      <c r="AR97" s="57"/>
      <c r="AS97" s="57"/>
      <c r="AT97" s="57"/>
      <c r="AU97" s="57"/>
      <c r="AV97" s="57"/>
    </row>
    <row r="98" spans="1:266" s="32" customFormat="1" ht="14.45" customHeight="1" x14ac:dyDescent="0.25">
      <c r="A98" s="281" t="s">
        <v>153</v>
      </c>
      <c r="B98" s="283" t="s">
        <v>558</v>
      </c>
      <c r="C98" s="284"/>
      <c r="D98" s="284"/>
      <c r="E98" s="284"/>
      <c r="F98" s="284"/>
      <c r="G98" s="284"/>
      <c r="H98" s="284"/>
      <c r="I98" s="285"/>
      <c r="J98" s="285"/>
      <c r="K98" s="285"/>
      <c r="L98" s="285"/>
      <c r="M98" s="285"/>
      <c r="N98" s="285"/>
      <c r="O98" s="286"/>
      <c r="P98" s="286"/>
      <c r="Q98" s="286"/>
      <c r="R98" s="286">
        <v>15</v>
      </c>
      <c r="S98" s="287"/>
      <c r="T98" s="287"/>
      <c r="U98" s="287"/>
      <c r="V98" s="287"/>
      <c r="W98" s="287"/>
      <c r="X98" s="286">
        <f>R98</f>
        <v>15</v>
      </c>
      <c r="Y98" s="287"/>
      <c r="Z98" s="287"/>
      <c r="AA98" s="286">
        <f>R98</f>
        <v>15</v>
      </c>
      <c r="AB98" s="286"/>
      <c r="AC98" s="287"/>
      <c r="AD98" s="287"/>
      <c r="AE98" s="287"/>
      <c r="AF98" s="287"/>
      <c r="AG98" s="287"/>
      <c r="AH98" s="287"/>
      <c r="AI98" s="287"/>
      <c r="AJ98" s="287">
        <f>X98+O98+I98</f>
        <v>15</v>
      </c>
      <c r="AK98" s="287"/>
      <c r="AL98" s="287"/>
      <c r="AM98" s="286">
        <f>AA98+AK98/2</f>
        <v>15</v>
      </c>
      <c r="AN98" s="286"/>
      <c r="AO98" s="287"/>
      <c r="AP98" s="1031"/>
      <c r="AQ98" s="1031"/>
      <c r="AR98" s="287"/>
      <c r="AS98" s="287"/>
      <c r="AT98" s="287"/>
      <c r="AU98" s="287"/>
      <c r="AV98" s="287">
        <f>AJ98+AL98/2</f>
        <v>15</v>
      </c>
    </row>
    <row r="99" spans="1:266" s="32" customFormat="1" ht="14.45" customHeight="1" x14ac:dyDescent="0.25">
      <c r="A99" s="281" t="s">
        <v>154</v>
      </c>
      <c r="B99" s="283" t="s">
        <v>559</v>
      </c>
      <c r="C99" s="284"/>
      <c r="D99" s="284"/>
      <c r="E99" s="284"/>
      <c r="F99" s="284"/>
      <c r="G99" s="284"/>
      <c r="H99" s="284"/>
      <c r="I99" s="285"/>
      <c r="J99" s="285"/>
      <c r="K99" s="285"/>
      <c r="L99" s="285"/>
      <c r="M99" s="285"/>
      <c r="N99" s="285"/>
      <c r="O99" s="286"/>
      <c r="P99" s="286"/>
      <c r="Q99" s="286"/>
      <c r="R99" s="286">
        <v>9</v>
      </c>
      <c r="S99" s="287"/>
      <c r="T99" s="287"/>
      <c r="U99" s="287"/>
      <c r="V99" s="287"/>
      <c r="W99" s="287"/>
      <c r="X99" s="286">
        <f>R99</f>
        <v>9</v>
      </c>
      <c r="Y99" s="287"/>
      <c r="Z99" s="287"/>
      <c r="AA99" s="286">
        <v>9</v>
      </c>
      <c r="AB99" s="286"/>
      <c r="AC99" s="287"/>
      <c r="AD99" s="287"/>
      <c r="AE99" s="287"/>
      <c r="AF99" s="287"/>
      <c r="AG99" s="287"/>
      <c r="AH99" s="287"/>
      <c r="AI99" s="287"/>
      <c r="AJ99" s="287">
        <v>9</v>
      </c>
      <c r="AK99" s="287"/>
      <c r="AL99" s="287"/>
      <c r="AM99" s="286">
        <f>AA99+AK99/2</f>
        <v>9</v>
      </c>
      <c r="AN99" s="286"/>
      <c r="AO99" s="287"/>
      <c r="AP99" s="1031"/>
      <c r="AQ99" s="1031"/>
      <c r="AR99" s="287"/>
      <c r="AS99" s="287"/>
      <c r="AT99" s="287"/>
      <c r="AU99" s="287"/>
      <c r="AV99" s="287">
        <f>AJ99+AL99/2</f>
        <v>9</v>
      </c>
    </row>
    <row r="100" spans="1:266" s="32" customFormat="1" ht="14.45" customHeight="1" x14ac:dyDescent="0.25">
      <c r="A100" s="281" t="s">
        <v>155</v>
      </c>
      <c r="B100" s="283" t="s">
        <v>560</v>
      </c>
      <c r="C100" s="284"/>
      <c r="D100" s="284"/>
      <c r="E100" s="284"/>
      <c r="F100" s="284"/>
      <c r="G100" s="284"/>
      <c r="H100" s="284"/>
      <c r="I100" s="285"/>
      <c r="J100" s="285"/>
      <c r="K100" s="285"/>
      <c r="L100" s="285"/>
      <c r="M100" s="285"/>
      <c r="N100" s="285"/>
      <c r="O100" s="286"/>
      <c r="P100" s="286"/>
      <c r="Q100" s="286"/>
      <c r="R100" s="286">
        <v>3</v>
      </c>
      <c r="S100" s="287"/>
      <c r="T100" s="287"/>
      <c r="U100" s="287"/>
      <c r="V100" s="287"/>
      <c r="W100" s="287"/>
      <c r="X100" s="286">
        <f>R100</f>
        <v>3</v>
      </c>
      <c r="Y100" s="287"/>
      <c r="Z100" s="287"/>
      <c r="AA100" s="286">
        <v>3</v>
      </c>
      <c r="AB100" s="286"/>
      <c r="AC100" s="287"/>
      <c r="AD100" s="287"/>
      <c r="AE100" s="287"/>
      <c r="AF100" s="287"/>
      <c r="AG100" s="287"/>
      <c r="AH100" s="287"/>
      <c r="AI100" s="287"/>
      <c r="AJ100" s="287">
        <v>3</v>
      </c>
      <c r="AK100" s="287"/>
      <c r="AL100" s="287"/>
      <c r="AM100" s="286">
        <f>AA100+AK100/2</f>
        <v>3</v>
      </c>
      <c r="AN100" s="286"/>
      <c r="AO100" s="287"/>
      <c r="AP100" s="1031"/>
      <c r="AQ100" s="1031"/>
      <c r="AR100" s="287"/>
      <c r="AS100" s="287"/>
      <c r="AT100" s="287"/>
      <c r="AU100" s="287"/>
      <c r="AV100" s="287">
        <f>AJ100+AL100/2</f>
        <v>3</v>
      </c>
    </row>
    <row r="101" spans="1:266" s="32" customFormat="1" ht="14.45" customHeight="1" x14ac:dyDescent="0.25">
      <c r="A101" s="281" t="s">
        <v>156</v>
      </c>
      <c r="B101" s="288" t="s">
        <v>561</v>
      </c>
      <c r="C101" s="289"/>
      <c r="D101" s="289"/>
      <c r="E101" s="289"/>
      <c r="F101" s="289"/>
      <c r="G101" s="289"/>
      <c r="H101" s="289"/>
      <c r="I101" s="290"/>
      <c r="J101" s="290"/>
      <c r="K101" s="290"/>
      <c r="L101" s="290"/>
      <c r="M101" s="290"/>
      <c r="N101" s="290"/>
      <c r="O101" s="286"/>
      <c r="P101" s="286"/>
      <c r="Q101" s="286"/>
      <c r="R101" s="287">
        <f>R98+R99+R100</f>
        <v>27</v>
      </c>
      <c r="S101" s="286"/>
      <c r="T101" s="286"/>
      <c r="U101" s="286"/>
      <c r="V101" s="286"/>
      <c r="W101" s="286"/>
      <c r="X101" s="287">
        <f>R101</f>
        <v>27</v>
      </c>
      <c r="Y101" s="287">
        <v>0</v>
      </c>
      <c r="Z101" s="287">
        <f>Z98+Z99+Z100</f>
        <v>0</v>
      </c>
      <c r="AA101" s="287">
        <f>AA98+AA99+AA100</f>
        <v>27</v>
      </c>
      <c r="AB101" s="287"/>
      <c r="AC101" s="287"/>
      <c r="AD101" s="287"/>
      <c r="AE101" s="287"/>
      <c r="AF101" s="287"/>
      <c r="AG101" s="287"/>
      <c r="AH101" s="287"/>
      <c r="AI101" s="287"/>
      <c r="AJ101" s="287">
        <f>AJ98+AJ99+AJ100</f>
        <v>27</v>
      </c>
      <c r="AK101" s="287">
        <f>AK98+AK99+AK100</f>
        <v>0</v>
      </c>
      <c r="AL101" s="287">
        <f>AL98+AL99+AL100</f>
        <v>0</v>
      </c>
      <c r="AM101" s="779">
        <f>AA101+AK101/2</f>
        <v>27</v>
      </c>
      <c r="AN101" s="1031">
        <v>0</v>
      </c>
      <c r="AO101" s="1031">
        <f>AO98+AO99+AO100</f>
        <v>0</v>
      </c>
      <c r="AP101" s="1031">
        <f t="shared" ref="AP101" si="15">SUM(AP96:AP100)</f>
        <v>0</v>
      </c>
      <c r="AQ101" s="1031">
        <f t="shared" ref="AQ101" si="16">SUM(AQ96:AQ100)</f>
        <v>0</v>
      </c>
      <c r="AR101" s="1031">
        <v>0</v>
      </c>
      <c r="AS101" s="1031"/>
      <c r="AT101" s="1031">
        <v>0</v>
      </c>
      <c r="AU101" s="1031"/>
      <c r="AV101" s="779">
        <f>AJ101+AL101/2</f>
        <v>27</v>
      </c>
    </row>
    <row r="102" spans="1:266" ht="15.75" customHeight="1" x14ac:dyDescent="0.25">
      <c r="A102" s="281"/>
      <c r="B102" s="765"/>
      <c r="C102" s="766"/>
      <c r="D102" s="766"/>
      <c r="E102" s="766"/>
      <c r="F102" s="766"/>
      <c r="G102" s="766"/>
      <c r="H102" s="766"/>
      <c r="I102" s="767"/>
      <c r="J102" s="767"/>
      <c r="K102" s="767"/>
      <c r="L102" s="767"/>
      <c r="M102" s="767"/>
      <c r="N102" s="767"/>
      <c r="O102" s="768"/>
      <c r="P102" s="768"/>
      <c r="Q102" s="768"/>
      <c r="R102" s="769"/>
      <c r="S102" s="768"/>
      <c r="T102" s="768"/>
      <c r="U102" s="768"/>
      <c r="V102" s="768"/>
      <c r="W102" s="768"/>
      <c r="X102" s="769"/>
      <c r="Y102" s="769"/>
      <c r="Z102" s="769"/>
      <c r="AA102" s="769"/>
      <c r="AB102" s="769"/>
      <c r="AC102" s="769"/>
      <c r="AD102" s="769"/>
      <c r="AE102" s="769"/>
      <c r="AF102" s="769"/>
      <c r="AG102" s="769"/>
      <c r="AH102" s="769"/>
      <c r="AI102" s="769"/>
      <c r="AJ102" s="769"/>
      <c r="AK102" s="769"/>
      <c r="AL102" s="769"/>
      <c r="AM102" s="769"/>
      <c r="AN102" s="769"/>
      <c r="AO102" s="769"/>
      <c r="AP102" s="769"/>
      <c r="AQ102" s="769"/>
      <c r="AR102" s="769"/>
      <c r="AS102" s="769"/>
      <c r="AT102" s="769"/>
      <c r="AU102" s="769"/>
      <c r="AV102" s="770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  <c r="IX102" s="32"/>
      <c r="IY102" s="32"/>
      <c r="IZ102" s="32"/>
      <c r="JA102" s="32"/>
      <c r="JB102" s="32"/>
      <c r="JC102" s="32"/>
      <c r="JD102" s="32"/>
      <c r="JE102" s="32"/>
      <c r="JF102" s="32"/>
    </row>
    <row r="103" spans="1:266" s="32" customFormat="1" ht="14.45" customHeight="1" x14ac:dyDescent="0.25">
      <c r="A103" s="281"/>
      <c r="B103" s="54"/>
      <c r="C103" s="55"/>
      <c r="D103" s="55"/>
      <c r="E103" s="55"/>
      <c r="F103" s="55"/>
      <c r="G103" s="55"/>
      <c r="H103" s="55"/>
      <c r="I103" s="56"/>
      <c r="J103" s="56"/>
      <c r="K103" s="56"/>
      <c r="L103" s="56"/>
      <c r="M103" s="56"/>
      <c r="N103" s="56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</row>
    <row r="104" spans="1:266" s="32" customFormat="1" ht="15.75" customHeight="1" x14ac:dyDescent="0.25">
      <c r="A104" s="281" t="s">
        <v>158</v>
      </c>
      <c r="B104" s="49" t="s">
        <v>732</v>
      </c>
      <c r="C104" s="50">
        <f>C25+C41+C65</f>
        <v>0</v>
      </c>
      <c r="D104" s="50"/>
      <c r="E104" s="50"/>
      <c r="F104" s="50"/>
      <c r="G104" s="50"/>
      <c r="H104" s="50"/>
      <c r="I104" s="50">
        <f>I25+I41+I65</f>
        <v>0</v>
      </c>
      <c r="J104" s="50"/>
      <c r="K104" s="50"/>
      <c r="L104" s="50">
        <f>L25+L41+L65</f>
        <v>0</v>
      </c>
      <c r="M104" s="50"/>
      <c r="N104" s="50"/>
      <c r="O104" s="50">
        <f>O25+O41+O65</f>
        <v>0</v>
      </c>
      <c r="P104" s="50">
        <f>P25+P41+P65</f>
        <v>0</v>
      </c>
      <c r="Q104" s="50">
        <f>Q25+Q41+Q65</f>
        <v>0</v>
      </c>
      <c r="R104" s="50">
        <f t="shared" ref="R104:AV104" si="17">R25+R41+R101+R93</f>
        <v>184.5</v>
      </c>
      <c r="S104" s="50">
        <f t="shared" si="17"/>
        <v>0</v>
      </c>
      <c r="T104" s="50">
        <f>T101+T93+T41+T25</f>
        <v>1</v>
      </c>
      <c r="U104" s="50">
        <f>U101+U93+U41+U25</f>
        <v>3</v>
      </c>
      <c r="V104" s="50">
        <f>V101+V93+V41+V25</f>
        <v>-1</v>
      </c>
      <c r="W104" s="50">
        <f>W101+W93+W41+W25</f>
        <v>2</v>
      </c>
      <c r="X104" s="50">
        <f t="shared" si="17"/>
        <v>189.5</v>
      </c>
      <c r="Y104" s="50">
        <f t="shared" si="17"/>
        <v>1</v>
      </c>
      <c r="Z104" s="50">
        <f t="shared" si="17"/>
        <v>1</v>
      </c>
      <c r="AA104" s="50">
        <f t="shared" si="17"/>
        <v>184.5</v>
      </c>
      <c r="AB104" s="50">
        <f>AB101+AB93+AB41+AB25</f>
        <v>0</v>
      </c>
      <c r="AC104" s="50">
        <f t="shared" si="17"/>
        <v>1</v>
      </c>
      <c r="AD104" s="50">
        <f>AD25+AD41+AD93+AD101</f>
        <v>0</v>
      </c>
      <c r="AE104" s="50">
        <f>AE101+AE93+AE41+AE25</f>
        <v>3</v>
      </c>
      <c r="AF104" s="50">
        <f>AF101+AF93+AF41+AF25</f>
        <v>0</v>
      </c>
      <c r="AG104" s="1032">
        <f>AG101+AG93+AG41+AG25</f>
        <v>-1</v>
      </c>
      <c r="AH104" s="1032">
        <f>AH101+AH93+AH41+AH25</f>
        <v>0</v>
      </c>
      <c r="AI104" s="1032">
        <f>AI101+AI93+AI41+AI25</f>
        <v>2</v>
      </c>
      <c r="AJ104" s="50">
        <f t="shared" si="17"/>
        <v>189.5</v>
      </c>
      <c r="AK104" s="50">
        <f t="shared" si="17"/>
        <v>1</v>
      </c>
      <c r="AL104" s="50">
        <f t="shared" si="17"/>
        <v>1</v>
      </c>
      <c r="AM104" s="780">
        <f t="shared" si="17"/>
        <v>185</v>
      </c>
      <c r="AN104" s="780">
        <f>AN101+AN41+AN25</f>
        <v>0</v>
      </c>
      <c r="AO104" s="780">
        <f>AO101+AO93+AO41+AO25</f>
        <v>1</v>
      </c>
      <c r="AP104" s="780">
        <f>AP23</f>
        <v>0</v>
      </c>
      <c r="AQ104" s="780">
        <f t="shared" ref="AQ104:AR104" si="18">AQ23</f>
        <v>3</v>
      </c>
      <c r="AR104" s="780">
        <f t="shared" si="18"/>
        <v>0</v>
      </c>
      <c r="AS104" s="780">
        <f>AS101+AS93+AS41+AS25</f>
        <v>-1</v>
      </c>
      <c r="AT104" s="780">
        <f t="shared" ref="AT104:AU104" si="19">AT101+AT93+AT41+AT25</f>
        <v>0</v>
      </c>
      <c r="AU104" s="780">
        <f t="shared" si="19"/>
        <v>2</v>
      </c>
      <c r="AV104" s="780">
        <f t="shared" si="17"/>
        <v>190</v>
      </c>
    </row>
    <row r="105" spans="1:266" s="32" customFormat="1" ht="14.45" customHeight="1" x14ac:dyDescent="0.25">
      <c r="A105" s="281"/>
      <c r="B105" s="59"/>
      <c r="C105" s="60"/>
      <c r="D105" s="60"/>
      <c r="E105" s="60"/>
      <c r="F105" s="60"/>
      <c r="G105" s="60"/>
      <c r="H105" s="60"/>
      <c r="I105" s="61"/>
      <c r="J105" s="61"/>
      <c r="K105" s="61"/>
      <c r="L105" s="61"/>
      <c r="M105" s="61"/>
      <c r="N105" s="61"/>
      <c r="O105" s="62"/>
      <c r="P105" s="62"/>
      <c r="Q105" s="62"/>
      <c r="R105" s="62"/>
      <c r="S105" s="60"/>
      <c r="T105" s="60"/>
      <c r="U105" s="60"/>
      <c r="V105" s="60"/>
      <c r="W105" s="60"/>
      <c r="X105" s="61"/>
      <c r="Y105" s="61"/>
      <c r="Z105" s="61"/>
      <c r="AA105" s="61"/>
      <c r="AB105" s="61"/>
      <c r="AC105" s="61"/>
      <c r="AD105" s="57"/>
      <c r="AE105" s="57"/>
      <c r="AF105" s="57"/>
      <c r="AG105" s="57"/>
      <c r="AH105" s="57"/>
      <c r="AI105" s="57"/>
      <c r="AJ105" s="71"/>
      <c r="AK105" s="72"/>
      <c r="AL105" s="72"/>
      <c r="AM105" s="499"/>
      <c r="AN105" s="499"/>
      <c r="AO105" s="499"/>
      <c r="AP105" s="499"/>
      <c r="AQ105" s="499"/>
      <c r="AR105" s="499"/>
      <c r="AS105" s="499"/>
      <c r="AT105" s="499"/>
      <c r="AU105" s="499"/>
      <c r="AV105" s="499"/>
    </row>
    <row r="106" spans="1:266" ht="14.45" customHeight="1" x14ac:dyDescent="0.25">
      <c r="A106" s="281" t="s">
        <v>161</v>
      </c>
      <c r="B106" s="49" t="s">
        <v>647</v>
      </c>
      <c r="C106" s="78">
        <f>C10+C12+C104</f>
        <v>9</v>
      </c>
      <c r="D106" s="78"/>
      <c r="E106" s="500">
        <v>-3</v>
      </c>
      <c r="F106" s="961">
        <f>F10+F12+F104</f>
        <v>1</v>
      </c>
      <c r="G106" s="961">
        <f>G10+G12+G104</f>
        <v>1</v>
      </c>
      <c r="H106" s="961">
        <f>H10+H12+H104</f>
        <v>-1</v>
      </c>
      <c r="I106" s="1033">
        <f>I104+I10+I12</f>
        <v>7</v>
      </c>
      <c r="J106" s="78"/>
      <c r="K106" s="78"/>
      <c r="L106" s="78">
        <f>L10+L12+L104</f>
        <v>38</v>
      </c>
      <c r="M106" s="961">
        <f>M12+M10</f>
        <v>2</v>
      </c>
      <c r="N106" s="961">
        <f>N12+N10</f>
        <v>-2</v>
      </c>
      <c r="O106" s="78">
        <f>O10+O12+O104</f>
        <v>38</v>
      </c>
      <c r="P106" s="78">
        <f>P10+P12+P104</f>
        <v>0</v>
      </c>
      <c r="Q106" s="78">
        <f>Q10+Q12+Q104</f>
        <v>0</v>
      </c>
      <c r="R106" s="500">
        <f>R104</f>
        <v>184.5</v>
      </c>
      <c r="S106" s="500">
        <f>S104</f>
        <v>0</v>
      </c>
      <c r="T106" s="78">
        <f>T10+T12+T104</f>
        <v>1</v>
      </c>
      <c r="U106" s="961">
        <f>U104+U12+U10</f>
        <v>3</v>
      </c>
      <c r="V106" s="961">
        <f>V104+V10+V12</f>
        <v>-1</v>
      </c>
      <c r="W106" s="961">
        <f>W104+W10+W12</f>
        <v>2</v>
      </c>
      <c r="X106" s="500">
        <f>X10+X12+X104</f>
        <v>189.5</v>
      </c>
      <c r="Y106" s="500">
        <f>Y10+Y12+Y104</f>
        <v>1</v>
      </c>
      <c r="Z106" s="500">
        <f>Z10+Z12+Z104</f>
        <v>1</v>
      </c>
      <c r="AA106" s="53">
        <f>C106+L106+R106</f>
        <v>231.5</v>
      </c>
      <c r="AB106" s="962">
        <f>AB104+AB12</f>
        <v>0</v>
      </c>
      <c r="AC106" s="78">
        <f>AC104+AC12+AC10</f>
        <v>1</v>
      </c>
      <c r="AD106" s="961">
        <f>AD104+AD12+AD10</f>
        <v>2</v>
      </c>
      <c r="AE106" s="962">
        <f>AE104+AE12+AE10</f>
        <v>0</v>
      </c>
      <c r="AF106" s="962">
        <f>AF12+AF10+AF104</f>
        <v>1</v>
      </c>
      <c r="AG106" s="962">
        <f>AG104+AG10+AG12</f>
        <v>0</v>
      </c>
      <c r="AH106" s="962">
        <f>AH10+AH12+AH104</f>
        <v>-3</v>
      </c>
      <c r="AI106" s="962">
        <f>AI10+AI12+AI104</f>
        <v>2</v>
      </c>
      <c r="AJ106" s="279">
        <f>AJ104+AJ12+AJ10</f>
        <v>234.5</v>
      </c>
      <c r="AK106" s="534">
        <f>AK10+AK12+AK104</f>
        <v>1</v>
      </c>
      <c r="AL106" s="534">
        <f>AL10+AL12+AL104</f>
        <v>1</v>
      </c>
      <c r="AM106" s="53">
        <f>AM10+AM12+AM104</f>
        <v>232</v>
      </c>
      <c r="AN106" s="53">
        <f>AN104+AN12+AN10</f>
        <v>0</v>
      </c>
      <c r="AO106" s="53">
        <f>AO10+AO12+AO104</f>
        <v>1</v>
      </c>
      <c r="AP106" s="1034">
        <f>AP104+AP12+AP10</f>
        <v>2</v>
      </c>
      <c r="AQ106" s="1034">
        <f>AQ12+AQ10+AQ104</f>
        <v>0</v>
      </c>
      <c r="AR106" s="1034">
        <f>AR104+AR12+AR10</f>
        <v>1</v>
      </c>
      <c r="AS106" s="1034">
        <f t="shared" ref="AS106:AU106" si="20">AS104+AS12+AS10</f>
        <v>0</v>
      </c>
      <c r="AT106" s="1034">
        <f t="shared" si="20"/>
        <v>-3</v>
      </c>
      <c r="AU106" s="1034">
        <f t="shared" si="20"/>
        <v>2</v>
      </c>
      <c r="AV106" s="566">
        <f>AV104+AV12+AV10</f>
        <v>235</v>
      </c>
      <c r="AW106" s="616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  <c r="IX106" s="32"/>
      <c r="IY106" s="32"/>
      <c r="IZ106" s="32"/>
      <c r="JA106" s="32"/>
      <c r="JB106" s="32"/>
      <c r="JC106" s="32"/>
      <c r="JD106" s="32"/>
      <c r="JE106" s="32"/>
      <c r="JF106" s="32"/>
    </row>
    <row r="107" spans="1:266" ht="15.75" customHeight="1" x14ac:dyDescent="0.25">
      <c r="B107" s="79"/>
      <c r="C107" s="73"/>
      <c r="D107" s="73"/>
      <c r="E107" s="73"/>
      <c r="F107" s="73"/>
      <c r="G107" s="73"/>
      <c r="H107" s="73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35"/>
      <c r="AB107" s="535"/>
      <c r="AC107" s="669"/>
      <c r="AD107" s="669"/>
      <c r="AE107" s="669"/>
      <c r="AF107" s="669"/>
      <c r="AG107" s="669"/>
      <c r="AH107" s="669"/>
      <c r="AI107" s="669"/>
      <c r="AJ107" s="535"/>
      <c r="AK107" s="669"/>
      <c r="AL107" s="669"/>
      <c r="AM107" s="669"/>
      <c r="AN107" s="669"/>
      <c r="AO107" s="669"/>
      <c r="AP107" s="669"/>
      <c r="AQ107" s="669"/>
      <c r="AR107" s="669"/>
      <c r="AS107" s="669"/>
      <c r="AT107" s="669"/>
      <c r="AU107" s="669"/>
      <c r="AV107" s="669"/>
    </row>
    <row r="108" spans="1:266" ht="15.75" customHeight="1" x14ac:dyDescent="0.25">
      <c r="B108" s="1274"/>
      <c r="C108" s="1274"/>
      <c r="D108" s="1274"/>
      <c r="E108" s="1274"/>
      <c r="F108" s="1274"/>
      <c r="G108" s="1274"/>
      <c r="H108" s="1274"/>
      <c r="I108" s="1274"/>
      <c r="J108" s="1274"/>
      <c r="K108" s="1274"/>
      <c r="L108" s="1274"/>
      <c r="M108" s="1274"/>
      <c r="N108" s="1274"/>
      <c r="O108" s="1274"/>
      <c r="P108" s="1274"/>
      <c r="Q108" s="1274"/>
      <c r="R108" s="1274"/>
      <c r="S108" s="1274"/>
      <c r="T108" s="1062"/>
      <c r="U108" s="1062"/>
      <c r="V108" s="1062"/>
      <c r="W108" s="1062"/>
      <c r="X108" s="535"/>
      <c r="Y108" s="57"/>
      <c r="Z108" s="57"/>
      <c r="AA108" s="535"/>
      <c r="AB108" s="535"/>
      <c r="AC108" s="669"/>
      <c r="AD108" s="669"/>
      <c r="AE108" s="669"/>
      <c r="AF108" s="669"/>
      <c r="AG108" s="669"/>
      <c r="AH108" s="669"/>
      <c r="AI108" s="669"/>
      <c r="AJ108" s="535"/>
      <c r="AK108" s="669"/>
      <c r="AL108" s="669"/>
      <c r="AM108" s="669"/>
      <c r="AN108" s="669"/>
      <c r="AO108" s="669"/>
      <c r="AP108" s="669"/>
      <c r="AQ108" s="669"/>
      <c r="AR108" s="669"/>
      <c r="AS108" s="669"/>
      <c r="AT108" s="669"/>
      <c r="AU108" s="669"/>
      <c r="AV108" s="669"/>
      <c r="AW108" s="536"/>
    </row>
    <row r="109" spans="1:266" ht="13.9" customHeight="1" x14ac:dyDescent="0.25">
      <c r="A109" s="16"/>
      <c r="B109" s="1275"/>
      <c r="C109" s="1275"/>
      <c r="D109" s="1275"/>
      <c r="E109" s="1275"/>
      <c r="F109" s="1275"/>
      <c r="G109" s="1275"/>
      <c r="H109" s="1275"/>
      <c r="I109" s="1275"/>
      <c r="J109" s="1275"/>
      <c r="K109" s="1275"/>
      <c r="L109" s="1275"/>
      <c r="M109" s="1275"/>
      <c r="N109" s="1275"/>
      <c r="O109" s="1275"/>
      <c r="P109" s="1275"/>
      <c r="Q109" s="1275"/>
      <c r="R109" s="1275"/>
      <c r="S109" s="1275"/>
      <c r="T109" s="1275"/>
      <c r="U109" s="1275"/>
      <c r="V109" s="1275"/>
      <c r="W109" s="1275"/>
      <c r="X109" s="1275"/>
      <c r="Y109" s="1275"/>
      <c r="Z109" s="1275"/>
      <c r="AA109" s="1275"/>
      <c r="AB109" s="1275"/>
      <c r="AC109" s="1275"/>
      <c r="AD109" s="1275"/>
      <c r="AE109" s="1275"/>
      <c r="AF109" s="1275"/>
      <c r="AG109" s="1275"/>
      <c r="AH109" s="1275"/>
      <c r="AI109" s="1275"/>
      <c r="AJ109" s="1275"/>
      <c r="AK109" s="1275"/>
      <c r="AL109" s="1275"/>
      <c r="AM109" s="1275"/>
      <c r="AN109" s="1275"/>
      <c r="AO109" s="1275"/>
      <c r="AP109" s="1275"/>
      <c r="AQ109" s="1275"/>
      <c r="AR109" s="1275"/>
      <c r="AS109" s="1275"/>
      <c r="AT109" s="1275"/>
      <c r="AU109" s="1275"/>
      <c r="AV109" s="1275"/>
      <c r="AW109" s="536"/>
    </row>
    <row r="110" spans="1:266" ht="13.9" customHeight="1" x14ac:dyDescent="0.25">
      <c r="B110" s="24" t="s">
        <v>301</v>
      </c>
    </row>
  </sheetData>
  <sheetProtection selectLockedCells="1" selectUnlockedCells="1"/>
  <mergeCells count="29">
    <mergeCell ref="A1:AV1"/>
    <mergeCell ref="A2:AV2"/>
    <mergeCell ref="A3:AV3"/>
    <mergeCell ref="A5:A8"/>
    <mergeCell ref="C5:I5"/>
    <mergeCell ref="J5:K5"/>
    <mergeCell ref="L5:O5"/>
    <mergeCell ref="P5:Q5"/>
    <mergeCell ref="R5:X5"/>
    <mergeCell ref="Y5:Z5"/>
    <mergeCell ref="AA5:AJ5"/>
    <mergeCell ref="AK5:AL5"/>
    <mergeCell ref="AM5:AV5"/>
    <mergeCell ref="B6:B8"/>
    <mergeCell ref="C6:K6"/>
    <mergeCell ref="L6:Q6"/>
    <mergeCell ref="R6:Z6"/>
    <mergeCell ref="AA6:AL6"/>
    <mergeCell ref="AM6:AV7"/>
    <mergeCell ref="C7:I7"/>
    <mergeCell ref="AK7:AL7"/>
    <mergeCell ref="B108:S108"/>
    <mergeCell ref="B109:AV109"/>
    <mergeCell ref="J7:K7"/>
    <mergeCell ref="L7:O7"/>
    <mergeCell ref="P7:Q7"/>
    <mergeCell ref="R7:X7"/>
    <mergeCell ref="Y7:Z7"/>
    <mergeCell ref="AA7:AJ7"/>
  </mergeCells>
  <pageMargins left="0.39370078740157483" right="0.19685039370078741" top="0.19685039370078741" bottom="0.19685039370078741" header="0.51181102362204722" footer="0.51181102362204722"/>
  <pageSetup paperSize="8" scale="40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279" t="s">
        <v>1013</v>
      </c>
      <c r="B1" s="1279"/>
      <c r="C1" s="1279"/>
      <c r="D1" s="1279"/>
      <c r="E1" s="1279"/>
      <c r="F1" s="1279"/>
      <c r="G1" s="1279"/>
      <c r="H1" s="1279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2"/>
      <c r="AD1" s="722"/>
      <c r="AE1" s="722"/>
      <c r="AF1" s="722"/>
      <c r="AG1" s="722"/>
      <c r="AH1" s="722"/>
      <c r="AI1" s="722"/>
    </row>
    <row r="2" spans="1:35" x14ac:dyDescent="0.2">
      <c r="C2" t="s">
        <v>357</v>
      </c>
    </row>
    <row r="3" spans="1:35" ht="14.25" x14ac:dyDescent="0.2">
      <c r="A3" s="1286" t="s">
        <v>346</v>
      </c>
      <c r="B3" s="1286"/>
      <c r="C3" s="1286"/>
      <c r="D3" s="1286"/>
      <c r="E3" s="1286"/>
      <c r="F3" s="1286"/>
      <c r="G3" s="1286"/>
      <c r="H3" s="1286"/>
    </row>
    <row r="4" spans="1:35" ht="14.25" x14ac:dyDescent="0.2">
      <c r="A4" s="1286" t="s">
        <v>347</v>
      </c>
      <c r="B4" s="1286"/>
      <c r="C4" s="1286"/>
      <c r="D4" s="1286"/>
      <c r="E4" s="1286"/>
      <c r="F4" s="1286"/>
      <c r="G4" s="1286"/>
      <c r="H4" s="1286"/>
    </row>
    <row r="5" spans="1:35" ht="14.25" x14ac:dyDescent="0.2">
      <c r="A5" s="1287" t="s">
        <v>55</v>
      </c>
      <c r="B5" s="1287"/>
      <c r="C5" s="1287"/>
      <c r="D5" s="1287"/>
      <c r="E5" s="1287"/>
      <c r="F5" s="1287"/>
      <c r="G5" s="1287"/>
      <c r="H5" s="1287"/>
    </row>
    <row r="6" spans="1:35" ht="15" x14ac:dyDescent="0.25">
      <c r="A6" s="409"/>
      <c r="B6" s="684"/>
      <c r="C6" s="684"/>
      <c r="D6" s="684"/>
      <c r="E6" s="684"/>
    </row>
    <row r="7" spans="1:35" ht="14.25" customHeight="1" x14ac:dyDescent="0.2">
      <c r="A7" s="1288"/>
      <c r="B7" s="685" t="s">
        <v>57</v>
      </c>
      <c r="C7" s="685" t="s">
        <v>58</v>
      </c>
      <c r="D7" s="685" t="s">
        <v>59</v>
      </c>
      <c r="E7" s="685" t="s">
        <v>60</v>
      </c>
      <c r="F7" s="686" t="s">
        <v>507</v>
      </c>
      <c r="G7" s="686" t="s">
        <v>508</v>
      </c>
      <c r="H7" s="686" t="s">
        <v>509</v>
      </c>
    </row>
    <row r="8" spans="1:35" ht="14.25" customHeight="1" x14ac:dyDescent="0.2">
      <c r="A8" s="1288"/>
      <c r="B8" s="1289" t="s">
        <v>855</v>
      </c>
      <c r="C8" s="1290" t="s">
        <v>349</v>
      </c>
      <c r="D8" s="1291" t="s">
        <v>350</v>
      </c>
      <c r="E8" s="1292"/>
      <c r="F8" s="1293"/>
    </row>
    <row r="9" spans="1:35" ht="15.75" x14ac:dyDescent="0.25">
      <c r="A9" s="1288"/>
      <c r="B9" s="1289"/>
      <c r="C9" s="1290"/>
      <c r="D9" s="1291"/>
      <c r="E9" s="412">
        <v>2015</v>
      </c>
      <c r="F9" s="687">
        <v>2017</v>
      </c>
      <c r="G9" s="709">
        <v>2017</v>
      </c>
      <c r="H9" s="709">
        <v>2018</v>
      </c>
    </row>
    <row r="10" spans="1:35" ht="15" x14ac:dyDescent="0.25">
      <c r="A10" s="688"/>
      <c r="B10" s="689" t="s">
        <v>356</v>
      </c>
      <c r="C10" s="690"/>
      <c r="D10" s="710"/>
      <c r="E10" s="690"/>
    </row>
    <row r="11" spans="1:35" ht="15" x14ac:dyDescent="0.25">
      <c r="A11" s="691">
        <v>1</v>
      </c>
      <c r="B11" s="692" t="s">
        <v>856</v>
      </c>
      <c r="C11" s="693" t="s">
        <v>857</v>
      </c>
      <c r="D11" s="711" t="s">
        <v>362</v>
      </c>
      <c r="E11" s="694">
        <v>41</v>
      </c>
      <c r="F11" s="694">
        <v>50</v>
      </c>
      <c r="G11" s="694">
        <v>50</v>
      </c>
      <c r="H11" s="694">
        <v>50</v>
      </c>
    </row>
    <row r="12" spans="1:35" ht="15" x14ac:dyDescent="0.25">
      <c r="A12" s="691">
        <v>2</v>
      </c>
      <c r="B12" s="692" t="s">
        <v>858</v>
      </c>
      <c r="C12" s="693" t="s">
        <v>859</v>
      </c>
      <c r="D12" s="711" t="s">
        <v>362</v>
      </c>
      <c r="E12" s="694">
        <v>125</v>
      </c>
      <c r="F12" s="694">
        <v>147</v>
      </c>
      <c r="G12" s="694">
        <v>147</v>
      </c>
      <c r="H12" s="694">
        <v>147</v>
      </c>
    </row>
    <row r="13" spans="1:35" ht="25.5" customHeight="1" x14ac:dyDescent="0.25">
      <c r="A13" s="691">
        <v>3</v>
      </c>
      <c r="B13" s="695" t="s">
        <v>860</v>
      </c>
      <c r="C13" s="696" t="s">
        <v>786</v>
      </c>
      <c r="D13" s="712" t="s">
        <v>362</v>
      </c>
      <c r="E13" s="697"/>
      <c r="F13" s="697">
        <v>240</v>
      </c>
      <c r="G13" s="697">
        <v>240</v>
      </c>
      <c r="H13" s="697">
        <v>240</v>
      </c>
    </row>
    <row r="14" spans="1:35" ht="15" x14ac:dyDescent="0.25">
      <c r="A14" s="691">
        <v>4</v>
      </c>
      <c r="B14" s="692" t="s">
        <v>405</v>
      </c>
      <c r="C14" s="693" t="s">
        <v>861</v>
      </c>
      <c r="D14" s="711" t="s">
        <v>362</v>
      </c>
      <c r="E14" s="694">
        <v>330</v>
      </c>
      <c r="F14" s="694">
        <v>335</v>
      </c>
      <c r="G14" s="694">
        <v>335</v>
      </c>
      <c r="H14" s="694">
        <v>335</v>
      </c>
    </row>
    <row r="15" spans="1:35" ht="15" x14ac:dyDescent="0.25">
      <c r="A15" s="691">
        <v>5</v>
      </c>
      <c r="B15" s="692" t="s">
        <v>407</v>
      </c>
      <c r="C15" s="693" t="s">
        <v>862</v>
      </c>
      <c r="D15" s="711" t="s">
        <v>362</v>
      </c>
      <c r="E15" s="694">
        <v>930</v>
      </c>
      <c r="F15" s="694">
        <v>960</v>
      </c>
      <c r="G15" s="694">
        <v>960</v>
      </c>
      <c r="H15" s="694">
        <v>960</v>
      </c>
    </row>
    <row r="16" spans="1:35" ht="15" x14ac:dyDescent="0.25">
      <c r="A16" s="691">
        <v>6</v>
      </c>
      <c r="B16" s="692" t="s">
        <v>863</v>
      </c>
      <c r="C16" s="693" t="s">
        <v>864</v>
      </c>
      <c r="D16" s="711" t="s">
        <v>362</v>
      </c>
      <c r="E16" s="694"/>
      <c r="F16" s="694">
        <v>700</v>
      </c>
      <c r="G16" s="694">
        <v>700</v>
      </c>
      <c r="H16" s="694">
        <v>700</v>
      </c>
    </row>
    <row r="17" spans="1:8" ht="15" x14ac:dyDescent="0.25">
      <c r="A17" s="691">
        <v>7</v>
      </c>
      <c r="B17" s="693" t="s">
        <v>425</v>
      </c>
      <c r="C17" s="693" t="s">
        <v>865</v>
      </c>
      <c r="D17" s="713" t="s">
        <v>362</v>
      </c>
      <c r="E17" s="694">
        <v>225</v>
      </c>
      <c r="F17" s="694">
        <v>271</v>
      </c>
      <c r="G17" s="694">
        <v>271</v>
      </c>
      <c r="H17" s="694">
        <v>271</v>
      </c>
    </row>
    <row r="18" spans="1:8" ht="24.75" customHeight="1" x14ac:dyDescent="0.25">
      <c r="A18" s="691">
        <v>8</v>
      </c>
      <c r="B18" s="698" t="s">
        <v>866</v>
      </c>
      <c r="C18" s="699" t="s">
        <v>867</v>
      </c>
      <c r="D18" s="714" t="s">
        <v>362</v>
      </c>
      <c r="E18" s="700">
        <v>233</v>
      </c>
      <c r="F18" s="700">
        <v>236</v>
      </c>
      <c r="G18" s="700">
        <v>236</v>
      </c>
      <c r="H18" s="700">
        <v>236</v>
      </c>
    </row>
    <row r="19" spans="1:8" ht="20.25" customHeight="1" x14ac:dyDescent="0.25">
      <c r="A19" s="691">
        <v>9</v>
      </c>
      <c r="B19" s="698" t="s">
        <v>431</v>
      </c>
      <c r="C19" s="699" t="s">
        <v>868</v>
      </c>
      <c r="D19" s="714" t="s">
        <v>362</v>
      </c>
      <c r="E19" s="700">
        <v>250</v>
      </c>
      <c r="F19" s="700">
        <v>200</v>
      </c>
      <c r="G19" s="700">
        <v>200</v>
      </c>
      <c r="H19" s="700">
        <v>200</v>
      </c>
    </row>
    <row r="20" spans="1:8" ht="27.75" customHeight="1" x14ac:dyDescent="0.25">
      <c r="A20" s="691">
        <v>10</v>
      </c>
      <c r="B20" s="698" t="s">
        <v>442</v>
      </c>
      <c r="C20" s="699" t="s">
        <v>869</v>
      </c>
      <c r="D20" s="714" t="s">
        <v>362</v>
      </c>
      <c r="E20" s="700">
        <v>1800</v>
      </c>
      <c r="F20" s="700">
        <v>1800</v>
      </c>
      <c r="G20" s="700">
        <v>1800</v>
      </c>
      <c r="H20" s="700">
        <v>1800</v>
      </c>
    </row>
    <row r="21" spans="1:8" ht="28.5" customHeight="1" x14ac:dyDescent="0.25">
      <c r="A21" s="691">
        <v>11</v>
      </c>
      <c r="B21" s="698" t="s">
        <v>444</v>
      </c>
      <c r="C21" s="699" t="s">
        <v>870</v>
      </c>
      <c r="D21" s="714" t="s">
        <v>362</v>
      </c>
      <c r="E21" s="700">
        <v>2000</v>
      </c>
      <c r="F21" s="700">
        <v>2000</v>
      </c>
      <c r="G21" s="700">
        <v>2000</v>
      </c>
      <c r="H21" s="700">
        <v>2000</v>
      </c>
    </row>
    <row r="22" spans="1:8" ht="48" customHeight="1" x14ac:dyDescent="0.2">
      <c r="A22" s="715">
        <v>12</v>
      </c>
      <c r="B22" s="701" t="s">
        <v>871</v>
      </c>
      <c r="C22" s="716" t="s">
        <v>872</v>
      </c>
      <c r="D22" s="717" t="s">
        <v>362</v>
      </c>
      <c r="E22" s="718"/>
      <c r="F22" s="718">
        <v>97</v>
      </c>
      <c r="G22" s="718">
        <v>97</v>
      </c>
      <c r="H22" s="718">
        <v>97</v>
      </c>
    </row>
    <row r="23" spans="1:8" ht="30" customHeight="1" x14ac:dyDescent="0.25">
      <c r="A23" s="691">
        <v>13</v>
      </c>
      <c r="B23" s="698" t="s">
        <v>873</v>
      </c>
      <c r="C23" s="699" t="s">
        <v>874</v>
      </c>
      <c r="D23" s="714">
        <v>43465</v>
      </c>
      <c r="E23" s="700"/>
      <c r="F23" s="700">
        <v>991</v>
      </c>
      <c r="G23" s="700">
        <v>991</v>
      </c>
      <c r="H23" s="700">
        <v>991</v>
      </c>
    </row>
    <row r="24" spans="1:8" ht="33" customHeight="1" x14ac:dyDescent="0.25">
      <c r="A24" s="691">
        <v>14</v>
      </c>
      <c r="B24" s="698" t="s">
        <v>875</v>
      </c>
      <c r="C24" s="699" t="s">
        <v>876</v>
      </c>
      <c r="D24" s="714" t="s">
        <v>362</v>
      </c>
      <c r="E24" s="700"/>
      <c r="F24" s="700">
        <v>515</v>
      </c>
      <c r="G24" s="700">
        <v>515</v>
      </c>
      <c r="H24" s="700">
        <v>515</v>
      </c>
    </row>
    <row r="25" spans="1:8" ht="15" x14ac:dyDescent="0.25">
      <c r="A25" s="691">
        <v>17</v>
      </c>
      <c r="B25" s="703" t="s">
        <v>877</v>
      </c>
      <c r="C25" s="703" t="s">
        <v>878</v>
      </c>
      <c r="D25" s="719">
        <v>43009</v>
      </c>
      <c r="E25" s="704"/>
      <c r="F25" s="705">
        <v>3500</v>
      </c>
      <c r="G25" s="705">
        <v>3500</v>
      </c>
      <c r="H25" s="705">
        <v>3500</v>
      </c>
    </row>
    <row r="26" spans="1:8" ht="15" x14ac:dyDescent="0.25">
      <c r="A26" s="691">
        <v>22</v>
      </c>
      <c r="B26" s="703" t="s">
        <v>879</v>
      </c>
      <c r="C26" s="703" t="s">
        <v>880</v>
      </c>
      <c r="D26" s="719" t="s">
        <v>362</v>
      </c>
      <c r="E26" s="706"/>
      <c r="F26" s="705">
        <v>248</v>
      </c>
      <c r="G26" s="705">
        <v>248</v>
      </c>
      <c r="H26" s="705">
        <v>248</v>
      </c>
    </row>
    <row r="27" spans="1:8" ht="15.75" x14ac:dyDescent="0.25">
      <c r="A27" s="691">
        <v>23</v>
      </c>
      <c r="B27" s="703" t="s">
        <v>881</v>
      </c>
      <c r="C27" s="703" t="s">
        <v>882</v>
      </c>
      <c r="D27" s="708" t="s">
        <v>362</v>
      </c>
      <c r="E27" s="707"/>
      <c r="F27" s="705">
        <v>168</v>
      </c>
      <c r="G27" s="705">
        <v>168</v>
      </c>
      <c r="H27" s="705">
        <v>168</v>
      </c>
    </row>
    <row r="28" spans="1:8" ht="15.75" x14ac:dyDescent="0.25">
      <c r="A28" s="720">
        <v>24</v>
      </c>
      <c r="B28" s="703" t="s">
        <v>883</v>
      </c>
      <c r="C28" s="703" t="s">
        <v>884</v>
      </c>
      <c r="D28" s="708" t="s">
        <v>362</v>
      </c>
      <c r="E28" s="707"/>
      <c r="F28" s="705">
        <v>76</v>
      </c>
      <c r="G28" s="705">
        <v>76</v>
      </c>
      <c r="H28" s="705">
        <v>76</v>
      </c>
    </row>
    <row r="29" spans="1:8" ht="15.75" x14ac:dyDescent="0.25">
      <c r="A29" s="691">
        <v>25</v>
      </c>
      <c r="B29" s="707"/>
      <c r="C29" s="703" t="s">
        <v>885</v>
      </c>
      <c r="D29" s="708" t="s">
        <v>362</v>
      </c>
      <c r="E29" s="707"/>
      <c r="F29" s="702">
        <v>127</v>
      </c>
      <c r="G29" s="702">
        <v>127</v>
      </c>
      <c r="H29" s="702">
        <v>127</v>
      </c>
    </row>
    <row r="30" spans="1:8" ht="15" x14ac:dyDescent="0.25">
      <c r="A30" s="691">
        <v>26</v>
      </c>
      <c r="B30" s="703" t="s">
        <v>886</v>
      </c>
      <c r="C30" s="703" t="s">
        <v>887</v>
      </c>
      <c r="D30" s="719">
        <v>42855</v>
      </c>
      <c r="E30" s="706"/>
      <c r="F30" s="705">
        <v>1531</v>
      </c>
      <c r="G30" s="705">
        <v>1531</v>
      </c>
      <c r="H30" s="705">
        <v>1531</v>
      </c>
    </row>
    <row r="31" spans="1:8" ht="15" x14ac:dyDescent="0.25">
      <c r="A31" s="691">
        <v>27</v>
      </c>
      <c r="B31" s="703" t="s">
        <v>839</v>
      </c>
      <c r="C31" s="703" t="s">
        <v>888</v>
      </c>
      <c r="D31" s="719">
        <v>42855</v>
      </c>
      <c r="E31" s="706"/>
      <c r="F31" s="705">
        <v>3446</v>
      </c>
      <c r="G31" s="705">
        <v>3446</v>
      </c>
      <c r="H31" s="705">
        <v>3446</v>
      </c>
    </row>
    <row r="32" spans="1:8" ht="15" x14ac:dyDescent="0.25">
      <c r="A32" s="691">
        <v>28</v>
      </c>
      <c r="B32" s="703" t="s">
        <v>837</v>
      </c>
      <c r="C32" s="703" t="s">
        <v>889</v>
      </c>
      <c r="D32" s="719">
        <v>42825</v>
      </c>
      <c r="E32" s="706"/>
      <c r="F32" s="705">
        <v>1727</v>
      </c>
      <c r="G32" s="705">
        <v>1727</v>
      </c>
      <c r="H32" s="705">
        <v>1727</v>
      </c>
    </row>
    <row r="33" spans="1:8" ht="15" x14ac:dyDescent="0.25">
      <c r="A33" s="691">
        <v>29</v>
      </c>
      <c r="B33" s="703" t="s">
        <v>890</v>
      </c>
      <c r="C33" s="703" t="s">
        <v>891</v>
      </c>
      <c r="D33" s="719">
        <v>42916</v>
      </c>
      <c r="E33" s="704"/>
      <c r="F33" s="705">
        <v>1270</v>
      </c>
      <c r="G33" s="705">
        <v>1270</v>
      </c>
      <c r="H33" s="705">
        <v>1270</v>
      </c>
    </row>
    <row r="34" spans="1:8" ht="15" x14ac:dyDescent="0.25">
      <c r="A34" s="691">
        <v>30</v>
      </c>
      <c r="B34" s="703"/>
      <c r="C34" s="703" t="s">
        <v>892</v>
      </c>
      <c r="D34" s="719" t="s">
        <v>362</v>
      </c>
      <c r="E34" s="704"/>
      <c r="F34" s="705">
        <v>355</v>
      </c>
      <c r="G34" s="705">
        <v>355</v>
      </c>
      <c r="H34" s="705">
        <v>355</v>
      </c>
    </row>
    <row r="35" spans="1:8" ht="15" x14ac:dyDescent="0.25">
      <c r="A35" s="691">
        <v>31</v>
      </c>
      <c r="B35" s="703"/>
      <c r="C35" s="703" t="s">
        <v>893</v>
      </c>
      <c r="D35" s="719" t="s">
        <v>362</v>
      </c>
      <c r="E35" s="704"/>
      <c r="F35" s="705">
        <v>321</v>
      </c>
      <c r="G35" s="705">
        <v>321</v>
      </c>
      <c r="H35" s="705">
        <v>321</v>
      </c>
    </row>
    <row r="36" spans="1:8" ht="15" x14ac:dyDescent="0.25">
      <c r="A36" s="691">
        <v>32</v>
      </c>
      <c r="B36" s="703"/>
      <c r="C36" s="703" t="s">
        <v>894</v>
      </c>
      <c r="D36" s="719" t="s">
        <v>362</v>
      </c>
      <c r="E36" s="704"/>
      <c r="F36" s="705">
        <v>458</v>
      </c>
      <c r="G36" s="705">
        <v>458</v>
      </c>
      <c r="H36" s="705">
        <v>458</v>
      </c>
    </row>
    <row r="37" spans="1:8" ht="15" x14ac:dyDescent="0.25">
      <c r="A37" s="691">
        <v>33</v>
      </c>
      <c r="B37" s="703" t="s">
        <v>970</v>
      </c>
      <c r="C37" s="703" t="s">
        <v>971</v>
      </c>
      <c r="D37" s="719" t="s">
        <v>362</v>
      </c>
      <c r="E37" s="704"/>
      <c r="F37" s="705">
        <v>131</v>
      </c>
      <c r="G37" s="705">
        <v>131</v>
      </c>
      <c r="H37" s="705">
        <v>131</v>
      </c>
    </row>
    <row r="38" spans="1:8" ht="30" x14ac:dyDescent="0.25">
      <c r="A38" s="691">
        <v>34</v>
      </c>
      <c r="B38" s="703" t="s">
        <v>972</v>
      </c>
      <c r="C38" s="771" t="s">
        <v>973</v>
      </c>
      <c r="D38" s="719" t="s">
        <v>362</v>
      </c>
      <c r="E38" s="704"/>
      <c r="F38" s="705">
        <v>686</v>
      </c>
      <c r="G38" s="705">
        <v>686</v>
      </c>
      <c r="H38" s="705">
        <v>686</v>
      </c>
    </row>
    <row r="39" spans="1:8" ht="15" x14ac:dyDescent="0.25">
      <c r="A39" s="691"/>
      <c r="B39" s="703"/>
      <c r="C39" s="771" t="s">
        <v>974</v>
      </c>
      <c r="D39" s="719" t="s">
        <v>362</v>
      </c>
      <c r="E39" s="704"/>
      <c r="F39" s="705">
        <v>550</v>
      </c>
      <c r="G39" s="705">
        <v>550</v>
      </c>
      <c r="H39" s="705">
        <v>550</v>
      </c>
    </row>
    <row r="40" spans="1:8" ht="15" x14ac:dyDescent="0.25">
      <c r="A40" s="691"/>
      <c r="B40" s="703"/>
      <c r="C40" s="771" t="s">
        <v>969</v>
      </c>
      <c r="D40" s="719" t="s">
        <v>362</v>
      </c>
      <c r="E40" s="704"/>
      <c r="F40" s="705">
        <v>4000</v>
      </c>
      <c r="G40" s="705">
        <v>4000</v>
      </c>
      <c r="H40" s="705">
        <v>4000</v>
      </c>
    </row>
    <row r="41" spans="1:8" ht="15.75" x14ac:dyDescent="0.25">
      <c r="E41" s="721">
        <v>5934</v>
      </c>
      <c r="F41" s="721">
        <f>SUM(F11:F40)</f>
        <v>27136</v>
      </c>
      <c r="G41" s="721">
        <f>SUM(G11:G40)</f>
        <v>27136</v>
      </c>
      <c r="H41" s="721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H77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294" t="s">
        <v>1143</v>
      </c>
      <c r="B1" s="1294"/>
      <c r="C1" s="1294"/>
      <c r="D1" s="1294"/>
      <c r="E1" s="1294"/>
      <c r="F1" s="1294"/>
      <c r="G1" s="1294"/>
      <c r="H1" s="1294"/>
    </row>
    <row r="2" spans="1:8" x14ac:dyDescent="0.2">
      <c r="A2" s="844"/>
      <c r="B2" s="844"/>
      <c r="C2" s="844"/>
      <c r="D2" s="845"/>
      <c r="E2" s="844"/>
      <c r="F2" s="844"/>
      <c r="G2" s="844"/>
      <c r="H2" s="844"/>
    </row>
    <row r="3" spans="1:8" x14ac:dyDescent="0.2">
      <c r="A3" s="1298" t="s">
        <v>78</v>
      </c>
      <c r="B3" s="1298"/>
      <c r="C3" s="1298"/>
      <c r="D3" s="1298"/>
      <c r="E3" s="1298"/>
      <c r="F3" s="1298"/>
      <c r="G3" s="1298"/>
      <c r="H3" s="1298"/>
    </row>
    <row r="4" spans="1:8" ht="14.25" x14ac:dyDescent="0.2">
      <c r="A4" s="1286" t="s">
        <v>346</v>
      </c>
      <c r="B4" s="1286"/>
      <c r="C4" s="1286"/>
      <c r="D4" s="1286"/>
      <c r="E4" s="1286"/>
      <c r="F4" s="1286"/>
      <c r="G4" s="1286"/>
      <c r="H4" s="1286"/>
    </row>
    <row r="5" spans="1:8" ht="14.25" x14ac:dyDescent="0.2">
      <c r="A5" s="1286" t="s">
        <v>347</v>
      </c>
      <c r="B5" s="1286"/>
      <c r="C5" s="1286"/>
      <c r="D5" s="1286"/>
      <c r="E5" s="1286"/>
      <c r="F5" s="1286"/>
      <c r="G5" s="1286"/>
      <c r="H5" s="1286"/>
    </row>
    <row r="6" spans="1:8" ht="14.25" x14ac:dyDescent="0.2">
      <c r="A6" s="1287" t="s">
        <v>55</v>
      </c>
      <c r="B6" s="1287"/>
      <c r="C6" s="1287"/>
      <c r="D6" s="1287"/>
      <c r="E6" s="1287"/>
      <c r="F6" s="1287"/>
      <c r="G6" s="1287"/>
      <c r="H6" s="1287"/>
    </row>
    <row r="7" spans="1:8" ht="15" x14ac:dyDescent="0.25">
      <c r="A7" s="827"/>
      <c r="B7" s="828"/>
      <c r="C7" s="828"/>
      <c r="D7" s="828"/>
      <c r="E7" s="828"/>
      <c r="F7" s="844"/>
      <c r="G7" s="844"/>
      <c r="H7" s="844"/>
    </row>
    <row r="8" spans="1:8" ht="14.25" customHeight="1" x14ac:dyDescent="0.2">
      <c r="A8" s="1295"/>
      <c r="B8" s="829" t="s">
        <v>57</v>
      </c>
      <c r="C8" s="829" t="s">
        <v>58</v>
      </c>
      <c r="D8" s="829" t="s">
        <v>59</v>
      </c>
      <c r="E8" s="829" t="s">
        <v>60</v>
      </c>
      <c r="F8" s="846" t="s">
        <v>507</v>
      </c>
      <c r="G8" s="846" t="s">
        <v>508</v>
      </c>
      <c r="H8" s="846" t="s">
        <v>509</v>
      </c>
    </row>
    <row r="9" spans="1:8" ht="14.25" customHeight="1" x14ac:dyDescent="0.2">
      <c r="A9" s="1295"/>
      <c r="B9" s="1296" t="s">
        <v>348</v>
      </c>
      <c r="C9" s="1297" t="s">
        <v>349</v>
      </c>
      <c r="D9" s="1297" t="s">
        <v>350</v>
      </c>
      <c r="E9" s="847"/>
      <c r="F9" s="848"/>
      <c r="G9" s="849"/>
      <c r="H9" s="849"/>
    </row>
    <row r="10" spans="1:8" ht="14.25" customHeight="1" x14ac:dyDescent="0.2">
      <c r="A10" s="1295"/>
      <c r="B10" s="1296"/>
      <c r="C10" s="1297"/>
      <c r="D10" s="1297"/>
      <c r="E10" s="850" t="s">
        <v>166</v>
      </c>
      <c r="F10" s="851" t="s">
        <v>774</v>
      </c>
      <c r="G10" s="852" t="s">
        <v>775</v>
      </c>
      <c r="H10" s="852" t="s">
        <v>1070</v>
      </c>
    </row>
    <row r="11" spans="1:8" ht="15" x14ac:dyDescent="0.25">
      <c r="A11" s="420"/>
      <c r="B11" s="456" t="s">
        <v>356</v>
      </c>
      <c r="C11" s="457"/>
      <c r="D11" s="457"/>
      <c r="E11" s="457"/>
      <c r="F11" s="844"/>
      <c r="G11" s="844"/>
      <c r="H11" s="844"/>
    </row>
    <row r="12" spans="1:8" ht="15" x14ac:dyDescent="0.25">
      <c r="A12" s="853">
        <v>1</v>
      </c>
      <c r="B12" s="854" t="s">
        <v>360</v>
      </c>
      <c r="C12" s="855" t="s">
        <v>359</v>
      </c>
      <c r="D12" s="856" t="s">
        <v>362</v>
      </c>
      <c r="E12" s="857">
        <v>300</v>
      </c>
      <c r="F12" s="857">
        <v>300</v>
      </c>
      <c r="G12" s="857">
        <v>300</v>
      </c>
      <c r="H12" s="857">
        <v>300</v>
      </c>
    </row>
    <row r="13" spans="1:8" ht="15" x14ac:dyDescent="0.25">
      <c r="A13" s="853">
        <v>2</v>
      </c>
      <c r="B13" s="858" t="s">
        <v>363</v>
      </c>
      <c r="C13" s="859" t="s">
        <v>364</v>
      </c>
      <c r="D13" s="856" t="s">
        <v>362</v>
      </c>
      <c r="E13" s="860">
        <v>100</v>
      </c>
      <c r="F13" s="860">
        <v>100</v>
      </c>
      <c r="G13" s="860">
        <v>100</v>
      </c>
      <c r="H13" s="860">
        <v>100</v>
      </c>
    </row>
    <row r="14" spans="1:8" ht="15" x14ac:dyDescent="0.25">
      <c r="A14" s="853">
        <v>3</v>
      </c>
      <c r="B14" s="858" t="s">
        <v>367</v>
      </c>
      <c r="C14" s="859" t="s">
        <v>776</v>
      </c>
      <c r="D14" s="856" t="s">
        <v>362</v>
      </c>
      <c r="E14" s="860">
        <v>24500</v>
      </c>
      <c r="F14" s="860">
        <v>24241</v>
      </c>
      <c r="G14" s="860">
        <v>24241</v>
      </c>
      <c r="H14" s="860">
        <v>24241</v>
      </c>
    </row>
    <row r="15" spans="1:8" ht="15" x14ac:dyDescent="0.25">
      <c r="A15" s="853">
        <v>4</v>
      </c>
      <c r="B15" s="858" t="s">
        <v>367</v>
      </c>
      <c r="C15" s="859" t="s">
        <v>777</v>
      </c>
      <c r="D15" s="856" t="s">
        <v>362</v>
      </c>
      <c r="E15" s="860">
        <v>25400</v>
      </c>
      <c r="F15" s="860">
        <v>27321</v>
      </c>
      <c r="G15" s="860">
        <v>27321</v>
      </c>
      <c r="H15" s="860">
        <v>27321</v>
      </c>
    </row>
    <row r="16" spans="1:8" ht="15" x14ac:dyDescent="0.25">
      <c r="A16" s="853">
        <v>5</v>
      </c>
      <c r="B16" s="858" t="s">
        <v>375</v>
      </c>
      <c r="C16" s="859" t="s">
        <v>376</v>
      </c>
      <c r="D16" s="856" t="s">
        <v>362</v>
      </c>
      <c r="E16" s="860">
        <v>9</v>
      </c>
      <c r="F16" s="860">
        <v>10</v>
      </c>
      <c r="G16" s="860">
        <v>10</v>
      </c>
      <c r="H16" s="860">
        <v>10</v>
      </c>
    </row>
    <row r="17" spans="1:8" ht="15" x14ac:dyDescent="0.25">
      <c r="A17" s="853">
        <v>6</v>
      </c>
      <c r="B17" s="858" t="s">
        <v>778</v>
      </c>
      <c r="C17" s="859" t="s">
        <v>779</v>
      </c>
      <c r="D17" s="861" t="s">
        <v>362</v>
      </c>
      <c r="E17" s="860">
        <v>54</v>
      </c>
      <c r="F17" s="860">
        <v>62</v>
      </c>
      <c r="G17" s="860">
        <v>62</v>
      </c>
      <c r="H17" s="860">
        <v>62</v>
      </c>
    </row>
    <row r="18" spans="1:8" ht="15" x14ac:dyDescent="0.25">
      <c r="A18" s="853">
        <v>7</v>
      </c>
      <c r="B18" s="858" t="s">
        <v>780</v>
      </c>
      <c r="C18" s="859" t="s">
        <v>781</v>
      </c>
      <c r="D18" s="861" t="s">
        <v>362</v>
      </c>
      <c r="E18" s="860">
        <v>100</v>
      </c>
      <c r="F18" s="860">
        <v>900</v>
      </c>
      <c r="G18" s="860">
        <v>900</v>
      </c>
      <c r="H18" s="860">
        <v>900</v>
      </c>
    </row>
    <row r="19" spans="1:8" ht="15" x14ac:dyDescent="0.25">
      <c r="A19" s="853">
        <v>8</v>
      </c>
      <c r="B19" s="858" t="s">
        <v>782</v>
      </c>
      <c r="C19" s="859" t="s">
        <v>783</v>
      </c>
      <c r="D19" s="861" t="s">
        <v>362</v>
      </c>
      <c r="E19" s="860"/>
      <c r="F19" s="860">
        <v>1190</v>
      </c>
      <c r="G19" s="860">
        <v>1190</v>
      </c>
      <c r="H19" s="860">
        <v>1190</v>
      </c>
    </row>
    <row r="20" spans="1:8" ht="15" x14ac:dyDescent="0.25">
      <c r="A20" s="853">
        <v>9</v>
      </c>
      <c r="B20" s="858" t="s">
        <v>387</v>
      </c>
      <c r="C20" s="859" t="s">
        <v>784</v>
      </c>
      <c r="D20" s="861" t="s">
        <v>362</v>
      </c>
      <c r="E20" s="860">
        <v>1575</v>
      </c>
      <c r="F20" s="860">
        <v>1600</v>
      </c>
      <c r="G20" s="860">
        <v>1600</v>
      </c>
      <c r="H20" s="860">
        <v>1600</v>
      </c>
    </row>
    <row r="21" spans="1:8" ht="31.5" customHeight="1" x14ac:dyDescent="0.25">
      <c r="A21" s="853">
        <v>10</v>
      </c>
      <c r="B21" s="862" t="s">
        <v>785</v>
      </c>
      <c r="C21" s="863" t="s">
        <v>786</v>
      </c>
      <c r="D21" s="864" t="s">
        <v>362</v>
      </c>
      <c r="E21" s="865">
        <v>383</v>
      </c>
      <c r="F21" s="865">
        <v>35</v>
      </c>
      <c r="G21" s="865">
        <v>35</v>
      </c>
      <c r="H21" s="865">
        <v>35</v>
      </c>
    </row>
    <row r="22" spans="1:8" ht="15" x14ac:dyDescent="0.25">
      <c r="A22" s="853">
        <f>A21+1</f>
        <v>11</v>
      </c>
      <c r="B22" s="859"/>
      <c r="C22" s="859" t="s">
        <v>787</v>
      </c>
      <c r="D22" s="856"/>
      <c r="E22" s="860"/>
      <c r="F22" s="860">
        <v>1844</v>
      </c>
      <c r="G22" s="860">
        <v>1844</v>
      </c>
      <c r="H22" s="860">
        <v>1844</v>
      </c>
    </row>
    <row r="23" spans="1:8" ht="15" x14ac:dyDescent="0.25">
      <c r="A23" s="853">
        <f t="shared" ref="A23:A74" si="0">A22+1</f>
        <v>12</v>
      </c>
      <c r="B23" s="859" t="s">
        <v>1135</v>
      </c>
      <c r="C23" s="859" t="s">
        <v>788</v>
      </c>
      <c r="D23" s="861">
        <v>42766</v>
      </c>
      <c r="E23" s="860">
        <v>2500</v>
      </c>
      <c r="F23" s="860">
        <v>75</v>
      </c>
      <c r="G23" s="860"/>
      <c r="H23" s="860"/>
    </row>
    <row r="24" spans="1:8" ht="15" x14ac:dyDescent="0.25">
      <c r="A24" s="853">
        <f t="shared" si="0"/>
        <v>13</v>
      </c>
      <c r="B24" s="858" t="s">
        <v>1137</v>
      </c>
      <c r="C24" s="859" t="s">
        <v>1133</v>
      </c>
      <c r="D24" s="856" t="s">
        <v>362</v>
      </c>
      <c r="E24" s="860"/>
      <c r="F24" s="860">
        <v>889</v>
      </c>
      <c r="G24" s="860">
        <v>889</v>
      </c>
      <c r="H24" s="860">
        <v>889</v>
      </c>
    </row>
    <row r="25" spans="1:8" ht="31.5" customHeight="1" x14ac:dyDescent="0.25">
      <c r="A25" s="853">
        <f t="shared" si="0"/>
        <v>14</v>
      </c>
      <c r="B25" s="703" t="s">
        <v>411</v>
      </c>
      <c r="C25" s="866" t="s">
        <v>412</v>
      </c>
      <c r="D25" s="867" t="s">
        <v>362</v>
      </c>
      <c r="E25" s="868">
        <v>40</v>
      </c>
      <c r="F25" s="868">
        <v>40</v>
      </c>
      <c r="G25" s="868">
        <v>40</v>
      </c>
      <c r="H25" s="868">
        <v>40</v>
      </c>
    </row>
    <row r="26" spans="1:8" ht="30" customHeight="1" x14ac:dyDescent="0.25">
      <c r="A26" s="853">
        <f t="shared" si="0"/>
        <v>15</v>
      </c>
      <c r="B26" s="703" t="s">
        <v>415</v>
      </c>
      <c r="C26" s="866" t="s">
        <v>789</v>
      </c>
      <c r="D26" s="867" t="s">
        <v>362</v>
      </c>
      <c r="E26" s="869">
        <v>176</v>
      </c>
      <c r="F26" s="869">
        <v>210</v>
      </c>
      <c r="G26" s="869">
        <v>210</v>
      </c>
      <c r="H26" s="869">
        <v>210</v>
      </c>
    </row>
    <row r="27" spans="1:8" ht="27" customHeight="1" x14ac:dyDescent="0.25">
      <c r="A27" s="853">
        <f t="shared" si="0"/>
        <v>16</v>
      </c>
      <c r="B27" s="862" t="s">
        <v>417</v>
      </c>
      <c r="C27" s="863" t="s">
        <v>790</v>
      </c>
      <c r="D27" s="864" t="s">
        <v>362</v>
      </c>
      <c r="E27" s="865">
        <v>199</v>
      </c>
      <c r="F27" s="865">
        <v>199</v>
      </c>
      <c r="G27" s="865">
        <v>199</v>
      </c>
      <c r="H27" s="865">
        <v>199</v>
      </c>
    </row>
    <row r="28" spans="1:8" ht="26.25" customHeight="1" x14ac:dyDescent="0.25">
      <c r="A28" s="853">
        <f t="shared" si="0"/>
        <v>17</v>
      </c>
      <c r="B28" s="862" t="s">
        <v>419</v>
      </c>
      <c r="C28" s="863" t="s">
        <v>420</v>
      </c>
      <c r="D28" s="864" t="s">
        <v>362</v>
      </c>
      <c r="E28" s="865">
        <v>1863</v>
      </c>
      <c r="F28" s="865">
        <v>1863</v>
      </c>
      <c r="G28" s="865">
        <v>1863</v>
      </c>
      <c r="H28" s="865">
        <v>1863</v>
      </c>
    </row>
    <row r="29" spans="1:8" ht="30" customHeight="1" x14ac:dyDescent="0.25">
      <c r="A29" s="853">
        <f t="shared" si="0"/>
        <v>18</v>
      </c>
      <c r="B29" s="703" t="s">
        <v>421</v>
      </c>
      <c r="C29" s="870" t="s">
        <v>791</v>
      </c>
      <c r="D29" s="867" t="s">
        <v>362</v>
      </c>
      <c r="E29" s="706">
        <v>3600</v>
      </c>
      <c r="F29" s="706">
        <v>6553</v>
      </c>
      <c r="G29" s="706">
        <v>6553</v>
      </c>
      <c r="H29" s="706">
        <v>6553</v>
      </c>
    </row>
    <row r="30" spans="1:8" ht="15" x14ac:dyDescent="0.25">
      <c r="A30" s="853">
        <f t="shared" si="0"/>
        <v>19</v>
      </c>
      <c r="B30" s="859" t="s">
        <v>427</v>
      </c>
      <c r="C30" s="859" t="s">
        <v>792</v>
      </c>
      <c r="D30" s="856" t="s">
        <v>362</v>
      </c>
      <c r="E30" s="860">
        <v>26</v>
      </c>
      <c r="F30" s="860">
        <v>36</v>
      </c>
      <c r="G30" s="860">
        <v>36</v>
      </c>
      <c r="H30" s="860">
        <v>36</v>
      </c>
    </row>
    <row r="31" spans="1:8" ht="29.25" customHeight="1" x14ac:dyDescent="0.25">
      <c r="A31" s="853">
        <f t="shared" si="0"/>
        <v>20</v>
      </c>
      <c r="B31" s="703" t="s">
        <v>429</v>
      </c>
      <c r="C31" s="870" t="s">
        <v>430</v>
      </c>
      <c r="D31" s="867" t="s">
        <v>362</v>
      </c>
      <c r="E31" s="869">
        <v>5</v>
      </c>
      <c r="F31" s="869">
        <v>5</v>
      </c>
      <c r="G31" s="869">
        <v>5</v>
      </c>
      <c r="H31" s="869">
        <v>5</v>
      </c>
    </row>
    <row r="32" spans="1:8" ht="27" customHeight="1" x14ac:dyDescent="0.25">
      <c r="A32" s="853">
        <f t="shared" si="0"/>
        <v>21</v>
      </c>
      <c r="B32" s="703"/>
      <c r="C32" s="870" t="s">
        <v>793</v>
      </c>
      <c r="D32" s="867" t="s">
        <v>362</v>
      </c>
      <c r="E32" s="869"/>
      <c r="F32" s="869">
        <v>15</v>
      </c>
      <c r="G32" s="869">
        <v>15</v>
      </c>
      <c r="H32" s="869">
        <v>15</v>
      </c>
    </row>
    <row r="33" spans="1:8" ht="35.25" customHeight="1" x14ac:dyDescent="0.25">
      <c r="A33" s="853">
        <f t="shared" si="0"/>
        <v>22</v>
      </c>
      <c r="B33" s="703" t="s">
        <v>433</v>
      </c>
      <c r="C33" s="870" t="s">
        <v>434</v>
      </c>
      <c r="D33" s="867">
        <v>43497</v>
      </c>
      <c r="E33" s="706">
        <v>2865</v>
      </c>
      <c r="F33" s="706">
        <v>3553</v>
      </c>
      <c r="G33" s="706">
        <v>3553</v>
      </c>
      <c r="H33" s="706">
        <v>3553</v>
      </c>
    </row>
    <row r="34" spans="1:8" ht="30.75" customHeight="1" x14ac:dyDescent="0.25">
      <c r="A34" s="853">
        <f t="shared" si="0"/>
        <v>23</v>
      </c>
      <c r="B34" s="703" t="s">
        <v>794</v>
      </c>
      <c r="C34" s="870" t="s">
        <v>795</v>
      </c>
      <c r="D34" s="867" t="s">
        <v>362</v>
      </c>
      <c r="E34" s="706">
        <v>1800</v>
      </c>
      <c r="F34" s="706">
        <v>1800</v>
      </c>
      <c r="G34" s="706">
        <v>1800</v>
      </c>
      <c r="H34" s="706">
        <v>1800</v>
      </c>
    </row>
    <row r="35" spans="1:8" ht="27.75" customHeight="1" x14ac:dyDescent="0.25">
      <c r="A35" s="853">
        <f t="shared" si="0"/>
        <v>24</v>
      </c>
      <c r="B35" s="703" t="s">
        <v>794</v>
      </c>
      <c r="C35" s="870" t="s">
        <v>796</v>
      </c>
      <c r="D35" s="867" t="s">
        <v>362</v>
      </c>
      <c r="E35" s="706">
        <v>1800</v>
      </c>
      <c r="F35" s="706">
        <v>1800</v>
      </c>
      <c r="G35" s="706">
        <v>1800</v>
      </c>
      <c r="H35" s="706">
        <v>1800</v>
      </c>
    </row>
    <row r="36" spans="1:8" ht="27.75" customHeight="1" x14ac:dyDescent="0.25">
      <c r="A36" s="853">
        <f t="shared" si="0"/>
        <v>25</v>
      </c>
      <c r="B36" s="703" t="s">
        <v>799</v>
      </c>
      <c r="C36" s="870" t="s">
        <v>800</v>
      </c>
      <c r="D36" s="867" t="s">
        <v>362</v>
      </c>
      <c r="E36" s="706">
        <v>30</v>
      </c>
      <c r="F36" s="706">
        <v>30</v>
      </c>
      <c r="G36" s="706">
        <v>30</v>
      </c>
      <c r="H36" s="706">
        <v>30</v>
      </c>
    </row>
    <row r="37" spans="1:8" ht="21.75" customHeight="1" x14ac:dyDescent="0.25">
      <c r="A37" s="853">
        <f t="shared" si="0"/>
        <v>26</v>
      </c>
      <c r="B37" s="703" t="s">
        <v>801</v>
      </c>
      <c r="C37" s="870" t="s">
        <v>802</v>
      </c>
      <c r="D37" s="867">
        <v>44196</v>
      </c>
      <c r="E37" s="706">
        <v>153</v>
      </c>
      <c r="F37" s="706">
        <v>153</v>
      </c>
      <c r="G37" s="706">
        <v>153</v>
      </c>
      <c r="H37" s="706">
        <v>153</v>
      </c>
    </row>
    <row r="38" spans="1:8" ht="24.75" customHeight="1" x14ac:dyDescent="0.25">
      <c r="A38" s="853">
        <f t="shared" si="0"/>
        <v>27</v>
      </c>
      <c r="B38" s="703" t="s">
        <v>803</v>
      </c>
      <c r="C38" s="870" t="s">
        <v>804</v>
      </c>
      <c r="D38" s="867" t="s">
        <v>362</v>
      </c>
      <c r="E38" s="706">
        <v>457</v>
      </c>
      <c r="F38" s="706">
        <v>457</v>
      </c>
      <c r="G38" s="706">
        <v>457</v>
      </c>
      <c r="H38" s="706">
        <v>457</v>
      </c>
    </row>
    <row r="39" spans="1:8" ht="28.5" customHeight="1" x14ac:dyDescent="0.25">
      <c r="A39" s="853">
        <f t="shared" si="0"/>
        <v>28</v>
      </c>
      <c r="B39" s="703" t="s">
        <v>805</v>
      </c>
      <c r="C39" s="870" t="s">
        <v>1068</v>
      </c>
      <c r="D39" s="867" t="s">
        <v>362</v>
      </c>
      <c r="E39" s="706">
        <v>198</v>
      </c>
      <c r="F39" s="706">
        <v>198</v>
      </c>
      <c r="G39" s="706">
        <v>198</v>
      </c>
      <c r="H39" s="706">
        <v>198</v>
      </c>
    </row>
    <row r="40" spans="1:8" ht="36" customHeight="1" x14ac:dyDescent="0.25">
      <c r="A40" s="853">
        <f t="shared" si="0"/>
        <v>29</v>
      </c>
      <c r="B40" s="703" t="s">
        <v>806</v>
      </c>
      <c r="C40" s="870" t="s">
        <v>807</v>
      </c>
      <c r="D40" s="867" t="s">
        <v>362</v>
      </c>
      <c r="E40" s="706">
        <v>217</v>
      </c>
      <c r="F40" s="706">
        <v>217</v>
      </c>
      <c r="G40" s="706">
        <v>217</v>
      </c>
      <c r="H40" s="706">
        <v>217</v>
      </c>
    </row>
    <row r="41" spans="1:8" ht="26.25" customHeight="1" x14ac:dyDescent="0.25">
      <c r="A41" s="853">
        <f t="shared" si="0"/>
        <v>30</v>
      </c>
      <c r="B41" s="703" t="s">
        <v>131</v>
      </c>
      <c r="C41" s="870" t="s">
        <v>808</v>
      </c>
      <c r="D41" s="867" t="s">
        <v>362</v>
      </c>
      <c r="E41" s="706">
        <v>1200</v>
      </c>
      <c r="F41" s="706">
        <v>1200</v>
      </c>
      <c r="G41" s="706">
        <v>1200</v>
      </c>
      <c r="H41" s="706">
        <v>1200</v>
      </c>
    </row>
    <row r="42" spans="1:8" ht="30.75" customHeight="1" x14ac:dyDescent="0.25">
      <c r="A42" s="853">
        <f t="shared" si="0"/>
        <v>31</v>
      </c>
      <c r="B42" s="703" t="s">
        <v>809</v>
      </c>
      <c r="C42" s="870" t="s">
        <v>810</v>
      </c>
      <c r="D42" s="867">
        <v>43709</v>
      </c>
      <c r="E42" s="706">
        <v>2439</v>
      </c>
      <c r="F42" s="706">
        <v>2439</v>
      </c>
      <c r="G42" s="706">
        <v>2439</v>
      </c>
      <c r="H42" s="706">
        <v>2439</v>
      </c>
    </row>
    <row r="43" spans="1:8" ht="36" customHeight="1" x14ac:dyDescent="0.25">
      <c r="A43" s="853">
        <f t="shared" si="0"/>
        <v>32</v>
      </c>
      <c r="B43" s="871" t="s">
        <v>811</v>
      </c>
      <c r="C43" s="870" t="s">
        <v>812</v>
      </c>
      <c r="D43" s="867" t="s">
        <v>362</v>
      </c>
      <c r="E43" s="705">
        <v>508</v>
      </c>
      <c r="F43" s="705">
        <v>508</v>
      </c>
      <c r="G43" s="705">
        <v>508</v>
      </c>
      <c r="H43" s="705">
        <v>508</v>
      </c>
    </row>
    <row r="44" spans="1:8" ht="30" customHeight="1" x14ac:dyDescent="0.25">
      <c r="A44" s="853">
        <f t="shared" si="0"/>
        <v>33</v>
      </c>
      <c r="B44" s="871"/>
      <c r="C44" s="870" t="s">
        <v>813</v>
      </c>
      <c r="D44" s="867" t="s">
        <v>362</v>
      </c>
      <c r="E44" s="705">
        <v>230</v>
      </c>
      <c r="F44" s="705">
        <v>230</v>
      </c>
      <c r="G44" s="705">
        <v>230</v>
      </c>
      <c r="H44" s="705">
        <v>230</v>
      </c>
    </row>
    <row r="45" spans="1:8" ht="15" x14ac:dyDescent="0.25">
      <c r="A45" s="853">
        <f t="shared" si="0"/>
        <v>34</v>
      </c>
      <c r="B45" s="703" t="s">
        <v>814</v>
      </c>
      <c r="C45" s="703" t="s">
        <v>815</v>
      </c>
      <c r="D45" s="867">
        <v>43009</v>
      </c>
      <c r="E45" s="705">
        <v>2100</v>
      </c>
      <c r="F45" s="705">
        <v>2100</v>
      </c>
      <c r="G45" s="705">
        <v>2100</v>
      </c>
      <c r="H45" s="705">
        <v>2100</v>
      </c>
    </row>
    <row r="46" spans="1:8" ht="15" x14ac:dyDescent="0.25">
      <c r="A46" s="853">
        <f t="shared" si="0"/>
        <v>35</v>
      </c>
      <c r="B46" s="703" t="s">
        <v>816</v>
      </c>
      <c r="C46" s="703" t="s">
        <v>817</v>
      </c>
      <c r="D46" s="867">
        <v>43008</v>
      </c>
      <c r="E46" s="705">
        <v>302</v>
      </c>
      <c r="F46" s="705">
        <v>302</v>
      </c>
      <c r="G46" s="705">
        <v>302</v>
      </c>
      <c r="H46" s="705">
        <v>302</v>
      </c>
    </row>
    <row r="47" spans="1:8" ht="15" x14ac:dyDescent="0.25">
      <c r="A47" s="853">
        <f t="shared" si="0"/>
        <v>36</v>
      </c>
      <c r="B47" s="703" t="s">
        <v>818</v>
      </c>
      <c r="C47" s="703" t="s">
        <v>819</v>
      </c>
      <c r="D47" s="867">
        <v>43009</v>
      </c>
      <c r="E47" s="705">
        <v>1610</v>
      </c>
      <c r="F47" s="705">
        <v>1610</v>
      </c>
      <c r="G47" s="705">
        <v>1610</v>
      </c>
      <c r="H47" s="705">
        <v>1610</v>
      </c>
    </row>
    <row r="48" spans="1:8" ht="15" x14ac:dyDescent="0.25">
      <c r="A48" s="853">
        <f t="shared" si="0"/>
        <v>37</v>
      </c>
      <c r="B48" s="703" t="s">
        <v>820</v>
      </c>
      <c r="C48" s="703" t="s">
        <v>821</v>
      </c>
      <c r="D48" s="867">
        <v>42791</v>
      </c>
      <c r="E48" s="705">
        <v>10672</v>
      </c>
      <c r="F48" s="705">
        <v>10672</v>
      </c>
      <c r="G48" s="705">
        <v>10672</v>
      </c>
      <c r="H48" s="705">
        <v>10672</v>
      </c>
    </row>
    <row r="49" spans="1:8" ht="15" x14ac:dyDescent="0.25">
      <c r="A49" s="853">
        <f t="shared" si="0"/>
        <v>38</v>
      </c>
      <c r="B49" s="703" t="s">
        <v>822</v>
      </c>
      <c r="C49" s="703" t="s">
        <v>823</v>
      </c>
      <c r="D49" s="867" t="s">
        <v>362</v>
      </c>
      <c r="E49" s="705">
        <v>5760</v>
      </c>
      <c r="F49" s="705">
        <v>5760</v>
      </c>
      <c r="G49" s="705">
        <v>5760</v>
      </c>
      <c r="H49" s="705">
        <v>5760</v>
      </c>
    </row>
    <row r="50" spans="1:8" ht="15" x14ac:dyDescent="0.25">
      <c r="A50" s="853">
        <f t="shared" si="0"/>
        <v>39</v>
      </c>
      <c r="B50" s="703" t="s">
        <v>824</v>
      </c>
      <c r="C50" s="703" t="s">
        <v>825</v>
      </c>
      <c r="D50" s="867" t="s">
        <v>362</v>
      </c>
      <c r="E50" s="705">
        <v>3658</v>
      </c>
      <c r="F50" s="705">
        <v>3658</v>
      </c>
      <c r="G50" s="705">
        <v>3658</v>
      </c>
      <c r="H50" s="705">
        <v>3658</v>
      </c>
    </row>
    <row r="51" spans="1:8" ht="15" x14ac:dyDescent="0.25">
      <c r="A51" s="853">
        <f t="shared" si="0"/>
        <v>40</v>
      </c>
      <c r="B51" s="703" t="s">
        <v>119</v>
      </c>
      <c r="C51" s="703" t="s">
        <v>827</v>
      </c>
      <c r="D51" s="867" t="s">
        <v>362</v>
      </c>
      <c r="E51" s="705">
        <v>242</v>
      </c>
      <c r="F51" s="705">
        <v>242</v>
      </c>
      <c r="G51" s="705">
        <v>242</v>
      </c>
      <c r="H51" s="705">
        <v>242</v>
      </c>
    </row>
    <row r="52" spans="1:8" ht="15" x14ac:dyDescent="0.25">
      <c r="A52" s="853">
        <f t="shared" si="0"/>
        <v>41</v>
      </c>
      <c r="B52" s="703" t="s">
        <v>828</v>
      </c>
      <c r="C52" s="703" t="s">
        <v>829</v>
      </c>
      <c r="D52" s="867" t="s">
        <v>362</v>
      </c>
      <c r="E52" s="705">
        <v>993</v>
      </c>
      <c r="F52" s="705">
        <v>993</v>
      </c>
      <c r="G52" s="705">
        <v>993</v>
      </c>
      <c r="H52" s="705">
        <v>993</v>
      </c>
    </row>
    <row r="53" spans="1:8" ht="30" x14ac:dyDescent="0.25">
      <c r="A53" s="853">
        <f t="shared" si="0"/>
        <v>42</v>
      </c>
      <c r="B53" s="871" t="s">
        <v>830</v>
      </c>
      <c r="C53" s="870" t="s">
        <v>831</v>
      </c>
      <c r="D53" s="867" t="s">
        <v>362</v>
      </c>
      <c r="E53" s="705">
        <v>38</v>
      </c>
      <c r="F53" s="705">
        <v>38</v>
      </c>
      <c r="G53" s="705">
        <v>38</v>
      </c>
      <c r="H53" s="705">
        <v>38</v>
      </c>
    </row>
    <row r="54" spans="1:8" ht="15" customHeight="1" x14ac:dyDescent="0.25">
      <c r="A54" s="853">
        <f t="shared" si="0"/>
        <v>43</v>
      </c>
      <c r="B54" s="703"/>
      <c r="C54" s="703" t="s">
        <v>832</v>
      </c>
      <c r="D54" s="867" t="s">
        <v>362</v>
      </c>
      <c r="E54" s="705">
        <v>45</v>
      </c>
      <c r="F54" s="705">
        <v>45</v>
      </c>
      <c r="G54" s="705">
        <v>45</v>
      </c>
      <c r="H54" s="705">
        <v>45</v>
      </c>
    </row>
    <row r="55" spans="1:8" ht="15" x14ac:dyDescent="0.25">
      <c r="A55" s="853">
        <f t="shared" si="0"/>
        <v>44</v>
      </c>
      <c r="B55" s="703" t="s">
        <v>833</v>
      </c>
      <c r="C55" s="703" t="s">
        <v>834</v>
      </c>
      <c r="D55" s="867">
        <v>42886</v>
      </c>
      <c r="E55" s="705">
        <v>610</v>
      </c>
      <c r="F55" s="705">
        <v>610</v>
      </c>
      <c r="G55" s="705">
        <v>610</v>
      </c>
      <c r="H55" s="705">
        <v>610</v>
      </c>
    </row>
    <row r="56" spans="1:8" ht="15" x14ac:dyDescent="0.25">
      <c r="A56" s="853">
        <f t="shared" si="0"/>
        <v>45</v>
      </c>
      <c r="B56" s="703" t="s">
        <v>835</v>
      </c>
      <c r="C56" s="703" t="s">
        <v>836</v>
      </c>
      <c r="D56" s="867">
        <v>42825</v>
      </c>
      <c r="E56" s="705">
        <v>610</v>
      </c>
      <c r="F56" s="705">
        <v>610</v>
      </c>
      <c r="G56" s="705">
        <v>610</v>
      </c>
      <c r="H56" s="705">
        <v>610</v>
      </c>
    </row>
    <row r="57" spans="1:8" ht="15" x14ac:dyDescent="0.25">
      <c r="A57" s="853">
        <f t="shared" si="0"/>
        <v>46</v>
      </c>
      <c r="B57" s="703" t="s">
        <v>837</v>
      </c>
      <c r="C57" s="703" t="s">
        <v>838</v>
      </c>
      <c r="D57" s="867">
        <v>42825</v>
      </c>
      <c r="E57" s="705">
        <v>210</v>
      </c>
      <c r="F57" s="705">
        <v>210</v>
      </c>
      <c r="G57" s="705">
        <v>210</v>
      </c>
      <c r="H57" s="705">
        <v>210</v>
      </c>
    </row>
    <row r="58" spans="1:8" ht="15" x14ac:dyDescent="0.25">
      <c r="A58" s="853">
        <f t="shared" si="0"/>
        <v>47</v>
      </c>
      <c r="B58" s="703" t="s">
        <v>839</v>
      </c>
      <c r="C58" s="703" t="s">
        <v>840</v>
      </c>
      <c r="D58" s="867">
        <v>42855</v>
      </c>
      <c r="E58" s="705">
        <v>972</v>
      </c>
      <c r="F58" s="705">
        <v>972</v>
      </c>
      <c r="G58" s="705">
        <v>972</v>
      </c>
      <c r="H58" s="705">
        <v>972</v>
      </c>
    </row>
    <row r="59" spans="1:8" ht="15" x14ac:dyDescent="0.25">
      <c r="A59" s="853">
        <f t="shared" si="0"/>
        <v>48</v>
      </c>
      <c r="B59" s="703" t="s">
        <v>826</v>
      </c>
      <c r="C59" s="703" t="s">
        <v>841</v>
      </c>
      <c r="D59" s="867" t="s">
        <v>362</v>
      </c>
      <c r="E59" s="705">
        <v>486</v>
      </c>
      <c r="F59" s="705">
        <v>486</v>
      </c>
      <c r="G59" s="705">
        <v>486</v>
      </c>
      <c r="H59" s="705">
        <v>486</v>
      </c>
    </row>
    <row r="60" spans="1:8" ht="15" x14ac:dyDescent="0.25">
      <c r="A60" s="853">
        <f t="shared" si="0"/>
        <v>49</v>
      </c>
      <c r="B60" s="703" t="s">
        <v>842</v>
      </c>
      <c r="C60" s="703" t="s">
        <v>843</v>
      </c>
      <c r="D60" s="867">
        <v>42855</v>
      </c>
      <c r="E60" s="706">
        <v>686</v>
      </c>
      <c r="F60" s="706">
        <v>686</v>
      </c>
      <c r="G60" s="706">
        <v>686</v>
      </c>
      <c r="H60" s="706">
        <v>686</v>
      </c>
    </row>
    <row r="61" spans="1:8" ht="15" x14ac:dyDescent="0.25">
      <c r="A61" s="853">
        <f t="shared" si="0"/>
        <v>50</v>
      </c>
      <c r="B61" s="703" t="s">
        <v>844</v>
      </c>
      <c r="C61" s="703" t="s">
        <v>845</v>
      </c>
      <c r="D61" s="867">
        <v>42855</v>
      </c>
      <c r="E61" s="706">
        <v>1807</v>
      </c>
      <c r="F61" s="706">
        <v>1807</v>
      </c>
      <c r="G61" s="706">
        <v>1807</v>
      </c>
      <c r="H61" s="706">
        <v>1807</v>
      </c>
    </row>
    <row r="62" spans="1:8" ht="15.75" x14ac:dyDescent="0.25">
      <c r="A62" s="853">
        <f t="shared" si="0"/>
        <v>51</v>
      </c>
      <c r="B62" s="872"/>
      <c r="C62" s="703" t="s">
        <v>846</v>
      </c>
      <c r="D62" s="873" t="s">
        <v>362</v>
      </c>
      <c r="E62" s="705">
        <v>175</v>
      </c>
      <c r="F62" s="705">
        <v>175</v>
      </c>
      <c r="G62" s="705">
        <v>175</v>
      </c>
      <c r="H62" s="705">
        <v>175</v>
      </c>
    </row>
    <row r="63" spans="1:8" ht="15.75" x14ac:dyDescent="0.25">
      <c r="A63" s="853">
        <f t="shared" si="0"/>
        <v>52</v>
      </c>
      <c r="B63" s="872"/>
      <c r="C63" s="703" t="s">
        <v>847</v>
      </c>
      <c r="D63" s="873" t="s">
        <v>362</v>
      </c>
      <c r="E63" s="705">
        <v>55</v>
      </c>
      <c r="F63" s="705">
        <v>55</v>
      </c>
      <c r="G63" s="705">
        <v>55</v>
      </c>
      <c r="H63" s="705">
        <v>55</v>
      </c>
    </row>
    <row r="64" spans="1:8" ht="15" x14ac:dyDescent="0.25">
      <c r="A64" s="853">
        <f t="shared" si="0"/>
        <v>53</v>
      </c>
      <c r="B64" s="872"/>
      <c r="C64" s="703" t="s">
        <v>848</v>
      </c>
      <c r="D64" s="874">
        <v>45291</v>
      </c>
      <c r="E64" s="705">
        <v>19500</v>
      </c>
      <c r="F64" s="705">
        <v>19500</v>
      </c>
      <c r="G64" s="705">
        <v>19500</v>
      </c>
      <c r="H64" s="705">
        <v>19500</v>
      </c>
    </row>
    <row r="65" spans="1:8" ht="15.75" x14ac:dyDescent="0.25">
      <c r="A65" s="853">
        <f t="shared" si="0"/>
        <v>54</v>
      </c>
      <c r="B65" s="872"/>
      <c r="C65" s="703" t="s">
        <v>849</v>
      </c>
      <c r="D65" s="873" t="s">
        <v>362</v>
      </c>
      <c r="E65" s="705">
        <v>37</v>
      </c>
      <c r="F65" s="705">
        <v>37</v>
      </c>
      <c r="G65" s="705">
        <v>37</v>
      </c>
      <c r="H65" s="705">
        <v>37</v>
      </c>
    </row>
    <row r="66" spans="1:8" ht="15.75" x14ac:dyDescent="0.25">
      <c r="A66" s="853">
        <f t="shared" si="0"/>
        <v>55</v>
      </c>
      <c r="B66" s="872"/>
      <c r="C66" s="703" t="s">
        <v>850</v>
      </c>
      <c r="D66" s="873" t="s">
        <v>362</v>
      </c>
      <c r="E66" s="705">
        <v>53</v>
      </c>
      <c r="F66" s="705">
        <v>53</v>
      </c>
      <c r="G66" s="705">
        <v>53</v>
      </c>
      <c r="H66" s="705">
        <v>53</v>
      </c>
    </row>
    <row r="67" spans="1:8" ht="15.75" x14ac:dyDescent="0.25">
      <c r="A67" s="853">
        <f t="shared" si="0"/>
        <v>56</v>
      </c>
      <c r="B67" s="872"/>
      <c r="C67" s="703" t="s">
        <v>851</v>
      </c>
      <c r="D67" s="873" t="s">
        <v>362</v>
      </c>
      <c r="E67" s="705">
        <v>104</v>
      </c>
      <c r="F67" s="705">
        <v>104</v>
      </c>
      <c r="G67" s="705">
        <v>104</v>
      </c>
      <c r="H67" s="705">
        <v>104</v>
      </c>
    </row>
    <row r="68" spans="1:8" ht="15.75" x14ac:dyDescent="0.25">
      <c r="A68" s="853">
        <f t="shared" si="0"/>
        <v>57</v>
      </c>
      <c r="B68" s="872"/>
      <c r="C68" s="703" t="s">
        <v>852</v>
      </c>
      <c r="D68" s="873" t="s">
        <v>362</v>
      </c>
      <c r="E68" s="705">
        <v>192</v>
      </c>
      <c r="F68" s="705">
        <v>192</v>
      </c>
      <c r="G68" s="705">
        <v>192</v>
      </c>
      <c r="H68" s="705">
        <v>192</v>
      </c>
    </row>
    <row r="69" spans="1:8" ht="15.75" x14ac:dyDescent="0.25">
      <c r="A69" s="853">
        <f t="shared" si="0"/>
        <v>58</v>
      </c>
      <c r="B69" s="872"/>
      <c r="C69" s="703" t="s">
        <v>853</v>
      </c>
      <c r="D69" s="873" t="s">
        <v>362</v>
      </c>
      <c r="E69" s="705">
        <v>134</v>
      </c>
      <c r="F69" s="705">
        <v>134</v>
      </c>
      <c r="G69" s="705">
        <v>134</v>
      </c>
      <c r="H69" s="705">
        <v>134</v>
      </c>
    </row>
    <row r="70" spans="1:8" ht="15.75" x14ac:dyDescent="0.25">
      <c r="A70" s="853">
        <f t="shared" si="0"/>
        <v>59</v>
      </c>
      <c r="B70" s="872"/>
      <c r="C70" s="703" t="s">
        <v>854</v>
      </c>
      <c r="D70" s="873" t="s">
        <v>362</v>
      </c>
      <c r="E70" s="705">
        <v>159</v>
      </c>
      <c r="F70" s="705">
        <v>159</v>
      </c>
      <c r="G70" s="705">
        <v>159</v>
      </c>
      <c r="H70" s="705">
        <v>159</v>
      </c>
    </row>
    <row r="71" spans="1:8" ht="15.75" x14ac:dyDescent="0.25">
      <c r="A71" s="853">
        <f t="shared" si="0"/>
        <v>60</v>
      </c>
      <c r="B71" s="875">
        <v>68360</v>
      </c>
      <c r="C71" s="703" t="s">
        <v>1071</v>
      </c>
      <c r="D71" s="873" t="s">
        <v>362</v>
      </c>
      <c r="E71" s="705">
        <v>1844</v>
      </c>
      <c r="F71" s="705">
        <v>1844</v>
      </c>
      <c r="G71" s="705">
        <v>1844</v>
      </c>
      <c r="H71" s="705">
        <v>1844</v>
      </c>
    </row>
    <row r="72" spans="1:8" ht="15.75" x14ac:dyDescent="0.25">
      <c r="A72" s="853">
        <f t="shared" si="0"/>
        <v>61</v>
      </c>
      <c r="B72" s="876" t="s">
        <v>965</v>
      </c>
      <c r="C72" s="703" t="s">
        <v>966</v>
      </c>
      <c r="D72" s="877">
        <v>43100</v>
      </c>
      <c r="E72" s="705">
        <v>14760</v>
      </c>
      <c r="F72" s="705">
        <v>14760</v>
      </c>
      <c r="G72" s="705">
        <v>14760</v>
      </c>
      <c r="H72" s="705">
        <v>14760</v>
      </c>
    </row>
    <row r="73" spans="1:8" ht="15.75" x14ac:dyDescent="0.25">
      <c r="A73" s="853">
        <f t="shared" si="0"/>
        <v>62</v>
      </c>
      <c r="B73" s="876" t="s">
        <v>967</v>
      </c>
      <c r="C73" s="703" t="s">
        <v>968</v>
      </c>
      <c r="D73" s="873" t="s">
        <v>362</v>
      </c>
      <c r="E73" s="705">
        <v>31000</v>
      </c>
      <c r="F73" s="705">
        <v>31000</v>
      </c>
      <c r="G73" s="705">
        <v>31000</v>
      </c>
      <c r="H73" s="705">
        <v>31000</v>
      </c>
    </row>
    <row r="74" spans="1:8" ht="15.75" x14ac:dyDescent="0.25">
      <c r="A74" s="853">
        <f t="shared" si="0"/>
        <v>63</v>
      </c>
      <c r="B74" s="872"/>
      <c r="C74" s="703" t="s">
        <v>969</v>
      </c>
      <c r="D74" s="873" t="s">
        <v>362</v>
      </c>
      <c r="E74" s="705">
        <v>732</v>
      </c>
      <c r="F74" s="705">
        <v>732</v>
      </c>
      <c r="G74" s="705">
        <v>732</v>
      </c>
      <c r="H74" s="705">
        <v>732</v>
      </c>
    </row>
    <row r="75" spans="1:8" ht="15.75" x14ac:dyDescent="0.25">
      <c r="A75" s="853"/>
      <c r="B75" s="876" t="s">
        <v>797</v>
      </c>
      <c r="C75" s="703" t="s">
        <v>798</v>
      </c>
      <c r="D75" s="877">
        <v>42735</v>
      </c>
      <c r="E75" s="705">
        <v>610</v>
      </c>
      <c r="F75" s="705"/>
      <c r="G75" s="705"/>
      <c r="H75" s="705"/>
    </row>
    <row r="76" spans="1:8" ht="15.75" x14ac:dyDescent="0.25">
      <c r="A76" s="853">
        <f>A74+1</f>
        <v>64</v>
      </c>
      <c r="B76" s="876" t="s">
        <v>1134</v>
      </c>
      <c r="C76" s="703" t="s">
        <v>1136</v>
      </c>
      <c r="D76" s="873" t="s">
        <v>362</v>
      </c>
      <c r="E76" s="705"/>
      <c r="F76" s="705">
        <v>3277</v>
      </c>
      <c r="G76" s="705">
        <v>3277</v>
      </c>
      <c r="H76" s="705">
        <v>3277</v>
      </c>
    </row>
    <row r="77" spans="1:8" ht="15.75" x14ac:dyDescent="0.25">
      <c r="A77" s="872"/>
      <c r="B77" s="872"/>
      <c r="C77" s="872"/>
      <c r="D77" s="878"/>
      <c r="E77" s="879">
        <f>SUM(E11:E76)</f>
        <v>172883</v>
      </c>
      <c r="F77" s="880">
        <f>SUM(F12:F76)</f>
        <v>182896</v>
      </c>
      <c r="G77" s="880">
        <f>SUM(G12:G76)</f>
        <v>182821</v>
      </c>
      <c r="H77" s="880">
        <f>SUM(H12:H76)</f>
        <v>182821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410" customWidth="1"/>
    <col min="2" max="2" width="27.7109375" style="422" customWidth="1"/>
    <col min="3" max="3" width="47.85546875" style="422" customWidth="1"/>
    <col min="4" max="4" width="9.140625" style="411"/>
    <col min="5" max="5" width="8.7109375" style="422" bestFit="1" customWidth="1"/>
    <col min="6" max="6" width="8.42578125" style="422" bestFit="1" customWidth="1"/>
    <col min="7" max="7" width="8.7109375" style="422" customWidth="1"/>
    <col min="8" max="8" width="8.85546875" style="422" customWidth="1"/>
    <col min="9" max="9" width="9.140625" style="422"/>
    <col min="10" max="16384" width="9.140625" style="413"/>
  </cols>
  <sheetData>
    <row r="1" spans="1:11" ht="14.1" customHeight="1" x14ac:dyDescent="0.25">
      <c r="C1" s="1303" t="s">
        <v>171</v>
      </c>
      <c r="D1" s="1303"/>
      <c r="E1" s="1303"/>
      <c r="F1" s="1303"/>
      <c r="G1" s="1303"/>
      <c r="H1" s="1303"/>
    </row>
    <row r="2" spans="1:11" ht="20.100000000000001" customHeight="1" x14ac:dyDescent="0.25">
      <c r="A2" s="1286" t="s">
        <v>346</v>
      </c>
      <c r="B2" s="1304"/>
      <c r="C2" s="1304"/>
      <c r="D2" s="1304"/>
      <c r="E2" s="1304"/>
      <c r="F2" s="1304"/>
      <c r="G2" s="1304"/>
      <c r="H2" s="1304"/>
    </row>
    <row r="3" spans="1:11" ht="14.1" customHeight="1" x14ac:dyDescent="0.25">
      <c r="A3" s="1286" t="s">
        <v>347</v>
      </c>
      <c r="B3" s="1304"/>
      <c r="C3" s="1304"/>
      <c r="D3" s="1304"/>
      <c r="E3" s="1304"/>
      <c r="F3" s="1304"/>
      <c r="G3" s="1304"/>
      <c r="H3" s="1304"/>
    </row>
    <row r="4" spans="1:11" ht="14.1" customHeight="1" x14ac:dyDescent="0.25">
      <c r="A4" s="1287" t="s">
        <v>55</v>
      </c>
      <c r="B4" s="1305"/>
      <c r="C4" s="1305"/>
      <c r="D4" s="1305"/>
      <c r="E4" s="1305"/>
      <c r="F4" s="1305"/>
      <c r="G4" s="1305"/>
      <c r="H4" s="1305"/>
    </row>
    <row r="5" spans="1:11" ht="14.1" customHeight="1" x14ac:dyDescent="0.25">
      <c r="A5" s="409"/>
      <c r="B5" s="410"/>
      <c r="C5" s="410"/>
      <c r="D5" s="410"/>
      <c r="E5" s="410"/>
      <c r="F5" s="410"/>
      <c r="G5" s="410"/>
      <c r="H5" s="410"/>
    </row>
    <row r="6" spans="1:11" ht="14.1" customHeight="1" x14ac:dyDescent="0.25">
      <c r="A6" s="1295"/>
      <c r="B6" s="412" t="s">
        <v>57</v>
      </c>
      <c r="C6" s="412" t="s">
        <v>58</v>
      </c>
      <c r="D6" s="412" t="s">
        <v>59</v>
      </c>
      <c r="E6" s="412" t="s">
        <v>60</v>
      </c>
      <c r="F6" s="412" t="s">
        <v>507</v>
      </c>
      <c r="G6" s="412" t="s">
        <v>508</v>
      </c>
      <c r="H6" s="412" t="s">
        <v>509</v>
      </c>
      <c r="I6" s="412" t="s">
        <v>639</v>
      </c>
    </row>
    <row r="7" spans="1:11" s="452" customFormat="1" ht="13.5" customHeight="1" x14ac:dyDescent="0.25">
      <c r="A7" s="1295"/>
      <c r="B7" s="1302" t="s">
        <v>348</v>
      </c>
      <c r="C7" s="1306" t="s">
        <v>349</v>
      </c>
      <c r="D7" s="1306" t="s">
        <v>350</v>
      </c>
      <c r="E7" s="1300" t="s">
        <v>351</v>
      </c>
      <c r="F7" s="1301"/>
      <c r="G7" s="1301"/>
      <c r="H7" s="1301"/>
      <c r="I7" s="1302"/>
      <c r="J7" s="451"/>
      <c r="K7" s="451"/>
    </row>
    <row r="8" spans="1:11" s="452" customFormat="1" ht="13.5" customHeight="1" x14ac:dyDescent="0.25">
      <c r="A8" s="1295"/>
      <c r="B8" s="1302"/>
      <c r="C8" s="1306"/>
      <c r="D8" s="1306"/>
      <c r="E8" s="453" t="s">
        <v>352</v>
      </c>
      <c r="F8" s="453" t="s">
        <v>353</v>
      </c>
      <c r="G8" s="453" t="s">
        <v>354</v>
      </c>
      <c r="H8" s="454" t="s">
        <v>355</v>
      </c>
      <c r="I8" s="453" t="s">
        <v>166</v>
      </c>
      <c r="J8" s="455"/>
      <c r="K8" s="455"/>
    </row>
    <row r="9" spans="1:11" s="452" customFormat="1" ht="13.5" customHeight="1" x14ac:dyDescent="0.25">
      <c r="A9" s="420" t="s">
        <v>516</v>
      </c>
      <c r="B9" s="456" t="s">
        <v>356</v>
      </c>
      <c r="C9" s="457"/>
      <c r="D9" s="458"/>
      <c r="E9" s="457"/>
      <c r="F9" s="457"/>
      <c r="G9" s="457"/>
      <c r="H9" s="457"/>
      <c r="I9" s="408"/>
    </row>
    <row r="10" spans="1:11" ht="13.5" customHeight="1" x14ac:dyDescent="0.25">
      <c r="A10" s="420" t="s">
        <v>524</v>
      </c>
      <c r="B10" s="459" t="s">
        <v>357</v>
      </c>
    </row>
    <row r="11" spans="1:11" ht="13.5" customHeight="1" x14ac:dyDescent="0.25">
      <c r="A11" s="420" t="s">
        <v>525</v>
      </c>
      <c r="B11" s="442" t="s">
        <v>358</v>
      </c>
      <c r="C11" s="443" t="s">
        <v>359</v>
      </c>
      <c r="D11" s="444"/>
      <c r="E11" s="443"/>
      <c r="F11" s="443"/>
      <c r="G11" s="443"/>
      <c r="H11" s="443"/>
    </row>
    <row r="12" spans="1:11" ht="13.5" customHeight="1" x14ac:dyDescent="0.25">
      <c r="A12" s="420" t="s">
        <v>526</v>
      </c>
      <c r="B12" s="442" t="s">
        <v>360</v>
      </c>
      <c r="C12" s="443" t="s">
        <v>361</v>
      </c>
      <c r="D12" s="411" t="s">
        <v>362</v>
      </c>
      <c r="E12" s="445">
        <v>300</v>
      </c>
      <c r="F12" s="445">
        <v>300</v>
      </c>
      <c r="G12" s="445">
        <v>300</v>
      </c>
      <c r="H12" s="445">
        <v>300</v>
      </c>
    </row>
    <row r="13" spans="1:11" ht="13.5" customHeight="1" x14ac:dyDescent="0.25">
      <c r="A13" s="420" t="s">
        <v>527</v>
      </c>
      <c r="B13" s="421" t="s">
        <v>363</v>
      </c>
      <c r="C13" s="422" t="s">
        <v>364</v>
      </c>
      <c r="D13" s="411" t="s">
        <v>362</v>
      </c>
      <c r="E13" s="419">
        <v>100</v>
      </c>
      <c r="F13" s="419">
        <v>100</v>
      </c>
      <c r="G13" s="419">
        <v>100</v>
      </c>
      <c r="H13" s="419">
        <v>100</v>
      </c>
      <c r="I13" s="422">
        <v>100</v>
      </c>
    </row>
    <row r="14" spans="1:11" ht="13.5" customHeight="1" x14ac:dyDescent="0.25">
      <c r="A14" s="420" t="s">
        <v>528</v>
      </c>
      <c r="B14" s="421" t="s">
        <v>365</v>
      </c>
      <c r="C14" s="422" t="s">
        <v>366</v>
      </c>
      <c r="D14" s="411" t="s">
        <v>362</v>
      </c>
      <c r="E14" s="419">
        <v>24554</v>
      </c>
      <c r="F14" s="419">
        <v>19393</v>
      </c>
      <c r="G14" s="419"/>
      <c r="H14" s="419">
        <v>24241</v>
      </c>
      <c r="I14" s="422">
        <v>24250</v>
      </c>
    </row>
    <row r="15" spans="1:11" ht="13.5" customHeight="1" x14ac:dyDescent="0.25">
      <c r="A15" s="420" t="s">
        <v>529</v>
      </c>
      <c r="B15" s="421" t="s">
        <v>367</v>
      </c>
      <c r="C15" s="422" t="s">
        <v>368</v>
      </c>
      <c r="D15" s="411" t="s">
        <v>362</v>
      </c>
      <c r="E15" s="419"/>
      <c r="F15" s="419"/>
      <c r="G15" s="419"/>
      <c r="H15" s="419"/>
    </row>
    <row r="16" spans="1:11" ht="13.5" customHeight="1" x14ac:dyDescent="0.25">
      <c r="A16" s="420" t="s">
        <v>530</v>
      </c>
      <c r="B16" s="421" t="s">
        <v>369</v>
      </c>
      <c r="C16" s="422" t="s">
        <v>370</v>
      </c>
      <c r="D16" s="411" t="s">
        <v>362</v>
      </c>
      <c r="E16" s="419">
        <v>17280</v>
      </c>
      <c r="F16" s="419">
        <v>17280</v>
      </c>
      <c r="G16" s="419">
        <v>17280</v>
      </c>
      <c r="H16" s="419">
        <v>17280</v>
      </c>
      <c r="I16" s="422">
        <v>17280</v>
      </c>
    </row>
    <row r="17" spans="1:13" ht="13.5" customHeight="1" x14ac:dyDescent="0.25">
      <c r="A17" s="420" t="s">
        <v>531</v>
      </c>
      <c r="B17" s="421" t="s">
        <v>371</v>
      </c>
      <c r="C17" s="422" t="s">
        <v>372</v>
      </c>
      <c r="D17" s="411" t="s">
        <v>362</v>
      </c>
      <c r="E17" s="419">
        <v>32739</v>
      </c>
      <c r="F17" s="419">
        <v>25858</v>
      </c>
      <c r="G17" s="419"/>
      <c r="H17" s="419">
        <v>27321</v>
      </c>
      <c r="I17" s="422">
        <v>27350</v>
      </c>
    </row>
    <row r="18" spans="1:13" ht="13.5" customHeight="1" x14ac:dyDescent="0.25">
      <c r="A18" s="420" t="s">
        <v>573</v>
      </c>
      <c r="B18" s="421"/>
      <c r="C18" s="422" t="s">
        <v>373</v>
      </c>
      <c r="D18" s="411" t="s">
        <v>362</v>
      </c>
      <c r="E18" s="419"/>
      <c r="F18" s="419"/>
      <c r="G18" s="419"/>
      <c r="H18" s="419"/>
    </row>
    <row r="19" spans="1:13" ht="13.5" customHeight="1" x14ac:dyDescent="0.25">
      <c r="A19" s="420" t="s">
        <v>574</v>
      </c>
      <c r="B19" s="421"/>
      <c r="C19" s="422" t="s">
        <v>374</v>
      </c>
      <c r="D19" s="411" t="s">
        <v>362</v>
      </c>
      <c r="E19" s="419">
        <v>23050</v>
      </c>
      <c r="F19" s="419">
        <v>23050</v>
      </c>
      <c r="G19" s="419">
        <v>23050</v>
      </c>
      <c r="H19" s="419">
        <v>23050</v>
      </c>
      <c r="I19" s="422">
        <v>23050</v>
      </c>
    </row>
    <row r="20" spans="1:13" ht="18" customHeight="1" x14ac:dyDescent="0.25">
      <c r="A20" s="420" t="s">
        <v>575</v>
      </c>
      <c r="B20" s="421" t="s">
        <v>375</v>
      </c>
      <c r="C20" s="422" t="s">
        <v>376</v>
      </c>
      <c r="D20" s="411" t="s">
        <v>362</v>
      </c>
      <c r="E20" s="419">
        <v>9</v>
      </c>
      <c r="F20" s="419">
        <v>9</v>
      </c>
      <c r="G20" s="419">
        <v>9</v>
      </c>
      <c r="H20" s="419">
        <v>9</v>
      </c>
      <c r="I20" s="422">
        <v>9</v>
      </c>
    </row>
    <row r="21" spans="1:13" ht="13.5" customHeight="1" x14ac:dyDescent="0.25">
      <c r="A21" s="420" t="s">
        <v>576</v>
      </c>
      <c r="B21" s="421" t="s">
        <v>377</v>
      </c>
      <c r="C21" s="422" t="s">
        <v>378</v>
      </c>
      <c r="D21" s="411" t="s">
        <v>362</v>
      </c>
      <c r="E21" s="419">
        <v>50</v>
      </c>
      <c r="F21" s="419">
        <v>50</v>
      </c>
      <c r="G21" s="419">
        <v>50</v>
      </c>
      <c r="H21" s="419">
        <v>100</v>
      </c>
      <c r="I21" s="422">
        <v>100</v>
      </c>
    </row>
    <row r="22" spans="1:13" ht="21" customHeight="1" x14ac:dyDescent="0.25">
      <c r="A22" s="420" t="s">
        <v>577</v>
      </c>
      <c r="B22" s="421" t="s">
        <v>379</v>
      </c>
      <c r="C22" s="422" t="s">
        <v>380</v>
      </c>
      <c r="D22" s="423" t="s">
        <v>362</v>
      </c>
      <c r="E22" s="419">
        <v>875</v>
      </c>
      <c r="F22" s="419">
        <v>875</v>
      </c>
      <c r="G22" s="419">
        <v>875</v>
      </c>
      <c r="H22" s="419">
        <v>875</v>
      </c>
      <c r="I22" s="422">
        <v>875</v>
      </c>
    </row>
    <row r="23" spans="1:13" s="415" customFormat="1" ht="30" x14ac:dyDescent="0.25">
      <c r="A23" s="420" t="s">
        <v>578</v>
      </c>
      <c r="B23" s="424" t="s">
        <v>381</v>
      </c>
      <c r="C23" s="446" t="s">
        <v>382</v>
      </c>
      <c r="D23" s="426" t="s">
        <v>362</v>
      </c>
      <c r="E23" s="447">
        <v>129</v>
      </c>
      <c r="F23" s="447">
        <v>129</v>
      </c>
      <c r="G23" s="447">
        <v>129</v>
      </c>
      <c r="H23" s="447">
        <v>193</v>
      </c>
      <c r="I23" s="432">
        <v>193</v>
      </c>
      <c r="J23" s="439"/>
      <c r="K23" s="448"/>
      <c r="M23" s="449"/>
    </row>
    <row r="24" spans="1:13" ht="17.25" customHeight="1" x14ac:dyDescent="0.25">
      <c r="A24" s="420" t="s">
        <v>579</v>
      </c>
      <c r="B24" s="421" t="s">
        <v>117</v>
      </c>
      <c r="C24" s="422" t="s">
        <v>383</v>
      </c>
      <c r="D24" s="423" t="s">
        <v>362</v>
      </c>
      <c r="E24" s="419">
        <v>125</v>
      </c>
      <c r="F24" s="419">
        <v>125</v>
      </c>
      <c r="G24" s="419">
        <v>125</v>
      </c>
      <c r="H24" s="419">
        <v>147</v>
      </c>
      <c r="I24" s="422">
        <v>147</v>
      </c>
    </row>
    <row r="25" spans="1:13" ht="15.75" customHeight="1" x14ac:dyDescent="0.25">
      <c r="A25" s="420" t="s">
        <v>580</v>
      </c>
      <c r="B25" s="421"/>
      <c r="C25" s="422" t="s">
        <v>384</v>
      </c>
      <c r="D25" s="423" t="s">
        <v>362</v>
      </c>
      <c r="E25" s="419">
        <v>54</v>
      </c>
      <c r="F25" s="419">
        <v>54</v>
      </c>
      <c r="G25" s="419">
        <v>54</v>
      </c>
      <c r="H25" s="419">
        <v>54</v>
      </c>
      <c r="I25" s="422">
        <v>54</v>
      </c>
    </row>
    <row r="26" spans="1:13" ht="13.5" customHeight="1" x14ac:dyDescent="0.25">
      <c r="A26" s="420" t="s">
        <v>582</v>
      </c>
      <c r="B26" s="421" t="s">
        <v>385</v>
      </c>
      <c r="C26" s="422" t="s">
        <v>386</v>
      </c>
      <c r="D26" s="423" t="s">
        <v>362</v>
      </c>
      <c r="E26" s="419">
        <v>100</v>
      </c>
      <c r="F26" s="419">
        <v>100</v>
      </c>
      <c r="G26" s="419">
        <v>100</v>
      </c>
      <c r="H26" s="419">
        <v>100</v>
      </c>
      <c r="I26" s="422">
        <v>100</v>
      </c>
    </row>
    <row r="27" spans="1:13" ht="13.5" customHeight="1" x14ac:dyDescent="0.25">
      <c r="A27" s="420" t="s">
        <v>583</v>
      </c>
      <c r="B27" s="421" t="s">
        <v>387</v>
      </c>
      <c r="C27" s="422" t="s">
        <v>388</v>
      </c>
      <c r="D27" s="423" t="s">
        <v>362</v>
      </c>
      <c r="E27" s="419">
        <v>1575</v>
      </c>
      <c r="F27" s="419">
        <v>1575</v>
      </c>
      <c r="G27" s="419">
        <v>1575</v>
      </c>
      <c r="H27" s="419">
        <v>1575</v>
      </c>
      <c r="I27" s="422">
        <v>1575</v>
      </c>
    </row>
    <row r="28" spans="1:13" ht="13.5" customHeight="1" x14ac:dyDescent="0.25">
      <c r="A28" s="420" t="s">
        <v>584</v>
      </c>
      <c r="B28" s="421" t="s">
        <v>389</v>
      </c>
      <c r="C28" s="422" t="s">
        <v>390</v>
      </c>
      <c r="D28" s="423" t="s">
        <v>362</v>
      </c>
      <c r="E28" s="419">
        <v>60</v>
      </c>
      <c r="F28" s="419">
        <v>60</v>
      </c>
      <c r="G28" s="419">
        <v>60</v>
      </c>
      <c r="H28" s="419">
        <v>60</v>
      </c>
      <c r="I28" s="422">
        <v>60</v>
      </c>
    </row>
    <row r="29" spans="1:13" ht="13.5" customHeight="1" x14ac:dyDescent="0.25">
      <c r="A29" s="420" t="s">
        <v>585</v>
      </c>
      <c r="B29" s="421" t="s">
        <v>391</v>
      </c>
      <c r="C29" s="422" t="s">
        <v>392</v>
      </c>
      <c r="D29" s="411" t="s">
        <v>362</v>
      </c>
      <c r="E29" s="419">
        <v>2900</v>
      </c>
      <c r="F29" s="419">
        <v>2900</v>
      </c>
      <c r="G29" s="419">
        <v>2900</v>
      </c>
      <c r="H29" s="419">
        <v>2000</v>
      </c>
      <c r="I29" s="422">
        <v>2000</v>
      </c>
    </row>
    <row r="30" spans="1:13" ht="18" customHeight="1" x14ac:dyDescent="0.25">
      <c r="A30" s="420" t="s">
        <v>586</v>
      </c>
      <c r="B30" s="424" t="s">
        <v>393</v>
      </c>
      <c r="C30" s="425" t="s">
        <v>394</v>
      </c>
      <c r="D30" s="426" t="s">
        <v>362</v>
      </c>
      <c r="E30" s="427">
        <v>383</v>
      </c>
      <c r="F30" s="427">
        <v>383</v>
      </c>
      <c r="G30" s="427">
        <v>383</v>
      </c>
      <c r="H30" s="427">
        <v>250</v>
      </c>
      <c r="I30" s="422">
        <v>250</v>
      </c>
    </row>
    <row r="31" spans="1:13" ht="18" customHeight="1" x14ac:dyDescent="0.25">
      <c r="A31" s="420" t="s">
        <v>587</v>
      </c>
      <c r="B31" s="424"/>
      <c r="C31" s="425" t="s">
        <v>118</v>
      </c>
      <c r="D31" s="426"/>
      <c r="E31" s="427"/>
      <c r="F31" s="427"/>
      <c r="G31" s="427"/>
      <c r="H31" s="427">
        <v>2980</v>
      </c>
      <c r="I31" s="422">
        <v>2980</v>
      </c>
    </row>
    <row r="32" spans="1:13" ht="18" customHeight="1" x14ac:dyDescent="0.25">
      <c r="A32" s="420" t="s">
        <v>588</v>
      </c>
      <c r="B32" s="424" t="s">
        <v>119</v>
      </c>
      <c r="C32" s="425" t="s">
        <v>120</v>
      </c>
      <c r="D32" s="426" t="s">
        <v>362</v>
      </c>
      <c r="E32" s="427"/>
      <c r="F32" s="427"/>
      <c r="G32" s="427">
        <v>248</v>
      </c>
      <c r="H32" s="427">
        <v>248</v>
      </c>
      <c r="I32" s="422">
        <v>248</v>
      </c>
    </row>
    <row r="33" spans="1:13" ht="15.75" x14ac:dyDescent="0.25">
      <c r="A33" s="420" t="s">
        <v>589</v>
      </c>
      <c r="B33" s="422" t="s">
        <v>395</v>
      </c>
      <c r="C33" s="422" t="s">
        <v>396</v>
      </c>
      <c r="D33" s="411" t="s">
        <v>397</v>
      </c>
      <c r="E33" s="422">
        <v>1936</v>
      </c>
      <c r="F33" s="422">
        <v>1718</v>
      </c>
      <c r="G33" s="422">
        <v>1718</v>
      </c>
      <c r="H33" s="422">
        <v>1650</v>
      </c>
      <c r="I33" s="422">
        <v>1650</v>
      </c>
    </row>
    <row r="34" spans="1:13" ht="17.25" customHeight="1" x14ac:dyDescent="0.25">
      <c r="A34" s="420" t="s">
        <v>611</v>
      </c>
      <c r="B34" s="421" t="s">
        <v>398</v>
      </c>
      <c r="C34" s="422" t="s">
        <v>399</v>
      </c>
      <c r="D34" s="411" t="s">
        <v>362</v>
      </c>
      <c r="E34" s="419">
        <v>2500</v>
      </c>
      <c r="F34" s="419">
        <v>2500</v>
      </c>
      <c r="G34" s="419">
        <v>2500</v>
      </c>
      <c r="H34" s="419">
        <v>2500</v>
      </c>
      <c r="I34" s="422">
        <v>2500</v>
      </c>
    </row>
    <row r="35" spans="1:13" ht="20.25" customHeight="1" x14ac:dyDescent="0.25">
      <c r="A35" s="420" t="s">
        <v>612</v>
      </c>
      <c r="B35" s="421" t="s">
        <v>400</v>
      </c>
      <c r="C35" s="422" t="s">
        <v>401</v>
      </c>
      <c r="D35" s="423">
        <v>42124</v>
      </c>
      <c r="E35" s="419">
        <v>1250</v>
      </c>
      <c r="F35" s="419">
        <v>1250</v>
      </c>
      <c r="G35" s="435">
        <v>1250</v>
      </c>
      <c r="H35" s="435">
        <v>312</v>
      </c>
    </row>
    <row r="36" spans="1:13" ht="13.5" customHeight="1" x14ac:dyDescent="0.25">
      <c r="A36" s="420" t="s">
        <v>613</v>
      </c>
      <c r="B36" s="421"/>
      <c r="C36" s="422" t="s">
        <v>402</v>
      </c>
      <c r="D36" s="411" t="s">
        <v>362</v>
      </c>
      <c r="E36" s="419">
        <v>200</v>
      </c>
      <c r="F36" s="419">
        <v>200</v>
      </c>
      <c r="G36" s="419">
        <v>258</v>
      </c>
      <c r="H36" s="419">
        <v>258</v>
      </c>
      <c r="I36" s="422">
        <v>258</v>
      </c>
    </row>
    <row r="37" spans="1:13" ht="13.5" customHeight="1" x14ac:dyDescent="0.25">
      <c r="A37" s="420" t="s">
        <v>614</v>
      </c>
      <c r="B37" s="421" t="s">
        <v>403</v>
      </c>
      <c r="C37" s="422" t="s">
        <v>404</v>
      </c>
      <c r="D37" s="411" t="s">
        <v>362</v>
      </c>
      <c r="E37" s="419">
        <v>994</v>
      </c>
      <c r="F37" s="419">
        <v>994</v>
      </c>
      <c r="G37" s="419">
        <v>994</v>
      </c>
      <c r="H37" s="419">
        <v>994</v>
      </c>
      <c r="I37" s="422">
        <v>971</v>
      </c>
    </row>
    <row r="38" spans="1:13" ht="13.5" customHeight="1" x14ac:dyDescent="0.25">
      <c r="A38" s="420" t="s">
        <v>615</v>
      </c>
      <c r="B38" s="421" t="s">
        <v>121</v>
      </c>
      <c r="C38" s="422" t="s">
        <v>122</v>
      </c>
      <c r="D38" s="411" t="s">
        <v>362</v>
      </c>
      <c r="E38" s="419">
        <v>750</v>
      </c>
      <c r="F38" s="419">
        <v>750</v>
      </c>
      <c r="G38" s="419">
        <v>762</v>
      </c>
      <c r="H38" s="419">
        <v>762</v>
      </c>
      <c r="I38" s="422">
        <v>762</v>
      </c>
    </row>
    <row r="39" spans="1:13" ht="15.75" x14ac:dyDescent="0.25">
      <c r="A39" s="420" t="s">
        <v>616</v>
      </c>
      <c r="B39" s="421" t="s">
        <v>405</v>
      </c>
      <c r="C39" s="422" t="s">
        <v>406</v>
      </c>
      <c r="D39" s="423" t="s">
        <v>362</v>
      </c>
      <c r="E39" s="411">
        <v>330</v>
      </c>
      <c r="F39" s="422">
        <v>330</v>
      </c>
      <c r="G39" s="422">
        <v>330</v>
      </c>
      <c r="H39" s="422">
        <v>330</v>
      </c>
      <c r="I39" s="422">
        <v>330</v>
      </c>
      <c r="K39" s="436"/>
      <c r="M39" s="414"/>
    </row>
    <row r="40" spans="1:13" ht="15.75" x14ac:dyDescent="0.25">
      <c r="A40" s="420" t="s">
        <v>617</v>
      </c>
      <c r="B40" s="421" t="s">
        <v>407</v>
      </c>
      <c r="C40" s="422" t="s">
        <v>408</v>
      </c>
      <c r="D40" s="423" t="s">
        <v>362</v>
      </c>
      <c r="E40" s="411">
        <v>930</v>
      </c>
      <c r="F40" s="422">
        <v>930</v>
      </c>
      <c r="G40" s="422">
        <v>930</v>
      </c>
      <c r="H40" s="422">
        <v>930</v>
      </c>
      <c r="I40" s="422">
        <v>930</v>
      </c>
      <c r="K40" s="436"/>
      <c r="M40" s="414"/>
    </row>
    <row r="41" spans="1:13" ht="15.75" x14ac:dyDescent="0.25">
      <c r="A41" s="420" t="s">
        <v>618</v>
      </c>
      <c r="B41" s="421" t="s">
        <v>123</v>
      </c>
      <c r="C41" s="422" t="s">
        <v>124</v>
      </c>
      <c r="D41" s="423" t="s">
        <v>362</v>
      </c>
      <c r="E41" s="411"/>
      <c r="G41" s="422">
        <v>823</v>
      </c>
      <c r="H41" s="422">
        <v>823</v>
      </c>
      <c r="I41" s="422">
        <v>823</v>
      </c>
      <c r="K41" s="436"/>
      <c r="M41" s="414"/>
    </row>
    <row r="42" spans="1:13" ht="14.1" customHeight="1" x14ac:dyDescent="0.25">
      <c r="A42" s="420" t="s">
        <v>619</v>
      </c>
      <c r="B42" s="422" t="s">
        <v>409</v>
      </c>
      <c r="C42" s="422" t="s">
        <v>410</v>
      </c>
      <c r="D42" s="411" t="s">
        <v>362</v>
      </c>
      <c r="E42" s="422">
        <v>16</v>
      </c>
      <c r="F42" s="422">
        <v>16</v>
      </c>
      <c r="G42" s="422">
        <v>16</v>
      </c>
      <c r="H42" s="422">
        <v>16</v>
      </c>
      <c r="I42" s="422">
        <v>16</v>
      </c>
    </row>
    <row r="43" spans="1:13" s="415" customFormat="1" ht="30" x14ac:dyDescent="0.25">
      <c r="A43" s="420" t="s">
        <v>674</v>
      </c>
      <c r="B43" s="428" t="s">
        <v>411</v>
      </c>
      <c r="C43" s="437" t="s">
        <v>412</v>
      </c>
      <c r="D43" s="430" t="s">
        <v>362</v>
      </c>
      <c r="E43" s="438">
        <v>40</v>
      </c>
      <c r="F43" s="438">
        <v>40</v>
      </c>
      <c r="G43" s="438">
        <v>40</v>
      </c>
      <c r="H43" s="438">
        <v>40</v>
      </c>
      <c r="I43" s="432">
        <v>40</v>
      </c>
      <c r="J43" s="439"/>
      <c r="K43" s="440"/>
      <c r="M43" s="416"/>
    </row>
    <row r="44" spans="1:13" s="415" customFormat="1" ht="18" customHeight="1" x14ac:dyDescent="0.25">
      <c r="A44" s="420" t="s">
        <v>675</v>
      </c>
      <c r="B44" s="428" t="s">
        <v>413</v>
      </c>
      <c r="C44" s="437" t="s">
        <v>414</v>
      </c>
      <c r="D44" s="430" t="s">
        <v>362</v>
      </c>
      <c r="E44" s="438">
        <v>994</v>
      </c>
      <c r="F44" s="438">
        <v>994</v>
      </c>
      <c r="G44" s="438">
        <v>994</v>
      </c>
      <c r="H44" s="432">
        <v>994</v>
      </c>
      <c r="I44" s="432">
        <v>994</v>
      </c>
      <c r="J44" s="439"/>
      <c r="K44" s="440"/>
      <c r="M44" s="416"/>
    </row>
    <row r="45" spans="1:13" s="415" customFormat="1" ht="15.75" x14ac:dyDescent="0.25">
      <c r="A45" s="420" t="s">
        <v>676</v>
      </c>
      <c r="B45" s="428" t="s">
        <v>415</v>
      </c>
      <c r="C45" s="437" t="s">
        <v>416</v>
      </c>
      <c r="D45" s="430" t="s">
        <v>362</v>
      </c>
      <c r="E45" s="438">
        <v>176</v>
      </c>
      <c r="F45" s="438">
        <v>176</v>
      </c>
      <c r="G45" s="438">
        <v>176</v>
      </c>
      <c r="H45" s="432">
        <v>176</v>
      </c>
      <c r="I45" s="432">
        <v>176</v>
      </c>
      <c r="J45" s="439"/>
      <c r="K45" s="440"/>
      <c r="M45" s="416"/>
    </row>
    <row r="46" spans="1:13" ht="13.5" customHeight="1" x14ac:dyDescent="0.25">
      <c r="A46" s="420" t="s">
        <v>677</v>
      </c>
      <c r="B46" s="424" t="s">
        <v>417</v>
      </c>
      <c r="C46" s="425" t="s">
        <v>418</v>
      </c>
      <c r="D46" s="426" t="s">
        <v>362</v>
      </c>
      <c r="E46" s="427">
        <v>199</v>
      </c>
      <c r="F46" s="427">
        <v>199</v>
      </c>
      <c r="G46" s="420">
        <v>199</v>
      </c>
      <c r="H46" s="427">
        <v>199</v>
      </c>
      <c r="I46" s="422">
        <v>199</v>
      </c>
    </row>
    <row r="47" spans="1:13" ht="13.5" customHeight="1" x14ac:dyDescent="0.25">
      <c r="A47" s="420" t="s">
        <v>125</v>
      </c>
      <c r="B47" s="424" t="s">
        <v>419</v>
      </c>
      <c r="C47" s="425" t="s">
        <v>420</v>
      </c>
      <c r="D47" s="426" t="s">
        <v>362</v>
      </c>
      <c r="E47" s="427">
        <v>1863</v>
      </c>
      <c r="F47" s="427">
        <v>1863</v>
      </c>
      <c r="G47" s="427">
        <v>1863</v>
      </c>
      <c r="H47" s="427">
        <v>1863</v>
      </c>
      <c r="I47" s="422">
        <v>1900</v>
      </c>
    </row>
    <row r="48" spans="1:13" ht="13.5" customHeight="1" x14ac:dyDescent="0.25">
      <c r="A48" s="420" t="s">
        <v>703</v>
      </c>
      <c r="B48" s="424" t="s">
        <v>126</v>
      </c>
      <c r="C48" s="425" t="s">
        <v>127</v>
      </c>
      <c r="D48" s="426" t="s">
        <v>362</v>
      </c>
      <c r="E48" s="427"/>
      <c r="F48" s="427"/>
      <c r="G48" s="427">
        <v>29600</v>
      </c>
      <c r="H48" s="427">
        <v>29600</v>
      </c>
      <c r="I48" s="422">
        <v>29600</v>
      </c>
    </row>
    <row r="49" spans="1:13" s="415" customFormat="1" ht="15.75" x14ac:dyDescent="0.25">
      <c r="A49" s="420" t="s">
        <v>704</v>
      </c>
      <c r="B49" s="428" t="s">
        <v>421</v>
      </c>
      <c r="C49" s="429" t="s">
        <v>422</v>
      </c>
      <c r="D49" s="430" t="s">
        <v>362</v>
      </c>
      <c r="E49" s="431">
        <v>3600</v>
      </c>
      <c r="F49" s="431">
        <v>3600</v>
      </c>
      <c r="G49" s="431">
        <v>3600</v>
      </c>
      <c r="H49" s="431">
        <v>6553</v>
      </c>
      <c r="I49" s="432">
        <v>6553</v>
      </c>
      <c r="J49" s="439"/>
      <c r="K49" s="440"/>
      <c r="M49" s="416"/>
    </row>
    <row r="50" spans="1:13" s="415" customFormat="1" ht="15.75" x14ac:dyDescent="0.25">
      <c r="A50" s="420" t="s">
        <v>128</v>
      </c>
      <c r="B50" s="428" t="s">
        <v>423</v>
      </c>
      <c r="C50" s="429" t="s">
        <v>424</v>
      </c>
      <c r="D50" s="430" t="s">
        <v>362</v>
      </c>
      <c r="E50" s="431">
        <v>123</v>
      </c>
      <c r="F50" s="431">
        <v>123</v>
      </c>
      <c r="G50" s="431">
        <v>123</v>
      </c>
      <c r="H50" s="431">
        <v>123</v>
      </c>
      <c r="I50" s="432">
        <v>123</v>
      </c>
      <c r="J50" s="439"/>
      <c r="K50" s="440"/>
      <c r="M50" s="416"/>
    </row>
    <row r="51" spans="1:13" ht="14.1" customHeight="1" x14ac:dyDescent="0.25">
      <c r="A51" s="420" t="s">
        <v>129</v>
      </c>
      <c r="B51" s="422" t="s">
        <v>425</v>
      </c>
      <c r="C51" s="422" t="s">
        <v>426</v>
      </c>
      <c r="D51" s="411" t="s">
        <v>362</v>
      </c>
      <c r="E51" s="422">
        <v>225</v>
      </c>
      <c r="F51" s="422">
        <v>225</v>
      </c>
      <c r="G51" s="422">
        <v>225</v>
      </c>
      <c r="H51" s="422">
        <v>241</v>
      </c>
      <c r="I51" s="422">
        <v>241</v>
      </c>
    </row>
    <row r="52" spans="1:13" ht="14.1" customHeight="1" x14ac:dyDescent="0.25">
      <c r="A52" s="420" t="s">
        <v>130</v>
      </c>
      <c r="B52" s="422" t="s">
        <v>131</v>
      </c>
      <c r="C52" s="422" t="s">
        <v>132</v>
      </c>
      <c r="D52" s="411" t="s">
        <v>463</v>
      </c>
      <c r="G52" s="422">
        <v>600</v>
      </c>
      <c r="H52" s="422">
        <v>1200</v>
      </c>
      <c r="I52" s="422">
        <v>1200</v>
      </c>
    </row>
    <row r="53" spans="1:13" ht="14.1" customHeight="1" x14ac:dyDescent="0.25">
      <c r="A53" s="420" t="s">
        <v>133</v>
      </c>
      <c r="B53" s="422" t="s">
        <v>134</v>
      </c>
      <c r="C53" s="422" t="s">
        <v>135</v>
      </c>
      <c r="D53" s="411" t="s">
        <v>362</v>
      </c>
      <c r="H53" s="422">
        <v>243</v>
      </c>
      <c r="I53" s="422">
        <v>243</v>
      </c>
    </row>
    <row r="54" spans="1:13" ht="14.1" customHeight="1" x14ac:dyDescent="0.25">
      <c r="A54" s="420" t="s">
        <v>136</v>
      </c>
      <c r="B54" s="422" t="s">
        <v>427</v>
      </c>
      <c r="C54" s="422" t="s">
        <v>428</v>
      </c>
      <c r="D54" s="411" t="s">
        <v>362</v>
      </c>
      <c r="E54" s="422">
        <v>26</v>
      </c>
      <c r="F54" s="422">
        <v>26</v>
      </c>
      <c r="G54" s="422">
        <v>26</v>
      </c>
      <c r="H54" s="422">
        <v>26</v>
      </c>
      <c r="I54" s="422">
        <v>26</v>
      </c>
    </row>
    <row r="55" spans="1:13" s="415" customFormat="1" ht="15.75" x14ac:dyDescent="0.25">
      <c r="A55" s="420" t="s">
        <v>137</v>
      </c>
      <c r="B55" s="428" t="s">
        <v>429</v>
      </c>
      <c r="C55" s="429" t="s">
        <v>430</v>
      </c>
      <c r="D55" s="430" t="s">
        <v>362</v>
      </c>
      <c r="E55" s="431">
        <v>5</v>
      </c>
      <c r="F55" s="431">
        <v>5</v>
      </c>
      <c r="G55" s="431">
        <v>5</v>
      </c>
      <c r="H55" s="432">
        <v>5</v>
      </c>
      <c r="I55" s="432">
        <v>5</v>
      </c>
      <c r="J55" s="439"/>
      <c r="K55" s="440"/>
      <c r="M55" s="416"/>
    </row>
    <row r="56" spans="1:13" s="417" customFormat="1" ht="13.5" customHeight="1" x14ac:dyDescent="0.25">
      <c r="A56" s="420" t="s">
        <v>138</v>
      </c>
      <c r="B56" s="428" t="s">
        <v>431</v>
      </c>
      <c r="C56" s="429" t="s">
        <v>432</v>
      </c>
      <c r="D56" s="430" t="s">
        <v>362</v>
      </c>
      <c r="E56" s="431">
        <v>250</v>
      </c>
      <c r="F56" s="431">
        <v>250</v>
      </c>
      <c r="G56" s="431">
        <v>250</v>
      </c>
      <c r="H56" s="431">
        <v>250</v>
      </c>
      <c r="I56" s="432">
        <v>250</v>
      </c>
      <c r="J56" s="433"/>
      <c r="K56" s="434"/>
      <c r="M56" s="418"/>
    </row>
    <row r="57" spans="1:13" s="417" customFormat="1" ht="13.5" customHeight="1" x14ac:dyDescent="0.25">
      <c r="A57" s="420" t="s">
        <v>139</v>
      </c>
      <c r="B57" s="428" t="s">
        <v>140</v>
      </c>
      <c r="C57" s="429" t="s">
        <v>141</v>
      </c>
      <c r="D57" s="430" t="s">
        <v>463</v>
      </c>
      <c r="E57" s="431"/>
      <c r="F57" s="431"/>
      <c r="G57" s="431">
        <v>2439</v>
      </c>
      <c r="H57" s="431">
        <v>3658</v>
      </c>
      <c r="I57" s="432">
        <v>3658</v>
      </c>
      <c r="J57" s="433"/>
      <c r="K57" s="434"/>
      <c r="M57" s="418"/>
    </row>
    <row r="58" spans="1:13" s="417" customFormat="1" ht="13.5" customHeight="1" x14ac:dyDescent="0.25">
      <c r="A58" s="420" t="s">
        <v>142</v>
      </c>
      <c r="B58" s="428" t="s">
        <v>143</v>
      </c>
      <c r="C58" s="429" t="s">
        <v>144</v>
      </c>
      <c r="D58" s="430" t="s">
        <v>463</v>
      </c>
      <c r="E58" s="431"/>
      <c r="F58" s="431"/>
      <c r="G58" s="431">
        <v>2438</v>
      </c>
      <c r="H58" s="431">
        <v>2438</v>
      </c>
      <c r="I58" s="432">
        <v>2438</v>
      </c>
      <c r="J58" s="433"/>
      <c r="K58" s="434"/>
      <c r="M58" s="418"/>
    </row>
    <row r="59" spans="1:13" s="417" customFormat="1" ht="13.5" customHeight="1" x14ac:dyDescent="0.25">
      <c r="A59" s="420" t="s">
        <v>145</v>
      </c>
      <c r="B59" s="428" t="s">
        <v>146</v>
      </c>
      <c r="C59" s="429" t="s">
        <v>147</v>
      </c>
      <c r="D59" s="430" t="s">
        <v>362</v>
      </c>
      <c r="E59" s="431"/>
      <c r="F59" s="431"/>
      <c r="G59" s="431">
        <v>610</v>
      </c>
      <c r="H59" s="431">
        <v>610</v>
      </c>
      <c r="I59" s="432">
        <v>610</v>
      </c>
      <c r="J59" s="433"/>
      <c r="K59" s="434"/>
      <c r="M59" s="418"/>
    </row>
    <row r="60" spans="1:13" s="417" customFormat="1" ht="13.5" customHeight="1" x14ac:dyDescent="0.25">
      <c r="A60" s="420" t="s">
        <v>148</v>
      </c>
      <c r="B60" s="428" t="s">
        <v>433</v>
      </c>
      <c r="C60" s="429" t="s">
        <v>434</v>
      </c>
      <c r="D60" s="430">
        <v>43496</v>
      </c>
      <c r="E60" s="431">
        <v>2865</v>
      </c>
      <c r="F60" s="431">
        <v>2865</v>
      </c>
      <c r="G60" s="431">
        <v>2865</v>
      </c>
      <c r="H60" s="431">
        <v>2865</v>
      </c>
      <c r="I60" s="432">
        <v>2865</v>
      </c>
      <c r="J60" s="433"/>
      <c r="K60" s="434"/>
      <c r="M60" s="418"/>
    </row>
    <row r="61" spans="1:13" s="417" customFormat="1" ht="13.5" customHeight="1" x14ac:dyDescent="0.25">
      <c r="A61" s="420" t="s">
        <v>149</v>
      </c>
      <c r="B61" s="428" t="s">
        <v>150</v>
      </c>
      <c r="C61" s="429" t="s">
        <v>151</v>
      </c>
      <c r="D61" s="430"/>
      <c r="E61" s="431">
        <v>175</v>
      </c>
      <c r="F61" s="431">
        <v>175</v>
      </c>
      <c r="G61" s="431">
        <v>175</v>
      </c>
      <c r="H61" s="431">
        <v>175</v>
      </c>
      <c r="I61" s="432">
        <v>175</v>
      </c>
      <c r="J61" s="433"/>
      <c r="K61" s="434"/>
      <c r="M61" s="418"/>
    </row>
    <row r="62" spans="1:13" s="417" customFormat="1" ht="13.5" customHeight="1" x14ac:dyDescent="0.25">
      <c r="A62" s="420" t="s">
        <v>152</v>
      </c>
      <c r="B62" s="428" t="s">
        <v>435</v>
      </c>
      <c r="C62" s="429" t="s">
        <v>436</v>
      </c>
      <c r="D62" s="430" t="s">
        <v>362</v>
      </c>
      <c r="E62" s="431">
        <v>217</v>
      </c>
      <c r="F62" s="431">
        <v>217</v>
      </c>
      <c r="G62" s="431">
        <v>217</v>
      </c>
      <c r="H62" s="431">
        <v>217</v>
      </c>
      <c r="I62" s="432">
        <v>217</v>
      </c>
      <c r="J62" s="433"/>
      <c r="K62" s="434"/>
      <c r="M62" s="418"/>
    </row>
    <row r="63" spans="1:13" s="417" customFormat="1" ht="13.5" customHeight="1" x14ac:dyDescent="0.25">
      <c r="A63" s="420" t="s">
        <v>153</v>
      </c>
      <c r="B63" s="421" t="s">
        <v>437</v>
      </c>
      <c r="C63" s="441" t="s">
        <v>438</v>
      </c>
      <c r="D63" s="430" t="s">
        <v>362</v>
      </c>
      <c r="E63" s="450">
        <v>15</v>
      </c>
      <c r="F63" s="450">
        <v>15</v>
      </c>
      <c r="G63" s="431">
        <v>15</v>
      </c>
      <c r="H63" s="431">
        <v>15</v>
      </c>
      <c r="I63" s="432">
        <v>15</v>
      </c>
      <c r="J63" s="433"/>
      <c r="K63" s="434"/>
      <c r="M63" s="418"/>
    </row>
    <row r="64" spans="1:13" s="417" customFormat="1" ht="13.5" customHeight="1" x14ac:dyDescent="0.25">
      <c r="A64" s="420" t="s">
        <v>154</v>
      </c>
      <c r="B64" s="421" t="s">
        <v>437</v>
      </c>
      <c r="C64" s="441" t="s">
        <v>439</v>
      </c>
      <c r="D64" s="430" t="s">
        <v>362</v>
      </c>
      <c r="E64" s="450">
        <v>150</v>
      </c>
      <c r="F64" s="450">
        <v>150</v>
      </c>
      <c r="G64" s="431">
        <v>150</v>
      </c>
      <c r="H64" s="431">
        <v>226</v>
      </c>
      <c r="I64" s="432">
        <v>226</v>
      </c>
      <c r="J64" s="433"/>
      <c r="K64" s="434"/>
      <c r="M64" s="418"/>
    </row>
    <row r="65" spans="1:13" s="417" customFormat="1" ht="13.5" customHeight="1" x14ac:dyDescent="0.25">
      <c r="A65" s="420" t="s">
        <v>155</v>
      </c>
      <c r="B65" s="421" t="s">
        <v>440</v>
      </c>
      <c r="C65" s="441" t="s">
        <v>441</v>
      </c>
      <c r="D65" s="430" t="s">
        <v>362</v>
      </c>
      <c r="E65" s="450">
        <v>75</v>
      </c>
      <c r="F65" s="450">
        <v>75</v>
      </c>
      <c r="G65" s="431">
        <v>75</v>
      </c>
      <c r="H65" s="431">
        <v>45</v>
      </c>
      <c r="I65" s="432">
        <v>45</v>
      </c>
      <c r="J65" s="433"/>
      <c r="K65" s="434"/>
      <c r="M65" s="418"/>
    </row>
    <row r="66" spans="1:13" s="417" customFormat="1" ht="13.5" customHeight="1" x14ac:dyDescent="0.25">
      <c r="A66" s="420" t="s">
        <v>156</v>
      </c>
      <c r="B66" s="428"/>
      <c r="C66" s="429" t="s">
        <v>157</v>
      </c>
      <c r="D66" s="430" t="s">
        <v>463</v>
      </c>
      <c r="E66" s="431"/>
      <c r="F66" s="431"/>
      <c r="G66" s="431">
        <v>347</v>
      </c>
      <c r="H66" s="431">
        <v>347</v>
      </c>
      <c r="I66" s="432">
        <v>347</v>
      </c>
      <c r="J66" s="433"/>
      <c r="K66" s="434"/>
      <c r="M66" s="418"/>
    </row>
    <row r="67" spans="1:13" s="417" customFormat="1" ht="13.5" customHeight="1" x14ac:dyDescent="0.25">
      <c r="A67" s="420" t="s">
        <v>158</v>
      </c>
      <c r="B67" s="428" t="s">
        <v>159</v>
      </c>
      <c r="C67" s="429" t="s">
        <v>160</v>
      </c>
      <c r="D67" s="430" t="s">
        <v>463</v>
      </c>
      <c r="E67" s="431"/>
      <c r="F67" s="431"/>
      <c r="G67" s="431">
        <v>54</v>
      </c>
      <c r="H67" s="431">
        <v>216</v>
      </c>
      <c r="I67" s="432">
        <v>216</v>
      </c>
      <c r="J67" s="433"/>
      <c r="K67" s="434"/>
      <c r="M67" s="418"/>
    </row>
    <row r="68" spans="1:13" s="417" customFormat="1" ht="13.5" customHeight="1" x14ac:dyDescent="0.25">
      <c r="A68" s="420" t="s">
        <v>161</v>
      </c>
      <c r="B68" s="428"/>
      <c r="C68" s="429" t="s">
        <v>162</v>
      </c>
      <c r="D68" s="430" t="s">
        <v>463</v>
      </c>
      <c r="E68" s="431"/>
      <c r="F68" s="431"/>
      <c r="G68" s="431">
        <v>380</v>
      </c>
      <c r="H68" s="431">
        <v>380</v>
      </c>
      <c r="I68" s="432">
        <v>380</v>
      </c>
      <c r="J68" s="433"/>
      <c r="K68" s="434"/>
      <c r="M68" s="418"/>
    </row>
    <row r="69" spans="1:13" s="417" customFormat="1" ht="13.5" customHeight="1" x14ac:dyDescent="0.25">
      <c r="A69" s="420" t="s">
        <v>163</v>
      </c>
      <c r="B69" s="428" t="s">
        <v>442</v>
      </c>
      <c r="C69" s="429" t="s">
        <v>443</v>
      </c>
      <c r="D69" s="430" t="s">
        <v>362</v>
      </c>
      <c r="E69" s="431">
        <v>1800</v>
      </c>
      <c r="F69" s="431">
        <v>1800</v>
      </c>
      <c r="G69" s="431">
        <v>1800</v>
      </c>
      <c r="H69" s="431">
        <v>1500</v>
      </c>
      <c r="I69" s="432">
        <v>1500</v>
      </c>
      <c r="J69" s="433"/>
      <c r="K69" s="434"/>
      <c r="M69" s="418"/>
    </row>
    <row r="70" spans="1:13" s="417" customFormat="1" ht="13.5" customHeight="1" x14ac:dyDescent="0.25">
      <c r="A70" s="420" t="s">
        <v>164</v>
      </c>
      <c r="B70" s="428" t="s">
        <v>444</v>
      </c>
      <c r="C70" s="429" t="s">
        <v>445</v>
      </c>
      <c r="D70" s="430" t="s">
        <v>362</v>
      </c>
      <c r="E70" s="431">
        <v>1875</v>
      </c>
      <c r="F70" s="431">
        <v>2000</v>
      </c>
      <c r="G70" s="431">
        <v>2000</v>
      </c>
      <c r="H70" s="431">
        <v>1700</v>
      </c>
      <c r="I70" s="432">
        <v>1700</v>
      </c>
      <c r="J70" s="433"/>
      <c r="K70" s="434"/>
      <c r="M70" s="418"/>
    </row>
    <row r="71" spans="1:13" ht="13.5" customHeight="1" x14ac:dyDescent="0.25">
      <c r="A71" s="420" t="s">
        <v>165</v>
      </c>
      <c r="B71" s="1299" t="s">
        <v>446</v>
      </c>
      <c r="C71" s="1299"/>
      <c r="E71" s="460">
        <f>SUM(E12:E70)</f>
        <v>127862</v>
      </c>
      <c r="F71" s="460">
        <f>SUM(F12:F70)</f>
        <v>115727</v>
      </c>
      <c r="G71" s="460">
        <f>SUM(G12:G70)</f>
        <v>108085</v>
      </c>
      <c r="H71" s="460">
        <f>SUM(H12:H70)</f>
        <v>165363</v>
      </c>
      <c r="I71" s="460">
        <f>SUM(I12:I70)</f>
        <v>164803</v>
      </c>
    </row>
    <row r="72" spans="1:13" ht="9.75" customHeight="1" x14ac:dyDescent="0.25">
      <c r="A72" s="420"/>
      <c r="B72" s="408"/>
      <c r="C72" s="421"/>
      <c r="E72" s="419"/>
      <c r="F72" s="419"/>
      <c r="G72" s="419"/>
      <c r="H72" s="419"/>
    </row>
    <row r="73" spans="1:13" ht="6.75" customHeight="1" x14ac:dyDescent="0.25">
      <c r="E73" s="419"/>
      <c r="F73" s="419"/>
      <c r="G73" s="419"/>
      <c r="H73" s="419"/>
    </row>
    <row r="74" spans="1:13" ht="13.5" customHeight="1" x14ac:dyDescent="0.25">
      <c r="E74" s="419"/>
      <c r="F74" s="419"/>
      <c r="G74" s="419"/>
      <c r="H74" s="41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5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94" customWidth="1"/>
    <col min="2" max="2" width="71.7109375" style="394" customWidth="1"/>
    <col min="3" max="3" width="13.5703125" style="394" customWidth="1"/>
    <col min="4" max="4" width="9.140625" style="382"/>
    <col min="5" max="16384" width="9.140625" style="383"/>
  </cols>
  <sheetData>
    <row r="2" spans="1:4" ht="20.100000000000001" customHeight="1" x14ac:dyDescent="0.25">
      <c r="A2" s="383"/>
      <c r="B2" s="1307" t="s">
        <v>1144</v>
      </c>
      <c r="C2" s="1307"/>
    </row>
    <row r="3" spans="1:4" ht="20.100000000000001" customHeight="1" x14ac:dyDescent="0.25">
      <c r="A3" s="383"/>
      <c r="B3" s="477"/>
      <c r="C3" s="477"/>
    </row>
    <row r="4" spans="1:4" ht="20.100000000000001" customHeight="1" x14ac:dyDescent="0.25">
      <c r="A4" s="383"/>
      <c r="B4" s="1309" t="s">
        <v>78</v>
      </c>
      <c r="C4" s="1309"/>
    </row>
    <row r="5" spans="1:4" ht="20.100000000000001" customHeight="1" x14ac:dyDescent="0.25">
      <c r="A5" s="383"/>
      <c r="B5" s="1309" t="s">
        <v>1004</v>
      </c>
      <c r="C5" s="1309"/>
    </row>
    <row r="6" spans="1:4" ht="20.100000000000001" customHeight="1" x14ac:dyDescent="0.25">
      <c r="A6" s="383"/>
      <c r="B6" s="1309" t="s">
        <v>447</v>
      </c>
      <c r="C6" s="1309"/>
    </row>
    <row r="7" spans="1:4" s="385" customFormat="1" ht="20.100000000000001" customHeight="1" x14ac:dyDescent="0.25">
      <c r="B7" s="1309"/>
      <c r="C7" s="1309"/>
      <c r="D7" s="384"/>
    </row>
    <row r="8" spans="1:4" s="385" customFormat="1" ht="20.100000000000001" customHeight="1" x14ac:dyDescent="0.25">
      <c r="B8" s="478"/>
      <c r="C8" s="478"/>
      <c r="D8" s="384"/>
    </row>
    <row r="9" spans="1:4" s="387" customFormat="1" ht="20.100000000000001" customHeight="1" x14ac:dyDescent="0.25">
      <c r="B9" s="479"/>
      <c r="C9" s="480" t="s">
        <v>344</v>
      </c>
      <c r="D9" s="386"/>
    </row>
    <row r="10" spans="1:4" ht="20.100000000000001" customHeight="1" x14ac:dyDescent="0.25">
      <c r="A10" s="1308"/>
      <c r="B10" s="481" t="s">
        <v>57</v>
      </c>
      <c r="C10" s="481" t="s">
        <v>58</v>
      </c>
    </row>
    <row r="11" spans="1:4" s="387" customFormat="1" ht="30.75" customHeight="1" x14ac:dyDescent="0.25">
      <c r="A11" s="1308"/>
      <c r="B11" s="482" t="s">
        <v>86</v>
      </c>
      <c r="C11" s="482" t="s">
        <v>448</v>
      </c>
      <c r="D11" s="386"/>
    </row>
    <row r="12" spans="1:4" ht="22.5" customHeight="1" x14ac:dyDescent="0.25">
      <c r="A12" s="483"/>
      <c r="B12" s="383"/>
      <c r="C12" s="383"/>
    </row>
    <row r="13" spans="1:4" ht="51" customHeight="1" x14ac:dyDescent="0.25">
      <c r="A13" s="484" t="s">
        <v>516</v>
      </c>
      <c r="B13" s="485" t="s">
        <v>1033</v>
      </c>
      <c r="C13" s="787">
        <v>169673</v>
      </c>
    </row>
    <row r="14" spans="1:4" ht="20.100000000000001" customHeight="1" x14ac:dyDescent="0.25">
      <c r="A14" s="483"/>
      <c r="B14" s="383"/>
      <c r="C14" s="788"/>
    </row>
    <row r="15" spans="1:4" ht="35.25" customHeight="1" x14ac:dyDescent="0.25">
      <c r="A15" s="484" t="s">
        <v>524</v>
      </c>
      <c r="B15" s="486" t="s">
        <v>1034</v>
      </c>
      <c r="C15" s="787">
        <v>1676</v>
      </c>
    </row>
    <row r="16" spans="1:4" ht="20.100000000000001" customHeight="1" x14ac:dyDescent="0.25">
      <c r="A16" s="483"/>
      <c r="B16" s="383"/>
      <c r="C16" s="788"/>
    </row>
    <row r="17" spans="1:4" ht="36" customHeight="1" x14ac:dyDescent="0.25">
      <c r="A17" s="484" t="s">
        <v>525</v>
      </c>
      <c r="B17" s="487" t="s">
        <v>449</v>
      </c>
      <c r="C17" s="789">
        <v>226</v>
      </c>
    </row>
    <row r="18" spans="1:4" ht="20.100000000000001" customHeight="1" x14ac:dyDescent="0.25">
      <c r="A18" s="483"/>
      <c r="B18" s="488"/>
      <c r="C18" s="788"/>
    </row>
    <row r="19" spans="1:4" s="385" customFormat="1" ht="20.100000000000001" customHeight="1" x14ac:dyDescent="0.25">
      <c r="A19" s="483" t="s">
        <v>526</v>
      </c>
      <c r="B19" s="385" t="s">
        <v>450</v>
      </c>
      <c r="C19" s="790">
        <f>SUM(C13:C18)</f>
        <v>171575</v>
      </c>
      <c r="D19" s="384"/>
    </row>
    <row r="20" spans="1:4" ht="20.100000000000001" customHeight="1" x14ac:dyDescent="0.25">
      <c r="A20" s="383"/>
      <c r="B20" s="383"/>
      <c r="C20" s="788"/>
    </row>
    <row r="21" spans="1:4" ht="20.100000000000001" customHeight="1" x14ac:dyDescent="0.25">
      <c r="C21" s="395"/>
    </row>
    <row r="22" spans="1:4" ht="20.100000000000001" customHeight="1" x14ac:dyDescent="0.25">
      <c r="C22" s="395"/>
    </row>
    <row r="23" spans="1:4" ht="20.100000000000001" customHeight="1" x14ac:dyDescent="0.25">
      <c r="C23" s="395"/>
    </row>
  </sheetData>
  <mergeCells count="6">
    <mergeCell ref="B2:C2"/>
    <mergeCell ref="A10:A11"/>
    <mergeCell ref="B4:C4"/>
    <mergeCell ref="B5:C5"/>
    <mergeCell ref="B6:C6"/>
    <mergeCell ref="B7:C7"/>
  </mergeCells>
  <phoneticPr fontId="95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zoomScaleNormal="100" workbookViewId="0">
      <selection activeCell="G1" sqref="G1:J1"/>
    </sheetView>
  </sheetViews>
  <sheetFormatPr defaultColWidth="10.28515625" defaultRowHeight="12.75" x14ac:dyDescent="0.2"/>
  <cols>
    <col min="1" max="1" width="3.140625" style="388" customWidth="1"/>
    <col min="2" max="2" width="29.28515625" style="388" customWidth="1"/>
    <col min="3" max="3" width="16.85546875" style="388" bestFit="1" customWidth="1"/>
    <col min="4" max="4" width="15.5703125" style="388" customWidth="1"/>
    <col min="5" max="5" width="9.85546875" style="388" bestFit="1" customWidth="1"/>
    <col min="6" max="6" width="12.85546875" style="388" customWidth="1"/>
    <col min="7" max="8" width="14.5703125" style="388" customWidth="1"/>
    <col min="9" max="9" width="10.7109375" style="388" customWidth="1"/>
    <col min="10" max="10" width="10.5703125" style="388" customWidth="1"/>
    <col min="11" max="11" width="10.28515625" style="388" customWidth="1"/>
    <col min="12" max="12" width="10.28515625" style="388"/>
    <col min="13" max="16384" width="10.28515625" style="393"/>
  </cols>
  <sheetData>
    <row r="1" spans="1:12" s="388" customFormat="1" x14ac:dyDescent="0.2">
      <c r="F1" s="817"/>
      <c r="G1" s="1310" t="s">
        <v>1145</v>
      </c>
      <c r="H1" s="1310"/>
      <c r="I1" s="1310"/>
      <c r="J1" s="1310"/>
    </row>
    <row r="2" spans="1:12" s="388" customFormat="1" ht="14.1" customHeight="1" x14ac:dyDescent="0.2"/>
    <row r="3" spans="1:12" s="388" customFormat="1" ht="15" customHeight="1" x14ac:dyDescent="0.25">
      <c r="B3" s="1312" t="s">
        <v>78</v>
      </c>
      <c r="C3" s="1312"/>
      <c r="D3" s="1312"/>
      <c r="E3" s="1312"/>
      <c r="F3" s="1312"/>
      <c r="G3" s="1312"/>
      <c r="H3" s="1312"/>
      <c r="I3" s="1312"/>
      <c r="J3" s="1312"/>
    </row>
    <row r="4" spans="1:12" s="388" customFormat="1" ht="15" customHeight="1" x14ac:dyDescent="0.25">
      <c r="B4" s="1312" t="s">
        <v>1004</v>
      </c>
      <c r="C4" s="1312"/>
      <c r="D4" s="1312"/>
      <c r="E4" s="1312"/>
      <c r="F4" s="1312"/>
      <c r="G4" s="1312"/>
      <c r="H4" s="1312"/>
      <c r="I4" s="1312"/>
      <c r="J4" s="1312"/>
    </row>
    <row r="5" spans="1:12" s="388" customFormat="1" ht="15" customHeight="1" x14ac:dyDescent="0.25">
      <c r="B5" s="1312" t="s">
        <v>451</v>
      </c>
      <c r="C5" s="1312"/>
      <c r="D5" s="1312"/>
      <c r="E5" s="1312"/>
      <c r="F5" s="1312"/>
      <c r="G5" s="1312"/>
      <c r="H5" s="1312"/>
      <c r="I5" s="1312"/>
      <c r="J5" s="1312"/>
    </row>
    <row r="6" spans="1:12" s="388" customFormat="1" ht="15" customHeight="1" x14ac:dyDescent="0.25">
      <c r="B6" s="1312"/>
      <c r="C6" s="1312"/>
      <c r="D6" s="1312"/>
      <c r="E6" s="1312"/>
      <c r="F6" s="1312"/>
      <c r="G6" s="1312"/>
      <c r="H6" s="1312"/>
      <c r="I6" s="1312"/>
      <c r="J6" s="1312"/>
    </row>
    <row r="7" spans="1:12" s="388" customFormat="1" ht="15" customHeight="1" x14ac:dyDescent="0.25">
      <c r="B7" s="1320" t="s">
        <v>344</v>
      </c>
      <c r="C7" s="1320"/>
      <c r="D7" s="1320"/>
      <c r="E7" s="1320"/>
      <c r="F7" s="1320"/>
      <c r="G7" s="1320"/>
      <c r="H7" s="1320"/>
      <c r="I7" s="1320"/>
      <c r="J7" s="1320"/>
    </row>
    <row r="8" spans="1:12" s="389" customFormat="1" ht="14.1" customHeight="1" x14ac:dyDescent="0.25">
      <c r="A8" s="1311"/>
      <c r="B8" s="816" t="s">
        <v>57</v>
      </c>
      <c r="C8" s="816" t="s">
        <v>58</v>
      </c>
      <c r="D8" s="816" t="s">
        <v>59</v>
      </c>
      <c r="E8" s="816" t="s">
        <v>60</v>
      </c>
      <c r="F8" s="816" t="s">
        <v>507</v>
      </c>
      <c r="G8" s="816" t="s">
        <v>508</v>
      </c>
      <c r="H8" s="816" t="s">
        <v>509</v>
      </c>
      <c r="I8" s="816" t="s">
        <v>639</v>
      </c>
      <c r="J8" s="816" t="s">
        <v>650</v>
      </c>
    </row>
    <row r="9" spans="1:12" s="390" customFormat="1" ht="17.25" customHeight="1" x14ac:dyDescent="0.25">
      <c r="A9" s="1311"/>
      <c r="B9" s="1314" t="s">
        <v>86</v>
      </c>
      <c r="C9" s="1316" t="s">
        <v>452</v>
      </c>
      <c r="D9" s="1316" t="s">
        <v>1049</v>
      </c>
      <c r="E9" s="1314" t="s">
        <v>453</v>
      </c>
      <c r="F9" s="1318" t="s">
        <v>454</v>
      </c>
      <c r="G9" s="1314" t="s">
        <v>455</v>
      </c>
      <c r="H9" s="1316" t="s">
        <v>1050</v>
      </c>
      <c r="I9" s="1313" t="s">
        <v>456</v>
      </c>
      <c r="J9" s="1313"/>
    </row>
    <row r="10" spans="1:12" s="390" customFormat="1" ht="30" customHeight="1" x14ac:dyDescent="0.25">
      <c r="A10" s="1311"/>
      <c r="B10" s="1315"/>
      <c r="C10" s="1317"/>
      <c r="D10" s="1317"/>
      <c r="E10" s="1315"/>
      <c r="F10" s="1319"/>
      <c r="G10" s="1315"/>
      <c r="H10" s="1317"/>
      <c r="I10" s="816" t="s">
        <v>457</v>
      </c>
      <c r="J10" s="816" t="s">
        <v>458</v>
      </c>
    </row>
    <row r="11" spans="1:12" s="389" customFormat="1" ht="16.5" customHeight="1" x14ac:dyDescent="0.25">
      <c r="A11" s="391" t="s">
        <v>516</v>
      </c>
      <c r="B11" s="397" t="s">
        <v>459</v>
      </c>
    </row>
    <row r="12" spans="1:12" s="389" customFormat="1" ht="15" customHeight="1" x14ac:dyDescent="0.25">
      <c r="A12" s="391" t="s">
        <v>524</v>
      </c>
      <c r="B12" s="389" t="s">
        <v>460</v>
      </c>
      <c r="C12" s="398"/>
      <c r="D12" s="398"/>
      <c r="E12" s="399"/>
      <c r="F12" s="399"/>
      <c r="G12" s="399"/>
      <c r="H12" s="398"/>
      <c r="I12" s="399"/>
      <c r="J12" s="399"/>
    </row>
    <row r="13" spans="1:12" s="389" customFormat="1" ht="15" customHeight="1" x14ac:dyDescent="0.25">
      <c r="A13" s="391" t="s">
        <v>525</v>
      </c>
      <c r="B13" s="400" t="s">
        <v>461</v>
      </c>
      <c r="C13" s="401">
        <v>500</v>
      </c>
      <c r="D13" s="402">
        <v>125</v>
      </c>
      <c r="E13" s="403" t="s">
        <v>462</v>
      </c>
      <c r="F13" s="403" t="s">
        <v>463</v>
      </c>
      <c r="G13" s="403" t="s">
        <v>463</v>
      </c>
      <c r="H13" s="402">
        <v>50</v>
      </c>
      <c r="I13" s="404">
        <v>0</v>
      </c>
      <c r="J13" s="403" t="s">
        <v>464</v>
      </c>
    </row>
    <row r="14" spans="1:12" s="390" customFormat="1" ht="15" customHeight="1" x14ac:dyDescent="0.25">
      <c r="A14" s="391" t="s">
        <v>526</v>
      </c>
      <c r="B14" s="400" t="s">
        <v>465</v>
      </c>
      <c r="C14" s="401">
        <v>27130</v>
      </c>
      <c r="D14" s="401">
        <v>16581</v>
      </c>
      <c r="E14" s="403" t="s">
        <v>462</v>
      </c>
      <c r="F14" s="403" t="s">
        <v>463</v>
      </c>
      <c r="G14" s="403" t="s">
        <v>463</v>
      </c>
      <c r="H14" s="401">
        <v>2820</v>
      </c>
      <c r="I14" s="404">
        <v>0</v>
      </c>
      <c r="J14" s="403" t="s">
        <v>464</v>
      </c>
    </row>
    <row r="15" spans="1:12" s="392" customFormat="1" ht="16.5" customHeight="1" x14ac:dyDescent="0.25">
      <c r="A15" s="391" t="s">
        <v>527</v>
      </c>
      <c r="B15" s="390" t="s">
        <v>466</v>
      </c>
      <c r="C15" s="405">
        <f>SUM(C13:C14)</f>
        <v>27630</v>
      </c>
      <c r="D15" s="405">
        <f>SUM(D13:D14)</f>
        <v>16706</v>
      </c>
      <c r="E15" s="406"/>
      <c r="F15" s="406"/>
      <c r="G15" s="406"/>
      <c r="H15" s="405">
        <f>SUM(H13:H14)</f>
        <v>2870</v>
      </c>
      <c r="I15" s="404"/>
      <c r="J15" s="403" t="s">
        <v>464</v>
      </c>
      <c r="K15" s="389"/>
      <c r="L15" s="389"/>
    </row>
  </sheetData>
  <mergeCells count="15">
    <mergeCell ref="G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5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V47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8" customWidth="1"/>
    <col min="2" max="2" width="42.85546875" style="158" customWidth="1"/>
    <col min="3" max="3" width="11" style="159" customWidth="1"/>
    <col min="4" max="4" width="11.42578125" style="159" customWidth="1"/>
    <col min="5" max="5" width="12" style="159" customWidth="1"/>
    <col min="6" max="6" width="37" style="159" customWidth="1"/>
    <col min="7" max="7" width="11.140625" style="159" customWidth="1"/>
    <col min="8" max="8" width="12.85546875" style="159" customWidth="1"/>
    <col min="9" max="9" width="16" style="159" customWidth="1"/>
    <col min="10" max="22" width="9.140625" style="158"/>
    <col min="23" max="16384" width="9.140625" style="10"/>
  </cols>
  <sheetData>
    <row r="1" spans="1:22" ht="12.75" customHeight="1" x14ac:dyDescent="0.2">
      <c r="A1" s="1071" t="s">
        <v>1306</v>
      </c>
      <c r="B1" s="1071"/>
      <c r="C1" s="1071"/>
      <c r="D1" s="1071"/>
      <c r="E1" s="1071"/>
      <c r="F1" s="1071"/>
      <c r="G1" s="1071"/>
      <c r="H1" s="1071"/>
      <c r="I1" s="1071"/>
    </row>
    <row r="2" spans="1:22" x14ac:dyDescent="0.2">
      <c r="B2" s="601"/>
      <c r="I2" s="160"/>
    </row>
    <row r="3" spans="1:22" s="123" customFormat="1" x14ac:dyDescent="0.2">
      <c r="A3" s="161"/>
      <c r="B3" s="1074" t="s">
        <v>54</v>
      </c>
      <c r="C3" s="1074"/>
      <c r="D3" s="1074"/>
      <c r="E3" s="1074"/>
      <c r="F3" s="1074"/>
      <c r="G3" s="1074"/>
      <c r="H3" s="1074"/>
      <c r="I3" s="1074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74" t="s">
        <v>996</v>
      </c>
      <c r="C4" s="1074"/>
      <c r="D4" s="1074"/>
      <c r="E4" s="1074"/>
      <c r="F4" s="1074"/>
      <c r="G4" s="1074"/>
      <c r="H4" s="1074"/>
      <c r="I4" s="1074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ht="12.75" customHeight="1" x14ac:dyDescent="0.2">
      <c r="A5" s="1075" t="s">
        <v>331</v>
      </c>
      <c r="B5" s="1075"/>
      <c r="C5" s="1075"/>
      <c r="D5" s="1075"/>
      <c r="E5" s="1075"/>
      <c r="F5" s="1075"/>
      <c r="G5" s="1075"/>
      <c r="H5" s="1075"/>
      <c r="I5" s="1075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98" t="s">
        <v>56</v>
      </c>
      <c r="B6" s="1080" t="s">
        <v>57</v>
      </c>
      <c r="C6" s="1095" t="s">
        <v>58</v>
      </c>
      <c r="D6" s="1095"/>
      <c r="E6" s="1096"/>
      <c r="F6" s="1" t="s">
        <v>59</v>
      </c>
      <c r="G6" s="1097" t="s">
        <v>60</v>
      </c>
      <c r="H6" s="1097"/>
      <c r="I6" s="1097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99"/>
      <c r="B7" s="1080"/>
      <c r="C7" s="1072" t="s">
        <v>994</v>
      </c>
      <c r="D7" s="1072"/>
      <c r="E7" s="1073"/>
      <c r="F7" s="2"/>
      <c r="G7" s="1072" t="s">
        <v>994</v>
      </c>
      <c r="H7" s="1072"/>
      <c r="I7" s="1072"/>
      <c r="J7" s="161"/>
      <c r="K7" s="161"/>
      <c r="L7" s="161"/>
      <c r="M7" s="161"/>
    </row>
    <row r="8" spans="1:22" s="124" customFormat="1" ht="36.6" customHeight="1" x14ac:dyDescent="0.2">
      <c r="A8" s="1100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620"/>
      <c r="K8" s="191"/>
      <c r="L8" s="191"/>
      <c r="M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5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5">
        <f t="shared" ref="A10:A42" si="0">A9+1</f>
        <v>2</v>
      </c>
      <c r="B10" s="168"/>
      <c r="C10" s="119"/>
      <c r="D10" s="119"/>
      <c r="E10" s="120"/>
      <c r="F10" s="140"/>
      <c r="G10" s="120"/>
      <c r="H10" s="120"/>
      <c r="I10" s="462"/>
      <c r="J10" s="185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38</v>
      </c>
      <c r="C11" s="119">
        <f>Össz.önkor.mérleg.!C14</f>
        <v>425451</v>
      </c>
      <c r="D11" s="119">
        <f>Össz.önkor.mérleg.!D14</f>
        <v>52155</v>
      </c>
      <c r="E11" s="119">
        <f>Össz.önkor.mérleg.!E14</f>
        <v>477606</v>
      </c>
      <c r="F11" s="141" t="s">
        <v>34</v>
      </c>
      <c r="G11" s="174"/>
      <c r="H11" s="174"/>
      <c r="I11" s="464"/>
      <c r="J11" s="185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58" t="s">
        <v>684</v>
      </c>
      <c r="C12" s="119"/>
      <c r="D12" s="169"/>
      <c r="E12" s="169"/>
      <c r="F12" s="140" t="s">
        <v>678</v>
      </c>
      <c r="G12" s="170">
        <f>Össz.önkor.mérleg.!G26</f>
        <v>1965469</v>
      </c>
      <c r="H12" s="170">
        <f>Össz.önkor.mérleg.!H26</f>
        <v>100437.12</v>
      </c>
      <c r="I12" s="464">
        <f>Össz.önkor.mérleg.!I26</f>
        <v>2065906.12</v>
      </c>
      <c r="J12" s="185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158" t="s">
        <v>43</v>
      </c>
      <c r="C13" s="119"/>
      <c r="D13" s="169"/>
      <c r="E13" s="169"/>
      <c r="F13" s="140" t="s">
        <v>31</v>
      </c>
      <c r="G13" s="170">
        <f>Össz.önkor.mérleg.!G27</f>
        <v>27542</v>
      </c>
      <c r="H13" s="170">
        <f>Össz.önkor.mérleg.!H27</f>
        <v>7412</v>
      </c>
      <c r="I13" s="464">
        <f>SUM(G13:H13)</f>
        <v>34954</v>
      </c>
      <c r="J13" s="185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168" t="s">
        <v>44</v>
      </c>
      <c r="C14" s="119">
        <f>Össz.önkor.mérleg.!C17</f>
        <v>0</v>
      </c>
      <c r="D14" s="130">
        <f>Össz.önkor.mérleg.!D23</f>
        <v>1070</v>
      </c>
      <c r="E14" s="119">
        <f>Össz.önkor.mérleg.!E23</f>
        <v>1070</v>
      </c>
      <c r="F14" s="140" t="s">
        <v>32</v>
      </c>
      <c r="G14" s="170">
        <f>Össz.önkor.mérleg.!G28</f>
        <v>0</v>
      </c>
      <c r="H14" s="170">
        <f>Össz.önkor.mérleg.!H28</f>
        <v>0</v>
      </c>
      <c r="I14" s="464">
        <f>SUM(G14:H14)</f>
        <v>0</v>
      </c>
      <c r="J14" s="185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 t="s">
        <v>45</v>
      </c>
      <c r="C15" s="119">
        <f>Össz.önkor.mérleg.!C24</f>
        <v>945</v>
      </c>
      <c r="D15" s="119">
        <f>Össz.önkor.mérleg.!D24</f>
        <v>0</v>
      </c>
      <c r="E15" s="119">
        <f>Össz.önkor.mérleg.!E24</f>
        <v>945</v>
      </c>
      <c r="F15" s="140" t="s">
        <v>481</v>
      </c>
      <c r="G15" s="170">
        <f>Össz.önkor.mérleg.!G29</f>
        <v>0</v>
      </c>
      <c r="H15" s="170">
        <f>Össz.önkor.mérleg.!H29</f>
        <v>50</v>
      </c>
      <c r="I15" s="464">
        <f>SUM(G15:H15)</f>
        <v>50</v>
      </c>
      <c r="J15" s="185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17" t="s">
        <v>46</v>
      </c>
      <c r="C16" s="119">
        <f>Össz.önkor.mérleg.!C20</f>
        <v>0</v>
      </c>
      <c r="D16" s="120">
        <f>Össz.önkor.mérleg.!D25</f>
        <v>2270</v>
      </c>
      <c r="E16" s="119">
        <f>Össz.önkor.mérleg.!E25</f>
        <v>2270</v>
      </c>
      <c r="F16" s="140" t="s">
        <v>478</v>
      </c>
      <c r="G16" s="170">
        <f>Össz.önkor.mérleg.!G30</f>
        <v>90531</v>
      </c>
      <c r="H16" s="170">
        <f>Össz.önkor.mérleg.!H30</f>
        <v>15232</v>
      </c>
      <c r="I16" s="464">
        <f>Össz.önkor.mérleg.!I30</f>
        <v>105763</v>
      </c>
      <c r="J16" s="185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68" t="s">
        <v>47</v>
      </c>
      <c r="C17" s="119">
        <f>Össz.önkor.mérleg.!C21</f>
        <v>0</v>
      </c>
      <c r="D17" s="120"/>
      <c r="E17" s="120"/>
      <c r="F17" s="140" t="s">
        <v>474</v>
      </c>
      <c r="G17" s="170">
        <f>Össz.önkor.mérleg.!G31</f>
        <v>154958</v>
      </c>
      <c r="H17" s="170">
        <f>Össz.önkor.mérleg.!H31</f>
        <v>0</v>
      </c>
      <c r="I17" s="464">
        <f>Össz.önkor.mérleg.!I31</f>
        <v>154958</v>
      </c>
      <c r="J17" s="185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68"/>
      <c r="C18" s="119">
        <f>Össz.önkor.mérleg.!C22</f>
        <v>0</v>
      </c>
      <c r="D18" s="120"/>
      <c r="E18" s="120"/>
      <c r="F18" s="177" t="s">
        <v>68</v>
      </c>
      <c r="G18" s="178">
        <f>SUM(G12:G17)</f>
        <v>2238500</v>
      </c>
      <c r="H18" s="178">
        <f>SUM(H12:H17)</f>
        <v>123131.12</v>
      </c>
      <c r="I18" s="466">
        <f>SUM(I12:I17)</f>
        <v>2361631.12</v>
      </c>
      <c r="J18" s="185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58" t="s">
        <v>685</v>
      </c>
      <c r="C19" s="119">
        <f>Össz.önkor.mérleg.!C23</f>
        <v>0</v>
      </c>
      <c r="D19" s="120">
        <f>Össz.önkor.mérleg.!D29</f>
        <v>3162</v>
      </c>
      <c r="E19" s="120">
        <f>Össz.önkor.mérleg.!E29</f>
        <v>3162</v>
      </c>
      <c r="F19" s="140"/>
      <c r="G19" s="170"/>
      <c r="H19" s="170"/>
      <c r="I19" s="462"/>
      <c r="J19" s="185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5" customFormat="1" x14ac:dyDescent="0.2">
      <c r="A20" s="165">
        <f t="shared" si="0"/>
        <v>12</v>
      </c>
      <c r="B20" s="158"/>
      <c r="C20" s="120"/>
      <c r="D20" s="120"/>
      <c r="E20" s="120"/>
      <c r="F20" s="172"/>
      <c r="G20" s="170"/>
      <c r="H20" s="170"/>
      <c r="I20" s="464"/>
      <c r="J20" s="561"/>
      <c r="K20" s="192"/>
      <c r="L20" s="192"/>
      <c r="M20" s="192"/>
    </row>
    <row r="21" spans="1:22" s="125" customFormat="1" x14ac:dyDescent="0.2">
      <c r="A21" s="165">
        <f t="shared" si="0"/>
        <v>13</v>
      </c>
      <c r="B21" s="175"/>
      <c r="C21" s="169"/>
      <c r="D21" s="169"/>
      <c r="E21" s="169"/>
      <c r="F21" s="172"/>
      <c r="G21" s="170"/>
      <c r="H21" s="170"/>
      <c r="I21" s="464"/>
      <c r="J21" s="561"/>
      <c r="K21" s="192"/>
      <c r="L21" s="192"/>
      <c r="M21" s="192"/>
    </row>
    <row r="22" spans="1:22" x14ac:dyDescent="0.2">
      <c r="A22" s="165">
        <f t="shared" si="0"/>
        <v>14</v>
      </c>
      <c r="B22" s="176" t="s">
        <v>67</v>
      </c>
      <c r="C22" s="126">
        <f>C11+C13+C14+C15+C16+C17+C19</f>
        <v>426396</v>
      </c>
      <c r="D22" s="126">
        <f>D11+D13+D14+D15+D16+D17+D19</f>
        <v>58657</v>
      </c>
      <c r="E22" s="126">
        <f>E11+E13+E14+E15+E16+E17+E19</f>
        <v>485053</v>
      </c>
      <c r="F22" s="173"/>
      <c r="G22" s="126"/>
      <c r="H22" s="126"/>
      <c r="I22" s="463"/>
      <c r="J22" s="185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5">
        <f t="shared" si="0"/>
        <v>15</v>
      </c>
      <c r="B23" s="179" t="s">
        <v>51</v>
      </c>
      <c r="C23" s="174">
        <f>SUM(C21:C22)</f>
        <v>426396</v>
      </c>
      <c r="D23" s="174">
        <f>SUM(D21:D22)</f>
        <v>58657</v>
      </c>
      <c r="E23" s="174">
        <f>SUM(E21:E22)</f>
        <v>485053</v>
      </c>
      <c r="F23" s="180" t="s">
        <v>69</v>
      </c>
      <c r="G23" s="174">
        <f>G22+G18</f>
        <v>2238500</v>
      </c>
      <c r="H23" s="174">
        <f>H22+H18</f>
        <v>123131.12</v>
      </c>
      <c r="I23" s="467">
        <f>I22+I18</f>
        <v>2361631.12</v>
      </c>
      <c r="J23" s="185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81"/>
      <c r="C24" s="170"/>
      <c r="D24" s="170"/>
      <c r="E24" s="170"/>
      <c r="F24" s="172"/>
      <c r="I24" s="464"/>
      <c r="J24" s="185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79" t="s">
        <v>686</v>
      </c>
      <c r="C25" s="174">
        <f>C23-G23</f>
        <v>-1812104</v>
      </c>
      <c r="D25" s="174">
        <f>D23-H23</f>
        <v>-64474.119999999995</v>
      </c>
      <c r="E25" s="617">
        <f>E23-I23</f>
        <v>-1876578.12</v>
      </c>
      <c r="F25" s="172"/>
      <c r="I25" s="464"/>
      <c r="J25" s="185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165">
        <f t="shared" si="0"/>
        <v>18</v>
      </c>
      <c r="B26" s="80"/>
      <c r="C26" s="682"/>
      <c r="D26" s="682"/>
      <c r="E26" s="682"/>
      <c r="F26" s="172"/>
      <c r="I26" s="464"/>
      <c r="J26" s="185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5">
        <f>A26+1</f>
        <v>19</v>
      </c>
      <c r="B27" s="181"/>
      <c r="C27" s="170"/>
      <c r="D27" s="170"/>
      <c r="E27" s="170"/>
      <c r="F27" s="172"/>
      <c r="G27" s="170"/>
      <c r="H27" s="170"/>
      <c r="I27" s="464"/>
      <c r="J27" s="539"/>
      <c r="K27" s="184"/>
      <c r="L27" s="184"/>
      <c r="M27" s="184"/>
    </row>
    <row r="28" spans="1:22" s="11" customFormat="1" x14ac:dyDescent="0.2">
      <c r="A28" s="825">
        <f t="shared" si="0"/>
        <v>20</v>
      </c>
      <c r="B28" s="127" t="s">
        <v>53</v>
      </c>
      <c r="C28" s="127"/>
      <c r="D28" s="127"/>
      <c r="E28" s="127"/>
      <c r="F28" s="141" t="s">
        <v>33</v>
      </c>
      <c r="G28" s="174"/>
      <c r="H28" s="174"/>
      <c r="I28" s="467"/>
      <c r="J28" s="539"/>
      <c r="K28" s="184"/>
      <c r="L28" s="184"/>
      <c r="M28" s="184"/>
    </row>
    <row r="29" spans="1:22" s="11" customFormat="1" x14ac:dyDescent="0.2">
      <c r="A29" s="165">
        <f t="shared" si="0"/>
        <v>21</v>
      </c>
      <c r="B29" s="137" t="s">
        <v>738</v>
      </c>
      <c r="C29" s="127"/>
      <c r="D29" s="127"/>
      <c r="E29" s="127"/>
      <c r="F29" s="182" t="s">
        <v>4</v>
      </c>
      <c r="G29" s="183"/>
      <c r="H29" s="184"/>
      <c r="I29" s="468"/>
      <c r="J29" s="539"/>
      <c r="K29" s="184"/>
      <c r="L29" s="184"/>
      <c r="M29" s="184"/>
    </row>
    <row r="30" spans="1:22" s="11" customFormat="1" x14ac:dyDescent="0.2">
      <c r="A30" s="165">
        <f t="shared" si="0"/>
        <v>22</v>
      </c>
      <c r="B30" s="158" t="s">
        <v>1254</v>
      </c>
      <c r="C30" s="120">
        <f>Össz.önkor.mérleg.!C39</f>
        <v>1243160</v>
      </c>
      <c r="D30" s="120">
        <f>Össz.önkor.mérleg.!D39</f>
        <v>0</v>
      </c>
      <c r="E30" s="120">
        <f>Össz.önkor.mérleg.!E39</f>
        <v>1243160</v>
      </c>
      <c r="F30" s="185" t="s">
        <v>3</v>
      </c>
      <c r="G30" s="174"/>
      <c r="H30" s="174"/>
      <c r="I30" s="467"/>
      <c r="J30" s="539"/>
      <c r="K30" s="184"/>
      <c r="L30" s="184"/>
      <c r="M30" s="184"/>
    </row>
    <row r="31" spans="1:22" x14ac:dyDescent="0.2">
      <c r="A31" s="165">
        <f t="shared" si="0"/>
        <v>23</v>
      </c>
      <c r="B31" s="119" t="s">
        <v>740</v>
      </c>
      <c r="C31" s="186"/>
      <c r="D31" s="138"/>
      <c r="E31" s="138">
        <f>SUM(C31:D31)</f>
        <v>0</v>
      </c>
      <c r="F31" s="140" t="s">
        <v>5</v>
      </c>
      <c r="G31" s="174"/>
      <c r="H31" s="174"/>
      <c r="I31" s="467"/>
      <c r="J31" s="185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5">
        <f t="shared" si="0"/>
        <v>24</v>
      </c>
      <c r="B32" s="119" t="s">
        <v>739</v>
      </c>
      <c r="C32" s="120"/>
      <c r="D32" s="120"/>
      <c r="E32" s="120"/>
      <c r="F32" s="140" t="s">
        <v>6</v>
      </c>
      <c r="G32" s="183"/>
      <c r="H32" s="183"/>
      <c r="I32" s="467"/>
      <c r="J32" s="185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19" t="s">
        <v>1065</v>
      </c>
      <c r="C33" s="292">
        <f>-(C25+C30)</f>
        <v>568944</v>
      </c>
      <c r="D33" s="292">
        <f t="shared" ref="D33:E33" si="1">-(D25+D30)</f>
        <v>64474.119999999995</v>
      </c>
      <c r="E33" s="292">
        <f t="shared" si="1"/>
        <v>633418.12000000011</v>
      </c>
      <c r="F33" s="140" t="s">
        <v>7</v>
      </c>
      <c r="G33" s="183"/>
      <c r="H33" s="183"/>
      <c r="I33" s="467"/>
      <c r="J33" s="185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20" t="s">
        <v>741</v>
      </c>
      <c r="C34" s="127"/>
      <c r="D34" s="127"/>
      <c r="E34" s="548"/>
      <c r="F34" s="140" t="s">
        <v>9</v>
      </c>
      <c r="G34" s="174"/>
      <c r="H34" s="174"/>
      <c r="I34" s="464"/>
      <c r="J34" s="185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120" t="s">
        <v>742</v>
      </c>
      <c r="C35" s="120"/>
      <c r="D35" s="120"/>
      <c r="E35" s="120"/>
      <c r="F35" s="140" t="s">
        <v>10</v>
      </c>
      <c r="G35" s="170"/>
      <c r="H35" s="170"/>
      <c r="I35" s="464"/>
      <c r="J35" s="185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5">
        <f t="shared" si="0"/>
        <v>28</v>
      </c>
      <c r="B36" s="119" t="s">
        <v>743</v>
      </c>
      <c r="C36" s="120"/>
      <c r="D36" s="120"/>
      <c r="E36" s="120"/>
      <c r="F36" s="140" t="s">
        <v>11</v>
      </c>
      <c r="G36" s="170"/>
      <c r="H36" s="170"/>
      <c r="I36" s="464"/>
      <c r="J36" s="185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5">
        <f t="shared" si="0"/>
        <v>29</v>
      </c>
      <c r="B37" s="119" t="s">
        <v>744</v>
      </c>
      <c r="C37" s="120"/>
      <c r="D37" s="120"/>
      <c r="E37" s="120"/>
      <c r="F37" s="140" t="s">
        <v>12</v>
      </c>
      <c r="G37" s="170"/>
      <c r="H37" s="170"/>
      <c r="I37" s="464"/>
      <c r="J37" s="185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5">
        <f t="shared" si="0"/>
        <v>30</v>
      </c>
      <c r="B38" s="119" t="s">
        <v>0</v>
      </c>
      <c r="C38" s="120"/>
      <c r="D38" s="120"/>
      <c r="E38" s="120"/>
      <c r="F38" s="140" t="s">
        <v>13</v>
      </c>
      <c r="G38" s="170"/>
      <c r="H38" s="170"/>
      <c r="I38" s="464"/>
      <c r="J38" s="185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5">
        <f t="shared" si="0"/>
        <v>31</v>
      </c>
      <c r="B39" s="119" t="s">
        <v>1</v>
      </c>
      <c r="C39" s="120"/>
      <c r="D39" s="120"/>
      <c r="E39" s="120"/>
      <c r="F39" s="140" t="s">
        <v>14</v>
      </c>
      <c r="G39" s="170"/>
      <c r="H39" s="170"/>
      <c r="I39" s="464"/>
      <c r="J39" s="185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5">
        <f t="shared" si="0"/>
        <v>32</v>
      </c>
      <c r="B40" s="119" t="s">
        <v>2</v>
      </c>
      <c r="C40" s="120"/>
      <c r="D40" s="120"/>
      <c r="E40" s="120"/>
      <c r="F40" s="140" t="s">
        <v>15</v>
      </c>
      <c r="G40" s="170"/>
      <c r="H40" s="170"/>
      <c r="I40" s="464"/>
      <c r="J40" s="185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5">
        <f t="shared" si="0"/>
        <v>33</v>
      </c>
      <c r="B41" s="179" t="s">
        <v>482</v>
      </c>
      <c r="C41" s="533">
        <f>SUM(C29:C39)</f>
        <v>1812104</v>
      </c>
      <c r="D41" s="533">
        <f>SUM(D29:D39)</f>
        <v>64474.119999999995</v>
      </c>
      <c r="E41" s="127">
        <f>SUM(E29:E39)</f>
        <v>1876578.12</v>
      </c>
      <c r="F41" s="141" t="s">
        <v>475</v>
      </c>
      <c r="G41" s="174">
        <f>SUM(G29:G40)</f>
        <v>0</v>
      </c>
      <c r="H41" s="174">
        <f>SUM(H29:H40)</f>
        <v>0</v>
      </c>
      <c r="I41" s="471">
        <f>SUM(I29:I40)</f>
        <v>0</v>
      </c>
      <c r="J41" s="185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5">
        <f t="shared" si="0"/>
        <v>34</v>
      </c>
      <c r="B42" s="187" t="s">
        <v>477</v>
      </c>
      <c r="C42" s="188">
        <f>C23+C26+C41</f>
        <v>2238500</v>
      </c>
      <c r="D42" s="188">
        <f>D23+D26+D41</f>
        <v>123131.12</v>
      </c>
      <c r="E42" s="188">
        <f>E23+E26+E41</f>
        <v>2361631.12</v>
      </c>
      <c r="F42" s="619" t="s">
        <v>476</v>
      </c>
      <c r="G42" s="190">
        <f>G23+G41</f>
        <v>2238500</v>
      </c>
      <c r="H42" s="190">
        <f>H23+H41</f>
        <v>123131.12</v>
      </c>
      <c r="I42" s="618">
        <f>I23+I41</f>
        <v>2361631.12</v>
      </c>
      <c r="J42" s="185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4"/>
      <c r="C43" s="183"/>
      <c r="D43" s="183"/>
      <c r="E43" s="183"/>
      <c r="F43" s="183"/>
      <c r="G43" s="183"/>
      <c r="H43" s="183"/>
      <c r="I43" s="183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70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K25" sqref="K25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B1" s="1110" t="s">
        <v>318</v>
      </c>
      <c r="C1" s="1110"/>
      <c r="D1" s="1110"/>
      <c r="E1" s="1110"/>
    </row>
    <row r="2" spans="1:256" x14ac:dyDescent="0.2">
      <c r="F2" s="1111" t="s">
        <v>1140</v>
      </c>
      <c r="G2" s="1111"/>
      <c r="H2" s="1111"/>
      <c r="I2" s="1111"/>
    </row>
    <row r="4" spans="1:256" ht="30" customHeight="1" x14ac:dyDescent="0.2">
      <c r="A4" s="1112" t="s">
        <v>78</v>
      </c>
      <c r="B4" s="1112"/>
      <c r="C4" s="1112"/>
      <c r="D4" s="1112"/>
      <c r="E4" s="1112"/>
      <c r="F4" s="1113"/>
      <c r="G4" s="1113"/>
      <c r="H4" s="1113"/>
      <c r="I4" s="1113"/>
    </row>
    <row r="5" spans="1:256" ht="33" customHeight="1" x14ac:dyDescent="0.2">
      <c r="A5" s="1112" t="s">
        <v>1128</v>
      </c>
      <c r="B5" s="1112"/>
      <c r="C5" s="1112"/>
      <c r="D5" s="1112"/>
      <c r="E5" s="1112"/>
      <c r="F5" s="1113"/>
      <c r="G5" s="1113"/>
      <c r="H5" s="1113"/>
      <c r="I5" s="1113"/>
    </row>
    <row r="7" spans="1:256" ht="13.5" thickBot="1" x14ac:dyDescent="0.25">
      <c r="E7" s="573" t="s">
        <v>20</v>
      </c>
      <c r="F7" s="584"/>
    </row>
    <row r="8" spans="1:256" ht="30.75" customHeight="1" thickBot="1" x14ac:dyDescent="0.25">
      <c r="A8" s="1101" t="s">
        <v>79</v>
      </c>
      <c r="B8" s="1103" t="s">
        <v>116</v>
      </c>
      <c r="C8" s="1104"/>
      <c r="D8" s="1104"/>
      <c r="E8" s="1104"/>
      <c r="F8" s="1105" t="s">
        <v>1129</v>
      </c>
      <c r="G8" s="1106"/>
      <c r="H8" s="1106"/>
      <c r="I8" s="1107"/>
    </row>
    <row r="9" spans="1:256" ht="36.75" thickBot="1" x14ac:dyDescent="0.25">
      <c r="A9" s="1102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85" t="s">
        <v>83</v>
      </c>
      <c r="B10" s="586"/>
      <c r="C10" s="586"/>
      <c r="D10" s="586"/>
      <c r="E10" s="586"/>
      <c r="F10" s="587"/>
      <c r="G10" s="587"/>
      <c r="H10" s="587"/>
      <c r="I10" s="587"/>
      <c r="J10" s="621"/>
    </row>
    <row r="11" spans="1:256" ht="12.75" x14ac:dyDescent="0.2">
      <c r="A11" s="580" t="s">
        <v>895</v>
      </c>
      <c r="B11" s="726"/>
      <c r="C11" s="726"/>
      <c r="D11" s="726"/>
      <c r="E11" s="726"/>
      <c r="F11" s="791"/>
      <c r="G11" s="791"/>
      <c r="H11" s="791"/>
      <c r="I11" s="791"/>
      <c r="J11" s="621"/>
    </row>
    <row r="12" spans="1:256" ht="36" x14ac:dyDescent="0.2">
      <c r="A12" s="723" t="s">
        <v>896</v>
      </c>
      <c r="B12" s="726">
        <v>4865</v>
      </c>
      <c r="C12" s="792">
        <v>18.690000000000001</v>
      </c>
      <c r="D12" s="726">
        <v>4580000</v>
      </c>
      <c r="E12" s="726">
        <f>C12*D12</f>
        <v>85600200</v>
      </c>
      <c r="F12" s="881" t="s">
        <v>976</v>
      </c>
      <c r="G12" s="575">
        <v>18.48</v>
      </c>
      <c r="H12" s="575">
        <v>4580000</v>
      </c>
      <c r="I12" s="576">
        <f>G12*H12</f>
        <v>84638400</v>
      </c>
      <c r="J12" s="621"/>
    </row>
    <row r="13" spans="1:256" ht="12.75" x14ac:dyDescent="0.2">
      <c r="A13" s="580" t="s">
        <v>897</v>
      </c>
      <c r="B13" s="726"/>
      <c r="C13" s="726"/>
      <c r="D13" s="726"/>
      <c r="E13" s="726"/>
      <c r="F13" s="680"/>
      <c r="G13" s="731"/>
      <c r="H13" s="731"/>
      <c r="I13" s="680"/>
      <c r="J13" s="621"/>
    </row>
    <row r="14" spans="1:256" ht="12.75" x14ac:dyDescent="0.2">
      <c r="A14" s="723" t="s">
        <v>898</v>
      </c>
      <c r="B14" s="726"/>
      <c r="C14" s="735"/>
      <c r="D14" s="726" t="s">
        <v>319</v>
      </c>
      <c r="E14" s="726">
        <v>8328800</v>
      </c>
      <c r="F14" s="680"/>
      <c r="G14" s="731"/>
      <c r="H14" s="575" t="s">
        <v>319</v>
      </c>
      <c r="I14" s="576">
        <v>8329050</v>
      </c>
      <c r="J14" s="621"/>
    </row>
    <row r="15" spans="1:256" ht="12.75" x14ac:dyDescent="0.2">
      <c r="A15" s="723" t="s">
        <v>899</v>
      </c>
      <c r="B15" s="577"/>
      <c r="C15" s="578"/>
      <c r="D15" s="577"/>
      <c r="E15" s="577"/>
      <c r="F15" s="576"/>
      <c r="G15" s="575"/>
      <c r="H15" s="575"/>
      <c r="I15" s="576">
        <v>-8329050</v>
      </c>
      <c r="J15" s="621"/>
    </row>
    <row r="16" spans="1:256" ht="24" x14ac:dyDescent="0.2">
      <c r="A16" s="723" t="s">
        <v>900</v>
      </c>
      <c r="B16" s="577"/>
      <c r="C16" s="578"/>
      <c r="D16" s="577"/>
      <c r="E16" s="577"/>
      <c r="F16" s="576"/>
      <c r="G16" s="575"/>
      <c r="H16" s="575"/>
      <c r="I16" s="576">
        <f>I14+I15</f>
        <v>0</v>
      </c>
      <c r="J16" s="621"/>
    </row>
    <row r="17" spans="1:10" ht="12.75" x14ac:dyDescent="0.2">
      <c r="A17" s="580" t="s">
        <v>901</v>
      </c>
      <c r="B17" s="726"/>
      <c r="C17" s="726"/>
      <c r="D17" s="795" t="s">
        <v>320</v>
      </c>
      <c r="E17" s="726">
        <v>18272000</v>
      </c>
      <c r="F17" s="680"/>
      <c r="G17" s="731"/>
      <c r="H17" s="575" t="s">
        <v>321</v>
      </c>
      <c r="I17" s="576">
        <v>18304000</v>
      </c>
      <c r="J17" s="621"/>
    </row>
    <row r="18" spans="1:10" ht="12.75" x14ac:dyDescent="0.2">
      <c r="A18" s="580" t="s">
        <v>899</v>
      </c>
      <c r="B18" s="577"/>
      <c r="C18" s="577"/>
      <c r="D18" s="725"/>
      <c r="E18" s="577"/>
      <c r="F18" s="576"/>
      <c r="G18" s="575"/>
      <c r="H18" s="575"/>
      <c r="I18" s="576">
        <v>-18304000</v>
      </c>
      <c r="J18" s="621"/>
    </row>
    <row r="19" spans="1:10" ht="12.75" x14ac:dyDescent="0.2">
      <c r="A19" s="580" t="s">
        <v>902</v>
      </c>
      <c r="B19" s="577"/>
      <c r="C19" s="577"/>
      <c r="D19" s="725"/>
      <c r="E19" s="577"/>
      <c r="F19" s="576"/>
      <c r="G19" s="575"/>
      <c r="H19" s="575"/>
      <c r="I19" s="576">
        <f>I17+I18</f>
        <v>0</v>
      </c>
      <c r="J19" s="621"/>
    </row>
    <row r="20" spans="1:10" ht="12.75" x14ac:dyDescent="0.2">
      <c r="A20" s="580" t="s">
        <v>903</v>
      </c>
      <c r="B20" s="726"/>
      <c r="C20" s="726" t="s">
        <v>1035</v>
      </c>
      <c r="D20" s="727" t="s">
        <v>735</v>
      </c>
      <c r="E20" s="726">
        <v>1355022</v>
      </c>
      <c r="F20" s="680"/>
      <c r="G20" s="726"/>
      <c r="H20" s="728" t="s">
        <v>735</v>
      </c>
      <c r="I20" s="576">
        <v>1355022</v>
      </c>
      <c r="J20" s="621"/>
    </row>
    <row r="21" spans="1:10" ht="12.75" x14ac:dyDescent="0.2">
      <c r="A21" s="580" t="s">
        <v>905</v>
      </c>
      <c r="B21" s="577"/>
      <c r="C21" s="577"/>
      <c r="D21" s="728"/>
      <c r="E21" s="577"/>
      <c r="F21" s="576"/>
      <c r="G21" s="577"/>
      <c r="H21" s="728"/>
      <c r="I21" s="576">
        <v>-1355022</v>
      </c>
      <c r="J21" s="621"/>
    </row>
    <row r="22" spans="1:10" ht="12.75" x14ac:dyDescent="0.2">
      <c r="A22" s="580" t="s">
        <v>906</v>
      </c>
      <c r="B22" s="577"/>
      <c r="C22" s="577"/>
      <c r="D22" s="728"/>
      <c r="E22" s="577"/>
      <c r="F22" s="576"/>
      <c r="G22" s="577"/>
      <c r="H22" s="728"/>
      <c r="I22" s="576">
        <f>I20+I21</f>
        <v>0</v>
      </c>
      <c r="J22" s="621"/>
    </row>
    <row r="23" spans="1:10" ht="12.75" x14ac:dyDescent="0.2">
      <c r="A23" s="580" t="s">
        <v>907</v>
      </c>
      <c r="B23" s="726"/>
      <c r="C23" s="735"/>
      <c r="D23" s="795" t="s">
        <v>736</v>
      </c>
      <c r="E23" s="726">
        <v>6369620</v>
      </c>
      <c r="F23" s="680"/>
      <c r="G23" s="731"/>
      <c r="H23" s="725" t="s">
        <v>736</v>
      </c>
      <c r="I23" s="576">
        <v>6369620</v>
      </c>
      <c r="J23" s="621"/>
    </row>
    <row r="24" spans="1:10" ht="12.75" x14ac:dyDescent="0.2">
      <c r="A24" s="580" t="s">
        <v>905</v>
      </c>
      <c r="B24" s="577"/>
      <c r="C24" s="578"/>
      <c r="D24" s="725"/>
      <c r="E24" s="577"/>
      <c r="F24" s="576"/>
      <c r="G24" s="575"/>
      <c r="H24" s="725"/>
      <c r="I24" s="576">
        <v>-6369620</v>
      </c>
      <c r="J24" s="621"/>
    </row>
    <row r="25" spans="1:10" ht="12.75" x14ac:dyDescent="0.2">
      <c r="A25" s="580" t="s">
        <v>908</v>
      </c>
      <c r="B25" s="577"/>
      <c r="C25" s="578"/>
      <c r="D25" s="725"/>
      <c r="E25" s="577"/>
      <c r="F25" s="576"/>
      <c r="G25" s="575"/>
      <c r="H25" s="725"/>
      <c r="I25" s="576">
        <f>I23+I24</f>
        <v>0</v>
      </c>
      <c r="J25" s="621"/>
    </row>
    <row r="26" spans="1:10" ht="12.75" x14ac:dyDescent="0.2">
      <c r="A26" s="580" t="s">
        <v>909</v>
      </c>
      <c r="B26" s="726">
        <v>4865</v>
      </c>
      <c r="C26" s="726"/>
      <c r="D26" s="726">
        <v>2700</v>
      </c>
      <c r="E26" s="726">
        <f>B26*D26</f>
        <v>13135500</v>
      </c>
      <c r="F26" s="576">
        <v>4774</v>
      </c>
      <c r="G26" s="731"/>
      <c r="H26" s="577">
        <v>2700</v>
      </c>
      <c r="I26" s="576">
        <f>F26*H26</f>
        <v>12889800</v>
      </c>
      <c r="J26" s="621"/>
    </row>
    <row r="27" spans="1:10" ht="12.75" x14ac:dyDescent="0.2">
      <c r="A27" s="580" t="s">
        <v>910</v>
      </c>
      <c r="B27" s="577"/>
      <c r="C27" s="577"/>
      <c r="D27" s="577"/>
      <c r="E27" s="577">
        <v>-13135500</v>
      </c>
      <c r="F27" s="576"/>
      <c r="G27" s="575"/>
      <c r="H27" s="575"/>
      <c r="I27" s="576">
        <v>-12889800</v>
      </c>
      <c r="J27" s="621"/>
    </row>
    <row r="28" spans="1:10" ht="12.75" x14ac:dyDescent="0.2">
      <c r="A28" s="580" t="s">
        <v>911</v>
      </c>
      <c r="B28" s="577"/>
      <c r="C28" s="577"/>
      <c r="D28" s="577"/>
      <c r="E28" s="577">
        <f>E26+E27</f>
        <v>0</v>
      </c>
      <c r="F28" s="576"/>
      <c r="G28" s="575"/>
      <c r="H28" s="575"/>
      <c r="I28" s="576">
        <f>I26+I27</f>
        <v>0</v>
      </c>
      <c r="J28" s="621"/>
    </row>
    <row r="29" spans="1:10" ht="12.75" x14ac:dyDescent="0.2">
      <c r="A29" s="580" t="s">
        <v>912</v>
      </c>
      <c r="B29" s="726">
        <v>10</v>
      </c>
      <c r="C29" s="726"/>
      <c r="D29" s="726" t="s">
        <v>322</v>
      </c>
      <c r="E29" s="729">
        <v>25500</v>
      </c>
      <c r="F29" s="576">
        <v>16</v>
      </c>
      <c r="G29" s="731"/>
      <c r="H29" s="577" t="s">
        <v>322</v>
      </c>
      <c r="I29" s="576">
        <v>40800</v>
      </c>
      <c r="J29" s="621"/>
    </row>
    <row r="30" spans="1:10" ht="12.75" x14ac:dyDescent="0.2">
      <c r="A30" s="580" t="s">
        <v>913</v>
      </c>
      <c r="B30" s="577"/>
      <c r="C30" s="577"/>
      <c r="D30" s="577"/>
      <c r="E30" s="577">
        <v>-25500</v>
      </c>
      <c r="F30" s="576"/>
      <c r="G30" s="575"/>
      <c r="H30" s="575"/>
      <c r="I30" s="576">
        <v>-40800</v>
      </c>
      <c r="J30" s="621"/>
    </row>
    <row r="31" spans="1:10" ht="12.75" x14ac:dyDescent="0.2">
      <c r="A31" s="580" t="s">
        <v>914</v>
      </c>
      <c r="B31" s="726"/>
      <c r="C31" s="726"/>
      <c r="D31" s="726"/>
      <c r="E31" s="729">
        <v>0</v>
      </c>
      <c r="F31" s="680"/>
      <c r="G31" s="731"/>
      <c r="H31" s="731"/>
      <c r="I31" s="576">
        <f>I29+I30</f>
        <v>0</v>
      </c>
      <c r="J31" s="621"/>
    </row>
    <row r="32" spans="1:10" ht="12.75" x14ac:dyDescent="0.2">
      <c r="A32" s="794" t="s">
        <v>1074</v>
      </c>
      <c r="B32" s="726"/>
      <c r="C32" s="726">
        <v>487729000</v>
      </c>
      <c r="D32" s="735">
        <v>1.55</v>
      </c>
      <c r="E32" s="726">
        <f>C32*D32</f>
        <v>755979950</v>
      </c>
      <c r="F32" s="680"/>
      <c r="G32" s="576">
        <v>475441000</v>
      </c>
      <c r="H32" s="578">
        <v>1</v>
      </c>
      <c r="I32" s="576">
        <f>G32*H32</f>
        <v>475441000</v>
      </c>
      <c r="J32" s="621"/>
    </row>
    <row r="33" spans="1:18" ht="12.75" x14ac:dyDescent="0.2">
      <c r="A33" s="580" t="s">
        <v>910</v>
      </c>
      <c r="B33" s="577"/>
      <c r="C33" s="577"/>
      <c r="D33" s="581"/>
      <c r="E33" s="577">
        <v>-98054262</v>
      </c>
      <c r="F33" s="576"/>
      <c r="G33" s="575"/>
      <c r="H33" s="575"/>
      <c r="I33" s="576">
        <v>-77410448</v>
      </c>
      <c r="J33" s="621"/>
    </row>
    <row r="34" spans="1:18" ht="12.75" x14ac:dyDescent="0.2">
      <c r="A34" s="580" t="s">
        <v>916</v>
      </c>
      <c r="B34" s="726"/>
      <c r="C34" s="726"/>
      <c r="D34" s="740"/>
      <c r="E34" s="726">
        <f>E32+E33</f>
        <v>657925688</v>
      </c>
      <c r="F34" s="680"/>
      <c r="G34" s="731"/>
      <c r="H34" s="731"/>
      <c r="I34" s="576">
        <f>I32+I33</f>
        <v>398030552</v>
      </c>
      <c r="J34" s="621"/>
    </row>
    <row r="35" spans="1:18" ht="12.75" x14ac:dyDescent="0.2">
      <c r="A35" s="730" t="s">
        <v>1083</v>
      </c>
      <c r="B35" s="726"/>
      <c r="C35" s="726"/>
      <c r="D35" s="726"/>
      <c r="E35" s="726">
        <v>0</v>
      </c>
      <c r="F35" s="680"/>
      <c r="G35" s="731"/>
      <c r="H35" s="731"/>
      <c r="I35" s="576">
        <v>0</v>
      </c>
      <c r="J35" s="621"/>
      <c r="K35" s="732">
        <f>I12+I16+I19+I25+I28+I31+I34+I35</f>
        <v>482668952</v>
      </c>
      <c r="L35" s="6" t="s">
        <v>1036</v>
      </c>
    </row>
    <row r="36" spans="1:18" ht="12.75" x14ac:dyDescent="0.2">
      <c r="A36" s="730"/>
      <c r="B36" s="726"/>
      <c r="C36" s="726"/>
      <c r="D36" s="726"/>
      <c r="E36" s="726"/>
      <c r="F36" s="680"/>
      <c r="G36" s="731"/>
      <c r="H36" s="731"/>
      <c r="I36" s="680"/>
      <c r="J36" s="621"/>
      <c r="K36" s="732"/>
    </row>
    <row r="37" spans="1:18" ht="12.75" x14ac:dyDescent="0.2">
      <c r="A37" s="733" t="s">
        <v>84</v>
      </c>
      <c r="B37" s="726"/>
      <c r="C37" s="726"/>
      <c r="D37" s="726"/>
      <c r="E37" s="726"/>
      <c r="F37" s="680"/>
      <c r="G37" s="731"/>
      <c r="H37" s="731"/>
      <c r="I37" s="680"/>
      <c r="J37" s="621"/>
    </row>
    <row r="38" spans="1:18" ht="24" x14ac:dyDescent="0.2">
      <c r="A38" s="723" t="s">
        <v>918</v>
      </c>
      <c r="B38" s="726"/>
      <c r="C38" s="726"/>
      <c r="D38" s="726"/>
      <c r="E38" s="726"/>
      <c r="F38" s="680"/>
      <c r="G38" s="731"/>
      <c r="H38" s="731"/>
      <c r="I38" s="680"/>
      <c r="J38" s="621"/>
    </row>
    <row r="39" spans="1:18" ht="12.75" x14ac:dyDescent="0.2">
      <c r="A39" s="723" t="s">
        <v>919</v>
      </c>
      <c r="B39" s="726"/>
      <c r="C39" s="735">
        <v>13.1</v>
      </c>
      <c r="D39" s="726">
        <v>4152000</v>
      </c>
      <c r="E39" s="726">
        <f>C39*D39*8/12</f>
        <v>36260800</v>
      </c>
      <c r="F39" s="883" t="s">
        <v>1078</v>
      </c>
      <c r="G39" s="796">
        <v>12</v>
      </c>
      <c r="H39" s="576">
        <v>4469900</v>
      </c>
      <c r="I39" s="576">
        <f>G39*8/12*4469900</f>
        <v>35759200</v>
      </c>
      <c r="J39" s="621"/>
    </row>
    <row r="40" spans="1:18" ht="12.75" x14ac:dyDescent="0.2">
      <c r="A40" s="723" t="s">
        <v>920</v>
      </c>
      <c r="B40" s="726"/>
      <c r="C40" s="735">
        <v>13.1</v>
      </c>
      <c r="D40" s="736">
        <v>4152000</v>
      </c>
      <c r="E40" s="726">
        <f>C40*D40*4/12</f>
        <v>18130400</v>
      </c>
      <c r="F40" s="883" t="s">
        <v>1075</v>
      </c>
      <c r="G40" s="734">
        <v>11.6</v>
      </c>
      <c r="H40" s="576">
        <v>4469900</v>
      </c>
      <c r="I40" s="576">
        <f>G40*4/12*H40</f>
        <v>17283613.333333332</v>
      </c>
      <c r="J40" s="621"/>
    </row>
    <row r="41" spans="1:18" ht="24" x14ac:dyDescent="0.2">
      <c r="A41" s="723" t="s">
        <v>977</v>
      </c>
      <c r="B41" s="726"/>
      <c r="C41" s="735">
        <v>13.1</v>
      </c>
      <c r="D41" s="736">
        <v>35000</v>
      </c>
      <c r="E41" s="726">
        <f>C41*D41</f>
        <v>458500</v>
      </c>
      <c r="F41" s="793"/>
      <c r="G41" s="734">
        <v>11.6</v>
      </c>
      <c r="H41" s="576">
        <v>38200</v>
      </c>
      <c r="I41" s="576">
        <f>G41*H41</f>
        <v>443120</v>
      </c>
      <c r="J41" s="621"/>
    </row>
    <row r="42" spans="1:18" ht="24" x14ac:dyDescent="0.2">
      <c r="A42" s="723" t="s">
        <v>921</v>
      </c>
      <c r="B42" s="726"/>
      <c r="C42" s="726">
        <v>10</v>
      </c>
      <c r="D42" s="726">
        <v>1800000</v>
      </c>
      <c r="E42" s="729">
        <f>C42*D42*8/12</f>
        <v>12000000</v>
      </c>
      <c r="F42" s="793"/>
      <c r="G42" s="734">
        <v>10</v>
      </c>
      <c r="H42" s="576">
        <v>1800000</v>
      </c>
      <c r="I42" s="576">
        <f>G42*H42*8/12</f>
        <v>12000000</v>
      </c>
      <c r="J42" s="621"/>
    </row>
    <row r="43" spans="1:18" ht="24" x14ac:dyDescent="0.2">
      <c r="A43" s="723" t="s">
        <v>1076</v>
      </c>
      <c r="B43" s="726"/>
      <c r="C43" s="726"/>
      <c r="D43" s="726"/>
      <c r="E43" s="729"/>
      <c r="F43" s="680"/>
      <c r="G43" s="734">
        <v>0</v>
      </c>
      <c r="H43" s="576">
        <v>4469900</v>
      </c>
      <c r="I43" s="576">
        <f>G43*H43*8/12</f>
        <v>0</v>
      </c>
      <c r="J43" s="621"/>
    </row>
    <row r="44" spans="1:18" ht="24" x14ac:dyDescent="0.2">
      <c r="A44" s="723" t="s">
        <v>923</v>
      </c>
      <c r="B44" s="726"/>
      <c r="C44" s="726">
        <v>10</v>
      </c>
      <c r="D44" s="726">
        <v>1800000</v>
      </c>
      <c r="E44" s="726">
        <f>C44*D44*4/12</f>
        <v>6000000</v>
      </c>
      <c r="F44" s="680"/>
      <c r="G44" s="734">
        <v>9</v>
      </c>
      <c r="H44" s="576">
        <v>1800000</v>
      </c>
      <c r="I44" s="576">
        <f>G44*H44*4/12</f>
        <v>5400000</v>
      </c>
      <c r="J44" s="622"/>
    </row>
    <row r="45" spans="1:18" ht="39" x14ac:dyDescent="0.2">
      <c r="A45" s="723" t="s">
        <v>1077</v>
      </c>
      <c r="B45" s="726"/>
      <c r="C45" s="726"/>
      <c r="D45" s="726"/>
      <c r="E45" s="726"/>
      <c r="F45" s="680"/>
      <c r="G45" s="734">
        <v>0</v>
      </c>
      <c r="H45" s="576">
        <v>4469900</v>
      </c>
      <c r="I45" s="576">
        <f>G45*H45*4/12</f>
        <v>0</v>
      </c>
      <c r="J45" s="622"/>
      <c r="K45" s="958" t="s">
        <v>1037</v>
      </c>
      <c r="L45" s="732">
        <f>I12+I14+I17+I20+I23+I26+I29+I32</f>
        <v>607367692</v>
      </c>
      <c r="N45" s="959" t="s">
        <v>1038</v>
      </c>
      <c r="O45" s="6">
        <v>124698740</v>
      </c>
      <c r="P45" s="732">
        <f>I15+I18+I21+I24+I27+I30</f>
        <v>-47288292</v>
      </c>
      <c r="Q45" s="732">
        <f>O45+P45</f>
        <v>77410448</v>
      </c>
      <c r="R45" s="959" t="s">
        <v>1039</v>
      </c>
    </row>
    <row r="46" spans="1:18" ht="24" x14ac:dyDescent="0.2">
      <c r="A46" s="723" t="s">
        <v>925</v>
      </c>
      <c r="B46" s="726"/>
      <c r="C46" s="726"/>
      <c r="D46" s="726"/>
      <c r="E46" s="726"/>
      <c r="F46" s="680"/>
      <c r="G46" s="734">
        <v>0</v>
      </c>
      <c r="H46" s="576">
        <v>38200</v>
      </c>
      <c r="I46" s="576">
        <f>G46*H46</f>
        <v>0</v>
      </c>
      <c r="J46" s="622"/>
    </row>
    <row r="47" spans="1:18" ht="12.75" x14ac:dyDescent="0.2">
      <c r="A47" s="580" t="s">
        <v>926</v>
      </c>
      <c r="B47" s="726"/>
      <c r="C47" s="726"/>
      <c r="D47" s="726"/>
      <c r="E47" s="726"/>
      <c r="F47" s="680"/>
      <c r="G47" s="731"/>
      <c r="H47" s="731"/>
      <c r="I47" s="680"/>
      <c r="J47" s="621"/>
    </row>
    <row r="48" spans="1:18" ht="24" x14ac:dyDescent="0.2">
      <c r="A48" s="723" t="s">
        <v>1079</v>
      </c>
      <c r="B48" s="726"/>
      <c r="C48" s="726">
        <v>142</v>
      </c>
      <c r="D48" s="726">
        <v>70000</v>
      </c>
      <c r="E48" s="726">
        <f>C48*D48*8/12</f>
        <v>6626666.666666667</v>
      </c>
      <c r="F48" s="881"/>
      <c r="G48" s="576">
        <v>130</v>
      </c>
      <c r="H48" s="882">
        <v>81700</v>
      </c>
      <c r="I48" s="576">
        <f>G48*H48*8/12</f>
        <v>7080666.666666667</v>
      </c>
      <c r="J48" s="621"/>
    </row>
    <row r="49" spans="1:12" ht="24" x14ac:dyDescent="0.2">
      <c r="A49" s="723" t="s">
        <v>1080</v>
      </c>
      <c r="B49" s="726"/>
      <c r="C49" s="726"/>
      <c r="D49" s="726"/>
      <c r="E49" s="726"/>
      <c r="F49" s="881"/>
      <c r="G49" s="576">
        <v>0</v>
      </c>
      <c r="H49" s="577">
        <v>80000</v>
      </c>
      <c r="I49" s="576">
        <v>0</v>
      </c>
      <c r="J49" s="621"/>
    </row>
    <row r="50" spans="1:12" ht="24" x14ac:dyDescent="0.2">
      <c r="A50" s="723" t="s">
        <v>978</v>
      </c>
      <c r="B50" s="726"/>
      <c r="C50" s="726">
        <v>142</v>
      </c>
      <c r="D50" s="726">
        <v>70000</v>
      </c>
      <c r="E50" s="726">
        <f>C50*D50*4/12</f>
        <v>3313333.3333333335</v>
      </c>
      <c r="F50" s="793"/>
      <c r="G50" s="576">
        <v>128</v>
      </c>
      <c r="H50" s="882">
        <v>81700</v>
      </c>
      <c r="I50" s="576">
        <f>G50*H50*4/12</f>
        <v>3485866.6666666665</v>
      </c>
      <c r="J50" s="621"/>
    </row>
    <row r="51" spans="1:12" ht="24" x14ac:dyDescent="0.2">
      <c r="A51" s="723" t="s">
        <v>1081</v>
      </c>
      <c r="B51" s="726"/>
      <c r="C51" s="726"/>
      <c r="D51" s="726"/>
      <c r="E51" s="726"/>
      <c r="F51" s="793"/>
      <c r="G51" s="576">
        <v>0</v>
      </c>
      <c r="H51" s="577">
        <v>80000</v>
      </c>
      <c r="I51" s="576">
        <v>0</v>
      </c>
      <c r="J51" s="621"/>
    </row>
    <row r="52" spans="1:12" ht="12.75" x14ac:dyDescent="0.2">
      <c r="A52" s="580" t="s">
        <v>979</v>
      </c>
      <c r="B52" s="726"/>
      <c r="C52" s="726"/>
      <c r="D52" s="726"/>
      <c r="E52" s="726"/>
      <c r="F52" s="680"/>
      <c r="G52" s="731"/>
      <c r="H52" s="731"/>
      <c r="I52" s="680"/>
      <c r="J52" s="621"/>
    </row>
    <row r="53" spans="1:12" ht="24" x14ac:dyDescent="0.2">
      <c r="A53" s="723" t="s">
        <v>980</v>
      </c>
      <c r="B53" s="726"/>
      <c r="C53" s="726">
        <v>5</v>
      </c>
      <c r="D53" s="797" t="s">
        <v>323</v>
      </c>
      <c r="E53" s="726">
        <v>1760000</v>
      </c>
      <c r="F53" s="680"/>
      <c r="G53" s="575">
        <v>5</v>
      </c>
      <c r="H53" s="576">
        <v>418900</v>
      </c>
      <c r="I53" s="576">
        <f>G53*H53</f>
        <v>2094500</v>
      </c>
      <c r="J53" s="621"/>
    </row>
    <row r="54" spans="1:12" ht="24" x14ac:dyDescent="0.2">
      <c r="A54" s="723" t="s">
        <v>1082</v>
      </c>
      <c r="B54" s="726"/>
      <c r="C54" s="726"/>
      <c r="D54" s="726"/>
      <c r="E54" s="726"/>
      <c r="F54" s="680"/>
      <c r="G54" s="575">
        <v>0</v>
      </c>
      <c r="H54" s="576">
        <v>383992</v>
      </c>
      <c r="I54" s="576">
        <f>G54*H54</f>
        <v>0</v>
      </c>
      <c r="J54" s="621"/>
      <c r="K54" s="732">
        <f>SUM(I39:I54)</f>
        <v>83546966.666666672</v>
      </c>
      <c r="L54" s="6" t="s">
        <v>1040</v>
      </c>
    </row>
    <row r="55" spans="1:12" ht="12.75" x14ac:dyDescent="0.2">
      <c r="A55" s="723"/>
      <c r="B55" s="726"/>
      <c r="C55" s="726"/>
      <c r="D55" s="726"/>
      <c r="E55" s="726"/>
      <c r="F55" s="680"/>
      <c r="G55" s="731"/>
      <c r="H55" s="731"/>
      <c r="I55" s="680"/>
      <c r="J55" s="621"/>
      <c r="K55" s="732"/>
    </row>
    <row r="56" spans="1:12" ht="12.75" x14ac:dyDescent="0.2">
      <c r="A56" s="733" t="s">
        <v>85</v>
      </c>
      <c r="B56" s="726"/>
      <c r="C56" s="726"/>
      <c r="D56" s="726"/>
      <c r="E56" s="726"/>
      <c r="F56" s="680"/>
      <c r="G56" s="731"/>
      <c r="H56" s="731"/>
      <c r="I56" s="680"/>
      <c r="J56" s="621"/>
    </row>
    <row r="57" spans="1:12" ht="12.75" x14ac:dyDescent="0.2">
      <c r="A57" s="730" t="s">
        <v>1084</v>
      </c>
      <c r="B57" s="726"/>
      <c r="C57" s="726"/>
      <c r="D57" s="726"/>
      <c r="E57" s="726">
        <v>0</v>
      </c>
      <c r="F57" s="680"/>
      <c r="G57" s="731"/>
      <c r="H57" s="731"/>
      <c r="I57" s="576">
        <v>0</v>
      </c>
      <c r="J57" s="623"/>
    </row>
    <row r="58" spans="1:12" ht="24" x14ac:dyDescent="0.2">
      <c r="A58" s="723" t="s">
        <v>936</v>
      </c>
      <c r="B58" s="726"/>
      <c r="C58" s="726"/>
      <c r="D58" s="726"/>
      <c r="E58" s="729">
        <v>0</v>
      </c>
      <c r="F58" s="680"/>
      <c r="G58" s="731"/>
      <c r="H58" s="731"/>
      <c r="I58" s="576">
        <v>0</v>
      </c>
      <c r="J58" s="621"/>
    </row>
    <row r="59" spans="1:12" ht="12.75" x14ac:dyDescent="0.2">
      <c r="A59" s="580" t="s">
        <v>937</v>
      </c>
      <c r="B59" s="726"/>
      <c r="C59" s="726"/>
      <c r="D59" s="726"/>
      <c r="E59" s="726"/>
      <c r="F59" s="680"/>
      <c r="G59" s="731"/>
      <c r="H59" s="731"/>
      <c r="I59" s="680"/>
      <c r="J59" s="621"/>
    </row>
    <row r="60" spans="1:12" ht="12.75" x14ac:dyDescent="0.2">
      <c r="A60" s="580" t="s">
        <v>938</v>
      </c>
      <c r="B60" s="726"/>
      <c r="C60" s="726"/>
      <c r="D60" s="726"/>
      <c r="E60" s="726"/>
      <c r="F60" s="680"/>
      <c r="G60" s="731"/>
      <c r="H60" s="731"/>
      <c r="I60" s="680"/>
      <c r="J60" s="621"/>
    </row>
    <row r="61" spans="1:12" ht="12.75" x14ac:dyDescent="0.2">
      <c r="A61" s="580" t="s">
        <v>939</v>
      </c>
      <c r="B61" s="726"/>
      <c r="C61" s="726"/>
      <c r="D61" s="726"/>
      <c r="E61" s="726"/>
      <c r="F61" s="680"/>
      <c r="G61" s="731"/>
      <c r="H61" s="731"/>
      <c r="I61" s="680"/>
      <c r="J61" s="621"/>
    </row>
    <row r="62" spans="1:12" ht="36" x14ac:dyDescent="0.2">
      <c r="A62" s="737" t="s">
        <v>1041</v>
      </c>
      <c r="B62" s="730"/>
      <c r="C62" s="739"/>
      <c r="D62" s="726"/>
      <c r="E62" s="726">
        <f>C62*D62/2</f>
        <v>0</v>
      </c>
      <c r="F62" s="577">
        <v>7915</v>
      </c>
      <c r="G62" s="740"/>
      <c r="H62" s="731"/>
      <c r="I62" s="680"/>
      <c r="J62" s="623"/>
    </row>
    <row r="63" spans="1:12" ht="24" x14ac:dyDescent="0.2">
      <c r="A63" s="723" t="s">
        <v>981</v>
      </c>
      <c r="B63" s="726"/>
      <c r="C63" s="730"/>
      <c r="D63" s="726"/>
      <c r="E63" s="726"/>
      <c r="F63" s="680"/>
      <c r="G63" s="582">
        <v>0</v>
      </c>
      <c r="H63" s="731"/>
      <c r="I63" s="680"/>
      <c r="J63" s="623"/>
    </row>
    <row r="64" spans="1:12" ht="12.75" x14ac:dyDescent="0.2">
      <c r="A64" s="580" t="s">
        <v>982</v>
      </c>
      <c r="B64" s="726"/>
      <c r="C64" s="730"/>
      <c r="D64" s="726"/>
      <c r="E64" s="726"/>
      <c r="F64" s="680"/>
      <c r="G64" s="581">
        <v>1</v>
      </c>
      <c r="H64" s="731"/>
      <c r="I64" s="680"/>
      <c r="J64" s="621"/>
    </row>
    <row r="65" spans="1:10" ht="12.75" x14ac:dyDescent="0.2">
      <c r="A65" s="580" t="s">
        <v>943</v>
      </c>
      <c r="B65" s="726"/>
      <c r="C65" s="741">
        <v>0.97299999999999998</v>
      </c>
      <c r="D65" s="726">
        <v>3000000</v>
      </c>
      <c r="E65" s="726"/>
      <c r="F65" s="680"/>
      <c r="G65" s="581">
        <v>2</v>
      </c>
      <c r="H65" s="577">
        <v>3000000</v>
      </c>
      <c r="I65" s="576">
        <f>(2*1+0)*3000000</f>
        <v>6000000</v>
      </c>
      <c r="J65" s="621"/>
    </row>
    <row r="66" spans="1:10" ht="12.75" x14ac:dyDescent="0.2">
      <c r="A66" s="580" t="s">
        <v>944</v>
      </c>
      <c r="B66" s="742"/>
      <c r="C66" s="726">
        <v>80</v>
      </c>
      <c r="D66" s="726">
        <v>55360</v>
      </c>
      <c r="E66" s="726">
        <f>C66*D66</f>
        <v>4428800</v>
      </c>
      <c r="F66" s="793"/>
      <c r="G66" s="577">
        <v>80</v>
      </c>
      <c r="H66" s="577">
        <v>55360</v>
      </c>
      <c r="I66" s="577">
        <f>G66*H66</f>
        <v>4428800</v>
      </c>
      <c r="J66" s="621"/>
    </row>
    <row r="67" spans="1:10" ht="12.75" x14ac:dyDescent="0.2">
      <c r="A67" s="580" t="s">
        <v>945</v>
      </c>
      <c r="B67" s="742"/>
      <c r="C67" s="726">
        <v>55</v>
      </c>
      <c r="D67" s="726">
        <v>145000</v>
      </c>
      <c r="E67" s="726">
        <f>C67*D67</f>
        <v>7975000</v>
      </c>
      <c r="F67" s="680"/>
      <c r="G67" s="726"/>
      <c r="H67" s="726"/>
      <c r="I67" s="726"/>
      <c r="J67" s="621"/>
    </row>
    <row r="68" spans="1:10" ht="12.75" x14ac:dyDescent="0.2">
      <c r="A68" s="580" t="s">
        <v>983</v>
      </c>
      <c r="B68" s="742"/>
      <c r="C68" s="726"/>
      <c r="D68" s="726"/>
      <c r="E68" s="726"/>
      <c r="F68" s="793"/>
      <c r="G68" s="577">
        <v>15</v>
      </c>
      <c r="H68" s="577">
        <v>25000</v>
      </c>
      <c r="I68" s="577">
        <f>G68*H68</f>
        <v>375000</v>
      </c>
      <c r="J68" s="621"/>
    </row>
    <row r="69" spans="1:10" ht="12.75" x14ac:dyDescent="0.2">
      <c r="A69" s="580" t="s">
        <v>984</v>
      </c>
      <c r="B69" s="742"/>
      <c r="C69" s="726"/>
      <c r="D69" s="726"/>
      <c r="E69" s="726"/>
      <c r="F69" s="793"/>
      <c r="G69" s="577">
        <v>35</v>
      </c>
      <c r="H69" s="577">
        <v>210000</v>
      </c>
      <c r="I69" s="577">
        <f>G69*H69</f>
        <v>7350000</v>
      </c>
      <c r="J69" s="621"/>
    </row>
    <row r="70" spans="1:10" ht="12.75" x14ac:dyDescent="0.2">
      <c r="A70" s="723" t="s">
        <v>985</v>
      </c>
      <c r="B70" s="798"/>
      <c r="C70" s="577">
        <v>23</v>
      </c>
      <c r="D70" s="577">
        <v>109000</v>
      </c>
      <c r="E70" s="577">
        <f>C70*D70</f>
        <v>2507000</v>
      </c>
      <c r="F70" s="576"/>
      <c r="G70" s="577">
        <v>23</v>
      </c>
      <c r="H70" s="577">
        <v>109000</v>
      </c>
      <c r="I70" s="577">
        <f>G70*H70</f>
        <v>2507000</v>
      </c>
      <c r="J70" s="621"/>
    </row>
    <row r="71" spans="1:10" ht="12.75" x14ac:dyDescent="0.2">
      <c r="A71" s="723" t="s">
        <v>947</v>
      </c>
      <c r="B71" s="798"/>
      <c r="C71" s="577"/>
      <c r="D71" s="577"/>
      <c r="E71" s="577"/>
      <c r="F71" s="576"/>
      <c r="G71" s="575"/>
      <c r="H71" s="575"/>
      <c r="I71" s="576"/>
      <c r="J71" s="621"/>
    </row>
    <row r="72" spans="1:10" ht="12.75" x14ac:dyDescent="0.2">
      <c r="A72" s="580" t="s">
        <v>986</v>
      </c>
      <c r="B72" s="580"/>
      <c r="C72" s="580"/>
      <c r="D72" s="576"/>
      <c r="E72" s="577"/>
      <c r="F72" s="576"/>
      <c r="G72" s="575"/>
      <c r="H72" s="575"/>
      <c r="I72" s="576"/>
      <c r="J72" s="621"/>
    </row>
    <row r="73" spans="1:10" ht="12.75" x14ac:dyDescent="0.2">
      <c r="A73" s="580" t="s">
        <v>949</v>
      </c>
      <c r="B73" s="799"/>
      <c r="C73" s="577">
        <v>13</v>
      </c>
      <c r="D73" s="577">
        <v>494100</v>
      </c>
      <c r="E73" s="577">
        <f>C73*D73</f>
        <v>6423300</v>
      </c>
      <c r="F73" s="576"/>
      <c r="G73" s="577">
        <v>15</v>
      </c>
      <c r="H73" s="577">
        <v>494100</v>
      </c>
      <c r="I73" s="577">
        <f>G73*H73</f>
        <v>7411500</v>
      </c>
      <c r="J73" s="621"/>
    </row>
    <row r="74" spans="1:10" ht="24" x14ac:dyDescent="0.2">
      <c r="A74" s="723" t="s">
        <v>950</v>
      </c>
      <c r="B74" s="742"/>
      <c r="C74" s="726"/>
      <c r="D74" s="726"/>
      <c r="E74" s="726"/>
      <c r="F74" s="680"/>
      <c r="G74" s="731"/>
      <c r="H74" s="731"/>
      <c r="I74" s="680"/>
      <c r="J74" s="621"/>
    </row>
    <row r="75" spans="1:10" ht="24" x14ac:dyDescent="0.2">
      <c r="A75" s="737" t="s">
        <v>1042</v>
      </c>
      <c r="B75" s="742"/>
      <c r="C75" s="726">
        <v>15</v>
      </c>
      <c r="D75" s="726">
        <v>2606040</v>
      </c>
      <c r="E75" s="726">
        <f>C75*D75</f>
        <v>39090600</v>
      </c>
      <c r="F75" s="793"/>
      <c r="G75" s="577">
        <v>15</v>
      </c>
      <c r="H75" s="577">
        <v>2606040</v>
      </c>
      <c r="I75" s="577">
        <f>G75*H75</f>
        <v>39090600</v>
      </c>
      <c r="J75" s="621"/>
    </row>
    <row r="76" spans="1:10" ht="12.75" x14ac:dyDescent="0.2">
      <c r="A76" s="580" t="s">
        <v>952</v>
      </c>
      <c r="B76" s="742"/>
      <c r="C76" s="726"/>
      <c r="D76" s="726"/>
      <c r="E76" s="729">
        <v>37834000</v>
      </c>
      <c r="F76" s="793"/>
      <c r="G76" s="731"/>
      <c r="H76" s="731"/>
      <c r="I76" s="576">
        <v>30040000</v>
      </c>
      <c r="J76" s="625"/>
    </row>
    <row r="77" spans="1:10" ht="12.75" x14ac:dyDescent="0.2">
      <c r="A77" s="580" t="s">
        <v>953</v>
      </c>
      <c r="B77" s="742"/>
      <c r="C77" s="726"/>
      <c r="D77" s="726"/>
      <c r="E77" s="726"/>
      <c r="F77" s="680"/>
      <c r="G77" s="731"/>
      <c r="H77" s="731"/>
      <c r="I77" s="680"/>
      <c r="J77" s="621"/>
    </row>
    <row r="78" spans="1:10" ht="12.75" x14ac:dyDescent="0.2">
      <c r="A78" s="580" t="s">
        <v>954</v>
      </c>
      <c r="B78" s="726"/>
      <c r="C78" s="735">
        <v>12.33</v>
      </c>
      <c r="D78" s="726">
        <v>1632000</v>
      </c>
      <c r="E78" s="726">
        <f>C78*D78</f>
        <v>20122560</v>
      </c>
      <c r="F78" s="793"/>
      <c r="G78" s="578">
        <v>14.54</v>
      </c>
      <c r="H78" s="577">
        <v>1632000</v>
      </c>
      <c r="I78" s="577">
        <f>G78*H78</f>
        <v>23729280</v>
      </c>
      <c r="J78" s="626"/>
    </row>
    <row r="79" spans="1:10" ht="12.75" x14ac:dyDescent="0.2">
      <c r="A79" s="580" t="s">
        <v>955</v>
      </c>
      <c r="B79" s="726"/>
      <c r="C79" s="726"/>
      <c r="D79" s="726"/>
      <c r="E79" s="729">
        <v>7038795</v>
      </c>
      <c r="F79" s="793"/>
      <c r="G79" s="731"/>
      <c r="H79" s="731"/>
      <c r="I79" s="576">
        <v>13278900</v>
      </c>
      <c r="J79" s="627"/>
    </row>
    <row r="80" spans="1:10" ht="24" x14ac:dyDescent="0.2">
      <c r="A80" s="723" t="s">
        <v>987</v>
      </c>
      <c r="B80" s="726"/>
      <c r="C80" s="726"/>
      <c r="D80" s="726"/>
      <c r="E80" s="729"/>
      <c r="F80" s="793"/>
      <c r="G80" s="576">
        <v>81</v>
      </c>
      <c r="H80" s="576">
        <v>285</v>
      </c>
      <c r="I80" s="576">
        <f>G80*H80</f>
        <v>23085</v>
      </c>
      <c r="J80" s="621"/>
    </row>
    <row r="81" spans="1:256" ht="24" x14ac:dyDescent="0.2">
      <c r="A81" s="723" t="s">
        <v>988</v>
      </c>
      <c r="B81" s="726"/>
      <c r="C81" s="726"/>
      <c r="D81" s="726"/>
      <c r="E81" s="745"/>
      <c r="F81" s="793"/>
      <c r="G81" s="796">
        <v>2</v>
      </c>
      <c r="H81" s="576">
        <v>1508760</v>
      </c>
      <c r="I81" s="576">
        <f>G81*H81</f>
        <v>3017520</v>
      </c>
      <c r="J81" s="621"/>
      <c r="K81" s="732">
        <f>SUM(I57:I81)</f>
        <v>137251685</v>
      </c>
      <c r="L81" s="6" t="s">
        <v>1043</v>
      </c>
    </row>
    <row r="82" spans="1:256" ht="12.75" x14ac:dyDescent="0.2">
      <c r="A82" s="580" t="s">
        <v>958</v>
      </c>
      <c r="B82" s="726"/>
      <c r="C82" s="726"/>
      <c r="D82" s="726"/>
      <c r="E82" s="745"/>
      <c r="F82" s="680"/>
      <c r="G82" s="731"/>
      <c r="H82" s="731"/>
      <c r="I82" s="680"/>
      <c r="J82" s="621"/>
    </row>
    <row r="83" spans="1:256" ht="12.75" x14ac:dyDescent="0.2">
      <c r="A83" s="580" t="s">
        <v>959</v>
      </c>
      <c r="B83" s="726"/>
      <c r="C83" s="726"/>
      <c r="D83" s="726"/>
      <c r="E83" s="745"/>
      <c r="F83" s="680"/>
      <c r="G83" s="731"/>
      <c r="H83" s="731"/>
      <c r="I83" s="680"/>
      <c r="J83" s="621"/>
    </row>
    <row r="84" spans="1:256" ht="12.75" x14ac:dyDescent="0.2">
      <c r="A84" s="580" t="s">
        <v>960</v>
      </c>
      <c r="B84" s="726"/>
      <c r="C84" s="726">
        <v>4865</v>
      </c>
      <c r="D84" s="726">
        <v>1140</v>
      </c>
      <c r="E84" s="746"/>
      <c r="F84" s="680"/>
      <c r="G84" s="577">
        <v>4774</v>
      </c>
      <c r="H84" s="577">
        <v>1140</v>
      </c>
      <c r="I84" s="296">
        <f>G84*H84</f>
        <v>5442360</v>
      </c>
      <c r="J84" s="621"/>
    </row>
    <row r="85" spans="1:256" ht="36" x14ac:dyDescent="0.2">
      <c r="A85" s="723" t="s">
        <v>961</v>
      </c>
      <c r="B85" s="726"/>
      <c r="C85" s="726"/>
      <c r="D85" s="726"/>
      <c r="E85" s="746"/>
      <c r="F85" s="881" t="s">
        <v>1085</v>
      </c>
      <c r="G85" s="726"/>
      <c r="H85" s="726"/>
      <c r="I85" s="296">
        <v>0</v>
      </c>
      <c r="J85" s="621"/>
    </row>
    <row r="86" spans="1:256" ht="12.75" x14ac:dyDescent="0.2">
      <c r="A86" s="737"/>
      <c r="B86" s="742"/>
      <c r="C86" s="726"/>
      <c r="D86" s="740"/>
      <c r="E86" s="726"/>
      <c r="F86" s="680"/>
      <c r="G86" s="731"/>
      <c r="H86" s="731"/>
      <c r="I86" s="680"/>
      <c r="J86" s="621"/>
      <c r="K86" s="732">
        <f>SUM(I84+I85)</f>
        <v>5442360</v>
      </c>
      <c r="L86" s="6" t="s">
        <v>1044</v>
      </c>
    </row>
    <row r="87" spans="1:256" ht="24" x14ac:dyDescent="0.2">
      <c r="A87" s="747" t="s">
        <v>1086</v>
      </c>
      <c r="B87" s="800"/>
      <c r="C87" s="801"/>
      <c r="D87" s="577"/>
      <c r="E87" s="577"/>
      <c r="F87" s="802"/>
      <c r="G87" s="575"/>
      <c r="H87" s="575"/>
      <c r="I87" s="680"/>
      <c r="J87" s="621"/>
      <c r="K87" s="732"/>
      <c r="L87" s="732">
        <f>I15+I18+I21+I24+I27+I30+I33</f>
        <v>-124698740</v>
      </c>
      <c r="M87" s="803" t="s">
        <v>1045</v>
      </c>
      <c r="N87" s="295"/>
    </row>
    <row r="88" spans="1:256" ht="12.75" x14ac:dyDescent="0.2">
      <c r="A88" s="772" t="s">
        <v>989</v>
      </c>
      <c r="B88" s="804"/>
      <c r="C88" s="805"/>
      <c r="D88" s="806"/>
      <c r="E88" s="806"/>
      <c r="F88" s="807"/>
      <c r="G88" s="808"/>
      <c r="H88" s="808"/>
      <c r="I88" s="809">
        <v>0</v>
      </c>
      <c r="J88" s="621"/>
      <c r="K88" s="732"/>
      <c r="L88" s="732"/>
      <c r="M88" s="803"/>
      <c r="N88" s="295"/>
    </row>
    <row r="89" spans="1:256" ht="12.75" x14ac:dyDescent="0.2">
      <c r="A89" s="772"/>
      <c r="B89" s="804"/>
      <c r="C89" s="805"/>
      <c r="D89" s="806"/>
      <c r="E89" s="806"/>
      <c r="F89" s="804"/>
      <c r="G89" s="808"/>
      <c r="H89" s="808"/>
      <c r="I89" s="753"/>
      <c r="J89" s="621"/>
      <c r="K89" s="732"/>
      <c r="L89" s="732"/>
      <c r="N89" s="295"/>
    </row>
    <row r="90" spans="1:256" ht="12.75" x14ac:dyDescent="0.2">
      <c r="A90" s="772" t="s">
        <v>990</v>
      </c>
      <c r="B90" s="804"/>
      <c r="C90" s="805"/>
      <c r="D90" s="806"/>
      <c r="E90" s="806"/>
      <c r="F90" s="804"/>
      <c r="G90" s="808"/>
      <c r="H90" s="808"/>
      <c r="I90" s="753"/>
      <c r="J90" s="621"/>
      <c r="K90" s="732"/>
      <c r="L90" s="732"/>
      <c r="N90" s="295"/>
    </row>
    <row r="91" spans="1:256" ht="12.75" x14ac:dyDescent="0.2">
      <c r="A91" s="772" t="s">
        <v>991</v>
      </c>
      <c r="B91" s="804"/>
      <c r="C91" s="805"/>
      <c r="D91" s="806"/>
      <c r="E91" s="806"/>
      <c r="F91" s="804"/>
      <c r="G91" s="808"/>
      <c r="H91" s="808"/>
      <c r="I91" s="809">
        <v>0</v>
      </c>
      <c r="J91" s="621"/>
      <c r="K91" s="732"/>
      <c r="L91" s="732"/>
      <c r="N91" s="295"/>
    </row>
    <row r="92" spans="1:256" ht="12.75" x14ac:dyDescent="0.2">
      <c r="A92" s="773" t="s">
        <v>992</v>
      </c>
      <c r="B92" s="804"/>
      <c r="C92" s="805"/>
      <c r="D92" s="806"/>
      <c r="E92" s="806"/>
      <c r="F92" s="804"/>
      <c r="G92" s="808"/>
      <c r="H92" s="808"/>
      <c r="I92" s="809">
        <v>0</v>
      </c>
      <c r="J92" s="621"/>
      <c r="K92" s="732">
        <f>I91+I92</f>
        <v>0</v>
      </c>
      <c r="L92" s="732" t="s">
        <v>1046</v>
      </c>
      <c r="N92" s="295"/>
    </row>
    <row r="93" spans="1:256" ht="13.5" thickBot="1" x14ac:dyDescent="0.25">
      <c r="A93" s="749"/>
      <c r="B93" s="750"/>
      <c r="C93" s="751"/>
      <c r="D93" s="752"/>
      <c r="E93" s="751"/>
      <c r="F93" s="753"/>
      <c r="G93" s="754"/>
      <c r="H93" s="754"/>
      <c r="I93" s="753"/>
      <c r="J93" s="621"/>
    </row>
    <row r="94" spans="1:256" ht="12.75" thickBot="1" x14ac:dyDescent="0.25">
      <c r="A94" s="755" t="s">
        <v>963</v>
      </c>
      <c r="B94" s="756"/>
      <c r="C94" s="756"/>
      <c r="D94" s="757"/>
      <c r="E94" s="758">
        <f>E12+E14+E17+E20+E23+E28+E31+E34+E39+E40+E41+E42+E44+E48+E50+E53+E57+E58+E62+E63+E66+E67+E70+E73+E75+E76+E78+E79</f>
        <v>987821085</v>
      </c>
      <c r="F94" s="1108">
        <f>I12+I16+I19+I22+I25+I28+I31+I34+I35+I39+I40+I41+I42+I44+I48+I49+I50+I51+I53+I57+I58+I65+I66+I68+I69+I70+I73+I75+I76+I78+I79+I80+I81+I84+I45+I46+I43+P81+I85+I91+I92+I88+I54</f>
        <v>708909963.66666651</v>
      </c>
      <c r="G94" s="1108"/>
      <c r="H94" s="1108"/>
      <c r="I94" s="1109"/>
      <c r="J94" s="7"/>
      <c r="K94" s="759">
        <f>K81+K54+K35+K86</f>
        <v>708909963.66666675</v>
      </c>
      <c r="L94" s="810" t="s">
        <v>1047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6" spans="1:256" ht="15.75" x14ac:dyDescent="0.2">
      <c r="A96" s="811"/>
      <c r="B96" s="812"/>
      <c r="C96" s="812"/>
      <c r="D96" s="812"/>
      <c r="E96" s="813"/>
      <c r="F96" s="814"/>
      <c r="G96" s="814"/>
      <c r="H96" s="814"/>
      <c r="I96" s="814"/>
    </row>
    <row r="97" spans="1:1" ht="15.75" x14ac:dyDescent="0.2">
      <c r="A97" s="811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10" t="s">
        <v>318</v>
      </c>
      <c r="C1" s="1110"/>
      <c r="D1" s="1110"/>
      <c r="E1" s="1110"/>
    </row>
    <row r="2" spans="1:10" x14ac:dyDescent="0.2">
      <c r="F2" s="1114"/>
      <c r="G2" s="1114"/>
      <c r="H2" s="1114"/>
      <c r="I2" s="1114"/>
    </row>
    <row r="4" spans="1:10" ht="12.75" x14ac:dyDescent="0.2">
      <c r="A4" s="1112" t="s">
        <v>78</v>
      </c>
      <c r="B4" s="1112"/>
      <c r="C4" s="1112"/>
      <c r="D4" s="1112"/>
      <c r="E4" s="1112"/>
      <c r="F4" s="1113"/>
      <c r="G4" s="1113"/>
      <c r="H4" s="1113"/>
      <c r="I4" s="1113"/>
    </row>
    <row r="5" spans="1:10" ht="12.75" x14ac:dyDescent="0.2">
      <c r="A5" s="1112" t="s">
        <v>975</v>
      </c>
      <c r="B5" s="1112"/>
      <c r="C5" s="1112"/>
      <c r="D5" s="1112"/>
      <c r="E5" s="1112"/>
      <c r="F5" s="1113"/>
      <c r="G5" s="1113"/>
      <c r="H5" s="1113"/>
      <c r="I5" s="1113"/>
    </row>
    <row r="7" spans="1:10" ht="13.5" thickBot="1" x14ac:dyDescent="0.25">
      <c r="E7" s="573" t="s">
        <v>20</v>
      </c>
      <c r="F7" s="584"/>
    </row>
    <row r="8" spans="1:10" ht="12.75" customHeight="1" thickBot="1" x14ac:dyDescent="0.25">
      <c r="A8" s="1101" t="s">
        <v>79</v>
      </c>
      <c r="B8" s="1103" t="s">
        <v>116</v>
      </c>
      <c r="C8" s="1104"/>
      <c r="D8" s="1104"/>
      <c r="E8" s="1104"/>
      <c r="F8" s="1103" t="s">
        <v>997</v>
      </c>
      <c r="G8" s="1104"/>
      <c r="H8" s="1104"/>
      <c r="I8" s="1104"/>
    </row>
    <row r="9" spans="1:10" s="7" customFormat="1" ht="49.5" customHeight="1" thickBot="1" x14ac:dyDescent="0.25">
      <c r="A9" s="1102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</row>
    <row r="10" spans="1:10" ht="13.5" customHeight="1" x14ac:dyDescent="0.2">
      <c r="A10" s="585" t="s">
        <v>83</v>
      </c>
      <c r="B10" s="586"/>
      <c r="C10" s="586"/>
      <c r="D10" s="586"/>
      <c r="E10" s="586"/>
      <c r="F10" s="587"/>
      <c r="G10" s="587"/>
      <c r="H10" s="587"/>
      <c r="I10" s="587"/>
      <c r="J10" s="621"/>
    </row>
    <row r="11" spans="1:10" ht="13.5" customHeight="1" x14ac:dyDescent="0.2">
      <c r="A11" s="197" t="s">
        <v>895</v>
      </c>
      <c r="B11" s="198"/>
      <c r="C11" s="198"/>
      <c r="D11" s="198"/>
      <c r="E11" s="198"/>
      <c r="F11" s="574"/>
      <c r="G11" s="574"/>
      <c r="H11" s="574"/>
      <c r="I11" s="574"/>
      <c r="J11" s="621"/>
    </row>
    <row r="12" spans="1:10" ht="30.75" customHeight="1" x14ac:dyDescent="0.2">
      <c r="A12" s="723" t="s">
        <v>896</v>
      </c>
      <c r="B12" s="577">
        <v>4865</v>
      </c>
      <c r="C12" s="724">
        <v>18.690000000000001</v>
      </c>
      <c r="D12" s="577">
        <v>4580000</v>
      </c>
      <c r="E12" s="577">
        <f>C12*D12</f>
        <v>85600200</v>
      </c>
      <c r="F12" s="576">
        <v>4837</v>
      </c>
      <c r="G12" s="575">
        <v>18.62</v>
      </c>
      <c r="H12" s="575">
        <v>4580000</v>
      </c>
      <c r="I12" s="576">
        <f>G12*H12</f>
        <v>85279600</v>
      </c>
      <c r="J12" s="621"/>
    </row>
    <row r="13" spans="1:10" ht="13.5" customHeight="1" x14ac:dyDescent="0.2">
      <c r="A13" s="580" t="s">
        <v>897</v>
      </c>
      <c r="B13" s="577"/>
      <c r="C13" s="577"/>
      <c r="D13" s="577"/>
      <c r="E13" s="577"/>
      <c r="F13" s="576"/>
      <c r="G13" s="575"/>
      <c r="H13" s="575"/>
      <c r="I13" s="576"/>
      <c r="J13" s="621"/>
    </row>
    <row r="14" spans="1:10" ht="30" customHeight="1" x14ac:dyDescent="0.2">
      <c r="A14" s="723" t="s">
        <v>898</v>
      </c>
      <c r="B14" s="577"/>
      <c r="C14" s="578"/>
      <c r="D14" s="577" t="s">
        <v>319</v>
      </c>
      <c r="E14" s="577">
        <v>8328800</v>
      </c>
      <c r="F14" s="576"/>
      <c r="G14" s="575"/>
      <c r="H14" s="575" t="s">
        <v>319</v>
      </c>
      <c r="I14" s="576">
        <v>8329050</v>
      </c>
      <c r="J14" s="621"/>
    </row>
    <row r="15" spans="1:10" ht="30" customHeight="1" x14ac:dyDescent="0.2">
      <c r="A15" s="723" t="s">
        <v>899</v>
      </c>
      <c r="B15" s="577"/>
      <c r="C15" s="578"/>
      <c r="D15" s="577"/>
      <c r="E15" s="577"/>
      <c r="F15" s="576"/>
      <c r="G15" s="575"/>
      <c r="H15" s="575"/>
      <c r="I15" s="576">
        <v>-8329050</v>
      </c>
      <c r="J15" s="621"/>
    </row>
    <row r="16" spans="1:10" ht="30" customHeight="1" x14ac:dyDescent="0.2">
      <c r="A16" s="723" t="s">
        <v>900</v>
      </c>
      <c r="B16" s="577"/>
      <c r="C16" s="578"/>
      <c r="D16" s="577"/>
      <c r="E16" s="577"/>
      <c r="F16" s="576"/>
      <c r="G16" s="575"/>
      <c r="H16" s="575"/>
      <c r="I16" s="576">
        <f>I14+I15</f>
        <v>0</v>
      </c>
      <c r="J16" s="621"/>
    </row>
    <row r="17" spans="1:10" ht="16.5" customHeight="1" x14ac:dyDescent="0.2">
      <c r="A17" s="580" t="s">
        <v>901</v>
      </c>
      <c r="B17" s="577"/>
      <c r="C17" s="577"/>
      <c r="D17" s="725" t="s">
        <v>320</v>
      </c>
      <c r="E17" s="577">
        <v>18272000</v>
      </c>
      <c r="F17" s="576"/>
      <c r="G17" s="575"/>
      <c r="H17" s="575" t="s">
        <v>321</v>
      </c>
      <c r="I17" s="576">
        <v>18304000</v>
      </c>
      <c r="J17" s="621"/>
    </row>
    <row r="18" spans="1:10" ht="16.5" customHeight="1" x14ac:dyDescent="0.2">
      <c r="A18" s="580" t="s">
        <v>899</v>
      </c>
      <c r="B18" s="577"/>
      <c r="C18" s="577"/>
      <c r="D18" s="725"/>
      <c r="E18" s="577"/>
      <c r="F18" s="576"/>
      <c r="G18" s="575"/>
      <c r="H18" s="575"/>
      <c r="I18" s="576">
        <v>-18304000</v>
      </c>
      <c r="J18" s="621"/>
    </row>
    <row r="19" spans="1:10" ht="16.5" customHeight="1" x14ac:dyDescent="0.2">
      <c r="A19" s="580" t="s">
        <v>902</v>
      </c>
      <c r="B19" s="577"/>
      <c r="C19" s="577"/>
      <c r="D19" s="725"/>
      <c r="E19" s="577"/>
      <c r="F19" s="576"/>
      <c r="G19" s="575"/>
      <c r="H19" s="575"/>
      <c r="I19" s="576">
        <f>I17+I18</f>
        <v>0</v>
      </c>
      <c r="J19" s="621"/>
    </row>
    <row r="20" spans="1:10" ht="13.5" customHeight="1" x14ac:dyDescent="0.2">
      <c r="A20" s="580" t="s">
        <v>903</v>
      </c>
      <c r="B20" s="726"/>
      <c r="C20" s="726" t="s">
        <v>904</v>
      </c>
      <c r="D20" s="727" t="s">
        <v>735</v>
      </c>
      <c r="E20" s="726">
        <v>1355022</v>
      </c>
      <c r="F20" s="680"/>
      <c r="G20" s="726"/>
      <c r="H20" s="728" t="s">
        <v>735</v>
      </c>
      <c r="I20" s="576">
        <v>1355022</v>
      </c>
      <c r="J20" s="621"/>
    </row>
    <row r="21" spans="1:10" ht="13.5" customHeight="1" x14ac:dyDescent="0.2">
      <c r="A21" s="580" t="s">
        <v>905</v>
      </c>
      <c r="B21" s="726"/>
      <c r="C21" s="726"/>
      <c r="D21" s="727"/>
      <c r="E21" s="726"/>
      <c r="F21" s="680"/>
      <c r="G21" s="726"/>
      <c r="H21" s="728"/>
      <c r="I21" s="576">
        <v>-1355022</v>
      </c>
      <c r="J21" s="621"/>
    </row>
    <row r="22" spans="1:10" ht="13.5" customHeight="1" x14ac:dyDescent="0.2">
      <c r="A22" s="580" t="s">
        <v>906</v>
      </c>
      <c r="B22" s="726"/>
      <c r="C22" s="726"/>
      <c r="D22" s="727"/>
      <c r="E22" s="726"/>
      <c r="F22" s="680"/>
      <c r="G22" s="726"/>
      <c r="H22" s="728"/>
      <c r="I22" s="576">
        <f>I20+I21</f>
        <v>0</v>
      </c>
      <c r="J22" s="621"/>
    </row>
    <row r="23" spans="1:10" ht="13.5" customHeight="1" x14ac:dyDescent="0.2">
      <c r="A23" s="580" t="s">
        <v>907</v>
      </c>
      <c r="B23" s="577"/>
      <c r="C23" s="578"/>
      <c r="D23" s="725" t="s">
        <v>736</v>
      </c>
      <c r="E23" s="577">
        <v>6369620</v>
      </c>
      <c r="F23" s="576"/>
      <c r="G23" s="575"/>
      <c r="H23" s="725" t="s">
        <v>736</v>
      </c>
      <c r="I23" s="576">
        <v>6369620</v>
      </c>
      <c r="J23" s="621"/>
    </row>
    <row r="24" spans="1:10" ht="13.5" customHeight="1" x14ac:dyDescent="0.2">
      <c r="A24" s="580" t="s">
        <v>905</v>
      </c>
      <c r="B24" s="577"/>
      <c r="C24" s="578"/>
      <c r="D24" s="725"/>
      <c r="E24" s="577"/>
      <c r="F24" s="576"/>
      <c r="G24" s="575"/>
      <c r="H24" s="725"/>
      <c r="I24" s="576">
        <v>-6369620</v>
      </c>
      <c r="J24" s="621"/>
    </row>
    <row r="25" spans="1:10" ht="13.5" customHeight="1" x14ac:dyDescent="0.2">
      <c r="A25" s="580" t="s">
        <v>908</v>
      </c>
      <c r="B25" s="577"/>
      <c r="C25" s="578"/>
      <c r="D25" s="725"/>
      <c r="E25" s="577"/>
      <c r="F25" s="576"/>
      <c r="G25" s="575"/>
      <c r="H25" s="725"/>
      <c r="I25" s="576">
        <f>I23+I24</f>
        <v>0</v>
      </c>
      <c r="J25" s="621"/>
    </row>
    <row r="26" spans="1:10" ht="13.5" customHeight="1" x14ac:dyDescent="0.2">
      <c r="A26" s="580" t="s">
        <v>909</v>
      </c>
      <c r="B26" s="577">
        <v>4865</v>
      </c>
      <c r="C26" s="577"/>
      <c r="D26" s="577">
        <v>2700</v>
      </c>
      <c r="E26" s="577">
        <f>B26*D26</f>
        <v>13135500</v>
      </c>
      <c r="F26" s="576">
        <v>4837</v>
      </c>
      <c r="G26" s="575"/>
      <c r="H26" s="577">
        <v>2700</v>
      </c>
      <c r="I26" s="576">
        <f>F26*H26</f>
        <v>13059900</v>
      </c>
      <c r="J26" s="621"/>
    </row>
    <row r="27" spans="1:10" ht="13.5" customHeight="1" x14ac:dyDescent="0.2">
      <c r="A27" s="580" t="s">
        <v>910</v>
      </c>
      <c r="B27" s="577"/>
      <c r="C27" s="577"/>
      <c r="D27" s="577"/>
      <c r="E27" s="577">
        <v>-13135500</v>
      </c>
      <c r="F27" s="576"/>
      <c r="G27" s="575"/>
      <c r="H27" s="575"/>
      <c r="I27" s="576">
        <v>-13059900</v>
      </c>
      <c r="J27" s="621"/>
    </row>
    <row r="28" spans="1:10" ht="13.5" customHeight="1" x14ac:dyDescent="0.2">
      <c r="A28" s="580" t="s">
        <v>911</v>
      </c>
      <c r="B28" s="577"/>
      <c r="C28" s="577"/>
      <c r="D28" s="577"/>
      <c r="E28" s="577">
        <f>E26+E27</f>
        <v>0</v>
      </c>
      <c r="F28" s="576"/>
      <c r="G28" s="575"/>
      <c r="H28" s="575"/>
      <c r="I28" s="576">
        <f>I26+I27</f>
        <v>0</v>
      </c>
      <c r="J28" s="621"/>
    </row>
    <row r="29" spans="1:10" ht="13.5" customHeight="1" x14ac:dyDescent="0.2">
      <c r="A29" s="580" t="s">
        <v>912</v>
      </c>
      <c r="B29" s="726">
        <v>10</v>
      </c>
      <c r="C29" s="726"/>
      <c r="D29" s="726" t="s">
        <v>322</v>
      </c>
      <c r="E29" s="729">
        <v>25500</v>
      </c>
      <c r="F29" s="576">
        <v>11</v>
      </c>
      <c r="G29" s="575"/>
      <c r="H29" s="577" t="s">
        <v>322</v>
      </c>
      <c r="I29" s="576">
        <v>28050</v>
      </c>
      <c r="J29" s="621"/>
    </row>
    <row r="30" spans="1:10" ht="13.5" customHeight="1" x14ac:dyDescent="0.2">
      <c r="A30" s="580" t="s">
        <v>913</v>
      </c>
      <c r="B30" s="726"/>
      <c r="C30" s="726"/>
      <c r="D30" s="726"/>
      <c r="E30" s="729">
        <v>-25500</v>
      </c>
      <c r="F30" s="576"/>
      <c r="G30" s="575"/>
      <c r="H30" s="575"/>
      <c r="I30" s="576">
        <v>-28050</v>
      </c>
      <c r="J30" s="621"/>
    </row>
    <row r="31" spans="1:10" ht="13.5" customHeight="1" x14ac:dyDescent="0.2">
      <c r="A31" s="580" t="s">
        <v>914</v>
      </c>
      <c r="B31" s="726"/>
      <c r="C31" s="726"/>
      <c r="D31" s="726"/>
      <c r="E31" s="729">
        <v>0</v>
      </c>
      <c r="F31" s="576"/>
      <c r="G31" s="575"/>
      <c r="H31" s="575"/>
      <c r="I31" s="576">
        <f>I29+I30</f>
        <v>0</v>
      </c>
      <c r="J31" s="621"/>
    </row>
    <row r="32" spans="1:10" ht="13.5" customHeight="1" x14ac:dyDescent="0.2">
      <c r="A32" s="580" t="s">
        <v>915</v>
      </c>
      <c r="B32" s="577"/>
      <c r="C32" s="577">
        <v>487729000</v>
      </c>
      <c r="D32" s="578">
        <v>1.55</v>
      </c>
      <c r="E32" s="577">
        <f>C32*D32</f>
        <v>755979950</v>
      </c>
      <c r="F32" s="576"/>
      <c r="G32" s="774">
        <v>482296000</v>
      </c>
      <c r="H32" s="775">
        <v>1.55</v>
      </c>
      <c r="I32" s="774">
        <f>G32*H32</f>
        <v>747558800</v>
      </c>
      <c r="J32" s="621"/>
    </row>
    <row r="33" spans="1:11" ht="13.5" customHeight="1" x14ac:dyDescent="0.2">
      <c r="A33" s="580" t="s">
        <v>910</v>
      </c>
      <c r="B33" s="577"/>
      <c r="C33" s="577"/>
      <c r="D33" s="581"/>
      <c r="E33" s="577">
        <v>-98054262</v>
      </c>
      <c r="F33" s="576"/>
      <c r="G33" s="575"/>
      <c r="H33" s="575"/>
      <c r="I33" s="576">
        <v>-69343482</v>
      </c>
      <c r="J33" s="621"/>
    </row>
    <row r="34" spans="1:11" ht="13.5" customHeight="1" x14ac:dyDescent="0.2">
      <c r="A34" s="580" t="s">
        <v>916</v>
      </c>
      <c r="B34" s="577"/>
      <c r="C34" s="577"/>
      <c r="D34" s="581"/>
      <c r="E34" s="577">
        <f>E32+E33</f>
        <v>657925688</v>
      </c>
      <c r="F34" s="576"/>
      <c r="G34" s="575"/>
      <c r="H34" s="575"/>
      <c r="I34" s="576">
        <f>I32+I33</f>
        <v>678215318</v>
      </c>
      <c r="J34" s="621"/>
    </row>
    <row r="35" spans="1:11" ht="13.5" customHeight="1" x14ac:dyDescent="0.2">
      <c r="A35" s="730" t="s">
        <v>917</v>
      </c>
      <c r="B35" s="726"/>
      <c r="C35" s="726"/>
      <c r="D35" s="726"/>
      <c r="E35" s="726">
        <v>0</v>
      </c>
      <c r="F35" s="680"/>
      <c r="G35" s="731"/>
      <c r="H35" s="731"/>
      <c r="I35" s="680">
        <v>0</v>
      </c>
      <c r="J35" s="621"/>
    </row>
    <row r="36" spans="1:11" ht="13.5" customHeight="1" x14ac:dyDescent="0.2">
      <c r="A36" s="730"/>
      <c r="B36" s="726"/>
      <c r="C36" s="726"/>
      <c r="D36" s="726"/>
      <c r="E36" s="726"/>
      <c r="F36" s="680"/>
      <c r="G36" s="731"/>
      <c r="H36" s="731"/>
      <c r="I36" s="680"/>
      <c r="J36" s="621"/>
      <c r="K36" s="732"/>
    </row>
    <row r="37" spans="1:11" ht="24.95" customHeight="1" x14ac:dyDescent="0.2">
      <c r="A37" s="733" t="s">
        <v>84</v>
      </c>
      <c r="B37" s="726"/>
      <c r="C37" s="726"/>
      <c r="D37" s="726"/>
      <c r="E37" s="726"/>
      <c r="F37" s="680"/>
      <c r="G37" s="731"/>
      <c r="H37" s="731"/>
      <c r="I37" s="680"/>
      <c r="J37" s="621"/>
    </row>
    <row r="38" spans="1:11" ht="15" customHeight="1" x14ac:dyDescent="0.2">
      <c r="A38" s="723" t="s">
        <v>918</v>
      </c>
      <c r="B38" s="726"/>
      <c r="C38" s="726"/>
      <c r="D38" s="726"/>
      <c r="E38" s="726"/>
      <c r="F38" s="680"/>
      <c r="G38" s="731"/>
      <c r="H38" s="731"/>
      <c r="I38" s="680"/>
      <c r="J38" s="621"/>
    </row>
    <row r="39" spans="1:11" ht="24" customHeight="1" x14ac:dyDescent="0.2">
      <c r="A39" s="723" t="s">
        <v>919</v>
      </c>
      <c r="B39" s="577"/>
      <c r="C39" s="578">
        <v>13.1</v>
      </c>
      <c r="D39" s="577">
        <v>4152000</v>
      </c>
      <c r="E39" s="577">
        <f>C39*D39*8/12</f>
        <v>36260800</v>
      </c>
      <c r="F39" s="576"/>
      <c r="G39" s="575">
        <v>13.3</v>
      </c>
      <c r="H39" s="576">
        <v>4308000</v>
      </c>
      <c r="I39" s="576">
        <f>G39*8/12*4308000</f>
        <v>38197600</v>
      </c>
      <c r="J39" s="621"/>
    </row>
    <row r="40" spans="1:11" ht="24" customHeight="1" x14ac:dyDescent="0.2">
      <c r="A40" s="723" t="s">
        <v>920</v>
      </c>
      <c r="B40" s="577"/>
      <c r="C40" s="578">
        <v>13.1</v>
      </c>
      <c r="D40" s="579">
        <v>4152000</v>
      </c>
      <c r="E40" s="577">
        <f>C40*D40*4/12</f>
        <v>18130400</v>
      </c>
      <c r="F40" s="576"/>
      <c r="G40" s="734">
        <v>13.4</v>
      </c>
      <c r="H40" s="576">
        <v>4308000</v>
      </c>
      <c r="I40" s="576">
        <f>G40*4/12*H40</f>
        <v>19242400</v>
      </c>
      <c r="J40" s="621"/>
    </row>
    <row r="41" spans="1:11" ht="24.95" customHeight="1" x14ac:dyDescent="0.2">
      <c r="A41" s="723" t="s">
        <v>998</v>
      </c>
      <c r="B41" s="726"/>
      <c r="C41" s="735">
        <v>13.1</v>
      </c>
      <c r="D41" s="736">
        <v>35000</v>
      </c>
      <c r="E41" s="726">
        <f>C41*D41</f>
        <v>458500</v>
      </c>
      <c r="F41" s="680"/>
      <c r="G41" s="734">
        <v>13.4</v>
      </c>
      <c r="H41" s="576">
        <v>35000</v>
      </c>
      <c r="I41" s="576">
        <f>G41*H41</f>
        <v>469000</v>
      </c>
      <c r="J41" s="621"/>
    </row>
    <row r="42" spans="1:11" ht="24.95" customHeight="1" x14ac:dyDescent="0.2">
      <c r="A42" s="723" t="s">
        <v>921</v>
      </c>
      <c r="B42" s="726"/>
      <c r="C42" s="726">
        <v>10</v>
      </c>
      <c r="D42" s="726">
        <v>1800000</v>
      </c>
      <c r="E42" s="729">
        <f>C42*D42*8/12</f>
        <v>12000000</v>
      </c>
      <c r="F42" s="680"/>
      <c r="G42" s="734">
        <v>9</v>
      </c>
      <c r="H42" s="576">
        <v>1800000</v>
      </c>
      <c r="I42" s="576">
        <f>G42*H42*8/12</f>
        <v>10800000</v>
      </c>
      <c r="J42" s="621"/>
    </row>
    <row r="43" spans="1:11" ht="35.25" customHeight="1" x14ac:dyDescent="0.2">
      <c r="A43" s="737" t="s">
        <v>922</v>
      </c>
      <c r="B43" s="726"/>
      <c r="C43" s="726"/>
      <c r="D43" s="726"/>
      <c r="E43" s="729"/>
      <c r="F43" s="680"/>
      <c r="G43" s="734">
        <v>1</v>
      </c>
      <c r="H43" s="576">
        <v>4308000</v>
      </c>
      <c r="I43" s="576">
        <f>G43*H43*8/12</f>
        <v>2872000</v>
      </c>
      <c r="J43" s="621"/>
    </row>
    <row r="44" spans="1:11" ht="35.25" customHeight="1" x14ac:dyDescent="0.2">
      <c r="A44" s="723" t="s">
        <v>923</v>
      </c>
      <c r="B44" s="726"/>
      <c r="C44" s="726">
        <v>10</v>
      </c>
      <c r="D44" s="726">
        <v>1800000</v>
      </c>
      <c r="E44" s="726">
        <f>C44*D44*4/12</f>
        <v>6000000</v>
      </c>
      <c r="F44" s="680"/>
      <c r="G44" s="734">
        <v>9</v>
      </c>
      <c r="H44" s="576">
        <v>1800000</v>
      </c>
      <c r="I44" s="576">
        <f>G44*H44*4/12</f>
        <v>5400000</v>
      </c>
      <c r="J44" s="622"/>
    </row>
    <row r="45" spans="1:11" ht="35.25" customHeight="1" x14ac:dyDescent="0.2">
      <c r="A45" s="723" t="s">
        <v>924</v>
      </c>
      <c r="B45" s="726"/>
      <c r="C45" s="726"/>
      <c r="D45" s="726"/>
      <c r="E45" s="726"/>
      <c r="F45" s="680"/>
      <c r="G45" s="734">
        <v>1</v>
      </c>
      <c r="H45" s="576">
        <v>4308000</v>
      </c>
      <c r="I45" s="576">
        <f>G45*H45*4/12</f>
        <v>1436000</v>
      </c>
      <c r="J45" s="622"/>
    </row>
    <row r="46" spans="1:11" ht="13.5" customHeight="1" x14ac:dyDescent="0.2">
      <c r="A46" s="723" t="s">
        <v>925</v>
      </c>
      <c r="B46" s="726"/>
      <c r="C46" s="726"/>
      <c r="D46" s="726"/>
      <c r="E46" s="726"/>
      <c r="F46" s="680"/>
      <c r="G46" s="734">
        <v>1</v>
      </c>
      <c r="H46" s="576">
        <v>35000</v>
      </c>
      <c r="I46" s="576">
        <f>G46*H46</f>
        <v>35000</v>
      </c>
      <c r="J46" s="622"/>
    </row>
    <row r="47" spans="1:11" ht="13.5" customHeight="1" x14ac:dyDescent="0.2">
      <c r="A47" s="580" t="s">
        <v>926</v>
      </c>
      <c r="B47" s="726"/>
      <c r="C47" s="726"/>
      <c r="D47" s="726"/>
      <c r="E47" s="726"/>
      <c r="F47" s="680"/>
      <c r="G47" s="731"/>
      <c r="H47" s="731"/>
      <c r="I47" s="680"/>
      <c r="J47" s="621"/>
    </row>
    <row r="48" spans="1:11" ht="13.5" customHeight="1" x14ac:dyDescent="0.2">
      <c r="A48" s="723" t="s">
        <v>927</v>
      </c>
      <c r="B48" s="577"/>
      <c r="C48" s="577"/>
      <c r="D48" s="577"/>
      <c r="E48" s="577"/>
      <c r="F48" s="576"/>
      <c r="G48" s="576">
        <v>0</v>
      </c>
      <c r="H48" s="577">
        <v>80000</v>
      </c>
      <c r="I48" s="576">
        <f>G48*H48*8/12</f>
        <v>0</v>
      </c>
      <c r="J48" s="621"/>
    </row>
    <row r="49" spans="1:11" ht="13.5" customHeight="1" x14ac:dyDescent="0.2">
      <c r="A49" s="723" t="s">
        <v>928</v>
      </c>
      <c r="B49" s="577"/>
      <c r="C49" s="577">
        <v>142</v>
      </c>
      <c r="D49" s="577">
        <v>70000</v>
      </c>
      <c r="E49" s="577">
        <f>C49*D49*8/12</f>
        <v>6626666.666666667</v>
      </c>
      <c r="F49" s="576"/>
      <c r="G49" s="576">
        <v>144</v>
      </c>
      <c r="H49" s="577">
        <v>80000</v>
      </c>
      <c r="I49" s="576">
        <f>G49*H49*8/12</f>
        <v>7680000</v>
      </c>
      <c r="J49" s="621"/>
    </row>
    <row r="50" spans="1:11" ht="13.5" customHeight="1" x14ac:dyDescent="0.2">
      <c r="A50" s="723" t="s">
        <v>929</v>
      </c>
      <c r="B50" s="726"/>
      <c r="C50" s="726"/>
      <c r="D50" s="726"/>
      <c r="E50" s="726"/>
      <c r="F50" s="680"/>
      <c r="G50" s="576">
        <v>0</v>
      </c>
      <c r="H50" s="577">
        <v>80000</v>
      </c>
      <c r="I50" s="576">
        <f>G50*H50*8/12</f>
        <v>0</v>
      </c>
      <c r="J50" s="621"/>
    </row>
    <row r="51" spans="1:11" ht="39.75" customHeight="1" x14ac:dyDescent="0.2">
      <c r="A51" s="723" t="s">
        <v>930</v>
      </c>
      <c r="B51" s="726"/>
      <c r="C51" s="726">
        <v>142</v>
      </c>
      <c r="D51" s="726">
        <v>70000</v>
      </c>
      <c r="E51" s="726">
        <f>C51*D51*4/12</f>
        <v>3313333.3333333335</v>
      </c>
      <c r="F51" s="680"/>
      <c r="G51" s="576">
        <v>144</v>
      </c>
      <c r="H51" s="577">
        <v>80000</v>
      </c>
      <c r="I51" s="576">
        <f>G51*H51*4/12</f>
        <v>3840000</v>
      </c>
      <c r="J51" s="621"/>
    </row>
    <row r="52" spans="1:11" ht="50.25" customHeight="1" x14ac:dyDescent="0.2">
      <c r="A52" s="580" t="s">
        <v>931</v>
      </c>
      <c r="B52" s="726"/>
      <c r="C52" s="726"/>
      <c r="D52" s="726"/>
      <c r="E52" s="726">
        <v>0</v>
      </c>
      <c r="F52" s="680"/>
      <c r="G52" s="731"/>
      <c r="H52" s="731"/>
      <c r="I52" s="576">
        <v>740000</v>
      </c>
      <c r="J52" s="624"/>
    </row>
    <row r="53" spans="1:11" ht="13.5" customHeight="1" x14ac:dyDescent="0.2">
      <c r="A53" s="580" t="s">
        <v>932</v>
      </c>
      <c r="B53" s="577"/>
      <c r="C53" s="577"/>
      <c r="D53" s="577"/>
      <c r="E53" s="577"/>
      <c r="F53" s="576"/>
      <c r="G53" s="575"/>
      <c r="H53" s="575"/>
      <c r="I53" s="576"/>
      <c r="J53" s="621"/>
    </row>
    <row r="54" spans="1:11" ht="13.5" customHeight="1" x14ac:dyDescent="0.2">
      <c r="A54" s="723" t="s">
        <v>933</v>
      </c>
      <c r="B54" s="577"/>
      <c r="C54" s="577">
        <v>5</v>
      </c>
      <c r="D54" s="738" t="s">
        <v>323</v>
      </c>
      <c r="E54" s="577">
        <v>1760000</v>
      </c>
      <c r="F54" s="576"/>
      <c r="G54" s="576">
        <v>5</v>
      </c>
      <c r="H54" s="576">
        <v>384000</v>
      </c>
      <c r="I54" s="576">
        <f>G54*H54</f>
        <v>1920000</v>
      </c>
      <c r="J54" s="621"/>
    </row>
    <row r="55" spans="1:11" ht="13.5" customHeight="1" x14ac:dyDescent="0.2">
      <c r="A55" s="723" t="s">
        <v>934</v>
      </c>
      <c r="B55" s="726"/>
      <c r="C55" s="726"/>
      <c r="D55" s="726"/>
      <c r="E55" s="726"/>
      <c r="F55" s="680"/>
      <c r="G55" s="576">
        <v>1</v>
      </c>
      <c r="H55" s="576">
        <v>352000</v>
      </c>
      <c r="I55" s="576">
        <f>G55*H55</f>
        <v>352000</v>
      </c>
      <c r="J55" s="621"/>
    </row>
    <row r="56" spans="1:11" ht="12.75" customHeight="1" x14ac:dyDescent="0.2">
      <c r="A56" s="730"/>
      <c r="B56" s="726"/>
      <c r="C56" s="726"/>
      <c r="D56" s="726"/>
      <c r="E56" s="726"/>
      <c r="F56" s="680"/>
      <c r="G56" s="731"/>
      <c r="H56" s="731"/>
      <c r="I56" s="680"/>
      <c r="J56" s="621"/>
      <c r="K56" s="732"/>
    </row>
    <row r="57" spans="1:11" ht="13.5" customHeight="1" x14ac:dyDescent="0.2">
      <c r="A57" s="733" t="s">
        <v>85</v>
      </c>
      <c r="B57" s="726"/>
      <c r="C57" s="726"/>
      <c r="D57" s="726"/>
      <c r="E57" s="726"/>
      <c r="F57" s="680"/>
      <c r="G57" s="731"/>
      <c r="H57" s="731"/>
      <c r="I57" s="680"/>
      <c r="J57" s="621"/>
    </row>
    <row r="58" spans="1:11" ht="33.75" customHeight="1" x14ac:dyDescent="0.2">
      <c r="A58" s="730" t="s">
        <v>935</v>
      </c>
      <c r="B58" s="726"/>
      <c r="C58" s="726"/>
      <c r="D58" s="726"/>
      <c r="E58" s="726">
        <v>0</v>
      </c>
      <c r="F58" s="680"/>
      <c r="G58" s="731"/>
      <c r="H58" s="731"/>
      <c r="I58" s="680">
        <v>0</v>
      </c>
      <c r="J58" s="623"/>
    </row>
    <row r="59" spans="1:11" ht="27" customHeight="1" x14ac:dyDescent="0.2">
      <c r="A59" s="737" t="s">
        <v>936</v>
      </c>
      <c r="B59" s="726"/>
      <c r="C59" s="726"/>
      <c r="D59" s="726"/>
      <c r="E59" s="729">
        <v>0</v>
      </c>
      <c r="F59" s="680"/>
      <c r="G59" s="731"/>
      <c r="H59" s="731"/>
      <c r="I59" s="680">
        <v>0</v>
      </c>
      <c r="J59" s="621"/>
    </row>
    <row r="60" spans="1:11" ht="13.5" customHeight="1" x14ac:dyDescent="0.2">
      <c r="A60" s="580" t="s">
        <v>937</v>
      </c>
      <c r="B60" s="726"/>
      <c r="C60" s="726"/>
      <c r="D60" s="726"/>
      <c r="E60" s="726"/>
      <c r="F60" s="680"/>
      <c r="G60" s="731"/>
      <c r="H60" s="731"/>
      <c r="I60" s="680"/>
      <c r="J60" s="621"/>
    </row>
    <row r="61" spans="1:11" ht="13.5" customHeight="1" x14ac:dyDescent="0.2">
      <c r="A61" s="580" t="s">
        <v>938</v>
      </c>
      <c r="B61" s="726"/>
      <c r="C61" s="726"/>
      <c r="D61" s="726"/>
      <c r="E61" s="726"/>
      <c r="F61" s="680"/>
      <c r="G61" s="731"/>
      <c r="H61" s="731"/>
      <c r="I61" s="680"/>
      <c r="J61" s="621"/>
    </row>
    <row r="62" spans="1:11" ht="13.5" customHeight="1" x14ac:dyDescent="0.2">
      <c r="A62" s="580" t="s">
        <v>939</v>
      </c>
      <c r="B62" s="726"/>
      <c r="C62" s="726"/>
      <c r="D62" s="726"/>
      <c r="E62" s="726"/>
      <c r="F62" s="680"/>
      <c r="G62" s="731"/>
      <c r="H62" s="731"/>
      <c r="I62" s="680"/>
      <c r="J62" s="621"/>
    </row>
    <row r="63" spans="1:11" ht="28.5" customHeight="1" x14ac:dyDescent="0.2">
      <c r="A63" s="723" t="s">
        <v>940</v>
      </c>
      <c r="B63" s="730"/>
      <c r="C63" s="739"/>
      <c r="D63" s="726"/>
      <c r="E63" s="726">
        <f>C63*D63/2</f>
        <v>0</v>
      </c>
      <c r="F63" s="577">
        <v>7916</v>
      </c>
      <c r="G63" s="740"/>
      <c r="H63" s="731"/>
      <c r="I63" s="680"/>
      <c r="J63" s="623"/>
    </row>
    <row r="64" spans="1:11" ht="24.95" customHeight="1" x14ac:dyDescent="0.2">
      <c r="A64" s="737" t="s">
        <v>941</v>
      </c>
      <c r="B64" s="726"/>
      <c r="C64" s="730"/>
      <c r="D64" s="726"/>
      <c r="E64" s="726"/>
      <c r="F64" s="680"/>
      <c r="G64" s="582">
        <v>0</v>
      </c>
      <c r="H64" s="731"/>
      <c r="I64" s="680"/>
      <c r="J64" s="623"/>
    </row>
    <row r="65" spans="1:10" ht="24.95" customHeight="1" x14ac:dyDescent="0.2">
      <c r="A65" s="730" t="s">
        <v>942</v>
      </c>
      <c r="B65" s="726"/>
      <c r="C65" s="730"/>
      <c r="D65" s="726"/>
      <c r="E65" s="726"/>
      <c r="F65" s="680"/>
      <c r="G65" s="581">
        <v>1</v>
      </c>
      <c r="H65" s="731"/>
      <c r="I65" s="680"/>
      <c r="J65" s="621"/>
    </row>
    <row r="66" spans="1:10" ht="24.95" customHeight="1" x14ac:dyDescent="0.2">
      <c r="A66" s="580" t="s">
        <v>943</v>
      </c>
      <c r="B66" s="726"/>
      <c r="C66" s="741">
        <v>0.97299999999999998</v>
      </c>
      <c r="D66" s="726">
        <v>3000000</v>
      </c>
      <c r="E66" s="726"/>
      <c r="F66" s="680"/>
      <c r="G66" s="581">
        <v>2</v>
      </c>
      <c r="H66" s="577">
        <v>3000000</v>
      </c>
      <c r="I66" s="576">
        <f>(2*1+0)*3000000</f>
        <v>6000000</v>
      </c>
      <c r="J66" s="621"/>
    </row>
    <row r="67" spans="1:10" ht="13.5" customHeight="1" x14ac:dyDescent="0.2">
      <c r="A67" s="580" t="s">
        <v>944</v>
      </c>
      <c r="B67" s="742"/>
      <c r="C67" s="726">
        <v>80</v>
      </c>
      <c r="D67" s="726">
        <v>55360</v>
      </c>
      <c r="E67" s="726">
        <f>C67*D67</f>
        <v>4428800</v>
      </c>
      <c r="F67" s="680"/>
      <c r="G67" s="577">
        <v>80</v>
      </c>
      <c r="H67" s="577">
        <v>55360</v>
      </c>
      <c r="I67" s="577">
        <f>G67*H67</f>
        <v>4428800</v>
      </c>
      <c r="J67" s="621"/>
    </row>
    <row r="68" spans="1:10" ht="13.5" customHeight="1" x14ac:dyDescent="0.2">
      <c r="A68" s="580" t="s">
        <v>945</v>
      </c>
      <c r="B68" s="742"/>
      <c r="C68" s="726">
        <v>55</v>
      </c>
      <c r="D68" s="726">
        <v>145000</v>
      </c>
      <c r="E68" s="726">
        <f>C68*D68</f>
        <v>7975000</v>
      </c>
      <c r="F68" s="680"/>
      <c r="G68" s="577">
        <v>50</v>
      </c>
      <c r="H68" s="577">
        <v>145000</v>
      </c>
      <c r="I68" s="577">
        <f>G68*H68</f>
        <v>7250000</v>
      </c>
      <c r="J68" s="621"/>
    </row>
    <row r="69" spans="1:10" ht="13.5" customHeight="1" x14ac:dyDescent="0.2">
      <c r="A69" s="737" t="s">
        <v>946</v>
      </c>
      <c r="B69" s="743"/>
      <c r="C69" s="726">
        <v>23</v>
      </c>
      <c r="D69" s="726">
        <v>109000</v>
      </c>
      <c r="E69" s="726">
        <f>C69*D69</f>
        <v>2507000</v>
      </c>
      <c r="F69" s="680"/>
      <c r="G69" s="577">
        <v>23</v>
      </c>
      <c r="H69" s="577">
        <v>109000</v>
      </c>
      <c r="I69" s="577">
        <f>G69*H69</f>
        <v>2507000</v>
      </c>
      <c r="J69" s="621"/>
    </row>
    <row r="70" spans="1:10" ht="15" customHeight="1" x14ac:dyDescent="0.2">
      <c r="A70" s="723" t="s">
        <v>947</v>
      </c>
      <c r="B70" s="743"/>
      <c r="C70" s="726"/>
      <c r="D70" s="726"/>
      <c r="E70" s="726"/>
      <c r="F70" s="680"/>
      <c r="G70" s="731"/>
      <c r="H70" s="731"/>
      <c r="I70" s="680"/>
      <c r="J70" s="621"/>
    </row>
    <row r="71" spans="1:10" ht="13.5" customHeight="1" x14ac:dyDescent="0.2">
      <c r="A71" s="730" t="s">
        <v>948</v>
      </c>
      <c r="B71" s="730"/>
      <c r="C71" s="730"/>
      <c r="D71" s="680"/>
      <c r="E71" s="726"/>
      <c r="F71" s="680"/>
      <c r="G71" s="731"/>
      <c r="H71" s="731"/>
      <c r="I71" s="680"/>
      <c r="J71" s="621"/>
    </row>
    <row r="72" spans="1:10" ht="13.5" customHeight="1" x14ac:dyDescent="0.2">
      <c r="A72" s="580" t="s">
        <v>949</v>
      </c>
      <c r="B72" s="744"/>
      <c r="C72" s="726">
        <v>13</v>
      </c>
      <c r="D72" s="726">
        <v>494100</v>
      </c>
      <c r="E72" s="726">
        <f>C72*D72</f>
        <v>6423300</v>
      </c>
      <c r="F72" s="680"/>
      <c r="G72" s="577">
        <v>15</v>
      </c>
      <c r="H72" s="577">
        <v>494100</v>
      </c>
      <c r="I72" s="577">
        <f>G72*H72</f>
        <v>7411500</v>
      </c>
      <c r="J72" s="621"/>
    </row>
    <row r="73" spans="1:10" ht="13.5" customHeight="1" x14ac:dyDescent="0.2">
      <c r="A73" s="723" t="s">
        <v>950</v>
      </c>
      <c r="B73" s="742"/>
      <c r="C73" s="726"/>
      <c r="D73" s="726"/>
      <c r="E73" s="726"/>
      <c r="F73" s="680"/>
      <c r="G73" s="731"/>
      <c r="H73" s="731"/>
      <c r="I73" s="680"/>
      <c r="J73" s="621"/>
    </row>
    <row r="74" spans="1:10" ht="13.5" customHeight="1" x14ac:dyDescent="0.2">
      <c r="A74" s="723" t="s">
        <v>951</v>
      </c>
      <c r="B74" s="742"/>
      <c r="C74" s="726">
        <v>15</v>
      </c>
      <c r="D74" s="726">
        <v>2606040</v>
      </c>
      <c r="E74" s="726">
        <f>C74*D74</f>
        <v>39090600</v>
      </c>
      <c r="F74" s="680"/>
      <c r="G74" s="577">
        <v>15</v>
      </c>
      <c r="H74" s="577">
        <v>2606040</v>
      </c>
      <c r="I74" s="577">
        <f>G74*H74</f>
        <v>39090600</v>
      </c>
      <c r="J74" s="621"/>
    </row>
    <row r="75" spans="1:10" ht="24.95" customHeight="1" x14ac:dyDescent="0.2">
      <c r="A75" s="580" t="s">
        <v>952</v>
      </c>
      <c r="B75" s="742"/>
      <c r="C75" s="726"/>
      <c r="D75" s="726"/>
      <c r="E75" s="729">
        <v>37834000</v>
      </c>
      <c r="F75" s="680"/>
      <c r="G75" s="731"/>
      <c r="H75" s="731"/>
      <c r="I75" s="576">
        <v>31081000</v>
      </c>
      <c r="J75" s="625"/>
    </row>
    <row r="76" spans="1:10" ht="15" customHeight="1" x14ac:dyDescent="0.2">
      <c r="A76" s="580" t="s">
        <v>953</v>
      </c>
      <c r="B76" s="742"/>
      <c r="C76" s="726"/>
      <c r="D76" s="726"/>
      <c r="E76" s="726"/>
      <c r="F76" s="680"/>
      <c r="G76" s="731"/>
      <c r="H76" s="731"/>
      <c r="I76" s="680"/>
      <c r="J76" s="621"/>
    </row>
    <row r="77" spans="1:10" ht="34.5" customHeight="1" x14ac:dyDescent="0.2">
      <c r="A77" s="580" t="s">
        <v>954</v>
      </c>
      <c r="B77" s="726"/>
      <c r="C77" s="735">
        <v>12.33</v>
      </c>
      <c r="D77" s="726">
        <v>1632000</v>
      </c>
      <c r="E77" s="726">
        <f>C77*D77</f>
        <v>20122560</v>
      </c>
      <c r="F77" s="680"/>
      <c r="G77" s="578">
        <v>13.81</v>
      </c>
      <c r="H77" s="577">
        <v>1632000</v>
      </c>
      <c r="I77" s="577">
        <f>G77*H77</f>
        <v>22537920</v>
      </c>
      <c r="J77" s="626"/>
    </row>
    <row r="78" spans="1:10" ht="13.5" customHeight="1" x14ac:dyDescent="0.2">
      <c r="A78" s="580" t="s">
        <v>955</v>
      </c>
      <c r="B78" s="726"/>
      <c r="C78" s="726"/>
      <c r="D78" s="726"/>
      <c r="E78" s="729">
        <v>7038795</v>
      </c>
      <c r="F78" s="680"/>
      <c r="G78" s="731"/>
      <c r="H78" s="731"/>
      <c r="I78" s="576">
        <v>10352656</v>
      </c>
      <c r="J78" s="627"/>
    </row>
    <row r="79" spans="1:10" ht="13.5" customHeight="1" x14ac:dyDescent="0.2">
      <c r="A79" s="723" t="s">
        <v>956</v>
      </c>
      <c r="B79" s="726"/>
      <c r="C79" s="726"/>
      <c r="D79" s="726"/>
      <c r="E79" s="729"/>
      <c r="F79" s="680"/>
      <c r="G79" s="576">
        <v>280</v>
      </c>
      <c r="H79" s="576">
        <v>285</v>
      </c>
      <c r="I79" s="576">
        <f>G79*H79</f>
        <v>79800</v>
      </c>
      <c r="J79" s="621"/>
    </row>
    <row r="80" spans="1:10" ht="31.5" customHeight="1" x14ac:dyDescent="0.2">
      <c r="A80" s="580" t="s">
        <v>957</v>
      </c>
      <c r="B80" s="726"/>
      <c r="C80" s="726"/>
      <c r="D80" s="726"/>
      <c r="E80" s="729">
        <v>0</v>
      </c>
      <c r="F80" s="680"/>
      <c r="G80" s="731"/>
      <c r="H80" s="731"/>
      <c r="I80" s="576">
        <v>0</v>
      </c>
      <c r="J80" s="621"/>
    </row>
    <row r="81" spans="1:256" ht="28.5" customHeight="1" x14ac:dyDescent="0.2">
      <c r="A81" s="730"/>
      <c r="B81" s="726"/>
      <c r="C81" s="726"/>
      <c r="D81" s="726"/>
      <c r="E81" s="745"/>
      <c r="F81" s="680"/>
      <c r="G81" s="731"/>
      <c r="H81" s="731"/>
      <c r="I81" s="680"/>
      <c r="J81" s="621"/>
      <c r="K81" s="732"/>
    </row>
    <row r="82" spans="1:256" ht="13.5" customHeight="1" x14ac:dyDescent="0.2">
      <c r="A82" s="733" t="s">
        <v>958</v>
      </c>
      <c r="B82" s="726"/>
      <c r="C82" s="726"/>
      <c r="D82" s="726"/>
      <c r="E82" s="745"/>
      <c r="F82" s="680"/>
      <c r="G82" s="731"/>
      <c r="H82" s="731"/>
      <c r="I82" s="680"/>
      <c r="J82" s="621"/>
    </row>
    <row r="83" spans="1:256" ht="13.5" customHeight="1" x14ac:dyDescent="0.2">
      <c r="A83" s="580" t="s">
        <v>959</v>
      </c>
      <c r="B83" s="726"/>
      <c r="C83" s="726"/>
      <c r="D83" s="726"/>
      <c r="E83" s="745"/>
      <c r="F83" s="680"/>
      <c r="G83" s="731"/>
      <c r="H83" s="731"/>
      <c r="I83" s="680"/>
      <c r="J83" s="621"/>
    </row>
    <row r="84" spans="1:256" ht="13.5" customHeight="1" x14ac:dyDescent="0.2">
      <c r="A84" s="580" t="s">
        <v>960</v>
      </c>
      <c r="B84" s="726"/>
      <c r="C84" s="726">
        <v>4865</v>
      </c>
      <c r="D84" s="726">
        <v>1140</v>
      </c>
      <c r="E84" s="746"/>
      <c r="F84" s="680"/>
      <c r="G84" s="577">
        <v>4837</v>
      </c>
      <c r="H84" s="577">
        <v>1140</v>
      </c>
      <c r="I84" s="296">
        <f>G84*H84</f>
        <v>5514180</v>
      </c>
      <c r="J84" s="621"/>
    </row>
    <row r="85" spans="1:256" ht="30" customHeight="1" x14ac:dyDescent="0.2">
      <c r="A85" s="723" t="s">
        <v>961</v>
      </c>
      <c r="B85" s="726"/>
      <c r="C85" s="726"/>
      <c r="D85" s="726"/>
      <c r="E85" s="746"/>
      <c r="F85" s="680"/>
      <c r="G85" s="726"/>
      <c r="H85" s="726"/>
      <c r="I85" s="296">
        <v>0</v>
      </c>
      <c r="J85" s="621"/>
    </row>
    <row r="86" spans="1:256" ht="13.5" customHeight="1" x14ac:dyDescent="0.2">
      <c r="A86" s="737"/>
      <c r="B86" s="742"/>
      <c r="C86" s="726"/>
      <c r="D86" s="740"/>
      <c r="E86" s="726"/>
      <c r="F86" s="680"/>
      <c r="G86" s="731"/>
      <c r="H86" s="731"/>
      <c r="I86" s="680"/>
      <c r="J86" s="621"/>
      <c r="K86" s="732"/>
    </row>
    <row r="87" spans="1:256" ht="25.5" customHeight="1" x14ac:dyDescent="0.2">
      <c r="A87" s="747" t="s">
        <v>962</v>
      </c>
      <c r="B87" s="742"/>
      <c r="C87" s="748"/>
      <c r="D87" s="726"/>
      <c r="E87" s="729"/>
      <c r="F87" s="742"/>
      <c r="G87" s="731"/>
      <c r="H87" s="731"/>
      <c r="I87" s="680"/>
      <c r="J87" s="621"/>
      <c r="K87" s="732"/>
      <c r="L87" s="732"/>
      <c r="N87" s="295"/>
    </row>
    <row r="88" spans="1:256" ht="13.5" customHeight="1" thickBot="1" x14ac:dyDescent="0.25">
      <c r="A88" s="749"/>
      <c r="B88" s="750"/>
      <c r="C88" s="751"/>
      <c r="D88" s="752"/>
      <c r="E88" s="751"/>
      <c r="F88" s="753"/>
      <c r="G88" s="754"/>
      <c r="H88" s="754"/>
      <c r="I88" s="753"/>
      <c r="J88" s="621"/>
    </row>
    <row r="89" spans="1:256" ht="11.25" customHeight="1" thickBot="1" x14ac:dyDescent="0.25">
      <c r="A89" s="755" t="s">
        <v>963</v>
      </c>
      <c r="B89" s="756"/>
      <c r="C89" s="756"/>
      <c r="D89" s="757"/>
      <c r="E89" s="758">
        <f>E12+E14+E17+E20+E23+E28+E31+E34+E39+E40+E41+E42+E44+E49+E51+E54+E58+E59+E63+E64+E67+E68+E69+E72+E74+E75+E77+E78</f>
        <v>987821085</v>
      </c>
      <c r="F89" s="1108">
        <f>I12+I16+I19+I22+I25+I28+I31+I34+I35+I39+I40+I41+I42+I44+I49+I50+I51+I52+I54+I58+I59+I66+I67+I68+I69+I72+I74+I75+I77+I78+I79+I80+I84+I45+I46+I43+I55</f>
        <v>992732374</v>
      </c>
      <c r="G89" s="1108"/>
      <c r="H89" s="1108"/>
      <c r="I89" s="1109"/>
      <c r="J89" s="7"/>
      <c r="K89" s="75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5"/>
      <c r="B91" s="195"/>
      <c r="C91" s="195"/>
      <c r="D91" s="195"/>
      <c r="E91" s="19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5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J40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53" customWidth="1"/>
    <col min="6" max="6" width="15.140625" style="3" customWidth="1"/>
    <col min="7" max="7" width="0" style="253" hidden="1" customWidth="1"/>
    <col min="8" max="8" width="0" style="306" hidden="1" customWidth="1"/>
    <col min="9" max="9" width="10.28515625" style="253" hidden="1" customWidth="1"/>
    <col min="10" max="16384" width="9.140625" style="4"/>
  </cols>
  <sheetData>
    <row r="1" spans="1:10" x14ac:dyDescent="0.2">
      <c r="A1" s="1115" t="s">
        <v>1291</v>
      </c>
      <c r="B1" s="1115"/>
      <c r="C1" s="1115"/>
      <c r="D1" s="1115"/>
      <c r="E1" s="1115"/>
      <c r="F1" s="1115"/>
      <c r="G1" s="1115"/>
      <c r="H1" s="1115"/>
      <c r="I1" s="1115"/>
    </row>
    <row r="3" spans="1:10" ht="15" customHeight="1" x14ac:dyDescent="0.2">
      <c r="B3" s="1118" t="s">
        <v>78</v>
      </c>
      <c r="C3" s="1118"/>
      <c r="D3" s="1118"/>
      <c r="E3" s="1118"/>
      <c r="F3" s="1118"/>
      <c r="G3" s="1119"/>
      <c r="H3" s="1119"/>
      <c r="I3" s="1119"/>
    </row>
    <row r="4" spans="1:10" ht="15" customHeight="1" x14ac:dyDescent="0.2">
      <c r="B4" s="1122" t="s">
        <v>1147</v>
      </c>
      <c r="C4" s="1122"/>
      <c r="D4" s="1122"/>
      <c r="E4" s="1122"/>
      <c r="F4" s="1122"/>
      <c r="G4" s="4"/>
      <c r="H4" s="4"/>
      <c r="I4" s="4"/>
    </row>
    <row r="5" spans="1:10" ht="15" customHeight="1" x14ac:dyDescent="0.2">
      <c r="B5" s="1118"/>
      <c r="C5" s="1118"/>
      <c r="D5" s="1118"/>
      <c r="E5" s="1118"/>
    </row>
    <row r="6" spans="1:10" ht="15" customHeight="1" x14ac:dyDescent="0.2">
      <c r="B6" s="1120" t="s">
        <v>327</v>
      </c>
      <c r="C6" s="1121"/>
      <c r="D6" s="1121"/>
      <c r="E6" s="1121"/>
      <c r="F6" s="1121"/>
      <c r="G6" s="1121"/>
      <c r="H6" s="1121"/>
      <c r="I6" s="1121"/>
    </row>
    <row r="7" spans="1:10" ht="48.75" customHeight="1" x14ac:dyDescent="0.2">
      <c r="B7" s="236" t="s">
        <v>86</v>
      </c>
      <c r="C7" s="156" t="s">
        <v>1008</v>
      </c>
      <c r="D7" s="1117" t="s">
        <v>609</v>
      </c>
      <c r="E7" s="1117"/>
      <c r="F7" s="1117"/>
      <c r="G7" s="1117" t="s">
        <v>609</v>
      </c>
      <c r="H7" s="1117"/>
      <c r="I7" s="1117"/>
    </row>
    <row r="8" spans="1:10" ht="35.450000000000003" customHeight="1" x14ac:dyDescent="0.2">
      <c r="B8" s="237"/>
      <c r="C8" s="31"/>
      <c r="D8" s="157" t="s">
        <v>62</v>
      </c>
      <c r="E8" s="238" t="s">
        <v>63</v>
      </c>
      <c r="F8" s="238" t="s">
        <v>1009</v>
      </c>
      <c r="G8" s="4"/>
      <c r="H8" s="4"/>
      <c r="I8" s="4"/>
    </row>
    <row r="9" spans="1:10" ht="15.95" customHeight="1" x14ac:dyDescent="0.2">
      <c r="B9" s="239" t="s">
        <v>621</v>
      </c>
      <c r="C9" s="240"/>
      <c r="D9" s="241"/>
      <c r="E9" s="242"/>
      <c r="F9" s="497"/>
      <c r="G9" s="4"/>
      <c r="H9" s="4"/>
      <c r="I9" s="4"/>
      <c r="J9" s="640"/>
    </row>
    <row r="10" spans="1:10" ht="40.5" customHeight="1" x14ac:dyDescent="0.2">
      <c r="B10" s="3" t="s">
        <v>622</v>
      </c>
      <c r="C10" s="605" t="s">
        <v>606</v>
      </c>
      <c r="D10" s="992">
        <v>125390</v>
      </c>
      <c r="E10" s="274">
        <v>98610</v>
      </c>
      <c r="F10" s="498">
        <f>SUM(D10:E10)</f>
        <v>224000</v>
      </c>
      <c r="G10" s="4"/>
      <c r="H10" s="4"/>
      <c r="I10" s="4"/>
      <c r="J10" s="640"/>
    </row>
    <row r="11" spans="1:10" ht="31.5" customHeight="1" x14ac:dyDescent="0.2">
      <c r="B11" s="3" t="s">
        <v>623</v>
      </c>
      <c r="C11" s="3" t="s">
        <v>315</v>
      </c>
      <c r="D11" s="349">
        <f>248962-7584</f>
        <v>241378</v>
      </c>
      <c r="E11" s="274">
        <f>290038+17584</f>
        <v>307622</v>
      </c>
      <c r="F11" s="498">
        <f>SUM(D11:E11)</f>
        <v>549000</v>
      </c>
      <c r="G11" s="4"/>
      <c r="H11" s="4"/>
      <c r="I11" s="4"/>
      <c r="J11" s="681"/>
    </row>
    <row r="12" spans="1:10" ht="15.95" customHeight="1" x14ac:dyDescent="0.2">
      <c r="B12" s="3" t="s">
        <v>624</v>
      </c>
      <c r="C12" s="244" t="s">
        <v>625</v>
      </c>
      <c r="D12" s="349">
        <v>178180</v>
      </c>
      <c r="E12" s="274">
        <v>252820</v>
      </c>
      <c r="F12" s="498">
        <f>SUM(D12:E12)</f>
        <v>431000</v>
      </c>
      <c r="G12" s="4"/>
      <c r="H12" s="4"/>
      <c r="I12" s="4"/>
      <c r="J12" s="640"/>
    </row>
    <row r="13" spans="1:10" ht="15.95" customHeight="1" x14ac:dyDescent="0.2">
      <c r="B13" s="240" t="s">
        <v>626</v>
      </c>
      <c r="C13" s="244"/>
      <c r="D13" s="993">
        <f>SUM(D10:D12)</f>
        <v>544948</v>
      </c>
      <c r="E13" s="276">
        <f>SUM(E10:E12)</f>
        <v>659052</v>
      </c>
      <c r="F13" s="994">
        <f>SUM(D13:E13)</f>
        <v>1204000</v>
      </c>
      <c r="G13" s="4"/>
      <c r="H13" s="4"/>
      <c r="I13" s="4"/>
      <c r="J13" s="640"/>
    </row>
    <row r="14" spans="1:10" ht="15.95" customHeight="1" x14ac:dyDescent="0.2">
      <c r="C14" s="244"/>
      <c r="D14" s="349"/>
      <c r="E14" s="274"/>
      <c r="F14" s="498">
        <f t="shared" ref="F14:F30" si="0">SUM(D14:E14)</f>
        <v>0</v>
      </c>
      <c r="G14" s="4"/>
      <c r="H14" s="4"/>
      <c r="I14" s="4"/>
      <c r="J14" s="640"/>
    </row>
    <row r="15" spans="1:10" s="320" customFormat="1" ht="45.75" customHeight="1" x14ac:dyDescent="0.2">
      <c r="B15" s="603" t="s">
        <v>627</v>
      </c>
      <c r="C15" s="604"/>
      <c r="D15" s="993">
        <v>4500</v>
      </c>
      <c r="E15" s="276"/>
      <c r="F15" s="994">
        <f>D15+E15</f>
        <v>4500</v>
      </c>
      <c r="J15" s="641"/>
    </row>
    <row r="16" spans="1:10" ht="15.95" customHeight="1" x14ac:dyDescent="0.2">
      <c r="B16" s="240"/>
      <c r="C16" s="246"/>
      <c r="D16" s="349"/>
      <c r="E16" s="274"/>
      <c r="F16" s="498">
        <f t="shared" si="0"/>
        <v>0</v>
      </c>
      <c r="G16" s="4"/>
      <c r="H16" s="4"/>
      <c r="I16" s="4"/>
      <c r="J16" s="640"/>
    </row>
    <row r="17" spans="2:10" ht="15.95" customHeight="1" x14ac:dyDescent="0.2">
      <c r="B17" s="1116" t="s">
        <v>628</v>
      </c>
      <c r="C17" s="1116"/>
      <c r="D17" s="349"/>
      <c r="E17" s="274"/>
      <c r="F17" s="498">
        <f t="shared" si="0"/>
        <v>0</v>
      </c>
      <c r="G17" s="4"/>
      <c r="H17" s="4"/>
      <c r="I17" s="4"/>
      <c r="J17" s="640"/>
    </row>
    <row r="18" spans="2:10" ht="15.95" customHeight="1" x14ac:dyDescent="0.2">
      <c r="C18" s="244"/>
      <c r="D18" s="349"/>
      <c r="E18" s="274"/>
      <c r="F18" s="498">
        <f t="shared" si="0"/>
        <v>0</v>
      </c>
      <c r="G18" s="4"/>
      <c r="H18" s="4"/>
      <c r="I18" s="4"/>
      <c r="J18" s="640"/>
    </row>
    <row r="19" spans="2:10" ht="28.5" customHeight="1" x14ac:dyDescent="0.2">
      <c r="B19" s="247"/>
      <c r="C19" s="248"/>
      <c r="D19" s="349"/>
      <c r="E19" s="274"/>
      <c r="F19" s="498">
        <f t="shared" si="0"/>
        <v>0</v>
      </c>
      <c r="G19" s="4"/>
      <c r="H19" s="4"/>
      <c r="I19" s="4"/>
      <c r="J19" s="640"/>
    </row>
    <row r="20" spans="2:10" ht="78.75" customHeight="1" x14ac:dyDescent="0.2">
      <c r="B20" s="249" t="s">
        <v>629</v>
      </c>
      <c r="C20" s="250" t="s">
        <v>630</v>
      </c>
      <c r="D20" s="349">
        <v>17000</v>
      </c>
      <c r="E20" s="274"/>
      <c r="F20" s="498">
        <f t="shared" si="0"/>
        <v>17000</v>
      </c>
      <c r="G20" s="4"/>
      <c r="H20" s="4"/>
      <c r="I20" s="4"/>
      <c r="J20" s="640"/>
    </row>
    <row r="21" spans="2:10" s="4" customFormat="1" ht="15.95" customHeight="1" x14ac:dyDescent="0.2">
      <c r="B21" s="240" t="s">
        <v>631</v>
      </c>
      <c r="C21" s="246"/>
      <c r="D21" s="993">
        <f>SUM(D18:D20)</f>
        <v>17000</v>
      </c>
      <c r="E21" s="276"/>
      <c r="F21" s="994">
        <f t="shared" si="0"/>
        <v>17000</v>
      </c>
      <c r="J21" s="640"/>
    </row>
    <row r="22" spans="2:10" s="4" customFormat="1" ht="15.95" customHeight="1" x14ac:dyDescent="0.2">
      <c r="B22" s="240"/>
      <c r="C22" s="246"/>
      <c r="D22" s="349"/>
      <c r="E22" s="274"/>
      <c r="F22" s="498">
        <f t="shared" si="0"/>
        <v>0</v>
      </c>
      <c r="J22" s="640"/>
    </row>
    <row r="23" spans="2:10" s="4" customFormat="1" ht="15.95" customHeight="1" x14ac:dyDescent="0.2">
      <c r="B23" s="239" t="s">
        <v>632</v>
      </c>
      <c r="C23" s="246"/>
      <c r="D23" s="349"/>
      <c r="E23" s="274"/>
      <c r="F23" s="498">
        <f t="shared" si="0"/>
        <v>0</v>
      </c>
      <c r="J23" s="640"/>
    </row>
    <row r="24" spans="2:10" s="4" customFormat="1" ht="15.95" customHeight="1" x14ac:dyDescent="0.2">
      <c r="B24" s="3" t="s">
        <v>633</v>
      </c>
      <c r="C24" s="246"/>
      <c r="D24" s="349"/>
      <c r="E24" s="274"/>
      <c r="F24" s="498">
        <f t="shared" si="0"/>
        <v>0</v>
      </c>
      <c r="J24" s="640"/>
    </row>
    <row r="25" spans="2:10" s="320" customFormat="1" ht="15.95" customHeight="1" x14ac:dyDescent="0.2">
      <c r="B25" s="4" t="s">
        <v>115</v>
      </c>
      <c r="C25" s="348"/>
      <c r="D25" s="349">
        <v>820</v>
      </c>
      <c r="E25" s="274"/>
      <c r="F25" s="498">
        <f t="shared" si="0"/>
        <v>820</v>
      </c>
      <c r="G25" s="4"/>
      <c r="J25" s="641"/>
    </row>
    <row r="26" spans="2:10" s="320" customFormat="1" ht="15.95" customHeight="1" x14ac:dyDescent="0.2">
      <c r="B26" s="4" t="s">
        <v>590</v>
      </c>
      <c r="C26" s="348"/>
      <c r="D26" s="349">
        <v>9000</v>
      </c>
      <c r="E26" s="274"/>
      <c r="F26" s="498">
        <f>SUM(D26:E26)</f>
        <v>9000</v>
      </c>
      <c r="G26" s="4"/>
      <c r="J26" s="641"/>
    </row>
    <row r="27" spans="2:10" s="4" customFormat="1" ht="15.95" customHeight="1" x14ac:dyDescent="0.2">
      <c r="B27" s="3" t="s">
        <v>634</v>
      </c>
      <c r="C27" s="246"/>
      <c r="D27" s="349"/>
      <c r="E27" s="274"/>
      <c r="F27" s="498">
        <f t="shared" si="0"/>
        <v>0</v>
      </c>
      <c r="J27" s="640"/>
    </row>
    <row r="28" spans="2:10" s="4" customFormat="1" ht="15.95" customHeight="1" x14ac:dyDescent="0.2">
      <c r="B28" s="3" t="s">
        <v>635</v>
      </c>
      <c r="C28" s="246"/>
      <c r="D28" s="349"/>
      <c r="E28" s="274"/>
      <c r="F28" s="498">
        <f t="shared" si="0"/>
        <v>0</v>
      </c>
      <c r="J28" s="640"/>
    </row>
    <row r="29" spans="2:10" s="4" customFormat="1" ht="15.95" customHeight="1" x14ac:dyDescent="0.2">
      <c r="B29" s="240" t="s">
        <v>636</v>
      </c>
      <c r="C29" s="246"/>
      <c r="D29" s="993">
        <f>SUM(D24:D28)</f>
        <v>9820</v>
      </c>
      <c r="E29" s="276">
        <f>SUM(E24:E28)</f>
        <v>0</v>
      </c>
      <c r="F29" s="994">
        <f t="shared" si="0"/>
        <v>9820</v>
      </c>
      <c r="J29" s="640"/>
    </row>
    <row r="30" spans="2:10" s="4" customFormat="1" ht="15.95" customHeight="1" x14ac:dyDescent="0.2">
      <c r="B30" s="240"/>
      <c r="C30" s="246"/>
      <c r="D30" s="349"/>
      <c r="E30" s="274"/>
      <c r="F30" s="995">
        <f t="shared" si="0"/>
        <v>0</v>
      </c>
      <c r="J30" s="640"/>
    </row>
    <row r="31" spans="2:10" s="4" customFormat="1" ht="15.95" customHeight="1" x14ac:dyDescent="0.2">
      <c r="B31" s="251" t="s">
        <v>637</v>
      </c>
      <c r="C31" s="252"/>
      <c r="D31" s="996">
        <f>D13+D15+D21+D29</f>
        <v>576268</v>
      </c>
      <c r="E31" s="996">
        <f>E13+E15+E21+E29</f>
        <v>659052</v>
      </c>
      <c r="F31" s="996">
        <f>SUM(D31:E31)</f>
        <v>1235320</v>
      </c>
    </row>
    <row r="32" spans="2:10" s="4" customFormat="1" ht="15.95" customHeight="1" x14ac:dyDescent="0.2">
      <c r="B32" s="3"/>
      <c r="C32" s="3"/>
      <c r="D32" s="3"/>
      <c r="E32" s="253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4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I89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5" customWidth="1"/>
    <col min="2" max="2" width="57.5703125" style="200" customWidth="1"/>
    <col min="3" max="3" width="8.7109375" style="159" customWidth="1"/>
    <col min="4" max="4" width="9.5703125" style="159" customWidth="1"/>
    <col min="5" max="5" width="8.28515625" style="159" customWidth="1"/>
    <col min="6" max="16384" width="9.140625" style="8"/>
  </cols>
  <sheetData>
    <row r="1" spans="1:7" x14ac:dyDescent="0.2">
      <c r="B1" s="1123" t="s">
        <v>1292</v>
      </c>
      <c r="C1" s="1123"/>
      <c r="D1" s="1123"/>
      <c r="E1" s="1123"/>
    </row>
    <row r="2" spans="1:7" x14ac:dyDescent="0.2">
      <c r="B2" s="201"/>
    </row>
    <row r="3" spans="1:7" x14ac:dyDescent="0.2">
      <c r="A3" s="1126" t="s">
        <v>54</v>
      </c>
      <c r="B3" s="1126"/>
      <c r="C3" s="1126"/>
      <c r="D3" s="1126"/>
      <c r="E3" s="1126"/>
    </row>
    <row r="4" spans="1:7" ht="11.25" customHeight="1" x14ac:dyDescent="0.2">
      <c r="A4" s="1126" t="s">
        <v>999</v>
      </c>
      <c r="B4" s="1126"/>
      <c r="C4" s="1126"/>
      <c r="D4" s="1126"/>
      <c r="E4" s="1126"/>
    </row>
    <row r="5" spans="1:7" x14ac:dyDescent="0.2">
      <c r="A5" s="1126" t="s">
        <v>737</v>
      </c>
      <c r="B5" s="1126"/>
      <c r="C5" s="1126"/>
      <c r="D5" s="1126"/>
      <c r="E5" s="1126"/>
    </row>
    <row r="6" spans="1:7" ht="12.75" x14ac:dyDescent="0.2">
      <c r="B6" s="1127" t="s">
        <v>327</v>
      </c>
      <c r="C6" s="1128"/>
      <c r="D6" s="1128"/>
      <c r="E6" s="1128"/>
    </row>
    <row r="7" spans="1:7" ht="24" customHeight="1" x14ac:dyDescent="0.2">
      <c r="A7" s="1079" t="s">
        <v>77</v>
      </c>
      <c r="B7" s="1095" t="s">
        <v>86</v>
      </c>
      <c r="C7" s="1125" t="s">
        <v>1000</v>
      </c>
      <c r="D7" s="1125"/>
      <c r="E7" s="1125"/>
    </row>
    <row r="8" spans="1:7" ht="21" x14ac:dyDescent="0.2">
      <c r="A8" s="1079"/>
      <c r="B8" s="1124"/>
      <c r="C8" s="951" t="s">
        <v>62</v>
      </c>
      <c r="D8" s="951" t="s">
        <v>63</v>
      </c>
      <c r="E8" s="951" t="s">
        <v>64</v>
      </c>
      <c r="F8" s="628"/>
    </row>
    <row r="9" spans="1:7" x14ac:dyDescent="0.2">
      <c r="A9" s="956"/>
      <c r="B9" s="955" t="s">
        <v>87</v>
      </c>
      <c r="C9" s="170"/>
      <c r="D9" s="170"/>
      <c r="E9" s="952"/>
      <c r="F9" s="948"/>
    </row>
    <row r="10" spans="1:7" ht="12" thickBot="1" x14ac:dyDescent="0.25">
      <c r="A10" s="957" t="s">
        <v>516</v>
      </c>
      <c r="B10" s="202" t="s">
        <v>88</v>
      </c>
      <c r="C10" s="299"/>
      <c r="D10" s="170"/>
      <c r="E10" s="464">
        <f>SUM(C10:D10)</f>
        <v>0</v>
      </c>
      <c r="F10" s="948"/>
    </row>
    <row r="11" spans="1:7" s="9" customFormat="1" ht="12" thickBot="1" x14ac:dyDescent="0.25">
      <c r="A11" s="957" t="s">
        <v>524</v>
      </c>
      <c r="B11" s="202" t="s">
        <v>176</v>
      </c>
      <c r="C11" s="1070">
        <f>C12+C13+C14+C15+C16+C17</f>
        <v>653487</v>
      </c>
      <c r="D11" s="617">
        <f>D12+D13+D14+D15+D16+D17+D18+D19</f>
        <v>81948</v>
      </c>
      <c r="E11" s="953">
        <f>SUM(C11:D11)</f>
        <v>735435</v>
      </c>
      <c r="F11" s="815"/>
    </row>
    <row r="12" spans="1:7" s="9" customFormat="1" x14ac:dyDescent="0.2">
      <c r="A12" s="957" t="s">
        <v>525</v>
      </c>
      <c r="B12" s="204" t="s">
        <v>172</v>
      </c>
      <c r="C12" s="777">
        <v>483480</v>
      </c>
      <c r="D12" s="777"/>
      <c r="E12" s="954">
        <f t="shared" ref="E12:E17" si="0">C12+D12</f>
        <v>483480</v>
      </c>
      <c r="F12" s="815"/>
    </row>
    <row r="13" spans="1:7" s="9" customFormat="1" x14ac:dyDescent="0.2">
      <c r="A13" s="957" t="s">
        <v>526</v>
      </c>
      <c r="B13" s="204" t="s">
        <v>173</v>
      </c>
      <c r="C13" s="777">
        <f>83547+4888</f>
        <v>88435</v>
      </c>
      <c r="D13" s="777"/>
      <c r="E13" s="954">
        <f t="shared" si="0"/>
        <v>88435</v>
      </c>
      <c r="F13" s="815"/>
    </row>
    <row r="14" spans="1:7" s="9" customFormat="1" x14ac:dyDescent="0.2">
      <c r="A14" s="957" t="s">
        <v>527</v>
      </c>
      <c r="B14" s="204" t="s">
        <v>174</v>
      </c>
      <c r="C14" s="777">
        <f>64501+8549</f>
        <v>73050</v>
      </c>
      <c r="D14" s="777">
        <f>79560+2388</f>
        <v>81948</v>
      </c>
      <c r="E14" s="954">
        <f t="shared" si="0"/>
        <v>154998</v>
      </c>
      <c r="F14" s="815"/>
      <c r="G14" s="815"/>
    </row>
    <row r="15" spans="1:7" s="9" customFormat="1" x14ac:dyDescent="0.2">
      <c r="A15" s="957" t="s">
        <v>528</v>
      </c>
      <c r="B15" s="203" t="s">
        <v>175</v>
      </c>
      <c r="C15" s="170">
        <v>0</v>
      </c>
      <c r="D15" s="170"/>
      <c r="E15" s="464">
        <f t="shared" si="0"/>
        <v>0</v>
      </c>
      <c r="F15" s="815"/>
    </row>
    <row r="16" spans="1:7" s="9" customFormat="1" x14ac:dyDescent="0.2">
      <c r="A16" s="957" t="s">
        <v>529</v>
      </c>
      <c r="B16" s="203" t="s">
        <v>302</v>
      </c>
      <c r="C16" s="170">
        <v>0</v>
      </c>
      <c r="D16" s="170"/>
      <c r="E16" s="464">
        <f t="shared" si="0"/>
        <v>0</v>
      </c>
      <c r="F16" s="815"/>
      <c r="G16" s="815"/>
    </row>
    <row r="17" spans="1:6" s="9" customFormat="1" x14ac:dyDescent="0.2">
      <c r="A17" s="957" t="s">
        <v>530</v>
      </c>
      <c r="B17" s="204" t="s">
        <v>194</v>
      </c>
      <c r="C17" s="170">
        <f>5442+3080</f>
        <v>8522</v>
      </c>
      <c r="D17" s="170"/>
      <c r="E17" s="464">
        <f t="shared" si="0"/>
        <v>8522</v>
      </c>
      <c r="F17" s="815"/>
    </row>
    <row r="18" spans="1:6" s="9" customFormat="1" ht="12" thickBot="1" x14ac:dyDescent="0.25">
      <c r="A18" s="957" t="s">
        <v>531</v>
      </c>
      <c r="B18" s="202" t="s">
        <v>177</v>
      </c>
      <c r="C18" s="174">
        <v>0</v>
      </c>
      <c r="D18" s="174"/>
      <c r="E18" s="467">
        <v>0</v>
      </c>
      <c r="F18" s="815"/>
    </row>
    <row r="19" spans="1:6" s="9" customFormat="1" ht="12" thickBot="1" x14ac:dyDescent="0.25">
      <c r="A19" s="957" t="s">
        <v>573</v>
      </c>
      <c r="B19" s="202" t="s">
        <v>204</v>
      </c>
      <c r="C19" s="1069">
        <f>2424+4264</f>
        <v>6688</v>
      </c>
      <c r="D19" s="174"/>
      <c r="E19" s="467">
        <f>C19+D19</f>
        <v>6688</v>
      </c>
      <c r="F19" s="815"/>
    </row>
    <row r="20" spans="1:6" s="9" customFormat="1" x14ac:dyDescent="0.2">
      <c r="A20" s="957" t="s">
        <v>574</v>
      </c>
      <c r="B20" s="202" t="s">
        <v>303</v>
      </c>
      <c r="C20" s="174">
        <v>1489</v>
      </c>
      <c r="D20" s="174">
        <v>2470</v>
      </c>
      <c r="E20" s="467">
        <f>C20+D20</f>
        <v>3959</v>
      </c>
      <c r="F20" s="815"/>
    </row>
    <row r="21" spans="1:6" x14ac:dyDescent="0.2">
      <c r="A21" s="957" t="s">
        <v>575</v>
      </c>
      <c r="B21" s="203"/>
      <c r="C21" s="170"/>
      <c r="D21" s="170"/>
      <c r="E21" s="464"/>
      <c r="F21" s="948"/>
    </row>
    <row r="22" spans="1:6" x14ac:dyDescent="0.2">
      <c r="A22" s="957" t="s">
        <v>576</v>
      </c>
      <c r="B22" s="202" t="s">
        <v>17</v>
      </c>
      <c r="C22" s="174">
        <f>SUM(C23:C34)</f>
        <v>47304</v>
      </c>
      <c r="D22" s="174">
        <f>SUM(D23:D34)</f>
        <v>3816</v>
      </c>
      <c r="E22" s="467">
        <f>SUM(C22:D22)</f>
        <v>51120</v>
      </c>
      <c r="F22" s="948"/>
    </row>
    <row r="23" spans="1:6" x14ac:dyDescent="0.2">
      <c r="A23" s="957" t="s">
        <v>577</v>
      </c>
      <c r="B23" s="204" t="s">
        <v>89</v>
      </c>
      <c r="C23" s="170"/>
      <c r="D23" s="170"/>
      <c r="E23" s="464"/>
      <c r="F23" s="948"/>
    </row>
    <row r="24" spans="1:6" x14ac:dyDescent="0.2">
      <c r="A24" s="957" t="s">
        <v>578</v>
      </c>
      <c r="B24" s="203" t="s">
        <v>1048</v>
      </c>
      <c r="C24" s="170">
        <v>0</v>
      </c>
      <c r="D24" s="170"/>
      <c r="E24" s="464">
        <f>C24+D24</f>
        <v>0</v>
      </c>
      <c r="F24" s="948"/>
    </row>
    <row r="25" spans="1:6" x14ac:dyDescent="0.2">
      <c r="A25" s="957" t="s">
        <v>579</v>
      </c>
      <c r="B25" s="203" t="s">
        <v>1001</v>
      </c>
      <c r="C25" s="170">
        <f>8431-1887</f>
        <v>6544</v>
      </c>
      <c r="D25" s="170"/>
      <c r="E25" s="464">
        <f>C25+D25</f>
        <v>6544</v>
      </c>
      <c r="F25" s="948"/>
    </row>
    <row r="26" spans="1:6" x14ac:dyDescent="0.2">
      <c r="A26" s="957" t="s">
        <v>580</v>
      </c>
      <c r="B26" s="203" t="s">
        <v>1120</v>
      </c>
      <c r="C26" s="170">
        <v>15000</v>
      </c>
      <c r="D26" s="170"/>
      <c r="E26" s="464">
        <f>C26+D26</f>
        <v>15000</v>
      </c>
      <c r="F26" s="948"/>
    </row>
    <row r="27" spans="1:6" x14ac:dyDescent="0.2">
      <c r="A27" s="957" t="s">
        <v>582</v>
      </c>
      <c r="B27" s="203" t="s">
        <v>93</v>
      </c>
      <c r="C27" s="170">
        <v>0</v>
      </c>
      <c r="D27" s="170"/>
      <c r="E27" s="464">
        <f t="shared" ref="E27:E34" si="1">SUM(C27:D27)</f>
        <v>0</v>
      </c>
      <c r="F27" s="948"/>
    </row>
    <row r="28" spans="1:6" x14ac:dyDescent="0.2">
      <c r="A28" s="957" t="s">
        <v>583</v>
      </c>
      <c r="B28" s="203" t="s">
        <v>594</v>
      </c>
      <c r="C28" s="170">
        <v>500</v>
      </c>
      <c r="D28" s="170"/>
      <c r="E28" s="464">
        <f t="shared" si="1"/>
        <v>500</v>
      </c>
      <c r="F28" s="948"/>
    </row>
    <row r="29" spans="1:6" x14ac:dyDescent="0.2">
      <c r="A29" s="957" t="s">
        <v>584</v>
      </c>
      <c r="B29" s="203" t="s">
        <v>169</v>
      </c>
      <c r="C29" s="170">
        <v>350</v>
      </c>
      <c r="D29" s="170"/>
      <c r="E29" s="464">
        <f t="shared" si="1"/>
        <v>350</v>
      </c>
      <c r="F29" s="948"/>
    </row>
    <row r="30" spans="1:6" x14ac:dyDescent="0.2">
      <c r="A30" s="957" t="s">
        <v>585</v>
      </c>
      <c r="B30" s="203" t="s">
        <v>1154</v>
      </c>
      <c r="C30" s="170">
        <v>1000</v>
      </c>
      <c r="D30" s="170"/>
      <c r="E30" s="464">
        <f t="shared" si="1"/>
        <v>1000</v>
      </c>
      <c r="F30" s="948"/>
    </row>
    <row r="31" spans="1:6" x14ac:dyDescent="0.2">
      <c r="A31" s="957" t="s">
        <v>586</v>
      </c>
      <c r="B31" s="203" t="s">
        <v>1258</v>
      </c>
      <c r="C31" s="170"/>
      <c r="D31" s="170">
        <v>1225</v>
      </c>
      <c r="E31" s="464">
        <f t="shared" si="1"/>
        <v>1225</v>
      </c>
      <c r="F31" s="948"/>
    </row>
    <row r="32" spans="1:6" x14ac:dyDescent="0.2">
      <c r="A32" s="957" t="s">
        <v>587</v>
      </c>
      <c r="B32" s="203" t="s">
        <v>1259</v>
      </c>
      <c r="C32" s="170">
        <v>11261</v>
      </c>
      <c r="D32" s="170"/>
      <c r="E32" s="464">
        <f t="shared" si="1"/>
        <v>11261</v>
      </c>
      <c r="F32" s="948"/>
    </row>
    <row r="33" spans="1:6" x14ac:dyDescent="0.2">
      <c r="A33" s="957" t="s">
        <v>588</v>
      </c>
      <c r="B33" s="203" t="s">
        <v>1260</v>
      </c>
      <c r="C33" s="170">
        <v>12649</v>
      </c>
      <c r="D33" s="170"/>
      <c r="E33" s="464">
        <f t="shared" si="1"/>
        <v>12649</v>
      </c>
      <c r="F33" s="948"/>
    </row>
    <row r="34" spans="1:6" x14ac:dyDescent="0.2">
      <c r="A34" s="957" t="s">
        <v>589</v>
      </c>
      <c r="B34" s="203" t="s">
        <v>1261</v>
      </c>
      <c r="C34" s="170"/>
      <c r="D34" s="170">
        <v>2591</v>
      </c>
      <c r="E34" s="464">
        <f t="shared" si="1"/>
        <v>2591</v>
      </c>
      <c r="F34" s="948"/>
    </row>
    <row r="35" spans="1:6" x14ac:dyDescent="0.2">
      <c r="A35" s="957" t="s">
        <v>611</v>
      </c>
      <c r="B35" s="204" t="s">
        <v>71</v>
      </c>
      <c r="C35" s="174">
        <f>SUM(C36:C37)</f>
        <v>5065</v>
      </c>
      <c r="D35" s="174">
        <f t="shared" ref="D35:E35" si="2">SUM(D36:D37)</f>
        <v>0</v>
      </c>
      <c r="E35" s="467">
        <f t="shared" si="2"/>
        <v>5065</v>
      </c>
      <c r="F35" s="948"/>
    </row>
    <row r="36" spans="1:6" x14ac:dyDescent="0.2">
      <c r="A36" s="957" t="s">
        <v>612</v>
      </c>
      <c r="B36" s="181" t="s">
        <v>94</v>
      </c>
      <c r="C36" s="170">
        <v>5065</v>
      </c>
      <c r="D36" s="170"/>
      <c r="E36" s="464">
        <f t="shared" ref="E36:E37" si="3">C36+D36</f>
        <v>5065</v>
      </c>
      <c r="F36" s="948"/>
    </row>
    <row r="37" spans="1:6" x14ac:dyDescent="0.2">
      <c r="A37" s="957" t="s">
        <v>613</v>
      </c>
      <c r="B37" s="205" t="s">
        <v>95</v>
      </c>
      <c r="C37" s="170">
        <v>0</v>
      </c>
      <c r="D37" s="170"/>
      <c r="E37" s="464">
        <f t="shared" si="3"/>
        <v>0</v>
      </c>
      <c r="F37" s="948"/>
    </row>
    <row r="38" spans="1:6" x14ac:dyDescent="0.2">
      <c r="A38" s="957" t="s">
        <v>614</v>
      </c>
      <c r="B38" s="216"/>
      <c r="C38" s="170"/>
      <c r="D38" s="170"/>
      <c r="E38" s="464"/>
      <c r="F38" s="948"/>
    </row>
    <row r="39" spans="1:6" x14ac:dyDescent="0.2">
      <c r="A39" s="957" t="s">
        <v>615</v>
      </c>
      <c r="B39" s="1035" t="s">
        <v>1155</v>
      </c>
      <c r="C39" s="174">
        <f>SUM(C40:C42)</f>
        <v>43</v>
      </c>
      <c r="D39" s="174">
        <f>SUM(D40:D42)</f>
        <v>271</v>
      </c>
      <c r="E39" s="174">
        <f>SUM(E40:E42)</f>
        <v>314</v>
      </c>
      <c r="F39" s="948"/>
    </row>
    <row r="40" spans="1:6" x14ac:dyDescent="0.2">
      <c r="A40" s="957" t="s">
        <v>616</v>
      </c>
      <c r="B40" s="216" t="s">
        <v>1156</v>
      </c>
      <c r="C40" s="170">
        <v>43</v>
      </c>
      <c r="D40" s="170"/>
      <c r="E40" s="464">
        <f>SUM(C40:D40)</f>
        <v>43</v>
      </c>
      <c r="F40" s="948"/>
    </row>
    <row r="41" spans="1:6" x14ac:dyDescent="0.2">
      <c r="A41" s="957"/>
      <c r="B41" s="216" t="s">
        <v>1265</v>
      </c>
      <c r="C41" s="170"/>
      <c r="D41" s="170">
        <v>34</v>
      </c>
      <c r="E41" s="464">
        <f>SUM(C41:D41)</f>
        <v>34</v>
      </c>
      <c r="F41" s="948"/>
    </row>
    <row r="42" spans="1:6" x14ac:dyDescent="0.2">
      <c r="A42" s="957" t="s">
        <v>617</v>
      </c>
      <c r="B42" s="216" t="s">
        <v>1157</v>
      </c>
      <c r="C42" s="170"/>
      <c r="D42" s="170">
        <f>234+3</f>
        <v>237</v>
      </c>
      <c r="E42" s="464">
        <f>SUM(C42:D42)</f>
        <v>237</v>
      </c>
      <c r="F42" s="948"/>
    </row>
    <row r="43" spans="1:6" x14ac:dyDescent="0.2">
      <c r="A43" s="957" t="s">
        <v>618</v>
      </c>
      <c r="B43" s="179" t="s">
        <v>170</v>
      </c>
      <c r="C43" s="174">
        <f>C22+C35+C39</f>
        <v>52412</v>
      </c>
      <c r="D43" s="174">
        <f>D22+D35+D39</f>
        <v>4087</v>
      </c>
      <c r="E43" s="467">
        <f>E22+E35+E39</f>
        <v>56499</v>
      </c>
      <c r="F43" s="948"/>
    </row>
    <row r="44" spans="1:6" x14ac:dyDescent="0.2">
      <c r="A44" s="957" t="s">
        <v>619</v>
      </c>
      <c r="B44" s="179"/>
      <c r="C44" s="174"/>
      <c r="D44" s="174"/>
      <c r="E44" s="467"/>
      <c r="F44" s="948"/>
    </row>
    <row r="45" spans="1:6" x14ac:dyDescent="0.2">
      <c r="A45" s="957" t="s">
        <v>674</v>
      </c>
      <c r="B45" s="181" t="s">
        <v>1158</v>
      </c>
      <c r="C45" s="174"/>
      <c r="D45" s="174"/>
      <c r="E45" s="467"/>
      <c r="F45" s="948"/>
    </row>
    <row r="46" spans="1:6" x14ac:dyDescent="0.2">
      <c r="A46" s="957" t="s">
        <v>675</v>
      </c>
      <c r="B46" s="181" t="s">
        <v>1264</v>
      </c>
      <c r="C46" s="170"/>
      <c r="D46" s="170">
        <v>1173</v>
      </c>
      <c r="E46" s="464">
        <f>SUM(C46:D46)</f>
        <v>1173</v>
      </c>
      <c r="F46" s="948"/>
    </row>
    <row r="47" spans="1:6" x14ac:dyDescent="0.2">
      <c r="A47" s="957" t="s">
        <v>676</v>
      </c>
      <c r="B47" s="216" t="s">
        <v>1262</v>
      </c>
      <c r="C47" s="170"/>
      <c r="D47" s="170">
        <v>52</v>
      </c>
      <c r="E47" s="464">
        <f>SUM(C47:D47)</f>
        <v>52</v>
      </c>
      <c r="F47" s="948"/>
    </row>
    <row r="48" spans="1:6" x14ac:dyDescent="0.2">
      <c r="A48" s="957" t="s">
        <v>677</v>
      </c>
      <c r="B48" s="216" t="s">
        <v>1263</v>
      </c>
      <c r="C48" s="170"/>
      <c r="D48" s="170">
        <v>6</v>
      </c>
      <c r="E48" s="464">
        <f>SUM(C48:D48)</f>
        <v>6</v>
      </c>
      <c r="F48" s="948"/>
    </row>
    <row r="49" spans="1:6" x14ac:dyDescent="0.2">
      <c r="A49" s="957" t="s">
        <v>125</v>
      </c>
      <c r="B49" s="181" t="s">
        <v>1159</v>
      </c>
      <c r="C49" s="174"/>
      <c r="D49" s="170">
        <v>903</v>
      </c>
      <c r="E49" s="464">
        <f>D49+C49</f>
        <v>903</v>
      </c>
      <c r="F49" s="948"/>
    </row>
    <row r="50" spans="1:6" x14ac:dyDescent="0.2">
      <c r="A50" s="957" t="s">
        <v>703</v>
      </c>
      <c r="B50" s="179" t="s">
        <v>1158</v>
      </c>
      <c r="C50" s="174">
        <f>C49</f>
        <v>0</v>
      </c>
      <c r="D50" s="174">
        <f>SUM(D46:D49)</f>
        <v>2134</v>
      </c>
      <c r="E50" s="467">
        <f>SUM(E46:E49)</f>
        <v>2134</v>
      </c>
      <c r="F50" s="948"/>
    </row>
    <row r="51" spans="1:6" ht="12" thickBot="1" x14ac:dyDescent="0.25">
      <c r="A51" s="957" t="s">
        <v>704</v>
      </c>
      <c r="B51" s="179"/>
      <c r="C51" s="174"/>
      <c r="D51" s="174"/>
      <c r="E51" s="467"/>
      <c r="F51" s="948"/>
    </row>
    <row r="52" spans="1:6" ht="12" thickBot="1" x14ac:dyDescent="0.25">
      <c r="A52" s="957" t="s">
        <v>128</v>
      </c>
      <c r="B52" s="179" t="s">
        <v>96</v>
      </c>
      <c r="C52" s="1063">
        <f>C11+C18+C43+C19+C20</f>
        <v>714076</v>
      </c>
      <c r="D52" s="314">
        <f>D11+D18+ID19+D20+D22+D35+D39+D50</f>
        <v>90639</v>
      </c>
      <c r="E52" s="1052">
        <f>E11+E18+IE19+E20+E22+E35+E39+E50+E19</f>
        <v>804715</v>
      </c>
      <c r="F52" s="948"/>
    </row>
    <row r="53" spans="1:6" x14ac:dyDescent="0.2">
      <c r="A53" s="957" t="s">
        <v>129</v>
      </c>
      <c r="B53" s="179"/>
      <c r="C53" s="174"/>
      <c r="D53" s="174"/>
      <c r="E53" s="467"/>
      <c r="F53" s="948"/>
    </row>
    <row r="54" spans="1:6" x14ac:dyDescent="0.2">
      <c r="A54" s="957" t="s">
        <v>130</v>
      </c>
      <c r="B54" s="949" t="s">
        <v>719</v>
      </c>
      <c r="C54" s="174"/>
      <c r="D54" s="174"/>
      <c r="E54" s="467"/>
      <c r="F54" s="948"/>
    </row>
    <row r="55" spans="1:6" x14ac:dyDescent="0.2">
      <c r="A55" s="957" t="s">
        <v>133</v>
      </c>
      <c r="B55" s="181" t="s">
        <v>178</v>
      </c>
      <c r="C55" s="170"/>
      <c r="D55" s="170">
        <f>2848+3190</f>
        <v>6038</v>
      </c>
      <c r="E55" s="464">
        <f>C55+D55</f>
        <v>6038</v>
      </c>
      <c r="F55" s="948"/>
    </row>
    <row r="56" spans="1:6" x14ac:dyDescent="0.2">
      <c r="A56" s="957" t="s">
        <v>136</v>
      </c>
      <c r="B56" s="181" t="s">
        <v>179</v>
      </c>
      <c r="C56" s="170"/>
      <c r="D56" s="170">
        <v>0</v>
      </c>
      <c r="E56" s="464">
        <f>C56+D56</f>
        <v>0</v>
      </c>
      <c r="F56" s="948"/>
    </row>
    <row r="57" spans="1:6" ht="12" thickBot="1" x14ac:dyDescent="0.25">
      <c r="A57" s="957" t="s">
        <v>137</v>
      </c>
      <c r="B57" s="179" t="s">
        <v>19</v>
      </c>
      <c r="C57" s="174">
        <f>SUM(C55:C56)</f>
        <v>0</v>
      </c>
      <c r="D57" s="174">
        <f>SUM(D55:D56)</f>
        <v>6038</v>
      </c>
      <c r="E57" s="467">
        <f>SUM(E55:E56)</f>
        <v>6038</v>
      </c>
      <c r="F57" s="948"/>
    </row>
    <row r="58" spans="1:6" ht="12" thickBot="1" x14ac:dyDescent="0.25">
      <c r="A58" s="957" t="s">
        <v>138</v>
      </c>
      <c r="B58" s="179" t="s">
        <v>180</v>
      </c>
      <c r="C58" s="1063">
        <f>C57</f>
        <v>0</v>
      </c>
      <c r="D58" s="314">
        <f>D57</f>
        <v>6038</v>
      </c>
      <c r="E58" s="1052">
        <f>E57</f>
        <v>6038</v>
      </c>
      <c r="F58" s="948"/>
    </row>
    <row r="59" spans="1:6" x14ac:dyDescent="0.2">
      <c r="A59" s="957" t="s">
        <v>139</v>
      </c>
      <c r="B59" s="179"/>
      <c r="C59" s="170"/>
      <c r="D59" s="170"/>
      <c r="E59" s="464"/>
      <c r="F59" s="948"/>
    </row>
    <row r="60" spans="1:6" x14ac:dyDescent="0.2">
      <c r="A60" s="957" t="s">
        <v>142</v>
      </c>
      <c r="B60" s="949" t="s">
        <v>98</v>
      </c>
      <c r="C60" s="299"/>
      <c r="D60" s="299"/>
      <c r="E60" s="492"/>
      <c r="F60" s="948"/>
    </row>
    <row r="61" spans="1:6" x14ac:dyDescent="0.2">
      <c r="A61" s="957" t="s">
        <v>145</v>
      </c>
      <c r="B61" s="179" t="s">
        <v>17</v>
      </c>
      <c r="C61" s="299"/>
      <c r="D61" s="299"/>
      <c r="E61" s="492"/>
      <c r="F61" s="948"/>
    </row>
    <row r="62" spans="1:6" x14ac:dyDescent="0.2">
      <c r="A62" s="957" t="s">
        <v>148</v>
      </c>
      <c r="B62" s="181" t="s">
        <v>97</v>
      </c>
      <c r="C62" s="299">
        <v>10370</v>
      </c>
      <c r="D62" s="299"/>
      <c r="E62" s="492">
        <f>SUM(C62:D62)</f>
        <v>10370</v>
      </c>
      <c r="F62" s="948"/>
    </row>
    <row r="63" spans="1:6" x14ac:dyDescent="0.2">
      <c r="A63" s="957" t="s">
        <v>149</v>
      </c>
      <c r="B63" s="181" t="s">
        <v>324</v>
      </c>
      <c r="C63" s="299">
        <v>9089</v>
      </c>
      <c r="D63" s="299"/>
      <c r="E63" s="492">
        <f>SUM(C63:D63)</f>
        <v>9089</v>
      </c>
      <c r="F63" s="948"/>
    </row>
    <row r="64" spans="1:6" x14ac:dyDescent="0.2">
      <c r="A64" s="957" t="s">
        <v>152</v>
      </c>
      <c r="B64" s="181" t="s">
        <v>325</v>
      </c>
      <c r="C64" s="299">
        <v>432</v>
      </c>
      <c r="D64" s="299"/>
      <c r="E64" s="492">
        <f>SUM(C64:D64)</f>
        <v>432</v>
      </c>
      <c r="F64" s="948"/>
    </row>
    <row r="65" spans="1:9" x14ac:dyDescent="0.2">
      <c r="A65" s="957" t="s">
        <v>153</v>
      </c>
      <c r="B65" s="181" t="s">
        <v>179</v>
      </c>
      <c r="C65" s="299"/>
      <c r="D65" s="299">
        <v>0</v>
      </c>
      <c r="E65" s="492">
        <f t="shared" ref="E65:E66" si="4">SUM(C65:D65)</f>
        <v>0</v>
      </c>
      <c r="F65" s="948"/>
    </row>
    <row r="66" spans="1:9" x14ac:dyDescent="0.2">
      <c r="A66" s="957" t="s">
        <v>154</v>
      </c>
      <c r="B66" s="181" t="s">
        <v>178</v>
      </c>
      <c r="C66" s="299"/>
      <c r="D66" s="299">
        <f>2788+2823</f>
        <v>5611</v>
      </c>
      <c r="E66" s="492">
        <f t="shared" si="4"/>
        <v>5611</v>
      </c>
      <c r="F66" s="948"/>
    </row>
    <row r="67" spans="1:9" ht="12" thickBot="1" x14ac:dyDescent="0.25">
      <c r="A67" s="957" t="s">
        <v>155</v>
      </c>
      <c r="B67" s="179" t="s">
        <v>19</v>
      </c>
      <c r="C67" s="377">
        <f>SUM(C62:C66)</f>
        <v>19891</v>
      </c>
      <c r="D67" s="377">
        <f>SUM(D62:D66)</f>
        <v>5611</v>
      </c>
      <c r="E67" s="465">
        <f>SUM(E62:E66)</f>
        <v>25502</v>
      </c>
      <c r="F67" s="948"/>
    </row>
    <row r="68" spans="1:9" ht="12" thickBot="1" x14ac:dyDescent="0.25">
      <c r="A68" s="957" t="s">
        <v>156</v>
      </c>
      <c r="B68" s="950" t="s">
        <v>99</v>
      </c>
      <c r="C68" s="1064">
        <f>C67</f>
        <v>19891</v>
      </c>
      <c r="D68" s="1065">
        <f>D67</f>
        <v>5611</v>
      </c>
      <c r="E68" s="1066">
        <f>E67</f>
        <v>25502</v>
      </c>
      <c r="F68" s="948"/>
    </row>
    <row r="69" spans="1:9" s="9" customFormat="1" x14ac:dyDescent="0.2">
      <c r="A69" s="957" t="s">
        <v>158</v>
      </c>
      <c r="B69" s="179"/>
      <c r="C69" s="377"/>
      <c r="D69" s="377"/>
      <c r="E69" s="465"/>
      <c r="F69" s="815"/>
    </row>
    <row r="70" spans="1:9" s="9" customFormat="1" x14ac:dyDescent="0.2">
      <c r="A70" s="957" t="s">
        <v>161</v>
      </c>
      <c r="B70" s="179" t="s">
        <v>18</v>
      </c>
      <c r="C70" s="377">
        <f>C43+C57+C67</f>
        <v>72303</v>
      </c>
      <c r="D70" s="377">
        <f>D43+D57+D67</f>
        <v>15736</v>
      </c>
      <c r="E70" s="465">
        <f>E43+E57+E67</f>
        <v>88039</v>
      </c>
      <c r="F70" s="815"/>
    </row>
    <row r="71" spans="1:9" x14ac:dyDescent="0.2">
      <c r="A71" s="957" t="s">
        <v>163</v>
      </c>
      <c r="B71" s="179" t="s">
        <v>100</v>
      </c>
      <c r="C71" s="170"/>
      <c r="D71" s="174">
        <f>D50</f>
        <v>2134</v>
      </c>
      <c r="E71" s="467">
        <f>E50</f>
        <v>2134</v>
      </c>
      <c r="F71" s="948"/>
    </row>
    <row r="72" spans="1:9" ht="12" thickBot="1" x14ac:dyDescent="0.25">
      <c r="A72" s="957" t="s">
        <v>164</v>
      </c>
      <c r="B72" s="184"/>
      <c r="E72" s="472"/>
      <c r="F72" s="948"/>
    </row>
    <row r="73" spans="1:9" s="10" customFormat="1" ht="12" thickBot="1" x14ac:dyDescent="0.25">
      <c r="A73" s="957" t="s">
        <v>165</v>
      </c>
      <c r="B73" s="206" t="s">
        <v>102</v>
      </c>
      <c r="C73" s="207">
        <f>C52+C68+C58</f>
        <v>733967</v>
      </c>
      <c r="D73" s="207">
        <f>D52+D68+D58</f>
        <v>102288</v>
      </c>
      <c r="E73" s="207">
        <f>E52+E68+E58</f>
        <v>836255</v>
      </c>
      <c r="F73" s="298"/>
    </row>
    <row r="74" spans="1:9" s="10" customFormat="1" x14ac:dyDescent="0.2">
      <c r="A74" s="165"/>
      <c r="B74" s="158"/>
      <c r="C74" s="159"/>
      <c r="D74" s="589"/>
      <c r="E74" s="589"/>
      <c r="I74" s="298"/>
    </row>
    <row r="75" spans="1:9" x14ac:dyDescent="0.2">
      <c r="B75" s="158"/>
    </row>
    <row r="76" spans="1:9" x14ac:dyDescent="0.2">
      <c r="B76" s="158"/>
    </row>
    <row r="77" spans="1:9" x14ac:dyDescent="0.2">
      <c r="B77" s="184"/>
    </row>
    <row r="78" spans="1:9" x14ac:dyDescent="0.2">
      <c r="B78" s="184"/>
    </row>
    <row r="80" spans="1:9" x14ac:dyDescent="0.2">
      <c r="B80" s="184"/>
    </row>
    <row r="81" spans="2:2" x14ac:dyDescent="0.2">
      <c r="B81" s="184"/>
    </row>
    <row r="82" spans="2:2" x14ac:dyDescent="0.2">
      <c r="B82" s="184"/>
    </row>
    <row r="83" spans="2:2" x14ac:dyDescent="0.2">
      <c r="B83" s="184"/>
    </row>
    <row r="84" spans="2:2" x14ac:dyDescent="0.2">
      <c r="B84" s="184"/>
    </row>
    <row r="85" spans="2:2" x14ac:dyDescent="0.2">
      <c r="B85" s="158"/>
    </row>
    <row r="86" spans="2:2" x14ac:dyDescent="0.2">
      <c r="B86" s="184"/>
    </row>
    <row r="87" spans="2:2" x14ac:dyDescent="0.2">
      <c r="B87" s="184"/>
    </row>
    <row r="88" spans="2:2" x14ac:dyDescent="0.2">
      <c r="B88" s="184"/>
    </row>
    <row r="89" spans="2:2" x14ac:dyDescent="0.2">
      <c r="B89" s="184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8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J47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42" customWidth="1"/>
    <col min="3" max="3" width="50.42578125" style="14" customWidth="1"/>
    <col min="4" max="4" width="11.85546875" style="158" customWidth="1"/>
    <col min="5" max="5" width="12.7109375" style="158" customWidth="1"/>
    <col min="6" max="6" width="13.5703125" style="158" customWidth="1"/>
    <col min="7" max="9" width="0" style="159" hidden="1" customWidth="1"/>
    <col min="10" max="16384" width="9.140625" style="10"/>
  </cols>
  <sheetData>
    <row r="1" spans="2:10" ht="14.45" customHeight="1" x14ac:dyDescent="0.2">
      <c r="C1" s="1123" t="s">
        <v>1293</v>
      </c>
      <c r="D1" s="1123"/>
      <c r="E1" s="1123"/>
      <c r="F1" s="1123"/>
      <c r="G1" s="1123"/>
      <c r="H1" s="1123"/>
      <c r="I1" s="1123"/>
    </row>
    <row r="2" spans="2:10" ht="14.45" customHeight="1" x14ac:dyDescent="0.2">
      <c r="C2" s="1123"/>
      <c r="D2" s="1123"/>
      <c r="E2" s="1123"/>
      <c r="F2" s="1123"/>
      <c r="G2" s="1123"/>
      <c r="H2" s="1123"/>
      <c r="I2" s="1123"/>
    </row>
    <row r="3" spans="2:10" ht="14.45" customHeight="1" x14ac:dyDescent="0.2">
      <c r="B3" s="1126" t="s">
        <v>54</v>
      </c>
      <c r="C3" s="1119"/>
      <c r="D3" s="1119"/>
      <c r="E3" s="1119"/>
      <c r="F3" s="1119"/>
      <c r="G3" s="1119"/>
      <c r="H3" s="1119"/>
      <c r="I3" s="1119"/>
    </row>
    <row r="4" spans="2:10" s="11" customFormat="1" ht="14.45" customHeight="1" x14ac:dyDescent="0.2">
      <c r="B4" s="1129" t="s">
        <v>1002</v>
      </c>
      <c r="C4" s="1119"/>
      <c r="D4" s="1119"/>
      <c r="E4" s="1119"/>
      <c r="F4" s="1119"/>
      <c r="G4" s="1119"/>
      <c r="H4" s="1119"/>
      <c r="I4" s="1119"/>
    </row>
    <row r="5" spans="2:10" s="11" customFormat="1" ht="14.45" customHeight="1" x14ac:dyDescent="0.15">
      <c r="B5" s="184"/>
    </row>
    <row r="6" spans="2:10" ht="14.45" customHeight="1" x14ac:dyDescent="0.2">
      <c r="B6" s="1133" t="s">
        <v>467</v>
      </c>
      <c r="C6" s="1119"/>
      <c r="D6" s="1119"/>
      <c r="E6" s="1119"/>
      <c r="F6" s="1119"/>
      <c r="G6" s="1119"/>
      <c r="H6" s="1119"/>
      <c r="I6" s="1119"/>
    </row>
    <row r="7" spans="2:10" s="12" customFormat="1" ht="36.75" customHeight="1" x14ac:dyDescent="0.2">
      <c r="B7" s="1130" t="s">
        <v>56</v>
      </c>
      <c r="C7" s="1131" t="s">
        <v>86</v>
      </c>
      <c r="D7" s="1132" t="s">
        <v>1000</v>
      </c>
      <c r="E7" s="1132"/>
      <c r="F7" s="1132"/>
      <c r="G7" s="175"/>
    </row>
    <row r="8" spans="2:10" s="12" customFormat="1" ht="40.9" customHeight="1" x14ac:dyDescent="0.2">
      <c r="B8" s="1130"/>
      <c r="C8" s="1131"/>
      <c r="D8" s="155" t="s">
        <v>62</v>
      </c>
      <c r="E8" s="155" t="s">
        <v>63</v>
      </c>
      <c r="F8" s="155" t="s">
        <v>64</v>
      </c>
      <c r="G8" s="175"/>
      <c r="J8" s="568"/>
    </row>
    <row r="9" spans="2:10" s="12" customFormat="1" ht="14.45" customHeight="1" x14ac:dyDescent="0.2">
      <c r="B9" s="343">
        <v>1</v>
      </c>
      <c r="C9" s="208" t="s">
        <v>103</v>
      </c>
      <c r="D9" s="209"/>
      <c r="E9" s="209"/>
      <c r="F9" s="474"/>
      <c r="G9" s="175"/>
      <c r="J9" s="568"/>
    </row>
    <row r="10" spans="2:10" s="12" customFormat="1" ht="10.5" customHeight="1" x14ac:dyDescent="0.2">
      <c r="B10" s="343"/>
      <c r="C10" s="208"/>
      <c r="D10" s="209"/>
      <c r="E10" s="209"/>
      <c r="F10" s="463"/>
      <c r="G10" s="175"/>
      <c r="J10" s="568"/>
    </row>
    <row r="11" spans="2:10" s="12" customFormat="1" ht="14.45" customHeight="1" x14ac:dyDescent="0.2">
      <c r="B11" s="343">
        <v>2</v>
      </c>
      <c r="C11" s="210" t="s">
        <v>87</v>
      </c>
      <c r="D11" s="209"/>
      <c r="E11" s="209"/>
      <c r="F11" s="463"/>
      <c r="G11" s="175"/>
      <c r="J11" s="568"/>
    </row>
    <row r="12" spans="2:10" s="12" customFormat="1" ht="14.45" customHeight="1" x14ac:dyDescent="0.2">
      <c r="B12" s="343">
        <f t="shared" ref="B12:B38" si="0">B11+1</f>
        <v>3</v>
      </c>
      <c r="C12" s="211" t="s">
        <v>104</v>
      </c>
      <c r="D12" s="209"/>
      <c r="E12" s="209"/>
      <c r="F12" s="463"/>
      <c r="G12" s="175"/>
      <c r="J12" s="568"/>
    </row>
    <row r="13" spans="2:10" s="12" customFormat="1" ht="14.45" customHeight="1" x14ac:dyDescent="0.2">
      <c r="B13" s="343">
        <f t="shared" si="0"/>
        <v>4</v>
      </c>
      <c r="C13" s="212" t="s">
        <v>105</v>
      </c>
      <c r="D13" s="159">
        <v>0</v>
      </c>
      <c r="E13" s="159">
        <v>1070</v>
      </c>
      <c r="F13" s="464">
        <f>SUM(D13:E13)</f>
        <v>1070</v>
      </c>
      <c r="G13" s="175"/>
      <c r="J13" s="568"/>
    </row>
    <row r="14" spans="2:10" s="12" customFormat="1" ht="14.45" customHeight="1" x14ac:dyDescent="0.2">
      <c r="B14" s="343">
        <f t="shared" si="0"/>
        <v>5</v>
      </c>
      <c r="C14" s="212" t="s">
        <v>304</v>
      </c>
      <c r="D14" s="159"/>
      <c r="E14" s="159"/>
      <c r="F14" s="464">
        <f>SUM(D14:E14)</f>
        <v>0</v>
      </c>
      <c r="G14" s="175"/>
      <c r="J14" s="568"/>
    </row>
    <row r="15" spans="2:10" s="12" customFormat="1" ht="14.45" customHeight="1" x14ac:dyDescent="0.2">
      <c r="B15" s="343">
        <f t="shared" si="0"/>
        <v>6</v>
      </c>
      <c r="C15" s="14" t="s">
        <v>106</v>
      </c>
      <c r="D15" s="159"/>
      <c r="E15" s="159">
        <v>0</v>
      </c>
      <c r="F15" s="464">
        <f>SUM(D15:E15)</f>
        <v>0</v>
      </c>
      <c r="G15" s="175"/>
      <c r="J15" s="568"/>
    </row>
    <row r="16" spans="2:10" s="12" customFormat="1" ht="14.45" customHeight="1" x14ac:dyDescent="0.2">
      <c r="B16" s="343">
        <f t="shared" si="0"/>
        <v>7</v>
      </c>
      <c r="C16" s="14" t="s">
        <v>107</v>
      </c>
      <c r="D16" s="159"/>
      <c r="E16" s="159"/>
      <c r="F16" s="464"/>
      <c r="G16" s="175"/>
      <c r="J16" s="568"/>
    </row>
    <row r="17" spans="2:10" s="12" customFormat="1" ht="14.45" customHeight="1" x14ac:dyDescent="0.2">
      <c r="B17" s="343">
        <f t="shared" si="0"/>
        <v>8</v>
      </c>
      <c r="C17" s="213" t="s">
        <v>108</v>
      </c>
      <c r="D17" s="183">
        <f>SUM(D13:D16)</f>
        <v>0</v>
      </c>
      <c r="E17" s="183">
        <f>SUM(E13:E16)</f>
        <v>1070</v>
      </c>
      <c r="F17" s="467">
        <f>SUM(F13:F16)</f>
        <v>1070</v>
      </c>
      <c r="G17" s="175"/>
      <c r="J17" s="568"/>
    </row>
    <row r="18" spans="2:10" s="12" customFormat="1" ht="14.45" customHeight="1" x14ac:dyDescent="0.2">
      <c r="B18" s="343"/>
      <c r="C18" s="213"/>
      <c r="D18" s="183"/>
      <c r="E18" s="183"/>
      <c r="F18" s="467"/>
      <c r="G18" s="175"/>
      <c r="J18" s="568"/>
    </row>
    <row r="19" spans="2:10" s="12" customFormat="1" ht="14.45" customHeight="1" x14ac:dyDescent="0.2">
      <c r="B19" s="343">
        <v>9</v>
      </c>
      <c r="C19" s="567" t="s">
        <v>305</v>
      </c>
      <c r="D19" s="183"/>
      <c r="E19" s="183"/>
      <c r="F19" s="467"/>
      <c r="G19" s="175"/>
      <c r="J19" s="568"/>
    </row>
    <row r="20" spans="2:10" s="12" customFormat="1" ht="14.45" customHeight="1" x14ac:dyDescent="0.2">
      <c r="B20" s="343">
        <f>B19+1</f>
        <v>10</v>
      </c>
      <c r="C20" s="14" t="s">
        <v>1160</v>
      </c>
      <c r="D20" s="183"/>
      <c r="E20" s="159">
        <v>2270</v>
      </c>
      <c r="F20" s="464">
        <f>D20+E20</f>
        <v>2270</v>
      </c>
      <c r="G20" s="175"/>
      <c r="J20" s="568"/>
    </row>
    <row r="21" spans="2:10" s="12" customFormat="1" ht="14.45" customHeight="1" x14ac:dyDescent="0.2">
      <c r="B21" s="343">
        <f>B20+1</f>
        <v>11</v>
      </c>
      <c r="C21" s="213" t="s">
        <v>306</v>
      </c>
      <c r="D21" s="183">
        <f>D20</f>
        <v>0</v>
      </c>
      <c r="E21" s="183">
        <f>E20</f>
        <v>2270</v>
      </c>
      <c r="F21" s="183">
        <f>F20</f>
        <v>2270</v>
      </c>
      <c r="G21" s="175"/>
      <c r="J21" s="568"/>
    </row>
    <row r="22" spans="2:10" s="12" customFormat="1" ht="12" customHeight="1" x14ac:dyDescent="0.2">
      <c r="B22" s="343"/>
      <c r="C22" s="214"/>
      <c r="D22" s="209"/>
      <c r="E22" s="209"/>
      <c r="F22" s="463"/>
      <c r="G22" s="175"/>
      <c r="J22" s="568"/>
    </row>
    <row r="23" spans="2:10" s="11" customFormat="1" ht="14.45" customHeight="1" x14ac:dyDescent="0.2">
      <c r="B23" s="343">
        <v>12</v>
      </c>
      <c r="C23" s="572" t="s">
        <v>1161</v>
      </c>
      <c r="D23" s="183"/>
      <c r="E23" s="183"/>
      <c r="F23" s="467"/>
      <c r="G23" s="184"/>
      <c r="J23" s="538"/>
    </row>
    <row r="24" spans="2:10" ht="14.45" customHeight="1" x14ac:dyDescent="0.2">
      <c r="B24" s="343">
        <f t="shared" si="0"/>
        <v>13</v>
      </c>
      <c r="C24" s="216" t="s">
        <v>1162</v>
      </c>
      <c r="D24" s="159">
        <v>138221</v>
      </c>
      <c r="E24" s="159"/>
      <c r="F24" s="464">
        <f>SUM(D24:E24)</f>
        <v>138221</v>
      </c>
      <c r="G24" s="158"/>
      <c r="H24" s="10"/>
      <c r="I24" s="10"/>
      <c r="J24" s="194"/>
    </row>
    <row r="25" spans="2:10" ht="14.45" customHeight="1" x14ac:dyDescent="0.2">
      <c r="B25" s="343"/>
      <c r="C25" s="203" t="s">
        <v>1258</v>
      </c>
      <c r="D25" s="159"/>
      <c r="E25" s="159">
        <v>52155</v>
      </c>
      <c r="F25" s="464">
        <f>SUM(D25:E25)</f>
        <v>52155</v>
      </c>
      <c r="G25" s="158"/>
      <c r="H25" s="10"/>
      <c r="I25" s="10"/>
      <c r="J25" s="194"/>
    </row>
    <row r="26" spans="2:10" ht="14.45" customHeight="1" x14ac:dyDescent="0.2">
      <c r="B26" s="343"/>
      <c r="C26" s="203" t="s">
        <v>1259</v>
      </c>
      <c r="D26" s="159">
        <v>58349</v>
      </c>
      <c r="E26" s="159"/>
      <c r="F26" s="464">
        <f>SUM(D26:E26)</f>
        <v>58349</v>
      </c>
      <c r="G26" s="158"/>
      <c r="H26" s="10"/>
      <c r="I26" s="10"/>
      <c r="J26" s="194"/>
    </row>
    <row r="27" spans="2:10" ht="14.45" customHeight="1" x14ac:dyDescent="0.2">
      <c r="B27" s="343"/>
      <c r="C27" s="203" t="s">
        <v>1260</v>
      </c>
      <c r="D27" s="159">
        <v>228881</v>
      </c>
      <c r="E27" s="159"/>
      <c r="F27" s="464">
        <f>SUM(D27:E27)</f>
        <v>228881</v>
      </c>
      <c r="G27" s="158"/>
      <c r="H27" s="10"/>
      <c r="I27" s="10"/>
      <c r="J27" s="194"/>
    </row>
    <row r="28" spans="2:10" ht="14.45" customHeight="1" x14ac:dyDescent="0.2">
      <c r="B28" s="343">
        <f>B24+1</f>
        <v>14</v>
      </c>
      <c r="C28" s="213" t="s">
        <v>109</v>
      </c>
      <c r="D28" s="183">
        <f>SUM(D24:D27)</f>
        <v>425451</v>
      </c>
      <c r="E28" s="183">
        <f>SUM(E24:E27)</f>
        <v>52155</v>
      </c>
      <c r="F28" s="467">
        <f>SUM(F24:F27)</f>
        <v>477606</v>
      </c>
      <c r="G28" s="158"/>
      <c r="H28" s="10"/>
      <c r="I28" s="10"/>
      <c r="J28" s="194"/>
    </row>
    <row r="29" spans="2:10" ht="14.45" customHeight="1" x14ac:dyDescent="0.2">
      <c r="B29" s="343"/>
      <c r="C29" s="213"/>
      <c r="D29" s="183"/>
      <c r="E29" s="183"/>
      <c r="F29" s="467"/>
      <c r="G29" s="158"/>
      <c r="H29" s="10"/>
      <c r="I29" s="10"/>
      <c r="J29" s="194"/>
    </row>
    <row r="30" spans="2:10" ht="14.45" customHeight="1" x14ac:dyDescent="0.2">
      <c r="B30" s="343">
        <v>15</v>
      </c>
      <c r="C30" s="215" t="s">
        <v>181</v>
      </c>
      <c r="D30" s="183"/>
      <c r="E30" s="159"/>
      <c r="F30" s="464"/>
      <c r="G30" s="158"/>
      <c r="H30" s="10"/>
      <c r="I30" s="10"/>
      <c r="J30" s="194"/>
    </row>
    <row r="31" spans="2:10" ht="14.45" customHeight="1" x14ac:dyDescent="0.2">
      <c r="B31" s="343">
        <f>B30+1</f>
        <v>16</v>
      </c>
      <c r="C31" s="14" t="s">
        <v>1163</v>
      </c>
      <c r="D31" s="183"/>
      <c r="E31" s="159">
        <v>292</v>
      </c>
      <c r="F31" s="464">
        <f>D31+E31</f>
        <v>292</v>
      </c>
      <c r="G31" s="158"/>
      <c r="H31" s="10"/>
      <c r="I31" s="10"/>
      <c r="J31" s="194"/>
    </row>
    <row r="32" spans="2:10" ht="14.45" customHeight="1" x14ac:dyDescent="0.2">
      <c r="B32" s="343">
        <f>B31+1</f>
        <v>17</v>
      </c>
      <c r="C32" s="213" t="s">
        <v>182</v>
      </c>
      <c r="D32" s="183"/>
      <c r="E32" s="183">
        <f>SUM(E31)</f>
        <v>292</v>
      </c>
      <c r="F32" s="467">
        <f>SUM(F31)</f>
        <v>292</v>
      </c>
      <c r="G32" s="158"/>
      <c r="H32" s="10"/>
      <c r="I32" s="10"/>
      <c r="J32" s="194"/>
    </row>
    <row r="33" spans="2:10" ht="14.45" customHeight="1" x14ac:dyDescent="0.2">
      <c r="B33" s="343"/>
      <c r="C33" s="213"/>
      <c r="D33" s="183"/>
      <c r="E33" s="183"/>
      <c r="F33" s="467"/>
      <c r="G33" s="158"/>
      <c r="H33" s="10"/>
      <c r="I33" s="10"/>
      <c r="J33" s="194"/>
    </row>
    <row r="34" spans="2:10" ht="14.45" customHeight="1" x14ac:dyDescent="0.2">
      <c r="B34" s="343">
        <v>18</v>
      </c>
      <c r="C34" s="213" t="s">
        <v>168</v>
      </c>
      <c r="D34" s="183">
        <f>D28+D32</f>
        <v>425451</v>
      </c>
      <c r="E34" s="183">
        <f>E28+E32</f>
        <v>52447</v>
      </c>
      <c r="F34" s="183">
        <f>F28+F32</f>
        <v>477898</v>
      </c>
      <c r="G34" s="158"/>
      <c r="H34" s="10"/>
      <c r="I34" s="10"/>
      <c r="J34" s="194"/>
    </row>
    <row r="35" spans="2:10" ht="14.45" customHeight="1" x14ac:dyDescent="0.2">
      <c r="B35" s="343"/>
      <c r="C35" s="213"/>
      <c r="D35" s="183"/>
      <c r="E35" s="183"/>
      <c r="F35" s="183"/>
      <c r="G35" s="158"/>
      <c r="H35" s="10"/>
      <c r="I35" s="10"/>
      <c r="J35" s="194"/>
    </row>
    <row r="36" spans="2:10" s="12" customFormat="1" ht="14.45" customHeight="1" x14ac:dyDescent="0.2">
      <c r="B36" s="343">
        <v>19</v>
      </c>
      <c r="C36" s="215" t="s">
        <v>110</v>
      </c>
      <c r="D36" s="175"/>
      <c r="E36" s="175"/>
      <c r="F36" s="473"/>
      <c r="G36" s="175"/>
      <c r="J36" s="568"/>
    </row>
    <row r="37" spans="2:10" s="12" customFormat="1" ht="14.45" customHeight="1" x14ac:dyDescent="0.2">
      <c r="B37" s="343">
        <f t="shared" si="0"/>
        <v>20</v>
      </c>
      <c r="C37" s="14" t="s">
        <v>111</v>
      </c>
      <c r="D37" s="175"/>
      <c r="E37" s="159">
        <v>2870</v>
      </c>
      <c r="F37" s="464">
        <f>SUM(E37)</f>
        <v>2870</v>
      </c>
      <c r="G37" s="175"/>
      <c r="J37" s="568"/>
    </row>
    <row r="38" spans="2:10" s="12" customFormat="1" ht="14.45" customHeight="1" x14ac:dyDescent="0.2">
      <c r="B38" s="343">
        <f t="shared" si="0"/>
        <v>21</v>
      </c>
      <c r="C38" s="213" t="s">
        <v>112</v>
      </c>
      <c r="D38" s="183">
        <f>SUM(D37:D37)</f>
        <v>0</v>
      </c>
      <c r="E38" s="183">
        <f>SUM(E37:E37)</f>
        <v>2870</v>
      </c>
      <c r="F38" s="467">
        <f>SUM(F37:F37)</f>
        <v>2870</v>
      </c>
      <c r="G38" s="209"/>
      <c r="J38" s="568"/>
    </row>
    <row r="39" spans="2:10" s="12" customFormat="1" ht="15.75" customHeight="1" thickBot="1" x14ac:dyDescent="0.25">
      <c r="B39" s="343"/>
      <c r="C39" s="213"/>
      <c r="D39" s="175"/>
      <c r="E39" s="175"/>
      <c r="F39" s="473"/>
      <c r="G39" s="175"/>
      <c r="J39" s="568"/>
    </row>
    <row r="40" spans="2:10" s="12" customFormat="1" ht="14.45" customHeight="1" thickBot="1" x14ac:dyDescent="0.25">
      <c r="B40" s="1050">
        <v>22</v>
      </c>
      <c r="C40" s="824" t="s">
        <v>113</v>
      </c>
      <c r="D40" s="174">
        <f>D38+D34+D17</f>
        <v>425451</v>
      </c>
      <c r="E40" s="174">
        <f>E38+E34+E17+E21</f>
        <v>58657</v>
      </c>
      <c r="F40" s="174">
        <f>F38+F34+F17+F21</f>
        <v>484108</v>
      </c>
      <c r="G40" s="314">
        <f>G38+G34+G17+G21</f>
        <v>0</v>
      </c>
      <c r="H40" s="314">
        <f>H38+H34+H17+H21</f>
        <v>0</v>
      </c>
      <c r="I40" s="314">
        <f>I38+I34+I17+I21</f>
        <v>0</v>
      </c>
      <c r="J40" s="568"/>
    </row>
    <row r="41" spans="2:10" s="12" customFormat="1" ht="14.45" customHeight="1" x14ac:dyDescent="0.2">
      <c r="B41" s="343"/>
      <c r="C41" s="213"/>
      <c r="D41" s="175"/>
      <c r="E41" s="175"/>
      <c r="F41" s="175"/>
      <c r="G41" s="175"/>
      <c r="J41" s="568"/>
    </row>
    <row r="42" spans="2:10" ht="14.45" customHeight="1" x14ac:dyDescent="0.2">
      <c r="B42" s="343"/>
      <c r="C42" s="213" t="s">
        <v>1248</v>
      </c>
      <c r="J42" s="194"/>
    </row>
    <row r="43" spans="2:10" ht="14.45" customHeight="1" x14ac:dyDescent="0.2">
      <c r="B43" s="343"/>
      <c r="C43" s="211" t="s">
        <v>104</v>
      </c>
      <c r="J43" s="194"/>
    </row>
    <row r="44" spans="2:10" ht="14.45" customHeight="1" x14ac:dyDescent="0.2">
      <c r="B44" s="343"/>
      <c r="C44" s="212" t="s">
        <v>304</v>
      </c>
      <c r="D44" s="158">
        <v>945</v>
      </c>
      <c r="F44" s="158">
        <f>D44+E44</f>
        <v>945</v>
      </c>
      <c r="J44" s="194"/>
    </row>
    <row r="45" spans="2:10" ht="14.45" customHeight="1" x14ac:dyDescent="0.2">
      <c r="B45" s="343"/>
      <c r="C45" s="824" t="s">
        <v>1249</v>
      </c>
      <c r="D45" s="184">
        <f>SUM(D44)</f>
        <v>945</v>
      </c>
      <c r="E45" s="184"/>
      <c r="F45" s="184">
        <f>SUM(F44)</f>
        <v>945</v>
      </c>
      <c r="J45" s="194"/>
    </row>
    <row r="46" spans="2:10" ht="14.45" customHeight="1" thickBot="1" x14ac:dyDescent="0.25">
      <c r="J46" s="194"/>
    </row>
    <row r="47" spans="2:10" ht="14.45" customHeight="1" thickBot="1" x14ac:dyDescent="0.25">
      <c r="B47" s="1051"/>
      <c r="C47" s="475" t="s">
        <v>1250</v>
      </c>
      <c r="D47" s="314">
        <f>D40+D45</f>
        <v>426396</v>
      </c>
      <c r="E47" s="314">
        <f t="shared" ref="E47:F47" si="1">E40+E45</f>
        <v>58657</v>
      </c>
      <c r="F47" s="1052">
        <f t="shared" si="1"/>
        <v>485053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4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G66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9" hidden="1" customWidth="1"/>
    <col min="2" max="2" width="5.7109375" style="152" customWidth="1"/>
    <col min="3" max="3" width="53" style="147" customWidth="1"/>
    <col min="4" max="4" width="9" style="146" customWidth="1"/>
    <col min="5" max="5" width="9.140625" style="146"/>
    <col min="6" max="6" width="9.7109375" style="146" customWidth="1"/>
    <col min="7" max="16384" width="9.140625" style="13"/>
  </cols>
  <sheetData>
    <row r="1" spans="1:7" x14ac:dyDescent="0.2">
      <c r="B1" s="1134" t="s">
        <v>1294</v>
      </c>
      <c r="C1" s="1134"/>
      <c r="D1" s="1134"/>
      <c r="E1" s="1134"/>
      <c r="F1" s="1134"/>
    </row>
    <row r="2" spans="1:7" x14ac:dyDescent="0.2">
      <c r="B2" s="301"/>
      <c r="C2" s="301"/>
      <c r="D2" s="301"/>
      <c r="E2" s="301"/>
      <c r="F2" s="301"/>
    </row>
    <row r="3" spans="1:7" x14ac:dyDescent="0.2">
      <c r="B3" s="1140" t="s">
        <v>496</v>
      </c>
      <c r="C3" s="1141"/>
      <c r="D3" s="1141"/>
      <c r="E3" s="1141"/>
      <c r="F3" s="1141"/>
    </row>
    <row r="4" spans="1:7" x14ac:dyDescent="0.2">
      <c r="B4" s="1141" t="s">
        <v>1003</v>
      </c>
      <c r="C4" s="1141"/>
      <c r="D4" s="1141"/>
      <c r="E4" s="1142"/>
      <c r="F4" s="1142"/>
    </row>
    <row r="5" spans="1:7" x14ac:dyDescent="0.2">
      <c r="B5" s="145"/>
      <c r="C5" s="145"/>
      <c r="D5" s="145"/>
      <c r="E5" s="302"/>
      <c r="F5" s="302"/>
    </row>
    <row r="6" spans="1:7" x14ac:dyDescent="0.2">
      <c r="B6" s="145"/>
      <c r="C6" s="145"/>
      <c r="D6" s="145"/>
      <c r="E6" s="302"/>
      <c r="F6" s="302"/>
    </row>
    <row r="7" spans="1:7" ht="12.75" x14ac:dyDescent="0.2">
      <c r="B7" s="145"/>
      <c r="C7" s="1135" t="s">
        <v>327</v>
      </c>
      <c r="D7" s="1136"/>
      <c r="E7" s="1136"/>
      <c r="F7" s="1136"/>
    </row>
    <row r="8" spans="1:7" ht="19.149999999999999" customHeight="1" x14ac:dyDescent="0.2">
      <c r="B8" s="1137" t="s">
        <v>77</v>
      </c>
      <c r="C8" s="1138" t="s">
        <v>86</v>
      </c>
      <c r="D8" s="1139" t="s">
        <v>994</v>
      </c>
      <c r="E8" s="1139"/>
      <c r="F8" s="1139"/>
    </row>
    <row r="9" spans="1:7" s="8" customFormat="1" ht="42.75" customHeight="1" x14ac:dyDescent="0.2">
      <c r="A9" s="150"/>
      <c r="B9" s="1137"/>
      <c r="C9" s="1138"/>
      <c r="D9" s="997" t="s">
        <v>62</v>
      </c>
      <c r="E9" s="997" t="s">
        <v>63</v>
      </c>
      <c r="F9" s="997" t="s">
        <v>64</v>
      </c>
    </row>
    <row r="10" spans="1:7" ht="14.25" customHeight="1" x14ac:dyDescent="0.2">
      <c r="B10" s="151" t="s">
        <v>516</v>
      </c>
      <c r="C10" s="998" t="s">
        <v>468</v>
      </c>
      <c r="D10" s="999"/>
      <c r="E10" s="148"/>
      <c r="F10" s="1000"/>
      <c r="G10" s="629"/>
    </row>
    <row r="11" spans="1:7" ht="28.9" customHeight="1" x14ac:dyDescent="0.2">
      <c r="B11" s="1058" t="s">
        <v>524</v>
      </c>
      <c r="C11" s="1059" t="s">
        <v>488</v>
      </c>
      <c r="D11" s="1009"/>
      <c r="E11" s="1060"/>
      <c r="F11" s="1009"/>
      <c r="G11" s="629"/>
    </row>
    <row r="12" spans="1:7" x14ac:dyDescent="0.2">
      <c r="B12" s="151" t="s">
        <v>525</v>
      </c>
      <c r="C12" s="1002" t="s">
        <v>469</v>
      </c>
      <c r="D12" s="670"/>
      <c r="E12" s="148"/>
      <c r="F12" s="670"/>
      <c r="G12" s="629"/>
    </row>
    <row r="13" spans="1:7" x14ac:dyDescent="0.2">
      <c r="B13" s="151" t="s">
        <v>526</v>
      </c>
      <c r="C13" s="1002" t="s">
        <v>1017</v>
      </c>
      <c r="D13" s="670"/>
      <c r="E13" s="148">
        <v>24241</v>
      </c>
      <c r="F13" s="670">
        <f t="shared" ref="F13:F21" si="0">SUM(D13:E13)</f>
        <v>24241</v>
      </c>
      <c r="G13" s="629"/>
    </row>
    <row r="14" spans="1:7" x14ac:dyDescent="0.2">
      <c r="B14" s="151" t="s">
        <v>527</v>
      </c>
      <c r="C14" s="1002" t="s">
        <v>1018</v>
      </c>
      <c r="D14" s="670"/>
      <c r="E14" s="148">
        <v>27321</v>
      </c>
      <c r="F14" s="670">
        <f t="shared" si="0"/>
        <v>27321</v>
      </c>
      <c r="G14" s="629"/>
    </row>
    <row r="15" spans="1:7" x14ac:dyDescent="0.2">
      <c r="B15" s="151" t="s">
        <v>528</v>
      </c>
      <c r="C15" s="1002" t="s">
        <v>1019</v>
      </c>
      <c r="D15" s="670">
        <v>0</v>
      </c>
      <c r="E15" s="148"/>
      <c r="F15" s="670">
        <f t="shared" si="0"/>
        <v>0</v>
      </c>
      <c r="G15" s="629"/>
    </row>
    <row r="16" spans="1:7" x14ac:dyDescent="0.2">
      <c r="B16" s="151" t="s">
        <v>529</v>
      </c>
      <c r="C16" s="1002" t="s">
        <v>470</v>
      </c>
      <c r="D16" s="670">
        <v>4500</v>
      </c>
      <c r="E16" s="148"/>
      <c r="F16" s="670">
        <f t="shared" si="0"/>
        <v>4500</v>
      </c>
      <c r="G16" s="629"/>
    </row>
    <row r="17" spans="1:7" x14ac:dyDescent="0.2">
      <c r="B17" s="151" t="s">
        <v>530</v>
      </c>
      <c r="C17" s="1003" t="s">
        <v>471</v>
      </c>
      <c r="D17" s="670">
        <f>2980-730</f>
        <v>2250</v>
      </c>
      <c r="E17" s="148"/>
      <c r="F17" s="670">
        <f t="shared" si="0"/>
        <v>2250</v>
      </c>
      <c r="G17" s="629"/>
    </row>
    <row r="18" spans="1:7" ht="13.5" customHeight="1" x14ac:dyDescent="0.2">
      <c r="B18" s="151" t="s">
        <v>531</v>
      </c>
      <c r="C18" s="1003" t="s">
        <v>504</v>
      </c>
      <c r="D18" s="670">
        <v>1250</v>
      </c>
      <c r="E18" s="670"/>
      <c r="F18" s="670">
        <f t="shared" si="0"/>
        <v>1250</v>
      </c>
      <c r="G18" s="629"/>
    </row>
    <row r="19" spans="1:7" ht="13.5" customHeight="1" x14ac:dyDescent="0.2">
      <c r="B19" s="151" t="s">
        <v>573</v>
      </c>
      <c r="C19" s="1003" t="s">
        <v>334</v>
      </c>
      <c r="D19" s="670"/>
      <c r="E19" s="1004">
        <v>50</v>
      </c>
      <c r="F19" s="670">
        <f t="shared" si="0"/>
        <v>50</v>
      </c>
      <c r="G19" s="629"/>
    </row>
    <row r="20" spans="1:7" ht="13.5" customHeight="1" x14ac:dyDescent="0.2">
      <c r="B20" s="151" t="s">
        <v>574</v>
      </c>
      <c r="C20" s="1003" t="s">
        <v>1164</v>
      </c>
      <c r="D20" s="670"/>
      <c r="E20" s="1004">
        <v>150</v>
      </c>
      <c r="F20" s="670">
        <f t="shared" si="0"/>
        <v>150</v>
      </c>
      <c r="G20" s="629"/>
    </row>
    <row r="21" spans="1:7" ht="13.5" customHeight="1" x14ac:dyDescent="0.2">
      <c r="B21" s="151" t="s">
        <v>575</v>
      </c>
      <c r="C21" s="1003" t="s">
        <v>1165</v>
      </c>
      <c r="D21" s="670"/>
      <c r="E21" s="1004">
        <v>1112</v>
      </c>
      <c r="F21" s="670">
        <f t="shared" si="0"/>
        <v>1112</v>
      </c>
      <c r="G21" s="629"/>
    </row>
    <row r="22" spans="1:7" ht="15" customHeight="1" x14ac:dyDescent="0.2">
      <c r="B22" s="151" t="s">
        <v>576</v>
      </c>
      <c r="C22" s="1001" t="s">
        <v>489</v>
      </c>
      <c r="D22" s="1005">
        <f>SUM(D13:D21)</f>
        <v>8000</v>
      </c>
      <c r="E22" s="1005">
        <f t="shared" ref="E22:F22" si="1">SUM(E13:E21)</f>
        <v>52874</v>
      </c>
      <c r="F22" s="1005">
        <f t="shared" si="1"/>
        <v>60874</v>
      </c>
      <c r="G22" s="629"/>
    </row>
    <row r="23" spans="1:7" x14ac:dyDescent="0.2">
      <c r="B23" s="151" t="s">
        <v>577</v>
      </c>
      <c r="C23" s="1006"/>
      <c r="D23" s="670"/>
      <c r="E23" s="1004"/>
      <c r="F23" s="670"/>
      <c r="G23" s="629"/>
    </row>
    <row r="24" spans="1:7" x14ac:dyDescent="0.2">
      <c r="B24" s="151" t="s">
        <v>578</v>
      </c>
      <c r="C24" s="1007" t="s">
        <v>490</v>
      </c>
      <c r="D24" s="670"/>
      <c r="E24" s="1004"/>
      <c r="F24" s="670"/>
      <c r="G24" s="629"/>
    </row>
    <row r="25" spans="1:7" s="8" customFormat="1" ht="15.6" customHeight="1" x14ac:dyDescent="0.2">
      <c r="A25" s="150"/>
      <c r="B25" s="151" t="s">
        <v>579</v>
      </c>
      <c r="C25" s="1008" t="s">
        <v>505</v>
      </c>
      <c r="D25" s="670">
        <v>136295</v>
      </c>
      <c r="E25" s="1004"/>
      <c r="F25" s="670">
        <f>D25</f>
        <v>136295</v>
      </c>
      <c r="G25" s="628"/>
    </row>
    <row r="26" spans="1:7" s="8" customFormat="1" ht="12" customHeight="1" x14ac:dyDescent="0.2">
      <c r="A26" s="150"/>
      <c r="B26" s="151" t="s">
        <v>580</v>
      </c>
      <c r="C26" s="1008" t="s">
        <v>340</v>
      </c>
      <c r="D26" s="670">
        <v>16854</v>
      </c>
      <c r="E26" s="1004"/>
      <c r="F26" s="670">
        <f t="shared" ref="F26:F31" si="2">SUM(D26:E26)</f>
        <v>16854</v>
      </c>
      <c r="G26" s="628"/>
    </row>
    <row r="27" spans="1:7" s="8" customFormat="1" ht="12" customHeight="1" x14ac:dyDescent="0.2">
      <c r="A27" s="150"/>
      <c r="B27" s="151" t="s">
        <v>582</v>
      </c>
      <c r="C27" s="1008" t="s">
        <v>1174</v>
      </c>
      <c r="D27" s="670">
        <v>15000</v>
      </c>
      <c r="E27" s="1004"/>
      <c r="F27" s="670">
        <f t="shared" si="2"/>
        <v>15000</v>
      </c>
      <c r="G27" s="628"/>
    </row>
    <row r="28" spans="1:7" s="8" customFormat="1" x14ac:dyDescent="0.2">
      <c r="A28" s="150"/>
      <c r="B28" s="151" t="s">
        <v>583</v>
      </c>
      <c r="C28" s="1006" t="s">
        <v>745</v>
      </c>
      <c r="D28" s="670">
        <v>19500</v>
      </c>
      <c r="E28" s="1004"/>
      <c r="F28" s="670">
        <f t="shared" si="2"/>
        <v>19500</v>
      </c>
      <c r="G28" s="628"/>
    </row>
    <row r="29" spans="1:7" s="8" customFormat="1" x14ac:dyDescent="0.2">
      <c r="A29" s="150"/>
      <c r="B29" s="151" t="s">
        <v>584</v>
      </c>
      <c r="C29" s="1006" t="s">
        <v>337</v>
      </c>
      <c r="D29" s="670">
        <v>71000</v>
      </c>
      <c r="E29" s="1004"/>
      <c r="F29" s="670">
        <f t="shared" si="2"/>
        <v>71000</v>
      </c>
      <c r="G29" s="628"/>
    </row>
    <row r="30" spans="1:7" s="8" customFormat="1" x14ac:dyDescent="0.2">
      <c r="A30" s="150"/>
      <c r="B30" s="151" t="s">
        <v>585</v>
      </c>
      <c r="C30" s="1006" t="s">
        <v>1169</v>
      </c>
      <c r="D30" s="670">
        <v>5000</v>
      </c>
      <c r="E30" s="1004"/>
      <c r="F30" s="670">
        <f t="shared" si="2"/>
        <v>5000</v>
      </c>
      <c r="G30" s="628"/>
    </row>
    <row r="31" spans="1:7" s="8" customFormat="1" x14ac:dyDescent="0.2">
      <c r="A31" s="150"/>
      <c r="B31" s="151" t="s">
        <v>586</v>
      </c>
      <c r="C31" s="1006" t="s">
        <v>72</v>
      </c>
      <c r="D31" s="670">
        <v>50000</v>
      </c>
      <c r="E31" s="1004"/>
      <c r="F31" s="670">
        <f t="shared" si="2"/>
        <v>50000</v>
      </c>
      <c r="G31" s="628"/>
    </row>
    <row r="32" spans="1:7" s="8" customFormat="1" x14ac:dyDescent="0.2">
      <c r="A32" s="150"/>
      <c r="B32" s="151" t="s">
        <v>587</v>
      </c>
      <c r="C32" s="903" t="s">
        <v>338</v>
      </c>
      <c r="D32" s="1009"/>
      <c r="E32" s="1010">
        <v>2000</v>
      </c>
      <c r="F32" s="1009">
        <f>D32+E32</f>
        <v>2000</v>
      </c>
      <c r="G32" s="628"/>
    </row>
    <row r="33" spans="1:7" s="8" customFormat="1" x14ac:dyDescent="0.2">
      <c r="A33" s="150"/>
      <c r="B33" s="151" t="s">
        <v>588</v>
      </c>
      <c r="C33" s="903" t="s">
        <v>195</v>
      </c>
      <c r="D33" s="1009"/>
      <c r="E33" s="1010">
        <v>3500</v>
      </c>
      <c r="F33" s="1009">
        <f>D33+E33</f>
        <v>3500</v>
      </c>
      <c r="G33" s="628"/>
    </row>
    <row r="34" spans="1:7" s="8" customFormat="1" x14ac:dyDescent="0.2">
      <c r="A34" s="150"/>
      <c r="B34" s="151" t="s">
        <v>589</v>
      </c>
      <c r="C34" s="903" t="s">
        <v>339</v>
      </c>
      <c r="D34" s="1009"/>
      <c r="E34" s="1010">
        <v>3500</v>
      </c>
      <c r="F34" s="1009">
        <f>D34+E34</f>
        <v>3500</v>
      </c>
      <c r="G34" s="628"/>
    </row>
    <row r="35" spans="1:7" s="8" customFormat="1" x14ac:dyDescent="0.2">
      <c r="A35" s="150"/>
      <c r="B35" s="151" t="s">
        <v>611</v>
      </c>
      <c r="C35" s="903" t="s">
        <v>341</v>
      </c>
      <c r="D35" s="1009"/>
      <c r="E35" s="1010">
        <v>310</v>
      </c>
      <c r="F35" s="1009">
        <f>D35+E35</f>
        <v>310</v>
      </c>
      <c r="G35" s="628"/>
    </row>
    <row r="36" spans="1:7" s="8" customFormat="1" x14ac:dyDescent="0.2">
      <c r="A36" s="150"/>
      <c r="B36" s="151" t="s">
        <v>612</v>
      </c>
      <c r="C36" s="1006" t="s">
        <v>342</v>
      </c>
      <c r="D36" s="1009"/>
      <c r="E36" s="1010">
        <v>1500</v>
      </c>
      <c r="F36" s="1009">
        <f>E36</f>
        <v>1500</v>
      </c>
      <c r="G36" s="628"/>
    </row>
    <row r="37" spans="1:7" s="8" customFormat="1" x14ac:dyDescent="0.2">
      <c r="A37" s="150"/>
      <c r="B37" s="151" t="s">
        <v>613</v>
      </c>
      <c r="C37" s="1006" t="s">
        <v>343</v>
      </c>
      <c r="D37" s="1009"/>
      <c r="E37" s="1010">
        <v>127</v>
      </c>
      <c r="F37" s="1009">
        <v>127</v>
      </c>
      <c r="G37" s="628"/>
    </row>
    <row r="38" spans="1:7" s="8" customFormat="1" x14ac:dyDescent="0.2">
      <c r="A38" s="150"/>
      <c r="B38" s="151" t="s">
        <v>614</v>
      </c>
      <c r="C38" s="1006" t="s">
        <v>183</v>
      </c>
      <c r="D38" s="1009"/>
      <c r="E38" s="1010">
        <v>1000</v>
      </c>
      <c r="F38" s="1009">
        <v>1000</v>
      </c>
      <c r="G38" s="628"/>
    </row>
    <row r="39" spans="1:7" s="8" customFormat="1" x14ac:dyDescent="0.2">
      <c r="A39" s="150"/>
      <c r="B39" s="151" t="s">
        <v>615</v>
      </c>
      <c r="C39" s="1006" t="s">
        <v>184</v>
      </c>
      <c r="D39" s="1009"/>
      <c r="E39" s="1010">
        <v>300</v>
      </c>
      <c r="F39" s="1009">
        <f t="shared" ref="F39:F53" si="3">D39+E39</f>
        <v>300</v>
      </c>
      <c r="G39" s="628"/>
    </row>
    <row r="40" spans="1:7" s="8" customFormat="1" x14ac:dyDescent="0.2">
      <c r="A40" s="150"/>
      <c r="B40" s="151" t="s">
        <v>616</v>
      </c>
      <c r="C40" s="1006" t="s">
        <v>185</v>
      </c>
      <c r="D40" s="1009"/>
      <c r="E40" s="1010">
        <v>2000</v>
      </c>
      <c r="F40" s="1009">
        <f t="shared" si="3"/>
        <v>2000</v>
      </c>
      <c r="G40" s="628"/>
    </row>
    <row r="41" spans="1:7" s="8" customFormat="1" x14ac:dyDescent="0.2">
      <c r="A41" s="150"/>
      <c r="B41" s="151" t="s">
        <v>617</v>
      </c>
      <c r="C41" s="1006" t="s">
        <v>307</v>
      </c>
      <c r="D41" s="1009"/>
      <c r="E41" s="1010">
        <v>1000</v>
      </c>
      <c r="F41" s="1009">
        <f t="shared" si="3"/>
        <v>1000</v>
      </c>
      <c r="G41" s="628"/>
    </row>
    <row r="42" spans="1:7" s="8" customFormat="1" x14ac:dyDescent="0.2">
      <c r="A42" s="150"/>
      <c r="B42" s="151" t="s">
        <v>618</v>
      </c>
      <c r="C42" s="1006" t="s">
        <v>308</v>
      </c>
      <c r="D42" s="1009"/>
      <c r="E42" s="1010">
        <v>2000</v>
      </c>
      <c r="F42" s="1009">
        <f t="shared" si="3"/>
        <v>2000</v>
      </c>
      <c r="G42" s="628"/>
    </row>
    <row r="43" spans="1:7" s="8" customFormat="1" x14ac:dyDescent="0.2">
      <c r="A43" s="150"/>
      <c r="B43" s="151" t="s">
        <v>619</v>
      </c>
      <c r="C43" s="1006" t="s">
        <v>1072</v>
      </c>
      <c r="D43" s="1009"/>
      <c r="E43" s="1010">
        <v>900</v>
      </c>
      <c r="F43" s="1009">
        <f t="shared" si="3"/>
        <v>900</v>
      </c>
      <c r="G43" s="628"/>
    </row>
    <row r="44" spans="1:7" s="8" customFormat="1" x14ac:dyDescent="0.2">
      <c r="A44" s="150"/>
      <c r="B44" s="151" t="s">
        <v>674</v>
      </c>
      <c r="C44" s="1006" t="s">
        <v>1073</v>
      </c>
      <c r="D44" s="1009"/>
      <c r="E44" s="1010">
        <v>400</v>
      </c>
      <c r="F44" s="1009">
        <f t="shared" si="3"/>
        <v>400</v>
      </c>
      <c r="G44" s="628"/>
    </row>
    <row r="45" spans="1:7" s="8" customFormat="1" x14ac:dyDescent="0.2">
      <c r="A45" s="150"/>
      <c r="B45" s="151" t="s">
        <v>675</v>
      </c>
      <c r="C45" s="1006" t="s">
        <v>1099</v>
      </c>
      <c r="D45" s="1009"/>
      <c r="E45" s="1010">
        <v>12520</v>
      </c>
      <c r="F45" s="1009">
        <f t="shared" si="3"/>
        <v>12520</v>
      </c>
      <c r="G45" s="628"/>
    </row>
    <row r="46" spans="1:7" s="8" customFormat="1" x14ac:dyDescent="0.2">
      <c r="A46" s="150"/>
      <c r="B46" s="151" t="s">
        <v>676</v>
      </c>
      <c r="C46" s="1006" t="s">
        <v>1166</v>
      </c>
      <c r="D46" s="1009"/>
      <c r="E46" s="1010">
        <v>100</v>
      </c>
      <c r="F46" s="1009">
        <f t="shared" si="3"/>
        <v>100</v>
      </c>
      <c r="G46" s="628"/>
    </row>
    <row r="47" spans="1:7" s="8" customFormat="1" ht="24" x14ac:dyDescent="0.2">
      <c r="A47" s="150"/>
      <c r="B47" s="151" t="s">
        <v>677</v>
      </c>
      <c r="C47" s="1006" t="s">
        <v>1201</v>
      </c>
      <c r="D47" s="1009"/>
      <c r="E47" s="1010">
        <v>900</v>
      </c>
      <c r="F47" s="1009">
        <f t="shared" si="3"/>
        <v>900</v>
      </c>
      <c r="G47" s="628"/>
    </row>
    <row r="48" spans="1:7" s="8" customFormat="1" x14ac:dyDescent="0.2">
      <c r="A48" s="150"/>
      <c r="B48" s="151" t="s">
        <v>125</v>
      </c>
      <c r="C48" s="1006" t="s">
        <v>1167</v>
      </c>
      <c r="D48" s="1009"/>
      <c r="E48" s="1010">
        <v>100</v>
      </c>
      <c r="F48" s="1009">
        <f t="shared" si="3"/>
        <v>100</v>
      </c>
      <c r="G48" s="628"/>
    </row>
    <row r="49" spans="1:7" s="8" customFormat="1" x14ac:dyDescent="0.2">
      <c r="A49" s="150"/>
      <c r="B49" s="151" t="s">
        <v>703</v>
      </c>
      <c r="C49" s="1006" t="s">
        <v>1168</v>
      </c>
      <c r="D49" s="1009"/>
      <c r="E49" s="1010">
        <v>73</v>
      </c>
      <c r="F49" s="1009">
        <f t="shared" si="3"/>
        <v>73</v>
      </c>
      <c r="G49" s="628"/>
    </row>
    <row r="50" spans="1:7" s="8" customFormat="1" x14ac:dyDescent="0.2">
      <c r="A50" s="150"/>
      <c r="B50" s="151" t="s">
        <v>704</v>
      </c>
      <c r="C50" s="1006" t="s">
        <v>1170</v>
      </c>
      <c r="D50" s="1009"/>
      <c r="E50" s="1010">
        <v>1200</v>
      </c>
      <c r="F50" s="1009">
        <f t="shared" si="3"/>
        <v>1200</v>
      </c>
      <c r="G50" s="628"/>
    </row>
    <row r="51" spans="1:7" s="8" customFormat="1" x14ac:dyDescent="0.2">
      <c r="A51" s="150"/>
      <c r="B51" s="151" t="s">
        <v>128</v>
      </c>
      <c r="C51" s="1006" t="s">
        <v>1171</v>
      </c>
      <c r="D51" s="1009"/>
      <c r="E51" s="1010">
        <v>100</v>
      </c>
      <c r="F51" s="1009">
        <f t="shared" si="3"/>
        <v>100</v>
      </c>
      <c r="G51" s="628"/>
    </row>
    <row r="52" spans="1:7" s="8" customFormat="1" x14ac:dyDescent="0.2">
      <c r="A52" s="150"/>
      <c r="B52" s="151" t="s">
        <v>129</v>
      </c>
      <c r="C52" s="1006" t="s">
        <v>1172</v>
      </c>
      <c r="D52" s="1009"/>
      <c r="E52" s="1010">
        <v>50</v>
      </c>
      <c r="F52" s="1009">
        <f t="shared" si="3"/>
        <v>50</v>
      </c>
      <c r="G52" s="628"/>
    </row>
    <row r="53" spans="1:7" s="8" customFormat="1" x14ac:dyDescent="0.2">
      <c r="A53" s="150"/>
      <c r="B53" s="151" t="s">
        <v>130</v>
      </c>
      <c r="C53" s="1006" t="s">
        <v>1173</v>
      </c>
      <c r="D53" s="1009"/>
      <c r="E53" s="1010">
        <v>821</v>
      </c>
      <c r="F53" s="1009">
        <f t="shared" si="3"/>
        <v>821</v>
      </c>
      <c r="G53" s="628"/>
    </row>
    <row r="54" spans="1:7" s="8" customFormat="1" x14ac:dyDescent="0.2">
      <c r="A54" s="150"/>
      <c r="B54" s="151" t="s">
        <v>133</v>
      </c>
      <c r="C54" s="1006" t="s">
        <v>1285</v>
      </c>
      <c r="D54" s="1009">
        <v>500</v>
      </c>
      <c r="E54" s="1010"/>
      <c r="F54" s="1009">
        <f>SUM(D54:E54)</f>
        <v>500</v>
      </c>
      <c r="G54" s="628"/>
    </row>
    <row r="55" spans="1:7" s="8" customFormat="1" x14ac:dyDescent="0.2">
      <c r="A55" s="150"/>
      <c r="B55" s="151" t="s">
        <v>136</v>
      </c>
      <c r="C55" s="1006" t="s">
        <v>1286</v>
      </c>
      <c r="D55" s="1009"/>
      <c r="E55" s="1010">
        <v>1500</v>
      </c>
      <c r="F55" s="1009">
        <f>SUM(D55:E55)</f>
        <v>1500</v>
      </c>
      <c r="G55" s="628"/>
    </row>
    <row r="56" spans="1:7" s="8" customFormat="1" x14ac:dyDescent="0.2">
      <c r="A56" s="150"/>
      <c r="B56" s="151" t="s">
        <v>138</v>
      </c>
      <c r="C56" s="1007" t="s">
        <v>491</v>
      </c>
      <c r="D56" s="1005">
        <f>SUM(D24:D55)</f>
        <v>314149</v>
      </c>
      <c r="E56" s="1005">
        <f>SUM(E24:E55)</f>
        <v>35901</v>
      </c>
      <c r="F56" s="1005">
        <f>SUM(F24:F55)</f>
        <v>350050</v>
      </c>
      <c r="G56" s="628"/>
    </row>
    <row r="57" spans="1:7" x14ac:dyDescent="0.2">
      <c r="B57" s="151" t="s">
        <v>139</v>
      </c>
      <c r="C57" s="1011"/>
      <c r="D57" s="670"/>
      <c r="E57" s="1004"/>
      <c r="F57" s="670"/>
      <c r="G57" s="629"/>
    </row>
    <row r="58" spans="1:7" ht="14.25" customHeight="1" x14ac:dyDescent="0.2">
      <c r="B58" s="151" t="s">
        <v>142</v>
      </c>
      <c r="C58" s="1001" t="s">
        <v>492</v>
      </c>
      <c r="D58" s="670">
        <f>D22</f>
        <v>8000</v>
      </c>
      <c r="E58" s="1004">
        <f>E22</f>
        <v>52874</v>
      </c>
      <c r="F58" s="670">
        <f>F22</f>
        <v>60874</v>
      </c>
      <c r="G58" s="629"/>
    </row>
    <row r="59" spans="1:7" ht="14.25" customHeight="1" x14ac:dyDescent="0.2">
      <c r="B59" s="151" t="s">
        <v>145</v>
      </c>
      <c r="C59" s="1007" t="s">
        <v>493</v>
      </c>
      <c r="D59" s="670">
        <f>D56</f>
        <v>314149</v>
      </c>
      <c r="E59" s="148">
        <f>E56</f>
        <v>35901</v>
      </c>
      <c r="F59" s="670">
        <f>F56</f>
        <v>350050</v>
      </c>
      <c r="G59" s="629"/>
    </row>
    <row r="60" spans="1:7" ht="12.75" thickBot="1" x14ac:dyDescent="0.25">
      <c r="B60" s="151" t="s">
        <v>148</v>
      </c>
      <c r="C60" s="1002"/>
      <c r="D60" s="670"/>
      <c r="E60" s="148"/>
      <c r="F60" s="670"/>
      <c r="G60" s="629"/>
    </row>
    <row r="61" spans="1:7" ht="12.75" thickBot="1" x14ac:dyDescent="0.25">
      <c r="B61" s="151" t="s">
        <v>149</v>
      </c>
      <c r="C61" s="1012" t="s">
        <v>680</v>
      </c>
      <c r="D61" s="1013">
        <f>D58+D59</f>
        <v>322149</v>
      </c>
      <c r="E61" s="1013">
        <f>E58+E59</f>
        <v>88775</v>
      </c>
      <c r="F61" s="1014">
        <f>F58+F59</f>
        <v>410924</v>
      </c>
    </row>
    <row r="62" spans="1:7" x14ac:dyDescent="0.2">
      <c r="B62" s="151"/>
    </row>
    <row r="63" spans="1:7" x14ac:dyDescent="0.2">
      <c r="B63" s="151"/>
    </row>
    <row r="64" spans="1:7" x14ac:dyDescent="0.2">
      <c r="B64" s="151"/>
    </row>
    <row r="65" spans="2:2" x14ac:dyDescent="0.2">
      <c r="B65" s="151"/>
    </row>
    <row r="66" spans="2:2" x14ac:dyDescent="0.2">
      <c r="B66" s="151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4" type="noConversion"/>
  <pageMargins left="0.55118110236220474" right="0.55118110236220474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Szintén László</cp:lastModifiedBy>
  <cp:lastPrinted>2017-10-24T07:56:40Z</cp:lastPrinted>
  <dcterms:created xsi:type="dcterms:W3CDTF">2013-12-16T15:47:29Z</dcterms:created>
  <dcterms:modified xsi:type="dcterms:W3CDTF">2017-10-30T11:12:24Z</dcterms:modified>
</cp:coreProperties>
</file>